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35" yWindow="90" windowWidth="19800" windowHeight="10620"/>
  </bookViews>
  <sheets>
    <sheet name="Отчет" sheetId="1" r:id="rId1"/>
  </sheets>
  <calcPr calcId="125725" refMode="R1C1"/>
</workbook>
</file>

<file path=xl/calcChain.xml><?xml version="1.0" encoding="utf-8"?>
<calcChain xmlns="http://schemas.openxmlformats.org/spreadsheetml/2006/main">
  <c r="N209" i="1"/>
  <c r="L209"/>
  <c r="F209"/>
  <c r="C209"/>
  <c r="B209"/>
  <c r="N208"/>
  <c r="L208"/>
  <c r="F208"/>
  <c r="C208"/>
  <c r="B208"/>
  <c r="N207"/>
  <c r="L207"/>
  <c r="F207"/>
  <c r="C207"/>
  <c r="B207"/>
  <c r="N206"/>
  <c r="L206"/>
  <c r="F206"/>
  <c r="C206"/>
  <c r="B206"/>
  <c r="N205"/>
  <c r="L205"/>
  <c r="F205"/>
  <c r="C205"/>
  <c r="B205"/>
  <c r="N204"/>
  <c r="L204"/>
  <c r="F204"/>
  <c r="C204"/>
  <c r="B204"/>
  <c r="N203"/>
  <c r="L203"/>
  <c r="F203"/>
  <c r="C203"/>
  <c r="B203"/>
  <c r="N202"/>
  <c r="L202"/>
  <c r="F202"/>
  <c r="C202"/>
  <c r="B202"/>
  <c r="N201"/>
  <c r="L201"/>
  <c r="F201"/>
  <c r="C201"/>
  <c r="B201"/>
  <c r="N200"/>
  <c r="L200"/>
  <c r="F200"/>
  <c r="C200"/>
  <c r="B200"/>
  <c r="N199"/>
  <c r="L199"/>
  <c r="F199"/>
  <c r="C199"/>
  <c r="B199"/>
  <c r="N198"/>
  <c r="L198"/>
  <c r="F198"/>
  <c r="C198"/>
  <c r="B198"/>
  <c r="L197"/>
  <c r="F197"/>
  <c r="C197"/>
  <c r="B197"/>
  <c r="N196"/>
  <c r="L196"/>
  <c r="F196"/>
  <c r="C196"/>
  <c r="B196"/>
  <c r="N195"/>
  <c r="L195"/>
  <c r="F195"/>
  <c r="C195"/>
  <c r="B195"/>
  <c r="N194"/>
  <c r="L194"/>
  <c r="F194"/>
  <c r="C194"/>
  <c r="B194"/>
  <c r="N193"/>
  <c r="L193"/>
  <c r="F193"/>
  <c r="C193"/>
  <c r="B193"/>
  <c r="N192"/>
  <c r="L192"/>
  <c r="F192"/>
  <c r="C192"/>
  <c r="B192"/>
  <c r="N191"/>
  <c r="L191"/>
  <c r="F191"/>
  <c r="C191"/>
  <c r="B191"/>
  <c r="N190"/>
  <c r="L190"/>
  <c r="F190"/>
  <c r="C190"/>
  <c r="B190"/>
  <c r="N189"/>
  <c r="L189"/>
  <c r="F189"/>
  <c r="C189"/>
  <c r="B189"/>
  <c r="N188"/>
  <c r="L188"/>
  <c r="F188"/>
  <c r="C188"/>
  <c r="B188"/>
  <c r="N187"/>
  <c r="L187"/>
  <c r="F187"/>
  <c r="C187"/>
  <c r="B187"/>
  <c r="N186"/>
  <c r="L186"/>
  <c r="F186"/>
  <c r="C186"/>
  <c r="B186"/>
  <c r="N185"/>
  <c r="L185"/>
  <c r="F185"/>
  <c r="C185"/>
  <c r="B185"/>
  <c r="N184"/>
  <c r="L184"/>
  <c r="F184"/>
  <c r="C184"/>
  <c r="B184"/>
  <c r="N183"/>
  <c r="L183"/>
  <c r="F183"/>
  <c r="C183"/>
  <c r="B183"/>
  <c r="N182"/>
  <c r="L182"/>
  <c r="F182"/>
  <c r="C182"/>
  <c r="B182"/>
  <c r="N181"/>
  <c r="L181"/>
  <c r="F181"/>
  <c r="C181"/>
  <c r="B181"/>
  <c r="N180"/>
  <c r="L180"/>
  <c r="F180"/>
  <c r="C180"/>
  <c r="B180"/>
  <c r="N179"/>
  <c r="L179"/>
  <c r="F179"/>
  <c r="C179"/>
  <c r="B179"/>
  <c r="N178"/>
  <c r="L178"/>
  <c r="F178"/>
  <c r="C178"/>
  <c r="B178"/>
  <c r="N177"/>
  <c r="L177"/>
  <c r="F177"/>
  <c r="C177"/>
  <c r="B177"/>
  <c r="N176"/>
  <c r="L176"/>
  <c r="F176"/>
  <c r="C176"/>
  <c r="B176"/>
  <c r="N175"/>
  <c r="L175"/>
  <c r="F175"/>
  <c r="C175"/>
  <c r="B175"/>
  <c r="N174"/>
  <c r="L174"/>
  <c r="F174"/>
  <c r="C174"/>
  <c r="B174"/>
  <c r="N173"/>
  <c r="L173"/>
  <c r="F173"/>
  <c r="C173"/>
  <c r="B173"/>
  <c r="N172"/>
  <c r="L172"/>
  <c r="F172"/>
  <c r="C172"/>
  <c r="B172"/>
  <c r="N171"/>
  <c r="L171"/>
  <c r="F171"/>
  <c r="C171"/>
  <c r="B171"/>
  <c r="N170"/>
  <c r="L170"/>
  <c r="F170"/>
  <c r="C170"/>
  <c r="B170"/>
  <c r="N169"/>
  <c r="L169"/>
  <c r="F169"/>
  <c r="C169"/>
  <c r="B169"/>
  <c r="N168"/>
  <c r="L168"/>
  <c r="F168"/>
  <c r="C168"/>
  <c r="B168"/>
  <c r="N167"/>
  <c r="L167"/>
  <c r="F167"/>
  <c r="C167"/>
  <c r="B167"/>
  <c r="N166"/>
  <c r="L166"/>
  <c r="F166"/>
  <c r="C166"/>
  <c r="B166"/>
  <c r="N165"/>
  <c r="L165"/>
  <c r="F165"/>
  <c r="C165"/>
  <c r="B165"/>
  <c r="N164"/>
  <c r="L164"/>
  <c r="F164"/>
  <c r="C164"/>
  <c r="B164"/>
  <c r="N163"/>
  <c r="L163"/>
  <c r="F163"/>
  <c r="C163"/>
  <c r="B163"/>
  <c r="N162"/>
  <c r="L162"/>
  <c r="F162"/>
  <c r="C162"/>
  <c r="B162"/>
  <c r="N161"/>
  <c r="L161"/>
  <c r="F161"/>
  <c r="C161"/>
  <c r="B161"/>
  <c r="N160"/>
  <c r="L160"/>
  <c r="F160"/>
  <c r="C160"/>
  <c r="B160"/>
  <c r="N159"/>
  <c r="L159"/>
  <c r="F159"/>
  <c r="C159"/>
  <c r="B159"/>
  <c r="N158"/>
  <c r="L158"/>
  <c r="F158"/>
  <c r="C158"/>
  <c r="B158"/>
  <c r="N157"/>
  <c r="L157"/>
  <c r="F157"/>
  <c r="C157"/>
  <c r="B157"/>
  <c r="N156"/>
  <c r="L156"/>
  <c r="F156"/>
  <c r="C156"/>
  <c r="B156"/>
  <c r="N155"/>
  <c r="L155"/>
  <c r="F155"/>
  <c r="C155"/>
  <c r="B155"/>
  <c r="N154"/>
  <c r="L154"/>
  <c r="F154"/>
  <c r="C154"/>
  <c r="B154"/>
  <c r="N153"/>
  <c r="L153"/>
  <c r="F153"/>
  <c r="C153"/>
  <c r="B153"/>
  <c r="N152"/>
  <c r="L152"/>
  <c r="F152"/>
  <c r="C152"/>
  <c r="B152"/>
  <c r="N151"/>
  <c r="L151"/>
  <c r="F151"/>
  <c r="C151"/>
  <c r="B151"/>
  <c r="N150"/>
  <c r="L150"/>
  <c r="F150"/>
  <c r="C150"/>
  <c r="B150"/>
  <c r="N149"/>
  <c r="L149"/>
  <c r="F149"/>
  <c r="C149"/>
  <c r="B149"/>
  <c r="N148"/>
  <c r="L148"/>
  <c r="F148"/>
  <c r="C148"/>
  <c r="B148"/>
  <c r="N147"/>
  <c r="L147"/>
  <c r="F147"/>
  <c r="C147"/>
  <c r="B147"/>
  <c r="N146"/>
  <c r="L146"/>
  <c r="F146"/>
  <c r="C146"/>
  <c r="B146"/>
  <c r="N145"/>
  <c r="L145"/>
  <c r="F145"/>
  <c r="C145"/>
  <c r="B145"/>
  <c r="N144"/>
  <c r="L144"/>
  <c r="F144"/>
  <c r="C144"/>
  <c r="B144"/>
  <c r="N143"/>
  <c r="L143"/>
  <c r="F143"/>
  <c r="C143"/>
  <c r="B143"/>
  <c r="N142"/>
  <c r="L142"/>
  <c r="F142"/>
  <c r="C142"/>
  <c r="B142"/>
  <c r="N141"/>
  <c r="L141"/>
  <c r="F141"/>
  <c r="C141"/>
  <c r="B141"/>
  <c r="N140"/>
  <c r="L140"/>
  <c r="F140"/>
  <c r="C140"/>
  <c r="B140"/>
  <c r="N139"/>
  <c r="L139"/>
  <c r="F139"/>
  <c r="C139"/>
  <c r="B139"/>
  <c r="N138"/>
  <c r="L138"/>
  <c r="F138"/>
  <c r="C138"/>
  <c r="B138"/>
  <c r="N137"/>
  <c r="L137"/>
  <c r="F137"/>
  <c r="C137"/>
  <c r="B137"/>
  <c r="N136"/>
  <c r="L136"/>
  <c r="F136"/>
  <c r="C136"/>
  <c r="B136"/>
  <c r="N135"/>
  <c r="L135"/>
  <c r="F135"/>
  <c r="C135"/>
  <c r="B135"/>
  <c r="N134"/>
  <c r="L134"/>
  <c r="F134"/>
  <c r="C134"/>
  <c r="B134"/>
  <c r="N133"/>
  <c r="L133"/>
  <c r="F133"/>
  <c r="C133"/>
  <c r="B133"/>
  <c r="N132"/>
  <c r="L132"/>
  <c r="F132"/>
  <c r="C132"/>
  <c r="B132"/>
  <c r="N131"/>
  <c r="L131"/>
  <c r="F131"/>
  <c r="C131"/>
  <c r="B131"/>
  <c r="N130"/>
  <c r="L130"/>
  <c r="F130"/>
  <c r="C130"/>
  <c r="B130"/>
  <c r="N129"/>
  <c r="L129"/>
  <c r="F129"/>
  <c r="C129"/>
  <c r="B129"/>
  <c r="N128"/>
  <c r="L128"/>
  <c r="F128"/>
  <c r="C128"/>
  <c r="B128"/>
  <c r="N127"/>
  <c r="L127"/>
  <c r="F127"/>
  <c r="C127"/>
  <c r="B127"/>
  <c r="N126"/>
  <c r="L126"/>
  <c r="F126"/>
  <c r="C126"/>
  <c r="B126"/>
  <c r="N125"/>
  <c r="L125"/>
  <c r="F125"/>
  <c r="C125"/>
  <c r="B125"/>
  <c r="N124"/>
  <c r="L124"/>
  <c r="F124"/>
  <c r="C124"/>
  <c r="B124"/>
  <c r="N123"/>
  <c r="L123"/>
  <c r="F123"/>
  <c r="C123"/>
  <c r="B123"/>
  <c r="N122"/>
  <c r="L122"/>
  <c r="F122"/>
  <c r="C122"/>
  <c r="B122"/>
  <c r="N121"/>
  <c r="L121"/>
  <c r="F121"/>
  <c r="C121"/>
  <c r="B121"/>
  <c r="N120"/>
  <c r="L120"/>
  <c r="F120"/>
  <c r="C120"/>
  <c r="B120"/>
  <c r="N119"/>
  <c r="L119"/>
  <c r="F119"/>
  <c r="C119"/>
  <c r="B119"/>
  <c r="N118"/>
  <c r="L118"/>
  <c r="F118"/>
  <c r="C118"/>
  <c r="B118"/>
  <c r="N117"/>
  <c r="L117"/>
  <c r="F117"/>
  <c r="C117"/>
  <c r="B117"/>
  <c r="N116"/>
  <c r="L116"/>
  <c r="F116"/>
  <c r="C116"/>
  <c r="B116"/>
  <c r="N115"/>
  <c r="L115"/>
  <c r="F115"/>
  <c r="C115"/>
  <c r="B115"/>
  <c r="N114"/>
  <c r="L114"/>
  <c r="F114"/>
  <c r="C114"/>
  <c r="B114"/>
  <c r="N113"/>
  <c r="L113"/>
  <c r="F113"/>
  <c r="C113"/>
  <c r="B113"/>
  <c r="N112"/>
  <c r="L112"/>
  <c r="F112"/>
  <c r="C112"/>
  <c r="B112"/>
  <c r="N111"/>
  <c r="L111"/>
  <c r="F111"/>
  <c r="C111"/>
  <c r="B111"/>
  <c r="N110"/>
  <c r="L110"/>
  <c r="F110"/>
  <c r="C110"/>
  <c r="B110"/>
  <c r="N109"/>
  <c r="L109"/>
  <c r="F109"/>
  <c r="C109"/>
  <c r="B109"/>
  <c r="N108"/>
  <c r="L108"/>
  <c r="F108"/>
  <c r="C108"/>
  <c r="B108"/>
  <c r="N107"/>
  <c r="L107"/>
  <c r="F107"/>
  <c r="C107"/>
  <c r="B107"/>
  <c r="N106"/>
  <c r="L106"/>
  <c r="F106"/>
  <c r="C106"/>
  <c r="B106"/>
  <c r="N105"/>
  <c r="L105"/>
  <c r="F105"/>
  <c r="C105"/>
  <c r="B105"/>
  <c r="N104"/>
  <c r="L104"/>
  <c r="F104"/>
  <c r="C104"/>
  <c r="B104"/>
  <c r="N103"/>
  <c r="L103"/>
  <c r="F103"/>
  <c r="C103"/>
  <c r="B103"/>
  <c r="N102"/>
  <c r="L102"/>
  <c r="F102"/>
  <c r="C102"/>
  <c r="B102"/>
  <c r="N101"/>
  <c r="L101"/>
  <c r="F101"/>
  <c r="C101"/>
  <c r="B101"/>
  <c r="N100"/>
  <c r="L100"/>
  <c r="F100"/>
  <c r="C100"/>
  <c r="B100"/>
  <c r="N99"/>
  <c r="L99"/>
  <c r="F99"/>
  <c r="C99"/>
  <c r="B99"/>
  <c r="N98"/>
  <c r="L98"/>
  <c r="F98"/>
  <c r="C98"/>
  <c r="B98"/>
  <c r="N97"/>
  <c r="L97"/>
  <c r="F97"/>
  <c r="C97"/>
  <c r="B97"/>
  <c r="N96"/>
  <c r="L96"/>
  <c r="F96"/>
  <c r="C96"/>
  <c r="B96"/>
  <c r="N95"/>
  <c r="L95"/>
  <c r="F95"/>
  <c r="C95"/>
  <c r="B95"/>
  <c r="N94"/>
  <c r="L94"/>
  <c r="F94"/>
  <c r="C94"/>
  <c r="B94"/>
  <c r="N93"/>
  <c r="L93"/>
  <c r="F93"/>
  <c r="C93"/>
  <c r="B93"/>
  <c r="N92"/>
  <c r="L92"/>
  <c r="F92"/>
  <c r="C92"/>
  <c r="B92"/>
  <c r="N91"/>
  <c r="L91"/>
  <c r="F91"/>
  <c r="C91"/>
  <c r="B91"/>
  <c r="N90"/>
  <c r="L90"/>
  <c r="F90"/>
  <c r="C90"/>
  <c r="B90"/>
  <c r="N89"/>
  <c r="L89"/>
  <c r="F89"/>
  <c r="C89"/>
  <c r="B89"/>
  <c r="N88"/>
  <c r="L88"/>
  <c r="F88"/>
  <c r="C88"/>
  <c r="B88"/>
  <c r="N87"/>
  <c r="L87"/>
  <c r="F87"/>
  <c r="C87"/>
  <c r="B87"/>
  <c r="N86"/>
  <c r="L86"/>
  <c r="F86"/>
  <c r="C86"/>
  <c r="B86"/>
  <c r="N85"/>
  <c r="L85"/>
  <c r="F85"/>
  <c r="C85"/>
  <c r="B85"/>
  <c r="N84"/>
  <c r="L84"/>
  <c r="F84"/>
  <c r="C84"/>
  <c r="B84"/>
  <c r="N83"/>
  <c r="L83"/>
  <c r="F83"/>
  <c r="C83"/>
  <c r="B83"/>
  <c r="N82"/>
  <c r="L82"/>
  <c r="F82"/>
  <c r="C82"/>
  <c r="B82"/>
  <c r="N81"/>
  <c r="L81"/>
  <c r="F81"/>
  <c r="C81"/>
  <c r="B81"/>
  <c r="N80"/>
  <c r="L80"/>
  <c r="F80"/>
  <c r="C80"/>
  <c r="B80"/>
  <c r="N79"/>
  <c r="L79"/>
  <c r="F79"/>
  <c r="C79"/>
  <c r="B79"/>
  <c r="N78"/>
  <c r="L78"/>
  <c r="F78"/>
  <c r="C78"/>
  <c r="B78"/>
  <c r="N77"/>
  <c r="L77"/>
  <c r="F77"/>
  <c r="C77"/>
  <c r="B77"/>
  <c r="N76"/>
  <c r="L76"/>
  <c r="F76"/>
  <c r="C76"/>
  <c r="B76"/>
  <c r="N75"/>
  <c r="L75"/>
  <c r="F75"/>
  <c r="C75"/>
  <c r="B75"/>
  <c r="N74"/>
  <c r="L74"/>
  <c r="F74"/>
  <c r="C74"/>
  <c r="B74"/>
  <c r="N73"/>
  <c r="L73"/>
  <c r="F73"/>
  <c r="C73"/>
  <c r="B73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4"/>
  <c r="L44"/>
  <c r="F44"/>
  <c r="C44"/>
  <c r="B44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<sst xmlns="http://schemas.openxmlformats.org/spreadsheetml/2006/main" count="256" uniqueCount="98">
  <si>
    <t>Отчет № 7. 03.09.2024 13:19:45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</si>
  <si>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
Внимание! Так как отчет содержит необработанные платежи, сведения, содержащиеся в нем, могут быть недостоверными или неполными.</t>
  </si>
  <si>
    <t>Выборы депутатов Благовещенской городской Думы восьмого созыва</t>
  </si>
  <si>
    <t>По состоянию на 01.09.2024</t>
  </si>
  <si>
    <t>В руб.</t>
  </si>
  <si>
    <t>1</t>
  </si>
  <si>
    <t>1.</t>
  </si>
  <si>
    <t/>
  </si>
  <si>
    <t>2.</t>
  </si>
  <si>
    <t>05.08.2024</t>
  </si>
  <si>
    <t>3.</t>
  </si>
  <si>
    <t>4.</t>
  </si>
  <si>
    <t>15.08.2024</t>
  </si>
  <si>
    <t>5.</t>
  </si>
  <si>
    <t>6.</t>
  </si>
  <si>
    <t>7.</t>
  </si>
  <si>
    <t>8.</t>
  </si>
  <si>
    <t>9.</t>
  </si>
  <si>
    <t>10.</t>
  </si>
  <si>
    <t>16.08.2024</t>
  </si>
  <si>
    <t>13.08.2024</t>
  </si>
  <si>
    <t>17.07.2024</t>
  </si>
  <si>
    <t>11.</t>
  </si>
  <si>
    <t>12.</t>
  </si>
  <si>
    <t>13.</t>
  </si>
  <si>
    <t>14.</t>
  </si>
  <si>
    <t>15.</t>
  </si>
  <si>
    <t>16.</t>
  </si>
  <si>
    <t>17.</t>
  </si>
  <si>
    <t>18.</t>
  </si>
  <si>
    <t>06.08.2024</t>
  </si>
  <si>
    <t>19.</t>
  </si>
  <si>
    <t>28.08.2024</t>
  </si>
  <si>
    <t>20.</t>
  </si>
  <si>
    <t>21.</t>
  </si>
  <si>
    <t>30.08.2024</t>
  </si>
  <si>
    <t>22.</t>
  </si>
  <si>
    <t>23.</t>
  </si>
  <si>
    <t>24.</t>
  </si>
  <si>
    <t>25.</t>
  </si>
  <si>
    <t>26.</t>
  </si>
  <si>
    <t>27.</t>
  </si>
  <si>
    <t>28.</t>
  </si>
  <si>
    <t>07.08.2024</t>
  </si>
  <si>
    <t>29.</t>
  </si>
  <si>
    <t>30.</t>
  </si>
  <si>
    <t>31.</t>
  </si>
  <si>
    <t>32.</t>
  </si>
  <si>
    <t>33.</t>
  </si>
  <si>
    <t>31.07.2024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</si>
  <si>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</si>
  <si>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</si>
  <si>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</si>
  <si>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</si>
  <si>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</si>
  <si>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</si>
  <si>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</si>
  <si>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</si>
  <si>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</si>
  <si>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</si>
  <si>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</si>
  <si>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</si>
  <si>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</si>
  <si>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20.08.2024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</si>
  <si>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</si>
  <si>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</si>
  <si>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</si>
  <si>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</si>
  <si>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</si>
  <si>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</si>
  <si>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</si>
  <si>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</si>
  <si>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</si>
  <si>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</si>
  <si>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</si>
  <si>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</si>
  <si>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</si>
  <si>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</si>
  <si>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</si>
  <si>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</si>
  <si>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</si>
  <si>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</si>
  <si>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</si>
  <si>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</si>
  <si>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</si>
  <si>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</si>
  <si>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</si>
  <si>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</si>
  <si>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</si>
  <si>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</si>
  <si>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</si>
  <si>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</si>
  <si>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</si>
  <si>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</si>
  <si>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</si>
  <si>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19.07.2024</t>
  </si>
  <si>
    <t>21.08.2024</t>
  </si>
  <si>
    <t>78.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</si>
</sst>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0"/>
  <sheetViews>
    <sheetView tabSelected="1" workbookViewId="0">
      <selection activeCell="A2" sqref="A2:N2"/>
    </sheetView>
  </sheetViews>
  <sheetFormatPr defaultRowHeight="15"/>
  <cols>
    <col min="1" max="1" width="8" customWidth="1"/>
    <col min="2" max="3" width="12.42578125" customWidth="1"/>
    <col min="4" max="4" width="15.28515625" customWidth="1"/>
    <col min="5" max="5" width="13.28515625" customWidth="1"/>
    <col min="6" max="6" width="15.7109375" customWidth="1"/>
    <col min="7" max="7" width="15.28515625" customWidth="1"/>
    <col min="8" max="8" width="5.5703125" customWidth="1"/>
    <col min="9" max="9" width="13.28515625" customWidth="1"/>
    <col min="10" max="10" width="12.85546875" customWidth="1"/>
    <col min="11" max="11" width="13" customWidth="1"/>
    <col min="12" max="12" width="9.42578125" customWidth="1"/>
    <col min="13" max="13" width="11.140625" customWidth="1"/>
    <col min="14" max="14" width="12" customWidth="1"/>
    <col min="15" max="15" width="8.85546875" customWidth="1"/>
  </cols>
  <sheetData>
    <row r="1" spans="1:15" ht="14.1" customHeight="1">
      <c r="N1" s="1" t="s">
        <v>0</v>
      </c>
    </row>
    <row r="2" spans="1:15" ht="246.6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.7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>
      <c r="N4" s="3" t="s">
        <v>3</v>
      </c>
    </row>
    <row r="5" spans="1:15">
      <c r="N5" s="3" t="s">
        <v>4</v>
      </c>
    </row>
    <row r="6" spans="1:15" ht="24" customHeight="1">
      <c r="A6" s="16" t="str">
        <f t="shared" ref="A6" si="0">"№
п/п"</f>
        <v>№
п/п</v>
      </c>
      <c r="B6" s="16" t="str">
        <f t="shared" ref="B6" si="1">"Наименование территории"</f>
        <v>Наименование территории</v>
      </c>
      <c r="C6" s="16" t="str">
        <f t="shared" ref="C6" si="2">"Фамилия, имя, отчество кандидата"</f>
        <v>Фамилия, имя, отчество кандидата</v>
      </c>
      <c r="D6" s="19" t="str">
        <f t="shared" ref="D6" si="3">"Поступило средств"</f>
        <v>Поступило средств</v>
      </c>
      <c r="E6" s="20"/>
      <c r="F6" s="20"/>
      <c r="G6" s="20"/>
      <c r="H6" s="21"/>
      <c r="I6" s="19" t="str">
        <f t="shared" ref="I6" si="4">"Израсходовано средств"</f>
        <v>Израсходовано средств</v>
      </c>
      <c r="J6" s="20"/>
      <c r="K6" s="20"/>
      <c r="L6" s="21"/>
      <c r="M6" s="19" t="str">
        <f t="shared" ref="M6" si="5">"Возвращено средств"</f>
        <v>Возвращено средств</v>
      </c>
      <c r="N6" s="21"/>
    </row>
    <row r="7" spans="1:15" ht="53.1" customHeight="1">
      <c r="A7" s="17"/>
      <c r="B7" s="17"/>
      <c r="C7" s="17"/>
      <c r="D7" s="16" t="str">
        <f t="shared" ref="D7" si="6">"всего"</f>
        <v>всего</v>
      </c>
      <c r="E7" s="19" t="str">
        <f t="shared" ref="E7" si="7">"из них"</f>
        <v>из них</v>
      </c>
      <c r="F7" s="20"/>
      <c r="G7" s="20"/>
      <c r="H7" s="21"/>
      <c r="I7" s="16" t="str">
        <f t="shared" ref="I7" si="8">"всего"</f>
        <v>всего</v>
      </c>
      <c r="J7" s="19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0"/>
      <c r="L7" s="21"/>
      <c r="M7" s="16" t="str">
        <f t="shared" ref="M7" si="10">"сумма, руб."</f>
        <v>сумма, руб.</v>
      </c>
      <c r="N7" s="16" t="str">
        <f t="shared" ref="N7" si="11">"основание возврата"</f>
        <v>основание возврата</v>
      </c>
      <c r="O7" s="2"/>
    </row>
    <row r="8" spans="1:15" ht="69.95" customHeight="1">
      <c r="A8" s="17"/>
      <c r="B8" s="17"/>
      <c r="C8" s="17"/>
      <c r="D8" s="17"/>
      <c r="E8" s="19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21"/>
      <c r="G8" s="19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1"/>
      <c r="I8" s="17"/>
      <c r="J8" s="16" t="str">
        <f t="shared" ref="J8" si="14">"дата операции"</f>
        <v>дата операции</v>
      </c>
      <c r="K8" s="16" t="str">
        <f t="shared" ref="K8" si="15">"сумма, руб."</f>
        <v>сумма, руб.</v>
      </c>
      <c r="L8" s="16" t="str">
        <f t="shared" ref="L8" si="16">"назначение платежа"</f>
        <v>назначение платежа</v>
      </c>
      <c r="M8" s="17"/>
      <c r="N8" s="17"/>
      <c r="O8" s="2"/>
    </row>
    <row r="9" spans="1:15" ht="55.9" customHeight="1">
      <c r="A9" s="18"/>
      <c r="B9" s="18"/>
      <c r="C9" s="18"/>
      <c r="D9" s="18"/>
      <c r="E9" s="4" t="str">
        <f>"сумма, руб."</f>
        <v>сумма, руб.</v>
      </c>
      <c r="F9" s="4" t="str">
        <f>"наименование юридического лица"</f>
        <v>наименование юридического лица</v>
      </c>
      <c r="G9" s="4" t="str">
        <f>"сумма, руб."</f>
        <v>сумма, руб.</v>
      </c>
      <c r="H9" s="4" t="str">
        <f>"кол-во граждан"</f>
        <v>кол-во граждан</v>
      </c>
      <c r="I9" s="18"/>
      <c r="J9" s="18"/>
      <c r="K9" s="18"/>
      <c r="L9" s="18"/>
      <c r="M9" s="18"/>
      <c r="N9" s="18"/>
      <c r="O9" s="2"/>
    </row>
    <row r="10" spans="1:15">
      <c r="A10" s="6" t="s">
        <v>5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38.25">
      <c r="A11" s="7" t="s">
        <v>6</v>
      </c>
      <c r="B11" s="8" t="str">
        <f>"Первый (№ 1)"</f>
        <v>Первый (№ 1)</v>
      </c>
      <c r="C11" s="8" t="str">
        <f>"Буторина Полина Ивановна"</f>
        <v>Буторина Полина Ивановна</v>
      </c>
      <c r="D11" s="9">
        <v>44800</v>
      </c>
      <c r="E11" s="9"/>
      <c r="F11" s="8" t="str">
        <f>""</f>
        <v/>
      </c>
      <c r="G11" s="9"/>
      <c r="H11" s="10"/>
      <c r="I11" s="9">
        <v>44761.25</v>
      </c>
      <c r="J11" s="11"/>
      <c r="K11" s="9"/>
      <c r="L11" s="8" t="str">
        <f>""</f>
        <v/>
      </c>
      <c r="M11" s="9"/>
      <c r="N11" s="8" t="str">
        <f>""</f>
        <v/>
      </c>
      <c r="O11" s="5"/>
    </row>
    <row r="12" spans="1:15" ht="25.5">
      <c r="A12" s="6" t="s">
        <v>7</v>
      </c>
      <c r="B12" s="12" t="str">
        <f>""</f>
        <v/>
      </c>
      <c r="C12" s="12" t="str">
        <f>"Итого по кандидату"</f>
        <v>Итого по кандидату</v>
      </c>
      <c r="D12" s="13">
        <v>44800</v>
      </c>
      <c r="E12" s="13">
        <v>0</v>
      </c>
      <c r="F12" s="12" t="str">
        <f>""</f>
        <v/>
      </c>
      <c r="G12" s="13">
        <v>0</v>
      </c>
      <c r="H12" s="14"/>
      <c r="I12" s="13">
        <v>44761.25</v>
      </c>
      <c r="J12" s="15"/>
      <c r="K12" s="13">
        <v>0</v>
      </c>
      <c r="L12" s="12" t="str">
        <f>""</f>
        <v/>
      </c>
      <c r="M12" s="13">
        <v>0</v>
      </c>
      <c r="N12" s="12" t="str">
        <f>""</f>
        <v/>
      </c>
      <c r="O12" s="5"/>
    </row>
    <row r="13" spans="1:15" ht="89.25">
      <c r="A13" s="7" t="s">
        <v>8</v>
      </c>
      <c r="B13" s="8" t="str">
        <f>"Первый (№ 1)"</f>
        <v>Первый (№ 1)</v>
      </c>
      <c r="C13" s="8" t="str">
        <f>"Костенко Владимир Михайлович"</f>
        <v>Костенко Владимир Михайлович</v>
      </c>
      <c r="D13" s="9">
        <v>111952</v>
      </c>
      <c r="E13" s="9">
        <v>103952</v>
      </c>
      <c r="F13" s="8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13" s="9"/>
      <c r="H13" s="10"/>
      <c r="I13" s="9">
        <v>111952</v>
      </c>
      <c r="J13" s="11" t="s">
        <v>9</v>
      </c>
      <c r="K13" s="9">
        <v>103952</v>
      </c>
      <c r="L13" s="8" t="str">
        <f>""</f>
        <v/>
      </c>
      <c r="M13" s="9"/>
      <c r="N13" s="8" t="str">
        <f>""</f>
        <v/>
      </c>
      <c r="O13" s="5"/>
    </row>
    <row r="14" spans="1:15" ht="25.5">
      <c r="A14" s="6" t="s">
        <v>7</v>
      </c>
      <c r="B14" s="12" t="str">
        <f>""</f>
        <v/>
      </c>
      <c r="C14" s="12" t="str">
        <f>"Итого по кандидату"</f>
        <v>Итого по кандидату</v>
      </c>
      <c r="D14" s="13">
        <v>111952</v>
      </c>
      <c r="E14" s="13">
        <v>103952</v>
      </c>
      <c r="F14" s="12" t="str">
        <f>""</f>
        <v/>
      </c>
      <c r="G14" s="13">
        <v>0</v>
      </c>
      <c r="H14" s="14"/>
      <c r="I14" s="13">
        <v>111952</v>
      </c>
      <c r="J14" s="15"/>
      <c r="K14" s="13">
        <v>103952</v>
      </c>
      <c r="L14" s="12" t="str">
        <f>""</f>
        <v/>
      </c>
      <c r="M14" s="13">
        <v>0</v>
      </c>
      <c r="N14" s="12" t="str">
        <f>""</f>
        <v/>
      </c>
      <c r="O14" s="2"/>
    </row>
    <row r="15" spans="1:15" ht="38.25">
      <c r="A15" s="7" t="s">
        <v>10</v>
      </c>
      <c r="B15" s="8" t="str">
        <f>"Первый (№ 1)"</f>
        <v>Первый (№ 1)</v>
      </c>
      <c r="C15" s="8" t="str">
        <f>"Марчук Анастасия Юрьевна"</f>
        <v>Марчук Анастасия Юрьевна</v>
      </c>
      <c r="D15" s="9">
        <v>1998</v>
      </c>
      <c r="E15" s="9"/>
      <c r="F15" s="8" t="str">
        <f>""</f>
        <v/>
      </c>
      <c r="G15" s="9"/>
      <c r="H15" s="10"/>
      <c r="I15" s="9">
        <v>1998</v>
      </c>
      <c r="J15" s="11"/>
      <c r="K15" s="9"/>
      <c r="L15" s="8" t="str">
        <f>""</f>
        <v/>
      </c>
      <c r="M15" s="9"/>
      <c r="N15" s="8" t="str">
        <f>""</f>
        <v/>
      </c>
      <c r="O15" s="5"/>
    </row>
    <row r="16" spans="1:15" ht="25.5">
      <c r="A16" s="6" t="s">
        <v>7</v>
      </c>
      <c r="B16" s="12" t="str">
        <f>""</f>
        <v/>
      </c>
      <c r="C16" s="12" t="str">
        <f>"Итого по кандидату"</f>
        <v>Итого по кандидату</v>
      </c>
      <c r="D16" s="13">
        <v>1998</v>
      </c>
      <c r="E16" s="13">
        <v>0</v>
      </c>
      <c r="F16" s="12" t="str">
        <f>""</f>
        <v/>
      </c>
      <c r="G16" s="13">
        <v>0</v>
      </c>
      <c r="H16" s="14"/>
      <c r="I16" s="13">
        <v>1998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:15" ht="76.5">
      <c r="A17" s="7" t="s">
        <v>11</v>
      </c>
      <c r="B17" s="8" t="str">
        <f>"Первый (№ 1)"</f>
        <v>Первый (№ 1)</v>
      </c>
      <c r="C17" s="8" t="str">
        <f>"Сопин Сергей Николаевич"</f>
        <v>Сопин Сергей Николаевич</v>
      </c>
      <c r="D17" s="9">
        <v>390932.56</v>
      </c>
      <c r="E17" s="9">
        <v>390932.56</v>
      </c>
      <c r="F17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7" s="9"/>
      <c r="H17" s="10"/>
      <c r="I17" s="9">
        <v>390932.56</v>
      </c>
      <c r="J17" s="11" t="s">
        <v>12</v>
      </c>
      <c r="K17" s="9">
        <v>270000</v>
      </c>
      <c r="L17" s="8" t="str">
        <f>""</f>
        <v/>
      </c>
      <c r="M17" s="9"/>
      <c r="N17" s="8" t="str">
        <f>""</f>
        <v/>
      </c>
      <c r="O17" s="5"/>
    </row>
    <row r="18" spans="1:15" ht="25.5">
      <c r="A18" s="6" t="s">
        <v>7</v>
      </c>
      <c r="B18" s="12" t="str">
        <f>""</f>
        <v/>
      </c>
      <c r="C18" s="12" t="str">
        <f>"Итого по кандидату"</f>
        <v>Итого по кандидату</v>
      </c>
      <c r="D18" s="13">
        <v>390932.56</v>
      </c>
      <c r="E18" s="13">
        <v>390932.56</v>
      </c>
      <c r="F18" s="12" t="str">
        <f>""</f>
        <v/>
      </c>
      <c r="G18" s="13">
        <v>0</v>
      </c>
      <c r="H18" s="14"/>
      <c r="I18" s="13">
        <v>390932.56</v>
      </c>
      <c r="J18" s="15"/>
      <c r="K18" s="13">
        <v>270000</v>
      </c>
      <c r="L18" s="12" t="str">
        <f>""</f>
        <v/>
      </c>
      <c r="M18" s="13">
        <v>0</v>
      </c>
      <c r="N18" s="12" t="str">
        <f>""</f>
        <v/>
      </c>
      <c r="O18" s="2"/>
    </row>
    <row r="19" spans="1:15" ht="51">
      <c r="A19" s="6" t="s">
        <v>7</v>
      </c>
      <c r="B19" s="12" t="str">
        <f>""</f>
        <v/>
      </c>
      <c r="C19" s="12" t="str">
        <f>"Избирательный округ (Первый (№ 1)), всего"</f>
        <v>Избирательный округ (Первый (№ 1)), всего</v>
      </c>
      <c r="D19" s="13">
        <v>549682.56000000006</v>
      </c>
      <c r="E19" s="13">
        <v>494884.56</v>
      </c>
      <c r="F19" s="12" t="str">
        <f>""</f>
        <v/>
      </c>
      <c r="G19" s="13">
        <v>0</v>
      </c>
      <c r="H19" s="14"/>
      <c r="I19" s="13">
        <v>549643.81000000006</v>
      </c>
      <c r="J19" s="15"/>
      <c r="K19" s="13">
        <v>373952</v>
      </c>
      <c r="L19" s="12" t="str">
        <f>""</f>
        <v/>
      </c>
      <c r="M19" s="13">
        <v>0</v>
      </c>
      <c r="N19" s="12" t="str">
        <f>""</f>
        <v/>
      </c>
      <c r="O19" s="5"/>
    </row>
    <row r="20" spans="1:15" ht="76.5">
      <c r="A20" s="7" t="s">
        <v>13</v>
      </c>
      <c r="B20" s="8" t="str">
        <f>"Второй (№ 2)"</f>
        <v>Второй (№ 2)</v>
      </c>
      <c r="C20" s="8" t="str">
        <f>"Семенов Владимир Сергеевич"</f>
        <v>Семенов Владимир Сергеевич</v>
      </c>
      <c r="D20" s="9">
        <v>390932.56</v>
      </c>
      <c r="E20" s="9">
        <v>390932.56</v>
      </c>
      <c r="F20" s="8" t="str">
        <f>"АМУРСКОЕ РЕГИОНАЛЬНОЕ ОТДЕЛЕНИЕ ПАРТИИ ""ЕДИНАЯ РОССИЯ"""</f>
        <v>АМУРСКОЕ РЕГИОНАЛЬНОЕ ОТДЕЛЕНИЕ ПАРТИИ "ЕДИНАЯ РОССИЯ"</v>
      </c>
      <c r="G20" s="9"/>
      <c r="H20" s="10"/>
      <c r="I20" s="9">
        <v>390932.56</v>
      </c>
      <c r="J20" s="11" t="s">
        <v>12</v>
      </c>
      <c r="K20" s="9">
        <v>270000</v>
      </c>
      <c r="L20" s="8" t="str">
        <f>""</f>
        <v/>
      </c>
      <c r="M20" s="9"/>
      <c r="N20" s="8" t="str">
        <f>""</f>
        <v/>
      </c>
      <c r="O20" s="5"/>
    </row>
    <row r="21" spans="1:15" ht="25.5">
      <c r="A21" s="6" t="s">
        <v>7</v>
      </c>
      <c r="B21" s="12" t="str">
        <f>""</f>
        <v/>
      </c>
      <c r="C21" s="12" t="str">
        <f>"Итого по кандидату"</f>
        <v>Итого по кандидату</v>
      </c>
      <c r="D21" s="13">
        <v>390932.56</v>
      </c>
      <c r="E21" s="13">
        <v>390932.56</v>
      </c>
      <c r="F21" s="12" t="str">
        <f>""</f>
        <v/>
      </c>
      <c r="G21" s="13">
        <v>0</v>
      </c>
      <c r="H21" s="14"/>
      <c r="I21" s="13">
        <v>390932.56</v>
      </c>
      <c r="J21" s="15"/>
      <c r="K21" s="13">
        <v>270000</v>
      </c>
      <c r="L21" s="12" t="str">
        <f>""</f>
        <v/>
      </c>
      <c r="M21" s="13">
        <v>0</v>
      </c>
      <c r="N21" s="12" t="str">
        <f>""</f>
        <v/>
      </c>
      <c r="O21" s="2"/>
    </row>
    <row r="22" spans="1:15" ht="51">
      <c r="A22" s="6" t="s">
        <v>7</v>
      </c>
      <c r="B22" s="12" t="str">
        <f>""</f>
        <v/>
      </c>
      <c r="C22" s="12" t="str">
        <f>"Избирательный округ (Второй (№ 2)), всего"</f>
        <v>Избирательный округ (Второй (№ 2)), всего</v>
      </c>
      <c r="D22" s="13">
        <v>390932.56</v>
      </c>
      <c r="E22" s="13">
        <v>390932.56</v>
      </c>
      <c r="F22" s="12" t="str">
        <f>""</f>
        <v/>
      </c>
      <c r="G22" s="13">
        <v>0</v>
      </c>
      <c r="H22" s="14"/>
      <c r="I22" s="13">
        <v>390932.56</v>
      </c>
      <c r="J22" s="15"/>
      <c r="K22" s="13">
        <v>270000</v>
      </c>
      <c r="L22" s="12" t="str">
        <f>""</f>
        <v/>
      </c>
      <c r="M22" s="13">
        <v>0</v>
      </c>
      <c r="N22" s="12" t="str">
        <f>""</f>
        <v/>
      </c>
      <c r="O22" s="5"/>
    </row>
    <row r="23" spans="1:15" ht="76.5">
      <c r="A23" s="7" t="s">
        <v>14</v>
      </c>
      <c r="B23" s="8" t="str">
        <f>"Третий (№ 3)"</f>
        <v>Третий (№ 3)</v>
      </c>
      <c r="C23" s="8" t="str">
        <f>"Кочетов Антон Валерьевич"</f>
        <v>Кочетов Антон Валерьевич</v>
      </c>
      <c r="D23" s="9">
        <v>390932.31</v>
      </c>
      <c r="E23" s="9">
        <v>390932.31</v>
      </c>
      <c r="F23" s="8" t="str">
        <f>"АМУРСКОЕ РЕГИОНАЛЬНОЕ ОТДЕЛЕНИЕ ПАРТИИ ""ЕДИНАЯ РОССИЯ"""</f>
        <v>АМУРСКОЕ РЕГИОНАЛЬНОЕ ОТДЕЛЕНИЕ ПАРТИИ "ЕДИНАЯ РОССИЯ"</v>
      </c>
      <c r="G23" s="9"/>
      <c r="H23" s="10"/>
      <c r="I23" s="9">
        <v>390932.31</v>
      </c>
      <c r="J23" s="11" t="s">
        <v>12</v>
      </c>
      <c r="K23" s="9">
        <v>270000</v>
      </c>
      <c r="L23" s="8" t="str">
        <f>""</f>
        <v/>
      </c>
      <c r="M23" s="9"/>
      <c r="N23" s="8" t="str">
        <f>""</f>
        <v/>
      </c>
      <c r="O23" s="5"/>
    </row>
    <row r="24" spans="1:15" ht="25.5">
      <c r="A24" s="6" t="s">
        <v>7</v>
      </c>
      <c r="B24" s="12" t="str">
        <f>""</f>
        <v/>
      </c>
      <c r="C24" s="12" t="str">
        <f>"Итого по кандидату"</f>
        <v>Итого по кандидату</v>
      </c>
      <c r="D24" s="13">
        <v>390932.31</v>
      </c>
      <c r="E24" s="13">
        <v>390932.31</v>
      </c>
      <c r="F24" s="12" t="str">
        <f>""</f>
        <v/>
      </c>
      <c r="G24" s="13">
        <v>0</v>
      </c>
      <c r="H24" s="14"/>
      <c r="I24" s="13">
        <v>390932.31</v>
      </c>
      <c r="J24" s="15"/>
      <c r="K24" s="13">
        <v>270000</v>
      </c>
      <c r="L24" s="12" t="str">
        <f>""</f>
        <v/>
      </c>
      <c r="M24" s="13">
        <v>0</v>
      </c>
      <c r="N24" s="12" t="str">
        <f>""</f>
        <v/>
      </c>
      <c r="O24" s="2"/>
    </row>
    <row r="25" spans="1:15" ht="51">
      <c r="A25" s="7" t="s">
        <v>15</v>
      </c>
      <c r="B25" s="8" t="str">
        <f>"Третий (№ 3)"</f>
        <v>Третий (№ 3)</v>
      </c>
      <c r="C25" s="8" t="str">
        <f>"Патрин Максим Владимирович"</f>
        <v>Патрин Максим Владимирович</v>
      </c>
      <c r="D25" s="9">
        <v>1690</v>
      </c>
      <c r="E25" s="9"/>
      <c r="F25" s="8" t="str">
        <f>""</f>
        <v/>
      </c>
      <c r="G25" s="9"/>
      <c r="H25" s="10"/>
      <c r="I25" s="9">
        <v>1690</v>
      </c>
      <c r="J25" s="11"/>
      <c r="K25" s="9"/>
      <c r="L25" s="8" t="str">
        <f>""</f>
        <v/>
      </c>
      <c r="M25" s="9"/>
      <c r="N25" s="8" t="str">
        <f>""</f>
        <v/>
      </c>
      <c r="O25" s="5"/>
    </row>
    <row r="26" spans="1:15" ht="25.5">
      <c r="A26" s="6" t="s">
        <v>7</v>
      </c>
      <c r="B26" s="12" t="str">
        <f>""</f>
        <v/>
      </c>
      <c r="C26" s="12" t="str">
        <f>"Итого по кандидату"</f>
        <v>Итого по кандидату</v>
      </c>
      <c r="D26" s="13">
        <v>1690</v>
      </c>
      <c r="E26" s="13">
        <v>0</v>
      </c>
      <c r="F26" s="12" t="str">
        <f>""</f>
        <v/>
      </c>
      <c r="G26" s="13">
        <v>0</v>
      </c>
      <c r="H26" s="14"/>
      <c r="I26" s="13">
        <v>1690</v>
      </c>
      <c r="J26" s="15"/>
      <c r="K26" s="13">
        <v>0</v>
      </c>
      <c r="L26" s="12" t="str">
        <f>""</f>
        <v/>
      </c>
      <c r="M26" s="13">
        <v>0</v>
      </c>
      <c r="N26" s="12" t="str">
        <f>""</f>
        <v/>
      </c>
      <c r="O26" s="5"/>
    </row>
    <row r="27" spans="1:15" ht="51">
      <c r="A27" s="6" t="s">
        <v>7</v>
      </c>
      <c r="B27" s="12" t="str">
        <f>""</f>
        <v/>
      </c>
      <c r="C27" s="12" t="str">
        <f>"Избирательный округ (Третий (№ 3)), всего"</f>
        <v>Избирательный округ (Третий (№ 3)), всего</v>
      </c>
      <c r="D27" s="13">
        <v>392622.31</v>
      </c>
      <c r="E27" s="13">
        <v>390932.31</v>
      </c>
      <c r="F27" s="12" t="str">
        <f>""</f>
        <v/>
      </c>
      <c r="G27" s="13">
        <v>0</v>
      </c>
      <c r="H27" s="14"/>
      <c r="I27" s="13">
        <v>392622.31</v>
      </c>
      <c r="J27" s="15"/>
      <c r="K27" s="13">
        <v>270000</v>
      </c>
      <c r="L27" s="12" t="str">
        <f>""</f>
        <v/>
      </c>
      <c r="M27" s="13">
        <v>0</v>
      </c>
      <c r="N27" s="12" t="str">
        <f>""</f>
        <v/>
      </c>
      <c r="O27" s="5"/>
    </row>
    <row r="28" spans="1:15" ht="38.25">
      <c r="A28" s="7" t="s">
        <v>16</v>
      </c>
      <c r="B28" s="8" t="str">
        <f>"Четвертый (№ 4)"</f>
        <v>Четвертый (№ 4)</v>
      </c>
      <c r="C28" s="8" t="str">
        <f>"Картин Владимир Николаевич"</f>
        <v>Картин Владимир Николаевич</v>
      </c>
      <c r="D28" s="9">
        <v>100000</v>
      </c>
      <c r="E28" s="9">
        <v>100000</v>
      </c>
      <c r="F28" s="8" t="str">
        <f>"ЛДПР"</f>
        <v>ЛДПР</v>
      </c>
      <c r="G28" s="9"/>
      <c r="H28" s="10"/>
      <c r="I28" s="9">
        <v>18964</v>
      </c>
      <c r="J28" s="11"/>
      <c r="K28" s="9"/>
      <c r="L28" s="8" t="str">
        <f>""</f>
        <v/>
      </c>
      <c r="M28" s="9"/>
      <c r="N28" s="8" t="str">
        <f>""</f>
        <v/>
      </c>
      <c r="O28" s="5"/>
    </row>
    <row r="29" spans="1:15" ht="25.5">
      <c r="A29" s="6" t="s">
        <v>7</v>
      </c>
      <c r="B29" s="12" t="str">
        <f>""</f>
        <v/>
      </c>
      <c r="C29" s="12" t="str">
        <f>"Итого по кандидату"</f>
        <v>Итого по кандидату</v>
      </c>
      <c r="D29" s="13">
        <v>100000</v>
      </c>
      <c r="E29" s="13">
        <v>100000</v>
      </c>
      <c r="F29" s="12" t="str">
        <f>""</f>
        <v/>
      </c>
      <c r="G29" s="13">
        <v>0</v>
      </c>
      <c r="H29" s="14"/>
      <c r="I29" s="13">
        <v>18964</v>
      </c>
      <c r="J29" s="15"/>
      <c r="K29" s="13">
        <v>0</v>
      </c>
      <c r="L29" s="12" t="str">
        <f>""</f>
        <v/>
      </c>
      <c r="M29" s="13">
        <v>0</v>
      </c>
      <c r="N29" s="12" t="str">
        <f>""</f>
        <v/>
      </c>
      <c r="O29" s="5"/>
    </row>
    <row r="30" spans="1:15" ht="38.25">
      <c r="A30" s="7" t="s">
        <v>17</v>
      </c>
      <c r="B30" s="8" t="str">
        <f>"Четвертый (№ 4)"</f>
        <v>Четвертый (№ 4)</v>
      </c>
      <c r="C30" s="8" t="str">
        <f>"Провоторов Денис Сергеевич"</f>
        <v>Провоторов Денис Сергеевич</v>
      </c>
      <c r="D30" s="9">
        <v>127907.31</v>
      </c>
      <c r="E30" s="9"/>
      <c r="F30" s="8" t="str">
        <f>""</f>
        <v/>
      </c>
      <c r="G30" s="9"/>
      <c r="H30" s="10"/>
      <c r="I30" s="9">
        <v>127907.31</v>
      </c>
      <c r="J30" s="11"/>
      <c r="K30" s="9"/>
      <c r="L30" s="8" t="str">
        <f>""</f>
        <v/>
      </c>
      <c r="M30" s="9"/>
      <c r="N30" s="8" t="str">
        <f>""</f>
        <v/>
      </c>
      <c r="O30" s="5"/>
    </row>
    <row r="31" spans="1:15" ht="25.5">
      <c r="A31" s="6" t="s">
        <v>7</v>
      </c>
      <c r="B31" s="12" t="str">
        <f>""</f>
        <v/>
      </c>
      <c r="C31" s="12" t="str">
        <f>"Итого по кандидату"</f>
        <v>Итого по кандидату</v>
      </c>
      <c r="D31" s="13">
        <v>127907.31</v>
      </c>
      <c r="E31" s="13">
        <v>0</v>
      </c>
      <c r="F31" s="12" t="str">
        <f>""</f>
        <v/>
      </c>
      <c r="G31" s="13">
        <v>0</v>
      </c>
      <c r="H31" s="14"/>
      <c r="I31" s="13">
        <v>127907.31</v>
      </c>
      <c r="J31" s="15"/>
      <c r="K31" s="13">
        <v>0</v>
      </c>
      <c r="L31" s="12" t="str">
        <f>""</f>
        <v/>
      </c>
      <c r="M31" s="13">
        <v>0</v>
      </c>
      <c r="N31" s="12" t="str">
        <f>""</f>
        <v/>
      </c>
      <c r="O31" s="5"/>
    </row>
    <row r="32" spans="1:15" ht="51">
      <c r="A32" s="6" t="s">
        <v>7</v>
      </c>
      <c r="B32" s="12" t="str">
        <f>""</f>
        <v/>
      </c>
      <c r="C32" s="12" t="str">
        <f>"Избирательный округ (Четвертый (№ 4)), всего"</f>
        <v>Избирательный округ (Четвертый (№ 4)), всего</v>
      </c>
      <c r="D32" s="13">
        <v>227907.31</v>
      </c>
      <c r="E32" s="13">
        <v>100000</v>
      </c>
      <c r="F32" s="12" t="str">
        <f>""</f>
        <v/>
      </c>
      <c r="G32" s="13">
        <v>0</v>
      </c>
      <c r="H32" s="14"/>
      <c r="I32" s="13">
        <v>146871.31</v>
      </c>
      <c r="J32" s="15"/>
      <c r="K32" s="13">
        <v>0</v>
      </c>
      <c r="L32" s="12" t="str">
        <f>""</f>
        <v/>
      </c>
      <c r="M32" s="13">
        <v>0</v>
      </c>
      <c r="N32" s="12" t="str">
        <f>""</f>
        <v/>
      </c>
      <c r="O32" s="5"/>
    </row>
    <row r="33" spans="1:15" ht="76.5">
      <c r="A33" s="7" t="s">
        <v>18</v>
      </c>
      <c r="B33" s="8" t="str">
        <f>"Пятый (№ 5)"</f>
        <v>Пятый (№ 5)</v>
      </c>
      <c r="C33" s="8" t="str">
        <f>"Салварян Артем Валерович"</f>
        <v>Салварян Артем Валерович</v>
      </c>
      <c r="D33" s="9"/>
      <c r="E33" s="9">
        <v>415105.24</v>
      </c>
      <c r="F33" s="8" t="str">
        <f>"АМУРСКОЕ РЕГИОНАЛЬНОЕ ОТДЕЛЕНИЕ ПАРТИИ ""ЕДИНАЯ РОССИЯ"""</f>
        <v>АМУРСКОЕ РЕГИОНАЛЬНОЕ ОТДЕЛЕНИЕ ПАРТИИ "ЕДИНАЯ РОССИЯ"</v>
      </c>
      <c r="G33" s="9"/>
      <c r="H33" s="10"/>
      <c r="I33" s="9"/>
      <c r="J33" s="11" t="s">
        <v>19</v>
      </c>
      <c r="K33" s="9">
        <v>270000</v>
      </c>
      <c r="L33" s="8" t="str">
        <f>""</f>
        <v/>
      </c>
      <c r="M33" s="9"/>
      <c r="N33" s="8" t="str">
        <f>""</f>
        <v/>
      </c>
      <c r="O33" s="5"/>
    </row>
    <row r="34" spans="1:15">
      <c r="A34" s="7" t="s">
        <v>7</v>
      </c>
      <c r="B34" s="8" t="str">
        <f>""</f>
        <v/>
      </c>
      <c r="C34" s="8" t="str">
        <f>""</f>
        <v/>
      </c>
      <c r="D34" s="9"/>
      <c r="E34" s="9"/>
      <c r="F34" s="8" t="str">
        <f>""</f>
        <v/>
      </c>
      <c r="G34" s="9"/>
      <c r="H34" s="10"/>
      <c r="I34" s="9"/>
      <c r="J34" s="11" t="s">
        <v>20</v>
      </c>
      <c r="K34" s="9">
        <v>125000</v>
      </c>
      <c r="L34" s="8" t="str">
        <f>""</f>
        <v/>
      </c>
      <c r="M34" s="9"/>
      <c r="N34" s="8" t="str">
        <f>""</f>
        <v/>
      </c>
      <c r="O34" s="2"/>
    </row>
    <row r="35" spans="1:15">
      <c r="A35" s="7" t="s">
        <v>7</v>
      </c>
      <c r="B35" s="8" t="str">
        <f>""</f>
        <v/>
      </c>
      <c r="C35" s="8" t="str">
        <f>""</f>
        <v/>
      </c>
      <c r="D35" s="9"/>
      <c r="E35" s="9"/>
      <c r="F35" s="8" t="str">
        <f>""</f>
        <v/>
      </c>
      <c r="G35" s="9"/>
      <c r="H35" s="10"/>
      <c r="I35" s="9"/>
      <c r="J35" s="11" t="s">
        <v>21</v>
      </c>
      <c r="K35" s="9">
        <v>125000</v>
      </c>
      <c r="L35" s="8" t="str">
        <f>""</f>
        <v/>
      </c>
      <c r="M35" s="9"/>
      <c r="N35" s="8" t="str">
        <f>""</f>
        <v/>
      </c>
      <c r="O35" s="2"/>
    </row>
    <row r="36" spans="1:15" ht="25.5">
      <c r="A36" s="6" t="s">
        <v>7</v>
      </c>
      <c r="B36" s="12" t="str">
        <f>""</f>
        <v/>
      </c>
      <c r="C36" s="12" t="str">
        <f>"Итого по кандидату"</f>
        <v>Итого по кандидату</v>
      </c>
      <c r="D36" s="13">
        <v>665105.24</v>
      </c>
      <c r="E36" s="13">
        <v>415105.24</v>
      </c>
      <c r="F36" s="12" t="str">
        <f>""</f>
        <v/>
      </c>
      <c r="G36" s="13">
        <v>0</v>
      </c>
      <c r="H36" s="14"/>
      <c r="I36" s="13">
        <v>665105.24</v>
      </c>
      <c r="J36" s="15"/>
      <c r="K36" s="13">
        <v>520000</v>
      </c>
      <c r="L36" s="12" t="str">
        <f>""</f>
        <v/>
      </c>
      <c r="M36" s="13">
        <v>0</v>
      </c>
      <c r="N36" s="12" t="str">
        <f>""</f>
        <v/>
      </c>
      <c r="O36" s="2"/>
    </row>
    <row r="37" spans="1:15" ht="51">
      <c r="A37" s="6" t="s">
        <v>7</v>
      </c>
      <c r="B37" s="12" t="str">
        <f>""</f>
        <v/>
      </c>
      <c r="C37" s="12" t="str">
        <f>"Избирательный округ (Пятый (№ 5)), всего"</f>
        <v>Избирательный округ (Пятый (№ 5)), всего</v>
      </c>
      <c r="D37" s="13">
        <v>665105.24</v>
      </c>
      <c r="E37" s="13">
        <v>415105.24</v>
      </c>
      <c r="F37" s="12" t="str">
        <f>""</f>
        <v/>
      </c>
      <c r="G37" s="13">
        <v>0</v>
      </c>
      <c r="H37" s="14"/>
      <c r="I37" s="13">
        <v>665105.24</v>
      </c>
      <c r="J37" s="15"/>
      <c r="K37" s="13">
        <v>520000</v>
      </c>
      <c r="L37" s="12" t="str">
        <f>""</f>
        <v/>
      </c>
      <c r="M37" s="13">
        <v>0</v>
      </c>
      <c r="N37" s="12" t="str">
        <f>""</f>
        <v/>
      </c>
      <c r="O37" s="5"/>
    </row>
    <row r="38" spans="1:15" ht="38.25">
      <c r="A38" s="7" t="s">
        <v>22</v>
      </c>
      <c r="B38" s="8" t="str">
        <f>"Шестой (№ 6)"</f>
        <v>Шестой (№ 6)</v>
      </c>
      <c r="C38" s="8" t="str">
        <f>"Губенко Александр Викторович"</f>
        <v>Губенко Александр Викторович</v>
      </c>
      <c r="D38" s="9">
        <v>19520</v>
      </c>
      <c r="E38" s="9"/>
      <c r="F38" s="8" t="str">
        <f>""</f>
        <v/>
      </c>
      <c r="G38" s="9"/>
      <c r="H38" s="10"/>
      <c r="I38" s="9">
        <v>19520</v>
      </c>
      <c r="J38" s="11"/>
      <c r="K38" s="9"/>
      <c r="L38" s="8" t="str">
        <f>""</f>
        <v/>
      </c>
      <c r="M38" s="9"/>
      <c r="N38" s="8" t="str">
        <f>""</f>
        <v/>
      </c>
      <c r="O38" s="5"/>
    </row>
    <row r="39" spans="1:15" ht="25.5">
      <c r="A39" s="6" t="s">
        <v>7</v>
      </c>
      <c r="B39" s="12" t="str">
        <f>""</f>
        <v/>
      </c>
      <c r="C39" s="12" t="str">
        <f>"Итого по кандидату"</f>
        <v>Итого по кандидату</v>
      </c>
      <c r="D39" s="13">
        <v>19520</v>
      </c>
      <c r="E39" s="13">
        <v>0</v>
      </c>
      <c r="F39" s="12" t="str">
        <f>""</f>
        <v/>
      </c>
      <c r="G39" s="13">
        <v>0</v>
      </c>
      <c r="H39" s="14"/>
      <c r="I39" s="13">
        <v>19520</v>
      </c>
      <c r="J39" s="15"/>
      <c r="K39" s="13">
        <v>0</v>
      </c>
      <c r="L39" s="12" t="str">
        <f>""</f>
        <v/>
      </c>
      <c r="M39" s="13">
        <v>0</v>
      </c>
      <c r="N39" s="12" t="str">
        <f>""</f>
        <v/>
      </c>
      <c r="O39" s="5"/>
    </row>
    <row r="40" spans="1:15" ht="38.25">
      <c r="A40" s="7" t="s">
        <v>23</v>
      </c>
      <c r="B40" s="8" t="str">
        <f>"Шестой (№ 6)"</f>
        <v>Шестой (№ 6)</v>
      </c>
      <c r="C40" s="8" t="str">
        <f>"Косогор Павел Петрович"</f>
        <v>Косогор Павел Петрович</v>
      </c>
      <c r="D40" s="9">
        <v>100000</v>
      </c>
      <c r="E40" s="9">
        <v>100000</v>
      </c>
      <c r="F40" s="8" t="str">
        <f>"ЛДПР"</f>
        <v>ЛДПР</v>
      </c>
      <c r="G40" s="9"/>
      <c r="H40" s="10"/>
      <c r="I40" s="9">
        <v>79774</v>
      </c>
      <c r="J40" s="11"/>
      <c r="K40" s="9"/>
      <c r="L40" s="8" t="str">
        <f>""</f>
        <v/>
      </c>
      <c r="M40" s="9"/>
      <c r="N40" s="8" t="str">
        <f>""</f>
        <v/>
      </c>
      <c r="O40" s="5"/>
    </row>
    <row r="41" spans="1:15" ht="25.5">
      <c r="A41" s="6" t="s">
        <v>7</v>
      </c>
      <c r="B41" s="12" t="str">
        <f>""</f>
        <v/>
      </c>
      <c r="C41" s="12" t="str">
        <f>"Итого по кандидату"</f>
        <v>Итого по кандидату</v>
      </c>
      <c r="D41" s="13">
        <v>100000</v>
      </c>
      <c r="E41" s="13">
        <v>100000</v>
      </c>
      <c r="F41" s="12" t="str">
        <f>""</f>
        <v/>
      </c>
      <c r="G41" s="13">
        <v>0</v>
      </c>
      <c r="H41" s="14"/>
      <c r="I41" s="13">
        <v>79774</v>
      </c>
      <c r="J41" s="15"/>
      <c r="K41" s="13">
        <v>0</v>
      </c>
      <c r="L41" s="12" t="str">
        <f>""</f>
        <v/>
      </c>
      <c r="M41" s="13">
        <v>0</v>
      </c>
      <c r="N41" s="12" t="str">
        <f>""</f>
        <v/>
      </c>
      <c r="O41" s="5"/>
    </row>
    <row r="42" spans="1:15" ht="76.5">
      <c r="A42" s="7" t="s">
        <v>24</v>
      </c>
      <c r="B42" s="8" t="str">
        <f>"Шестой (№ 6)"</f>
        <v>Шестой (№ 6)</v>
      </c>
      <c r="C42" s="8" t="str">
        <f>"Ченцов Сергей Геннадьевич"</f>
        <v>Ченцов Сергей Геннадьевич</v>
      </c>
      <c r="D42" s="9">
        <v>407682.31</v>
      </c>
      <c r="E42" s="9">
        <v>407682.31</v>
      </c>
      <c r="F42" s="8" t="str">
        <f>"АМУРСКОЕ РЕГИОНАЛЬНОЕ ОТДЕЛЕНИЕ ПАРТИИ ""ЕДИНАЯ РОССИЯ"""</f>
        <v>АМУРСКОЕ РЕГИОНАЛЬНОЕ ОТДЕЛЕНИЕ ПАРТИИ "ЕДИНАЯ РОССИЯ"</v>
      </c>
      <c r="G42" s="9"/>
      <c r="H42" s="10"/>
      <c r="I42" s="9">
        <v>407682.31</v>
      </c>
      <c r="J42" s="11" t="s">
        <v>12</v>
      </c>
      <c r="K42" s="9">
        <v>270000</v>
      </c>
      <c r="L42" s="8" t="str">
        <f>""</f>
        <v/>
      </c>
      <c r="M42" s="9"/>
      <c r="N42" s="8" t="str">
        <f>""</f>
        <v/>
      </c>
      <c r="O42" s="5"/>
    </row>
    <row r="43" spans="1:15" ht="25.5">
      <c r="A43" s="6" t="s">
        <v>7</v>
      </c>
      <c r="B43" s="12" t="str">
        <f>""</f>
        <v/>
      </c>
      <c r="C43" s="12" t="str">
        <f>"Итого по кандидату"</f>
        <v>Итого по кандидату</v>
      </c>
      <c r="D43" s="13">
        <v>407682.31</v>
      </c>
      <c r="E43" s="13">
        <v>407682.31</v>
      </c>
      <c r="F43" s="12" t="str">
        <f>""</f>
        <v/>
      </c>
      <c r="G43" s="13">
        <v>0</v>
      </c>
      <c r="H43" s="14"/>
      <c r="I43" s="13">
        <v>407682.31</v>
      </c>
      <c r="J43" s="15"/>
      <c r="K43" s="13">
        <v>270000</v>
      </c>
      <c r="L43" s="12" t="str">
        <f>""</f>
        <v/>
      </c>
      <c r="M43" s="13">
        <v>0</v>
      </c>
      <c r="N43" s="12" t="str">
        <f>""</f>
        <v/>
      </c>
      <c r="O43" s="2"/>
    </row>
    <row r="44" spans="1:15" ht="51">
      <c r="A44" s="6" t="s">
        <v>7</v>
      </c>
      <c r="B44" s="12" t="str">
        <f>""</f>
        <v/>
      </c>
      <c r="C44" s="12" t="str">
        <f>"Избирательный округ (Шестой (№ 6)), всего"</f>
        <v>Избирательный округ (Шестой (№ 6)), всего</v>
      </c>
      <c r="D44" s="13">
        <v>527202.31000000006</v>
      </c>
      <c r="E44" s="13">
        <v>507682.31</v>
      </c>
      <c r="F44" s="12" t="str">
        <f>""</f>
        <v/>
      </c>
      <c r="G44" s="13">
        <v>0</v>
      </c>
      <c r="H44" s="14"/>
      <c r="I44" s="13">
        <v>506976.31</v>
      </c>
      <c r="J44" s="15"/>
      <c r="K44" s="13">
        <v>270000</v>
      </c>
      <c r="L44" s="12" t="str">
        <f>""</f>
        <v/>
      </c>
      <c r="M44" s="13">
        <v>0</v>
      </c>
      <c r="N44" s="12" t="str">
        <f>""</f>
        <v/>
      </c>
      <c r="O44" s="5"/>
    </row>
    <row r="45" spans="1:15" ht="38.25">
      <c r="A45" s="7" t="s">
        <v>25</v>
      </c>
      <c r="B45" s="8" t="str">
        <f>"Седьмой (№ 7)"</f>
        <v>Седьмой (№ 7)</v>
      </c>
      <c r="C45" s="8" t="str">
        <f>"Бабенко Андрей Вячеславович"</f>
        <v>Бабенко Андрей Вячеславович</v>
      </c>
      <c r="D45" s="9">
        <v>8500</v>
      </c>
      <c r="E45" s="9"/>
      <c r="F45" s="8" t="str">
        <f>""</f>
        <v/>
      </c>
      <c r="G45" s="9"/>
      <c r="H45" s="10"/>
      <c r="I45" s="9">
        <v>7942</v>
      </c>
      <c r="J45" s="11"/>
      <c r="K45" s="9"/>
      <c r="L45" s="8" t="str">
        <f>""</f>
        <v/>
      </c>
      <c r="M45" s="9"/>
      <c r="N45" s="8" t="str">
        <f>""</f>
        <v/>
      </c>
      <c r="O45" s="5"/>
    </row>
    <row r="46" spans="1:15" ht="25.5">
      <c r="A46" s="6" t="s">
        <v>7</v>
      </c>
      <c r="B46" s="12" t="str">
        <f>""</f>
        <v/>
      </c>
      <c r="C46" s="12" t="str">
        <f>"Итого по кандидату"</f>
        <v>Итого по кандидату</v>
      </c>
      <c r="D46" s="13">
        <v>8500</v>
      </c>
      <c r="E46" s="13">
        <v>0</v>
      </c>
      <c r="F46" s="12" t="str">
        <f>""</f>
        <v/>
      </c>
      <c r="G46" s="13">
        <v>0</v>
      </c>
      <c r="H46" s="14"/>
      <c r="I46" s="13">
        <v>7942</v>
      </c>
      <c r="J46" s="15"/>
      <c r="K46" s="13">
        <v>0</v>
      </c>
      <c r="L46" s="12" t="str">
        <f>""</f>
        <v/>
      </c>
      <c r="M46" s="13">
        <v>0</v>
      </c>
      <c r="N46" s="12" t="str">
        <f>""</f>
        <v/>
      </c>
      <c r="O46" s="5"/>
    </row>
    <row r="47" spans="1:15" ht="38.25">
      <c r="A47" s="7" t="s">
        <v>26</v>
      </c>
      <c r="B47" s="8" t="str">
        <f>"Седьмой (№ 7)"</f>
        <v>Седьмой (№ 7)</v>
      </c>
      <c r="C47" s="8" t="str">
        <f>"Голота Николай Николаевич"</f>
        <v>Голота Николай Николаевич</v>
      </c>
      <c r="D47" s="9">
        <v>62940</v>
      </c>
      <c r="E47" s="9">
        <v>62940</v>
      </c>
      <c r="F47" s="8" t="str">
        <f>"ООО ""ЮСХ"""</f>
        <v>ООО "ЮСХ"</v>
      </c>
      <c r="G47" s="9"/>
      <c r="H47" s="10"/>
      <c r="I47" s="9">
        <v>62940</v>
      </c>
      <c r="J47" s="11"/>
      <c r="K47" s="9"/>
      <c r="L47" s="8" t="str">
        <f>""</f>
        <v/>
      </c>
      <c r="M47" s="9"/>
      <c r="N47" s="8" t="str">
        <f>""</f>
        <v/>
      </c>
      <c r="O47" s="5"/>
    </row>
    <row r="48" spans="1:15" ht="25.5">
      <c r="A48" s="6" t="s">
        <v>7</v>
      </c>
      <c r="B48" s="12" t="str">
        <f>""</f>
        <v/>
      </c>
      <c r="C48" s="12" t="str">
        <f>"Итого по кандидату"</f>
        <v>Итого по кандидату</v>
      </c>
      <c r="D48" s="13">
        <v>62940</v>
      </c>
      <c r="E48" s="13">
        <v>62940</v>
      </c>
      <c r="F48" s="12" t="str">
        <f>""</f>
        <v/>
      </c>
      <c r="G48" s="13">
        <v>0</v>
      </c>
      <c r="H48" s="14"/>
      <c r="I48" s="13">
        <v>62940</v>
      </c>
      <c r="J48" s="15"/>
      <c r="K48" s="13">
        <v>0</v>
      </c>
      <c r="L48" s="12" t="str">
        <f>""</f>
        <v/>
      </c>
      <c r="M48" s="13">
        <v>0</v>
      </c>
      <c r="N48" s="12" t="str">
        <f>""</f>
        <v/>
      </c>
      <c r="O48" s="5"/>
    </row>
    <row r="49" spans="1:15" ht="102">
      <c r="A49" s="7" t="s">
        <v>27</v>
      </c>
      <c r="B49" s="8" t="str">
        <f>"Седьмой (№ 7)"</f>
        <v>Седьмой (№ 7)</v>
      </c>
      <c r="C49" s="8" t="str">
        <f>"Завгородний Евгений Владимирович"</f>
        <v>Завгородний Евгений Владимирович</v>
      </c>
      <c r="D49" s="9">
        <v>53795</v>
      </c>
      <c r="E49" s="9">
        <v>53795</v>
      </c>
      <c r="F49" s="8" t="str">
        <f>"РЕГИОНАЛЬНОЕ ОТДЕЛЕНИЕ ПАРТИИ СПРАВЕДЛИВАЯ РОССИЯ - ЗА ПРАВДУ В АМУРСКОЙ ОБЛАСТИ"</f>
        <v>РЕГИОНАЛЬНОЕ ОТДЕЛЕНИЕ ПАРТИИ СПРАВЕДЛИВАЯ РОССИЯ - ЗА ПРАВДУ В АМУРСКОЙ ОБЛАСТИ</v>
      </c>
      <c r="G49" s="9"/>
      <c r="H49" s="10"/>
      <c r="I49" s="9">
        <v>53795</v>
      </c>
      <c r="J49" s="11"/>
      <c r="K49" s="9"/>
      <c r="L49" s="8" t="str">
        <f>""</f>
        <v/>
      </c>
      <c r="M49" s="9"/>
      <c r="N49" s="8" t="str">
        <f>""</f>
        <v/>
      </c>
      <c r="O49" s="5"/>
    </row>
    <row r="50" spans="1:15" ht="25.5">
      <c r="A50" s="6" t="s">
        <v>7</v>
      </c>
      <c r="B50" s="12" t="str">
        <f>""</f>
        <v/>
      </c>
      <c r="C50" s="12" t="str">
        <f>"Итого по кандидату"</f>
        <v>Итого по кандидату</v>
      </c>
      <c r="D50" s="13">
        <v>53795</v>
      </c>
      <c r="E50" s="13">
        <v>53795</v>
      </c>
      <c r="F50" s="12" t="str">
        <f>""</f>
        <v/>
      </c>
      <c r="G50" s="13">
        <v>0</v>
      </c>
      <c r="H50" s="14"/>
      <c r="I50" s="13">
        <v>53795</v>
      </c>
      <c r="J50" s="15"/>
      <c r="K50" s="13">
        <v>0</v>
      </c>
      <c r="L50" s="12" t="str">
        <f>""</f>
        <v/>
      </c>
      <c r="M50" s="13">
        <v>0</v>
      </c>
      <c r="N50" s="12" t="str">
        <f>""</f>
        <v/>
      </c>
      <c r="O50" s="5"/>
    </row>
    <row r="51" spans="1:15" ht="38.25">
      <c r="A51" s="7" t="s">
        <v>28</v>
      </c>
      <c r="B51" s="8" t="str">
        <f>"Седьмой (№ 7)"</f>
        <v>Седьмой (№ 7)</v>
      </c>
      <c r="C51" s="8" t="str">
        <f>"Кириллова Татьяна Николаевна"</f>
        <v>Кириллова Татьяна Николаевна</v>
      </c>
      <c r="D51" s="9">
        <v>500</v>
      </c>
      <c r="E51" s="9"/>
      <c r="F51" s="8" t="str">
        <f>""</f>
        <v/>
      </c>
      <c r="G51" s="9"/>
      <c r="H51" s="10"/>
      <c r="I51" s="9">
        <v>385</v>
      </c>
      <c r="J51" s="11"/>
      <c r="K51" s="9"/>
      <c r="L51" s="8" t="str">
        <f>""</f>
        <v/>
      </c>
      <c r="M51" s="9"/>
      <c r="N51" s="8" t="str">
        <f>""</f>
        <v/>
      </c>
      <c r="O51" s="5"/>
    </row>
    <row r="52" spans="1:15" ht="25.5">
      <c r="A52" s="6" t="s">
        <v>7</v>
      </c>
      <c r="B52" s="12" t="str">
        <f>""</f>
        <v/>
      </c>
      <c r="C52" s="12" t="str">
        <f>"Итого по кандидату"</f>
        <v>Итого по кандидату</v>
      </c>
      <c r="D52" s="13">
        <v>500</v>
      </c>
      <c r="E52" s="13">
        <v>0</v>
      </c>
      <c r="F52" s="12" t="str">
        <f>""</f>
        <v/>
      </c>
      <c r="G52" s="13">
        <v>0</v>
      </c>
      <c r="H52" s="14"/>
      <c r="I52" s="13">
        <v>385</v>
      </c>
      <c r="J52" s="15"/>
      <c r="K52" s="13">
        <v>0</v>
      </c>
      <c r="L52" s="12" t="str">
        <f>""</f>
        <v/>
      </c>
      <c r="M52" s="13">
        <v>0</v>
      </c>
      <c r="N52" s="12" t="str">
        <f>""</f>
        <v/>
      </c>
      <c r="O52" s="5"/>
    </row>
    <row r="53" spans="1:15" ht="38.25">
      <c r="A53" s="7" t="s">
        <v>29</v>
      </c>
      <c r="B53" s="8" t="str">
        <f>"Седьмой (№ 7)"</f>
        <v>Седьмой (№ 7)</v>
      </c>
      <c r="C53" s="8" t="str">
        <f>"Русина Юлия Александровна"</f>
        <v>Русина Юлия Александровна</v>
      </c>
      <c r="D53" s="9">
        <v>179240</v>
      </c>
      <c r="E53" s="9"/>
      <c r="F53" s="8" t="str">
        <f>""</f>
        <v/>
      </c>
      <c r="G53" s="9"/>
      <c r="H53" s="10"/>
      <c r="I53" s="9">
        <v>178768</v>
      </c>
      <c r="J53" s="11" t="s">
        <v>30</v>
      </c>
      <c r="K53" s="9">
        <v>117240</v>
      </c>
      <c r="L53" s="8" t="str">
        <f>""</f>
        <v/>
      </c>
      <c r="M53" s="9"/>
      <c r="N53" s="8" t="str">
        <f>""</f>
        <v/>
      </c>
      <c r="O53" s="5"/>
    </row>
    <row r="54" spans="1:15" ht="25.5">
      <c r="A54" s="6" t="s">
        <v>7</v>
      </c>
      <c r="B54" s="12" t="str">
        <f>""</f>
        <v/>
      </c>
      <c r="C54" s="12" t="str">
        <f>"Итого по кандидату"</f>
        <v>Итого по кандидату</v>
      </c>
      <c r="D54" s="13">
        <v>179240</v>
      </c>
      <c r="E54" s="13">
        <v>0</v>
      </c>
      <c r="F54" s="12" t="str">
        <f>""</f>
        <v/>
      </c>
      <c r="G54" s="13">
        <v>0</v>
      </c>
      <c r="H54" s="14"/>
      <c r="I54" s="13">
        <v>178768</v>
      </c>
      <c r="J54" s="15"/>
      <c r="K54" s="13">
        <v>117240</v>
      </c>
      <c r="L54" s="12" t="str">
        <f>""</f>
        <v/>
      </c>
      <c r="M54" s="13">
        <v>0</v>
      </c>
      <c r="N54" s="12" t="str">
        <f>""</f>
        <v/>
      </c>
      <c r="O54" s="2"/>
    </row>
    <row r="55" spans="1:15" ht="51">
      <c r="A55" s="7" t="s">
        <v>31</v>
      </c>
      <c r="B55" s="8" t="str">
        <f>"Седьмой (№ 7)"</f>
        <v>Седьмой (№ 7)</v>
      </c>
      <c r="C55" s="8" t="str">
        <f>"Тандуров Кирилл Александрович"</f>
        <v>Тандуров Кирилл Александрович</v>
      </c>
      <c r="D55" s="9">
        <v>100000</v>
      </c>
      <c r="E55" s="9">
        <v>100000</v>
      </c>
      <c r="F55" s="8" t="str">
        <f>"АООПП КПРФ"</f>
        <v>АООПП КПРФ</v>
      </c>
      <c r="G55" s="9"/>
      <c r="H55" s="10"/>
      <c r="I55" s="9">
        <v>100000</v>
      </c>
      <c r="J55" s="11" t="s">
        <v>32</v>
      </c>
      <c r="K55" s="9">
        <v>95990</v>
      </c>
      <c r="L55" s="8" t="str">
        <f>""</f>
        <v/>
      </c>
      <c r="M55" s="9"/>
      <c r="N55" s="8" t="str">
        <f>""</f>
        <v/>
      </c>
      <c r="O55" s="5"/>
    </row>
    <row r="56" spans="1:15" ht="25.5">
      <c r="A56" s="6" t="s">
        <v>7</v>
      </c>
      <c r="B56" s="12" t="str">
        <f>""</f>
        <v/>
      </c>
      <c r="C56" s="12" t="str">
        <f>"Итого по кандидату"</f>
        <v>Итого по кандидату</v>
      </c>
      <c r="D56" s="13">
        <v>100000</v>
      </c>
      <c r="E56" s="13">
        <v>100000</v>
      </c>
      <c r="F56" s="12" t="str">
        <f>""</f>
        <v/>
      </c>
      <c r="G56" s="13">
        <v>0</v>
      </c>
      <c r="H56" s="14"/>
      <c r="I56" s="13">
        <v>100000</v>
      </c>
      <c r="J56" s="15"/>
      <c r="K56" s="13">
        <v>95990</v>
      </c>
      <c r="L56" s="12" t="str">
        <f>""</f>
        <v/>
      </c>
      <c r="M56" s="13">
        <v>0</v>
      </c>
      <c r="N56" s="12" t="str">
        <f>""</f>
        <v/>
      </c>
      <c r="O56" s="2"/>
    </row>
    <row r="57" spans="1:15" ht="51">
      <c r="A57" s="6" t="s">
        <v>7</v>
      </c>
      <c r="B57" s="12" t="str">
        <f>""</f>
        <v/>
      </c>
      <c r="C57" s="12" t="str">
        <f>"Избирательный округ (Седьмой (№ 7)), всего"</f>
        <v>Избирательный округ (Седьмой (№ 7)), всего</v>
      </c>
      <c r="D57" s="13">
        <v>404975</v>
      </c>
      <c r="E57" s="13">
        <v>216735</v>
      </c>
      <c r="F57" s="12" t="str">
        <f>""</f>
        <v/>
      </c>
      <c r="G57" s="13">
        <v>0</v>
      </c>
      <c r="H57" s="14"/>
      <c r="I57" s="13">
        <v>403830</v>
      </c>
      <c r="J57" s="15"/>
      <c r="K57" s="13">
        <v>213230</v>
      </c>
      <c r="L57" s="12" t="str">
        <f>""</f>
        <v/>
      </c>
      <c r="M57" s="13">
        <v>0</v>
      </c>
      <c r="N57" s="12" t="str">
        <f>""</f>
        <v/>
      </c>
      <c r="O57" s="5"/>
    </row>
    <row r="58" spans="1:15" ht="76.5">
      <c r="A58" s="7" t="s">
        <v>33</v>
      </c>
      <c r="B58" s="8" t="str">
        <f>"Восьмой (№ 8)"</f>
        <v>Восьмой (№ 8)</v>
      </c>
      <c r="C58" s="8" t="str">
        <f>"Величко Дмитрий Николаевич"</f>
        <v>Величко Дмитрий Николаевич</v>
      </c>
      <c r="D58" s="9">
        <v>400932.31</v>
      </c>
      <c r="E58" s="9">
        <v>400932.31</v>
      </c>
      <c r="F58" s="8" t="str">
        <f>"АМУРСКОЕ РЕГИОНАЛЬНОЕ ОТДЕЛЕНИЕ ПАРТИИ ""ЕДИНАЯ РОССИЯ"""</f>
        <v>АМУРСКОЕ РЕГИОНАЛЬНОЕ ОТДЕЛЕНИЕ ПАРТИИ "ЕДИНАЯ РОССИЯ"</v>
      </c>
      <c r="G58" s="9"/>
      <c r="H58" s="10"/>
      <c r="I58" s="9">
        <v>400932.31</v>
      </c>
      <c r="J58" s="11" t="s">
        <v>12</v>
      </c>
      <c r="K58" s="9">
        <v>270000</v>
      </c>
      <c r="L58" s="8" t="str">
        <f>""</f>
        <v/>
      </c>
      <c r="M58" s="9"/>
      <c r="N58" s="8" t="str">
        <f>""</f>
        <v/>
      </c>
      <c r="O58" s="5"/>
    </row>
    <row r="59" spans="1:15" ht="25.5">
      <c r="A59" s="6" t="s">
        <v>7</v>
      </c>
      <c r="B59" s="12" t="str">
        <f>""</f>
        <v/>
      </c>
      <c r="C59" s="12" t="str">
        <f>"Итого по кандидату"</f>
        <v>Итого по кандидату</v>
      </c>
      <c r="D59" s="13">
        <v>400932.31</v>
      </c>
      <c r="E59" s="13">
        <v>400932.31</v>
      </c>
      <c r="F59" s="12" t="str">
        <f>""</f>
        <v/>
      </c>
      <c r="G59" s="13">
        <v>0</v>
      </c>
      <c r="H59" s="14"/>
      <c r="I59" s="13">
        <v>400932.31</v>
      </c>
      <c r="J59" s="15"/>
      <c r="K59" s="13">
        <v>270000</v>
      </c>
      <c r="L59" s="12" t="str">
        <f>""</f>
        <v/>
      </c>
      <c r="M59" s="13">
        <v>0</v>
      </c>
      <c r="N59" s="12" t="str">
        <f>""</f>
        <v/>
      </c>
      <c r="O59" s="2"/>
    </row>
    <row r="60" spans="1:15" ht="51">
      <c r="A60" s="7" t="s">
        <v>34</v>
      </c>
      <c r="B60" s="8" t="str">
        <f>"Восьмой (№ 8)"</f>
        <v>Восьмой (№ 8)</v>
      </c>
      <c r="C60" s="8" t="str">
        <f>"Дорожкин Дмитрий Александрович"</f>
        <v>Дорожкин Дмитрий Александрович</v>
      </c>
      <c r="D60" s="9">
        <v>66500</v>
      </c>
      <c r="E60" s="9">
        <v>66500</v>
      </c>
      <c r="F60" s="8" t="str">
        <f>"ЛДПР"</f>
        <v>ЛДПР</v>
      </c>
      <c r="G60" s="9"/>
      <c r="H60" s="10"/>
      <c r="I60" s="9">
        <v>66500</v>
      </c>
      <c r="J60" s="11" t="s">
        <v>35</v>
      </c>
      <c r="K60" s="9">
        <v>55201</v>
      </c>
      <c r="L60" s="8" t="str">
        <f>""</f>
        <v/>
      </c>
      <c r="M60" s="9"/>
      <c r="N60" s="8" t="str">
        <f>""</f>
        <v/>
      </c>
      <c r="O60" s="5"/>
    </row>
    <row r="61" spans="1:15" ht="25.5">
      <c r="A61" s="6" t="s">
        <v>7</v>
      </c>
      <c r="B61" s="12" t="str">
        <f>""</f>
        <v/>
      </c>
      <c r="C61" s="12" t="str">
        <f>"Итого по кандидату"</f>
        <v>Итого по кандидату</v>
      </c>
      <c r="D61" s="13">
        <v>66500</v>
      </c>
      <c r="E61" s="13">
        <v>66500</v>
      </c>
      <c r="F61" s="12" t="str">
        <f>""</f>
        <v/>
      </c>
      <c r="G61" s="13">
        <v>0</v>
      </c>
      <c r="H61" s="14"/>
      <c r="I61" s="13">
        <v>66500</v>
      </c>
      <c r="J61" s="15"/>
      <c r="K61" s="13">
        <v>55201</v>
      </c>
      <c r="L61" s="12" t="str">
        <f>""</f>
        <v/>
      </c>
      <c r="M61" s="13">
        <v>0</v>
      </c>
      <c r="N61" s="12" t="str">
        <f>""</f>
        <v/>
      </c>
      <c r="O61" s="2"/>
    </row>
    <row r="62" spans="1:15" ht="51">
      <c r="A62" s="6" t="s">
        <v>7</v>
      </c>
      <c r="B62" s="12" t="str">
        <f>""</f>
        <v/>
      </c>
      <c r="C62" s="12" t="str">
        <f>"Избирательный округ (Восьмой (№ 8)), всего"</f>
        <v>Избирательный округ (Восьмой (№ 8)), всего</v>
      </c>
      <c r="D62" s="13">
        <v>467432.31</v>
      </c>
      <c r="E62" s="13">
        <v>467432.31</v>
      </c>
      <c r="F62" s="12" t="str">
        <f>""</f>
        <v/>
      </c>
      <c r="G62" s="13">
        <v>0</v>
      </c>
      <c r="H62" s="14"/>
      <c r="I62" s="13">
        <v>467432.31</v>
      </c>
      <c r="J62" s="15"/>
      <c r="K62" s="13">
        <v>325201</v>
      </c>
      <c r="L62" s="12" t="str">
        <f>""</f>
        <v/>
      </c>
      <c r="M62" s="13">
        <v>0</v>
      </c>
      <c r="N62" s="12" t="str">
        <f>""</f>
        <v/>
      </c>
      <c r="O62" s="5"/>
    </row>
    <row r="63" spans="1:15" ht="76.5">
      <c r="A63" s="7" t="s">
        <v>36</v>
      </c>
      <c r="B63" s="8" t="str">
        <f>"Девятый (№ 9)"</f>
        <v>Девятый (№ 9)</v>
      </c>
      <c r="C63" s="8" t="str">
        <f>"Макаров Максим Николаевич"</f>
        <v>Макаров Максим Николаевич</v>
      </c>
      <c r="D63" s="9">
        <v>440541.51</v>
      </c>
      <c r="E63" s="9">
        <v>440541.51</v>
      </c>
      <c r="F63" s="8" t="str">
        <f>"АМУРСКОЕ РЕГИОНАЛЬНОЕ ОТДЕЛЕНИЕ ПАРТИИ ""ЕДИНАЯ РОССИЯ"""</f>
        <v>АМУРСКОЕ РЕГИОНАЛЬНОЕ ОТДЕЛЕНИЕ ПАРТИИ "ЕДИНАЯ РОССИЯ"</v>
      </c>
      <c r="G63" s="9"/>
      <c r="H63" s="10"/>
      <c r="I63" s="9">
        <v>440541.51</v>
      </c>
      <c r="J63" s="11" t="s">
        <v>12</v>
      </c>
      <c r="K63" s="9">
        <v>270000</v>
      </c>
      <c r="L63" s="8" t="str">
        <f>""</f>
        <v/>
      </c>
      <c r="M63" s="9"/>
      <c r="N63" s="8" t="str">
        <f>""</f>
        <v/>
      </c>
      <c r="O63" s="5"/>
    </row>
    <row r="64" spans="1:15" ht="25.5">
      <c r="A64" s="6" t="s">
        <v>7</v>
      </c>
      <c r="B64" s="12" t="str">
        <f>""</f>
        <v/>
      </c>
      <c r="C64" s="12" t="str">
        <f>"Итого по кандидату"</f>
        <v>Итого по кандидату</v>
      </c>
      <c r="D64" s="13">
        <v>440541.51</v>
      </c>
      <c r="E64" s="13">
        <v>440541.51</v>
      </c>
      <c r="F64" s="12" t="str">
        <f>""</f>
        <v/>
      </c>
      <c r="G64" s="13">
        <v>0</v>
      </c>
      <c r="H64" s="14"/>
      <c r="I64" s="13">
        <v>440541.51</v>
      </c>
      <c r="J64" s="15"/>
      <c r="K64" s="13">
        <v>270000</v>
      </c>
      <c r="L64" s="12" t="str">
        <f>""</f>
        <v/>
      </c>
      <c r="M64" s="13">
        <v>0</v>
      </c>
      <c r="N64" s="12" t="str">
        <f>""</f>
        <v/>
      </c>
      <c r="O64" s="2"/>
    </row>
    <row r="65" spans="1:15" ht="25.5">
      <c r="A65" s="7" t="s">
        <v>37</v>
      </c>
      <c r="B65" s="8" t="str">
        <f>"Девятый (№ 9)"</f>
        <v>Девятый (№ 9)</v>
      </c>
      <c r="C65" s="8" t="str">
        <f>"Рудой Артем Сергеевич"</f>
        <v>Рудой Артем Сергеевич</v>
      </c>
      <c r="D65" s="9">
        <v>66500</v>
      </c>
      <c r="E65" s="9">
        <v>66500</v>
      </c>
      <c r="F65" s="8" t="str">
        <f>"ЛДПР"</f>
        <v>ЛДПР</v>
      </c>
      <c r="G65" s="9"/>
      <c r="H65" s="10"/>
      <c r="I65" s="9">
        <v>48950</v>
      </c>
      <c r="J65" s="11"/>
      <c r="K65" s="9"/>
      <c r="L65" s="8" t="str">
        <f>""</f>
        <v/>
      </c>
      <c r="M65" s="9"/>
      <c r="N65" s="8" t="str">
        <f>""</f>
        <v/>
      </c>
      <c r="O65" s="5"/>
    </row>
    <row r="66" spans="1:15" ht="25.5">
      <c r="A66" s="6" t="s">
        <v>7</v>
      </c>
      <c r="B66" s="12" t="str">
        <f>""</f>
        <v/>
      </c>
      <c r="C66" s="12" t="str">
        <f>"Итого по кандидату"</f>
        <v>Итого по кандидату</v>
      </c>
      <c r="D66" s="13">
        <v>66500</v>
      </c>
      <c r="E66" s="13">
        <v>66500</v>
      </c>
      <c r="F66" s="12" t="str">
        <f>""</f>
        <v/>
      </c>
      <c r="G66" s="13">
        <v>0</v>
      </c>
      <c r="H66" s="14"/>
      <c r="I66" s="13">
        <v>48950</v>
      </c>
      <c r="J66" s="15"/>
      <c r="K66" s="13">
        <v>0</v>
      </c>
      <c r="L66" s="12" t="str">
        <f>""</f>
        <v/>
      </c>
      <c r="M66" s="13">
        <v>0</v>
      </c>
      <c r="N66" s="12" t="str">
        <f>""</f>
        <v/>
      </c>
      <c r="O66" s="5"/>
    </row>
    <row r="67" spans="1:15" ht="51">
      <c r="A67" s="6" t="s">
        <v>7</v>
      </c>
      <c r="B67" s="12" t="str">
        <f>""</f>
        <v/>
      </c>
      <c r="C67" s="12" t="str">
        <f>"Избирательный округ (Девятый (№ 9)), всего"</f>
        <v>Избирательный округ (Девятый (№ 9)), всего</v>
      </c>
      <c r="D67" s="13">
        <v>507041.51</v>
      </c>
      <c r="E67" s="13">
        <v>507041.51</v>
      </c>
      <c r="F67" s="12" t="str">
        <f>""</f>
        <v/>
      </c>
      <c r="G67" s="13">
        <v>0</v>
      </c>
      <c r="H67" s="14"/>
      <c r="I67" s="13">
        <v>489491.51</v>
      </c>
      <c r="J67" s="15"/>
      <c r="K67" s="13">
        <v>270000</v>
      </c>
      <c r="L67" s="12" t="str">
        <f>""</f>
        <v/>
      </c>
      <c r="M67" s="13">
        <v>0</v>
      </c>
      <c r="N67" s="12" t="str">
        <f>""</f>
        <v/>
      </c>
      <c r="O67" s="5"/>
    </row>
    <row r="68" spans="1:15" ht="76.5">
      <c r="A68" s="7" t="s">
        <v>38</v>
      </c>
      <c r="B68" s="8" t="str">
        <f>"Десятый (№ 10)"</f>
        <v>Десятый (№ 10)</v>
      </c>
      <c r="C68" s="8" t="str">
        <f>"Кобыльцов Роман Александрович"</f>
        <v>Кобыльцов Роман Александрович</v>
      </c>
      <c r="D68" s="9">
        <v>390932.56</v>
      </c>
      <c r="E68" s="9">
        <v>390932.56</v>
      </c>
      <c r="F68" s="8" t="str">
        <f>"АМУРСКОЕ РЕГИОНАЛЬНОЕ ОТДЕЛЕНИЕ ПАРТИИ ""ЕДИНАЯ РОССИЯ"""</f>
        <v>АМУРСКОЕ РЕГИОНАЛЬНОЕ ОТДЕЛЕНИЕ ПАРТИИ "ЕДИНАЯ РОССИЯ"</v>
      </c>
      <c r="G68" s="9"/>
      <c r="H68" s="10"/>
      <c r="I68" s="9">
        <v>390932.56</v>
      </c>
      <c r="J68" s="11" t="s">
        <v>19</v>
      </c>
      <c r="K68" s="9">
        <v>270000</v>
      </c>
      <c r="L68" s="8" t="str">
        <f>""</f>
        <v/>
      </c>
      <c r="M68" s="9"/>
      <c r="N68" s="8" t="str">
        <f>""</f>
        <v/>
      </c>
      <c r="O68" s="5"/>
    </row>
    <row r="69" spans="1:15" ht="25.5">
      <c r="A69" s="6" t="s">
        <v>7</v>
      </c>
      <c r="B69" s="12" t="str">
        <f>""</f>
        <v/>
      </c>
      <c r="C69" s="12" t="str">
        <f>"Итого по кандидату"</f>
        <v>Итого по кандидату</v>
      </c>
      <c r="D69" s="13">
        <v>390932.56</v>
      </c>
      <c r="E69" s="13">
        <v>390932.56</v>
      </c>
      <c r="F69" s="12" t="str">
        <f>""</f>
        <v/>
      </c>
      <c r="G69" s="13">
        <v>0</v>
      </c>
      <c r="H69" s="14"/>
      <c r="I69" s="13">
        <v>390932.56</v>
      </c>
      <c r="J69" s="15"/>
      <c r="K69" s="13">
        <v>270000</v>
      </c>
      <c r="L69" s="12" t="str">
        <f>""</f>
        <v/>
      </c>
      <c r="M69" s="13">
        <v>0</v>
      </c>
      <c r="N69" s="12" t="str">
        <f>""</f>
        <v/>
      </c>
      <c r="O69" s="2"/>
    </row>
    <row r="70" spans="1:15" ht="25.5">
      <c r="A70" s="7" t="s">
        <v>39</v>
      </c>
      <c r="B70" s="8" t="str">
        <f>"Десятый (№ 10)"</f>
        <v>Десятый (№ 10)</v>
      </c>
      <c r="C70" s="8" t="str">
        <f>"Ян Александр Синлэевич"</f>
        <v>Ян Александр Синлэевич</v>
      </c>
      <c r="D70" s="9">
        <v>7000</v>
      </c>
      <c r="E70" s="9"/>
      <c r="F70" s="8" t="str">
        <f>""</f>
        <v/>
      </c>
      <c r="G70" s="9"/>
      <c r="H70" s="10"/>
      <c r="I70" s="9">
        <v>7000</v>
      </c>
      <c r="J70" s="11"/>
      <c r="K70" s="9"/>
      <c r="L70" s="8" t="str">
        <f>""</f>
        <v/>
      </c>
      <c r="M70" s="9"/>
      <c r="N70" s="8" t="str">
        <f>""</f>
        <v/>
      </c>
      <c r="O70" s="5"/>
    </row>
    <row r="71" spans="1:15" ht="25.5">
      <c r="A71" s="6" t="s">
        <v>7</v>
      </c>
      <c r="B71" s="12" t="str">
        <f>""</f>
        <v/>
      </c>
      <c r="C71" s="12" t="str">
        <f>"Итого по кандидату"</f>
        <v>Итого по кандидату</v>
      </c>
      <c r="D71" s="13">
        <v>7000</v>
      </c>
      <c r="E71" s="13">
        <v>0</v>
      </c>
      <c r="F71" s="12" t="str">
        <f>""</f>
        <v/>
      </c>
      <c r="G71" s="13">
        <v>0</v>
      </c>
      <c r="H71" s="14"/>
      <c r="I71" s="13">
        <v>7000</v>
      </c>
      <c r="J71" s="15"/>
      <c r="K71" s="13">
        <v>0</v>
      </c>
      <c r="L71" s="12" t="str">
        <f>""</f>
        <v/>
      </c>
      <c r="M71" s="13">
        <v>0</v>
      </c>
      <c r="N71" s="12" t="str">
        <f>""</f>
        <v/>
      </c>
      <c r="O71" s="5"/>
    </row>
    <row r="72" spans="1:15" ht="51">
      <c r="A72" s="6" t="s">
        <v>7</v>
      </c>
      <c r="B72" s="12" t="str">
        <f>""</f>
        <v/>
      </c>
      <c r="C72" s="12" t="str">
        <f>"Избирательный округ (Десятый (№ 10)), всего"</f>
        <v>Избирательный округ (Десятый (№ 10)), всего</v>
      </c>
      <c r="D72" s="13">
        <v>397932.56</v>
      </c>
      <c r="E72" s="13">
        <v>390932.56</v>
      </c>
      <c r="F72" s="12" t="str">
        <f>""</f>
        <v/>
      </c>
      <c r="G72" s="13">
        <v>0</v>
      </c>
      <c r="H72" s="14"/>
      <c r="I72" s="13">
        <v>397932.56</v>
      </c>
      <c r="J72" s="15"/>
      <c r="K72" s="13">
        <v>270000</v>
      </c>
      <c r="L72" s="12" t="str">
        <f>""</f>
        <v/>
      </c>
      <c r="M72" s="13">
        <v>0</v>
      </c>
      <c r="N72" s="12" t="str">
        <f>""</f>
        <v/>
      </c>
      <c r="O72" s="5"/>
    </row>
    <row r="73" spans="1:15" ht="76.5">
      <c r="A73" s="7" t="s">
        <v>40</v>
      </c>
      <c r="B73" s="8" t="str">
        <f>"Одиннадцатый (№ 11)"</f>
        <v>Одиннадцатый (№ 11)</v>
      </c>
      <c r="C73" s="8" t="str">
        <f>"Гумиров Денис Владимирович"</f>
        <v>Гумиров Денис Владимирович</v>
      </c>
      <c r="D73" s="9">
        <v>397682.56</v>
      </c>
      <c r="E73" s="9">
        <v>397682.56</v>
      </c>
      <c r="F73" s="8" t="str">
        <f>"АМУРСКОЕ РЕГИОНАЛЬНОЕ ОТДЕЛЕНИЕ ПАРТИИ ""ЕДИНАЯ РОССИЯ"""</f>
        <v>АМУРСКОЕ РЕГИОНАЛЬНОЕ ОТДЕЛЕНИЕ ПАРТИИ "ЕДИНАЯ РОССИЯ"</v>
      </c>
      <c r="G73" s="9"/>
      <c r="H73" s="10"/>
      <c r="I73" s="9">
        <v>397682.56</v>
      </c>
      <c r="J73" s="11" t="s">
        <v>12</v>
      </c>
      <c r="K73" s="9">
        <v>270000</v>
      </c>
      <c r="L73" s="8" t="str">
        <f>""</f>
        <v/>
      </c>
      <c r="M73" s="9"/>
      <c r="N73" s="8" t="str">
        <f>""</f>
        <v/>
      </c>
      <c r="O73" s="5"/>
    </row>
    <row r="74" spans="1:15" ht="25.5">
      <c r="A74" s="6" t="s">
        <v>7</v>
      </c>
      <c r="B74" s="12" t="str">
        <f>""</f>
        <v/>
      </c>
      <c r="C74" s="12" t="str">
        <f>"Итого по кандидату"</f>
        <v>Итого по кандидату</v>
      </c>
      <c r="D74" s="13">
        <v>397682.56</v>
      </c>
      <c r="E74" s="13">
        <v>397682.56</v>
      </c>
      <c r="F74" s="12" t="str">
        <f>""</f>
        <v/>
      </c>
      <c r="G74" s="13">
        <v>0</v>
      </c>
      <c r="H74" s="14"/>
      <c r="I74" s="13">
        <v>397682.56</v>
      </c>
      <c r="J74" s="15"/>
      <c r="K74" s="13">
        <v>270000</v>
      </c>
      <c r="L74" s="12" t="str">
        <f>""</f>
        <v/>
      </c>
      <c r="M74" s="13">
        <v>0</v>
      </c>
      <c r="N74" s="12" t="str">
        <f>""</f>
        <v/>
      </c>
      <c r="O74" s="2"/>
    </row>
    <row r="75" spans="1:15" ht="38.25">
      <c r="A75" s="7" t="s">
        <v>41</v>
      </c>
      <c r="B75" s="8" t="str">
        <f>"Одиннадцатый (№ 11)"</f>
        <v>Одиннадцатый (№ 11)</v>
      </c>
      <c r="C75" s="8" t="str">
        <f>"Коваль Сергей Викторович"</f>
        <v>Коваль Сергей Викторович</v>
      </c>
      <c r="D75" s="9">
        <v>100000</v>
      </c>
      <c r="E75" s="9">
        <v>100000</v>
      </c>
      <c r="F75" s="8" t="str">
        <f>"ЛДПР"</f>
        <v>ЛДПР</v>
      </c>
      <c r="G75" s="9"/>
      <c r="H75" s="10"/>
      <c r="I75" s="9">
        <v>80124</v>
      </c>
      <c r="J75" s="11"/>
      <c r="K75" s="9"/>
      <c r="L75" s="8" t="str">
        <f>""</f>
        <v/>
      </c>
      <c r="M75" s="9"/>
      <c r="N75" s="8" t="str">
        <f>""</f>
        <v/>
      </c>
      <c r="O75" s="5"/>
    </row>
    <row r="76" spans="1:15" ht="25.5">
      <c r="A76" s="6" t="s">
        <v>7</v>
      </c>
      <c r="B76" s="12" t="str">
        <f>""</f>
        <v/>
      </c>
      <c r="C76" s="12" t="str">
        <f>"Итого по кандидату"</f>
        <v>Итого по кандидату</v>
      </c>
      <c r="D76" s="13">
        <v>100000</v>
      </c>
      <c r="E76" s="13">
        <v>100000</v>
      </c>
      <c r="F76" s="12" t="str">
        <f>""</f>
        <v/>
      </c>
      <c r="G76" s="13">
        <v>0</v>
      </c>
      <c r="H76" s="14"/>
      <c r="I76" s="13">
        <v>80124</v>
      </c>
      <c r="J76" s="15"/>
      <c r="K76" s="13">
        <v>0</v>
      </c>
      <c r="L76" s="12" t="str">
        <f>""</f>
        <v/>
      </c>
      <c r="M76" s="13">
        <v>0</v>
      </c>
      <c r="N76" s="12" t="str">
        <f>""</f>
        <v/>
      </c>
      <c r="O76" s="5"/>
    </row>
    <row r="77" spans="1:15" ht="38.25">
      <c r="A77" s="7" t="s">
        <v>42</v>
      </c>
      <c r="B77" s="8" t="str">
        <f>"Одиннадцатый (№ 11)"</f>
        <v>Одиннадцатый (№ 11)</v>
      </c>
      <c r="C77" s="8" t="str">
        <f>"Самвелян Артур Арменович"</f>
        <v>Самвелян Артур Арменович</v>
      </c>
      <c r="D77" s="9">
        <v>130000</v>
      </c>
      <c r="E77" s="9"/>
      <c r="F77" s="8" t="str">
        <f>""</f>
        <v/>
      </c>
      <c r="G77" s="9"/>
      <c r="H77" s="10"/>
      <c r="I77" s="9">
        <v>129752</v>
      </c>
      <c r="J77" s="11" t="s">
        <v>43</v>
      </c>
      <c r="K77" s="9">
        <v>103952</v>
      </c>
      <c r="L77" s="8" t="str">
        <f>""</f>
        <v/>
      </c>
      <c r="M77" s="9"/>
      <c r="N77" s="8" t="str">
        <f>""</f>
        <v/>
      </c>
      <c r="O77" s="5"/>
    </row>
    <row r="78" spans="1:15" ht="25.5">
      <c r="A78" s="6" t="s">
        <v>7</v>
      </c>
      <c r="B78" s="12" t="str">
        <f>""</f>
        <v/>
      </c>
      <c r="C78" s="12" t="str">
        <f>"Итого по кандидату"</f>
        <v>Итого по кандидату</v>
      </c>
      <c r="D78" s="13">
        <v>130000</v>
      </c>
      <c r="E78" s="13">
        <v>0</v>
      </c>
      <c r="F78" s="12" t="str">
        <f>""</f>
        <v/>
      </c>
      <c r="G78" s="13">
        <v>0</v>
      </c>
      <c r="H78" s="14"/>
      <c r="I78" s="13">
        <v>129752</v>
      </c>
      <c r="J78" s="15"/>
      <c r="K78" s="13">
        <v>103952</v>
      </c>
      <c r="L78" s="12" t="str">
        <f>""</f>
        <v/>
      </c>
      <c r="M78" s="13">
        <v>0</v>
      </c>
      <c r="N78" s="12" t="str">
        <f>""</f>
        <v/>
      </c>
      <c r="O78" s="2"/>
    </row>
    <row r="79" spans="1:15" ht="63.75">
      <c r="A79" s="6" t="s">
        <v>7</v>
      </c>
      <c r="B79" s="12" t="str">
        <f>""</f>
        <v/>
      </c>
      <c r="C79" s="12" t="str">
        <f>"Избирательный округ (Одиннадцатый (№ 11)), всего"</f>
        <v>Избирательный округ (Одиннадцатый (№ 11)), всего</v>
      </c>
      <c r="D79" s="13">
        <v>627682.56000000006</v>
      </c>
      <c r="E79" s="13">
        <v>497682.56</v>
      </c>
      <c r="F79" s="12" t="str">
        <f>""</f>
        <v/>
      </c>
      <c r="G79" s="13">
        <v>0</v>
      </c>
      <c r="H79" s="14"/>
      <c r="I79" s="13">
        <v>607558.56000000006</v>
      </c>
      <c r="J79" s="15"/>
      <c r="K79" s="13">
        <v>373952</v>
      </c>
      <c r="L79" s="12" t="str">
        <f>""</f>
        <v/>
      </c>
      <c r="M79" s="13">
        <v>0</v>
      </c>
      <c r="N79" s="12" t="str">
        <f>""</f>
        <v/>
      </c>
      <c r="O79" s="5"/>
    </row>
    <row r="80" spans="1:15" ht="38.25">
      <c r="A80" s="7" t="s">
        <v>44</v>
      </c>
      <c r="B80" s="8" t="str">
        <f>"Двенадцатый (№ 12)"</f>
        <v>Двенадцатый (№ 12)</v>
      </c>
      <c r="C80" s="8" t="str">
        <f>"Клышникова Юлия Николаевна"</f>
        <v>Клышникова Юлия Николаевна</v>
      </c>
      <c r="D80" s="9">
        <v>1690</v>
      </c>
      <c r="E80" s="9"/>
      <c r="F80" s="8" t="str">
        <f>""</f>
        <v/>
      </c>
      <c r="G80" s="9"/>
      <c r="H80" s="10"/>
      <c r="I80" s="9">
        <v>1690</v>
      </c>
      <c r="J80" s="11"/>
      <c r="K80" s="9"/>
      <c r="L80" s="8" t="str">
        <f>""</f>
        <v/>
      </c>
      <c r="M80" s="9"/>
      <c r="N80" s="8" t="str">
        <f>""</f>
        <v/>
      </c>
      <c r="O80" s="5"/>
    </row>
    <row r="81" spans="1:15" ht="25.5">
      <c r="A81" s="6" t="s">
        <v>7</v>
      </c>
      <c r="B81" s="12" t="str">
        <f>""</f>
        <v/>
      </c>
      <c r="C81" s="12" t="str">
        <f>"Итого по кандидату"</f>
        <v>Итого по кандидату</v>
      </c>
      <c r="D81" s="13">
        <v>1690</v>
      </c>
      <c r="E81" s="13">
        <v>0</v>
      </c>
      <c r="F81" s="12" t="str">
        <f>""</f>
        <v/>
      </c>
      <c r="G81" s="13">
        <v>0</v>
      </c>
      <c r="H81" s="14"/>
      <c r="I81" s="13">
        <v>1690</v>
      </c>
      <c r="J81" s="15"/>
      <c r="K81" s="13">
        <v>0</v>
      </c>
      <c r="L81" s="12" t="str">
        <f>""</f>
        <v/>
      </c>
      <c r="M81" s="13">
        <v>0</v>
      </c>
      <c r="N81" s="12" t="str">
        <f>""</f>
        <v/>
      </c>
      <c r="O81" s="5"/>
    </row>
    <row r="82" spans="1:15" ht="89.25">
      <c r="A82" s="7" t="s">
        <v>45</v>
      </c>
      <c r="B82" s="8" t="str">
        <f>"Двенадцатый (№ 12)"</f>
        <v>Двенадцатый (№ 12)</v>
      </c>
      <c r="C82" s="8" t="str">
        <f>"Малиновский Владислав Юрьевич"</f>
        <v>Малиновский Владислав Юрьевич</v>
      </c>
      <c r="D82" s="9">
        <v>213030</v>
      </c>
      <c r="E82" s="9">
        <v>91264</v>
      </c>
      <c r="F82" s="8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82" s="9"/>
      <c r="H82" s="10"/>
      <c r="I82" s="9">
        <v>213030</v>
      </c>
      <c r="J82" s="11" t="s">
        <v>30</v>
      </c>
      <c r="K82" s="9">
        <v>91624</v>
      </c>
      <c r="L82" s="8" t="str">
        <f>""</f>
        <v/>
      </c>
      <c r="M82" s="9"/>
      <c r="N82" s="8" t="str">
        <f>""</f>
        <v/>
      </c>
      <c r="O82" s="5"/>
    </row>
    <row r="83" spans="1:15" ht="25.5">
      <c r="A83" s="6" t="s">
        <v>7</v>
      </c>
      <c r="B83" s="12" t="str">
        <f>""</f>
        <v/>
      </c>
      <c r="C83" s="12" t="str">
        <f>"Итого по кандидату"</f>
        <v>Итого по кандидату</v>
      </c>
      <c r="D83" s="13">
        <v>213030</v>
      </c>
      <c r="E83" s="13">
        <v>91264</v>
      </c>
      <c r="F83" s="12" t="str">
        <f>""</f>
        <v/>
      </c>
      <c r="G83" s="13">
        <v>0</v>
      </c>
      <c r="H83" s="14"/>
      <c r="I83" s="13">
        <v>213030</v>
      </c>
      <c r="J83" s="15"/>
      <c r="K83" s="13">
        <v>91624</v>
      </c>
      <c r="L83" s="12" t="str">
        <f>""</f>
        <v/>
      </c>
      <c r="M83" s="13">
        <v>0</v>
      </c>
      <c r="N83" s="12" t="str">
        <f>""</f>
        <v/>
      </c>
      <c r="O83" s="2"/>
    </row>
    <row r="84" spans="1:15" ht="38.25">
      <c r="A84" s="7" t="s">
        <v>46</v>
      </c>
      <c r="B84" s="8" t="str">
        <f>"Двенадцатый (№ 12)"</f>
        <v>Двенадцатый (№ 12)</v>
      </c>
      <c r="C84" s="8" t="str">
        <f>"Пучкова Елизавета Ивановна"</f>
        <v>Пучкова Елизавета Ивановна</v>
      </c>
      <c r="D84" s="9">
        <v>1702</v>
      </c>
      <c r="E84" s="9"/>
      <c r="F84" s="8" t="str">
        <f>""</f>
        <v/>
      </c>
      <c r="G84" s="9"/>
      <c r="H84" s="10"/>
      <c r="I84" s="9">
        <v>1702</v>
      </c>
      <c r="J84" s="11"/>
      <c r="K84" s="9"/>
      <c r="L84" s="8" t="str">
        <f>""</f>
        <v/>
      </c>
      <c r="M84" s="9"/>
      <c r="N84" s="8" t="str">
        <f>""</f>
        <v/>
      </c>
      <c r="O84" s="5"/>
    </row>
    <row r="85" spans="1:15" ht="25.5">
      <c r="A85" s="6" t="s">
        <v>7</v>
      </c>
      <c r="B85" s="12" t="str">
        <f>""</f>
        <v/>
      </c>
      <c r="C85" s="12" t="str">
        <f>"Итого по кандидату"</f>
        <v>Итого по кандидату</v>
      </c>
      <c r="D85" s="13">
        <v>1702</v>
      </c>
      <c r="E85" s="13">
        <v>0</v>
      </c>
      <c r="F85" s="12" t="str">
        <f>""</f>
        <v/>
      </c>
      <c r="G85" s="13">
        <v>0</v>
      </c>
      <c r="H85" s="14"/>
      <c r="I85" s="13">
        <v>1702</v>
      </c>
      <c r="J85" s="15"/>
      <c r="K85" s="13">
        <v>0</v>
      </c>
      <c r="L85" s="12" t="str">
        <f>""</f>
        <v/>
      </c>
      <c r="M85" s="13">
        <v>0</v>
      </c>
      <c r="N85" s="12" t="str">
        <f>""</f>
        <v/>
      </c>
      <c r="O85" s="5"/>
    </row>
    <row r="86" spans="1:15" ht="38.25">
      <c r="A86" s="7" t="s">
        <v>47</v>
      </c>
      <c r="B86" s="8" t="str">
        <f>"Двенадцатый (№ 12)"</f>
        <v>Двенадцатый (№ 12)</v>
      </c>
      <c r="C86" s="8" t="str">
        <f>"Сокольников Владимир Георгиевич"</f>
        <v>Сокольников Владимир Георгиевич</v>
      </c>
      <c r="D86" s="9"/>
      <c r="E86" s="9">
        <v>534000</v>
      </c>
      <c r="F86" s="8" t="str">
        <f>"ЛДПР"</f>
        <v>ЛДПР</v>
      </c>
      <c r="G86" s="9"/>
      <c r="H86" s="10"/>
      <c r="I86" s="9"/>
      <c r="J86" s="11" t="s">
        <v>32</v>
      </c>
      <c r="K86" s="9">
        <v>100000</v>
      </c>
      <c r="L86" s="8" t="str">
        <f>""</f>
        <v/>
      </c>
      <c r="M86" s="9"/>
      <c r="N86" s="8" t="str">
        <f>""</f>
        <v/>
      </c>
      <c r="O86" s="5"/>
    </row>
    <row r="87" spans="1:15">
      <c r="A87" s="7" t="s">
        <v>7</v>
      </c>
      <c r="B87" s="8" t="str">
        <f>""</f>
        <v/>
      </c>
      <c r="C87" s="8" t="str">
        <f>""</f>
        <v/>
      </c>
      <c r="D87" s="9"/>
      <c r="E87" s="9"/>
      <c r="F87" s="8" t="str">
        <f>""</f>
        <v/>
      </c>
      <c r="G87" s="9"/>
      <c r="H87" s="10"/>
      <c r="I87" s="9"/>
      <c r="J87" s="11" t="s">
        <v>32</v>
      </c>
      <c r="K87" s="9">
        <v>100000</v>
      </c>
      <c r="L87" s="8" t="str">
        <f>""</f>
        <v/>
      </c>
      <c r="M87" s="9"/>
      <c r="N87" s="8" t="str">
        <f>""</f>
        <v/>
      </c>
      <c r="O87" s="2"/>
    </row>
    <row r="88" spans="1:15">
      <c r="A88" s="7" t="s">
        <v>7</v>
      </c>
      <c r="B88" s="8" t="str">
        <f>""</f>
        <v/>
      </c>
      <c r="C88" s="8" t="str">
        <f>""</f>
        <v/>
      </c>
      <c r="D88" s="9"/>
      <c r="E88" s="9"/>
      <c r="F88" s="8" t="str">
        <f>""</f>
        <v/>
      </c>
      <c r="G88" s="9"/>
      <c r="H88" s="10"/>
      <c r="I88" s="9"/>
      <c r="J88" s="11" t="s">
        <v>32</v>
      </c>
      <c r="K88" s="9">
        <v>100000</v>
      </c>
      <c r="L88" s="8" t="str">
        <f>""</f>
        <v/>
      </c>
      <c r="M88" s="9"/>
      <c r="N88" s="8" t="str">
        <f>""</f>
        <v/>
      </c>
      <c r="O88" s="2"/>
    </row>
    <row r="89" spans="1:15">
      <c r="A89" s="7" t="s">
        <v>7</v>
      </c>
      <c r="B89" s="8" t="str">
        <f>""</f>
        <v/>
      </c>
      <c r="C89" s="8" t="str">
        <f>""</f>
        <v/>
      </c>
      <c r="D89" s="9"/>
      <c r="E89" s="9"/>
      <c r="F89" s="8" t="str">
        <f>""</f>
        <v/>
      </c>
      <c r="G89" s="9"/>
      <c r="H89" s="10"/>
      <c r="I89" s="9"/>
      <c r="J89" s="11" t="s">
        <v>32</v>
      </c>
      <c r="K89" s="9">
        <v>100000</v>
      </c>
      <c r="L89" s="8" t="str">
        <f>""</f>
        <v/>
      </c>
      <c r="M89" s="9"/>
      <c r="N89" s="8" t="str">
        <f>""</f>
        <v/>
      </c>
      <c r="O89" s="2"/>
    </row>
    <row r="90" spans="1:15" ht="25.5">
      <c r="A90" s="6" t="s">
        <v>7</v>
      </c>
      <c r="B90" s="12" t="str">
        <f>""</f>
        <v/>
      </c>
      <c r="C90" s="12" t="str">
        <f>"Итого по кандидату"</f>
        <v>Итого по кандидату</v>
      </c>
      <c r="D90" s="13">
        <v>557536</v>
      </c>
      <c r="E90" s="13">
        <v>534000</v>
      </c>
      <c r="F90" s="12" t="str">
        <f>""</f>
        <v/>
      </c>
      <c r="G90" s="13">
        <v>0</v>
      </c>
      <c r="H90" s="14"/>
      <c r="I90" s="13">
        <v>557536</v>
      </c>
      <c r="J90" s="15"/>
      <c r="K90" s="13">
        <v>400000</v>
      </c>
      <c r="L90" s="12" t="str">
        <f>""</f>
        <v/>
      </c>
      <c r="M90" s="13">
        <v>0</v>
      </c>
      <c r="N90" s="12" t="str">
        <f>""</f>
        <v/>
      </c>
      <c r="O90" s="2"/>
    </row>
    <row r="91" spans="1:15" ht="63.75">
      <c r="A91" s="6" t="s">
        <v>7</v>
      </c>
      <c r="B91" s="12" t="str">
        <f>""</f>
        <v/>
      </c>
      <c r="C91" s="12" t="str">
        <f>"Избирательный округ (Двенадцатый (№ 12)), всего"</f>
        <v>Избирательный округ (Двенадцатый (№ 12)), всего</v>
      </c>
      <c r="D91" s="13">
        <v>773958</v>
      </c>
      <c r="E91" s="13">
        <v>625264</v>
      </c>
      <c r="F91" s="12" t="str">
        <f>""</f>
        <v/>
      </c>
      <c r="G91" s="13">
        <v>0</v>
      </c>
      <c r="H91" s="14"/>
      <c r="I91" s="13">
        <v>773958</v>
      </c>
      <c r="J91" s="15"/>
      <c r="K91" s="13">
        <v>491624</v>
      </c>
      <c r="L91" s="12" t="str">
        <f>""</f>
        <v/>
      </c>
      <c r="M91" s="13">
        <v>0</v>
      </c>
      <c r="N91" s="12" t="str">
        <f>""</f>
        <v/>
      </c>
      <c r="O91" s="5"/>
    </row>
    <row r="92" spans="1:15" ht="38.25">
      <c r="A92" s="7" t="s">
        <v>48</v>
      </c>
      <c r="B92" s="8" t="str">
        <f>"Тринадцатый (№ 13)"</f>
        <v>Тринадцатый (№ 13)</v>
      </c>
      <c r="C92" s="8" t="str">
        <f>"Горохова Ирина Юрьевна"</f>
        <v>Горохова Ирина Юрьевна</v>
      </c>
      <c r="D92" s="9">
        <v>100000</v>
      </c>
      <c r="E92" s="9">
        <v>100000</v>
      </c>
      <c r="F92" s="8" t="str">
        <f>"АООПП КПРФ"</f>
        <v>АООПП КПРФ</v>
      </c>
      <c r="G92" s="9"/>
      <c r="H92" s="10"/>
      <c r="I92" s="9">
        <v>100000</v>
      </c>
      <c r="J92" s="11" t="s">
        <v>49</v>
      </c>
      <c r="K92" s="9">
        <v>100000</v>
      </c>
      <c r="L92" s="8" t="str">
        <f>""</f>
        <v/>
      </c>
      <c r="M92" s="9"/>
      <c r="N92" s="8" t="str">
        <f>""</f>
        <v/>
      </c>
      <c r="O92" s="5"/>
    </row>
    <row r="93" spans="1:15" ht="25.5">
      <c r="A93" s="6" t="s">
        <v>7</v>
      </c>
      <c r="B93" s="12" t="str">
        <f>""</f>
        <v/>
      </c>
      <c r="C93" s="12" t="str">
        <f>"Итого по кандидату"</f>
        <v>Итого по кандидату</v>
      </c>
      <c r="D93" s="13">
        <v>100000</v>
      </c>
      <c r="E93" s="13">
        <v>100000</v>
      </c>
      <c r="F93" s="12" t="str">
        <f>""</f>
        <v/>
      </c>
      <c r="G93" s="13">
        <v>0</v>
      </c>
      <c r="H93" s="14"/>
      <c r="I93" s="13">
        <v>100000</v>
      </c>
      <c r="J93" s="15"/>
      <c r="K93" s="13">
        <v>100000</v>
      </c>
      <c r="L93" s="12" t="str">
        <f>""</f>
        <v/>
      </c>
      <c r="M93" s="13">
        <v>0</v>
      </c>
      <c r="N93" s="12" t="str">
        <f>""</f>
        <v/>
      </c>
      <c r="O93" s="2"/>
    </row>
    <row r="94" spans="1:15" ht="38.25">
      <c r="A94" s="7" t="s">
        <v>50</v>
      </c>
      <c r="B94" s="8" t="str">
        <f>"Тринадцатый (№ 13)"</f>
        <v>Тринадцатый (№ 13)</v>
      </c>
      <c r="C94" s="8" t="str">
        <f>"Королёва Любовь Михайловна"</f>
        <v>Королёва Любовь Михайловна</v>
      </c>
      <c r="D94" s="9">
        <v>500</v>
      </c>
      <c r="E94" s="9"/>
      <c r="F94" s="8" t="str">
        <f>""</f>
        <v/>
      </c>
      <c r="G94" s="9"/>
      <c r="H94" s="10"/>
      <c r="I94" s="9">
        <v>385</v>
      </c>
      <c r="J94" s="11"/>
      <c r="K94" s="9"/>
      <c r="L94" s="8" t="str">
        <f>""</f>
        <v/>
      </c>
      <c r="M94" s="9"/>
      <c r="N94" s="8" t="str">
        <f>""</f>
        <v/>
      </c>
      <c r="O94" s="5"/>
    </row>
    <row r="95" spans="1:15" ht="25.5">
      <c r="A95" s="6" t="s">
        <v>7</v>
      </c>
      <c r="B95" s="12" t="str">
        <f>""</f>
        <v/>
      </c>
      <c r="C95" s="12" t="str">
        <f>"Итого по кандидату"</f>
        <v>Итого по кандидату</v>
      </c>
      <c r="D95" s="13">
        <v>500</v>
      </c>
      <c r="E95" s="13">
        <v>0</v>
      </c>
      <c r="F95" s="12" t="str">
        <f>""</f>
        <v/>
      </c>
      <c r="G95" s="13">
        <v>0</v>
      </c>
      <c r="H95" s="14"/>
      <c r="I95" s="13">
        <v>385</v>
      </c>
      <c r="J95" s="15"/>
      <c r="K95" s="13">
        <v>0</v>
      </c>
      <c r="L95" s="12" t="str">
        <f>""</f>
        <v/>
      </c>
      <c r="M95" s="13">
        <v>0</v>
      </c>
      <c r="N95" s="12" t="str">
        <f>""</f>
        <v/>
      </c>
      <c r="O95" s="5"/>
    </row>
    <row r="96" spans="1:15" ht="76.5">
      <c r="A96" s="7" t="s">
        <v>51</v>
      </c>
      <c r="B96" s="8" t="str">
        <f>"Тринадцатый (№ 13)"</f>
        <v>Тринадцатый (№ 13)</v>
      </c>
      <c r="C96" s="8" t="str">
        <f>"Удод Александр Викторович"</f>
        <v>Удод Александр Викторович</v>
      </c>
      <c r="D96" s="9">
        <v>390932.56</v>
      </c>
      <c r="E96" s="9">
        <v>390932.56</v>
      </c>
      <c r="F96" s="8" t="str">
        <f>"АМУРСКОЕ РЕГИОНАЛЬНОЕ ОТДЕЛЕНИЕ ПАРТИИ ""ЕДИНАЯ РОССИЯ"""</f>
        <v>АМУРСКОЕ РЕГИОНАЛЬНОЕ ОТДЕЛЕНИЕ ПАРТИИ "ЕДИНАЯ РОССИЯ"</v>
      </c>
      <c r="G96" s="9"/>
      <c r="H96" s="10"/>
      <c r="I96" s="9">
        <v>390932.56</v>
      </c>
      <c r="J96" s="11" t="s">
        <v>12</v>
      </c>
      <c r="K96" s="9">
        <v>270000</v>
      </c>
      <c r="L96" s="8" t="str">
        <f>""</f>
        <v/>
      </c>
      <c r="M96" s="9"/>
      <c r="N96" s="8" t="str">
        <f>""</f>
        <v/>
      </c>
      <c r="O96" s="5"/>
    </row>
    <row r="97" spans="1:15" ht="25.5">
      <c r="A97" s="6" t="s">
        <v>7</v>
      </c>
      <c r="B97" s="12" t="str">
        <f>""</f>
        <v/>
      </c>
      <c r="C97" s="12" t="str">
        <f>"Итого по кандидату"</f>
        <v>Итого по кандидату</v>
      </c>
      <c r="D97" s="13">
        <v>390932.56</v>
      </c>
      <c r="E97" s="13">
        <v>390932.56</v>
      </c>
      <c r="F97" s="12" t="str">
        <f>""</f>
        <v/>
      </c>
      <c r="G97" s="13">
        <v>0</v>
      </c>
      <c r="H97" s="14"/>
      <c r="I97" s="13">
        <v>390932.56</v>
      </c>
      <c r="J97" s="15"/>
      <c r="K97" s="13">
        <v>270000</v>
      </c>
      <c r="L97" s="12" t="str">
        <f>""</f>
        <v/>
      </c>
      <c r="M97" s="13">
        <v>0</v>
      </c>
      <c r="N97" s="12" t="str">
        <f>""</f>
        <v/>
      </c>
      <c r="O97" s="2"/>
    </row>
    <row r="98" spans="1:15" ht="63.75">
      <c r="A98" s="6" t="s">
        <v>7</v>
      </c>
      <c r="B98" s="12" t="str">
        <f>""</f>
        <v/>
      </c>
      <c r="C98" s="12" t="str">
        <f>"Избирательный округ (Тринадцатый (№ 13)), всего"</f>
        <v>Избирательный округ (Тринадцатый (№ 13)), всего</v>
      </c>
      <c r="D98" s="13">
        <v>491432.56</v>
      </c>
      <c r="E98" s="13">
        <v>490932.56</v>
      </c>
      <c r="F98" s="12" t="str">
        <f>""</f>
        <v/>
      </c>
      <c r="G98" s="13">
        <v>0</v>
      </c>
      <c r="H98" s="14"/>
      <c r="I98" s="13">
        <v>491317.56</v>
      </c>
      <c r="J98" s="15"/>
      <c r="K98" s="13">
        <v>370000</v>
      </c>
      <c r="L98" s="12" t="str">
        <f>""</f>
        <v/>
      </c>
      <c r="M98" s="13">
        <v>0</v>
      </c>
      <c r="N98" s="12" t="str">
        <f>""</f>
        <v/>
      </c>
      <c r="O98" s="5"/>
    </row>
    <row r="99" spans="1:15" ht="76.5">
      <c r="A99" s="7" t="s">
        <v>52</v>
      </c>
      <c r="B99" s="8" t="str">
        <f>"Четырнадцатый (№ 14)"</f>
        <v>Четырнадцатый (№ 14)</v>
      </c>
      <c r="C99" s="8" t="str">
        <f>"Агарков Александр Александрович"</f>
        <v>Агарков Александр Александрович</v>
      </c>
      <c r="D99" s="9">
        <v>397682.56</v>
      </c>
      <c r="E99" s="9">
        <v>397682.56</v>
      </c>
      <c r="F99" s="8" t="str">
        <f>"АМУРСКОЕ РЕГИОНАЛЬНОЕ ОТДЕЛЕНИЕ ПАРТИИ ""ЕДИНАЯ РОССИЯ"""</f>
        <v>АМУРСКОЕ РЕГИОНАЛЬНОЕ ОТДЕЛЕНИЕ ПАРТИИ "ЕДИНАЯ РОССИЯ"</v>
      </c>
      <c r="G99" s="9"/>
      <c r="H99" s="10"/>
      <c r="I99" s="9">
        <v>397682.56</v>
      </c>
      <c r="J99" s="11" t="s">
        <v>12</v>
      </c>
      <c r="K99" s="9">
        <v>270000</v>
      </c>
      <c r="L99" s="8" t="str">
        <f>""</f>
        <v/>
      </c>
      <c r="M99" s="9"/>
      <c r="N99" s="8" t="str">
        <f>""</f>
        <v/>
      </c>
      <c r="O99" s="5"/>
    </row>
    <row r="100" spans="1:15" ht="25.5">
      <c r="A100" s="6" t="s">
        <v>7</v>
      </c>
      <c r="B100" s="12" t="str">
        <f>""</f>
        <v/>
      </c>
      <c r="C100" s="12" t="str">
        <f>"Итого по кандидату"</f>
        <v>Итого по кандидату</v>
      </c>
      <c r="D100" s="13">
        <v>397682.56</v>
      </c>
      <c r="E100" s="13">
        <v>397682.56</v>
      </c>
      <c r="F100" s="12" t="str">
        <f>""</f>
        <v/>
      </c>
      <c r="G100" s="13">
        <v>0</v>
      </c>
      <c r="H100" s="14"/>
      <c r="I100" s="13">
        <v>397682.56</v>
      </c>
      <c r="J100" s="15"/>
      <c r="K100" s="13">
        <v>270000</v>
      </c>
      <c r="L100" s="12" t="str">
        <f>""</f>
        <v/>
      </c>
      <c r="M100" s="13">
        <v>0</v>
      </c>
      <c r="N100" s="12" t="str">
        <f>""</f>
        <v/>
      </c>
      <c r="O100" s="2"/>
    </row>
    <row r="101" spans="1:15" ht="38.25">
      <c r="A101" s="7" t="s">
        <v>53</v>
      </c>
      <c r="B101" s="8" t="str">
        <f>"Четырнадцатый (№ 14)"</f>
        <v>Четырнадцатый (№ 14)</v>
      </c>
      <c r="C101" s="8" t="str">
        <f>"Есаулков Сергей Викторович"</f>
        <v>Есаулков Сергей Викторович</v>
      </c>
      <c r="D101" s="9">
        <v>74262</v>
      </c>
      <c r="E101" s="9">
        <v>66500</v>
      </c>
      <c r="F101" s="8" t="str">
        <f>"ЛДПР"</f>
        <v>ЛДПР</v>
      </c>
      <c r="G101" s="9"/>
      <c r="H101" s="10"/>
      <c r="I101" s="9">
        <v>74262</v>
      </c>
      <c r="J101" s="11"/>
      <c r="K101" s="9"/>
      <c r="L101" s="8" t="str">
        <f>""</f>
        <v/>
      </c>
      <c r="M101" s="9"/>
      <c r="N101" s="8" t="str">
        <f>""</f>
        <v/>
      </c>
      <c r="O101" s="5"/>
    </row>
    <row r="102" spans="1:15" ht="25.5">
      <c r="A102" s="6" t="s">
        <v>7</v>
      </c>
      <c r="B102" s="12" t="str">
        <f>""</f>
        <v/>
      </c>
      <c r="C102" s="12" t="str">
        <f>"Итого по кандидату"</f>
        <v>Итого по кандидату</v>
      </c>
      <c r="D102" s="13">
        <v>74262</v>
      </c>
      <c r="E102" s="13">
        <v>66500</v>
      </c>
      <c r="F102" s="12" t="str">
        <f>""</f>
        <v/>
      </c>
      <c r="G102" s="13">
        <v>0</v>
      </c>
      <c r="H102" s="14"/>
      <c r="I102" s="13">
        <v>74262</v>
      </c>
      <c r="J102" s="15"/>
      <c r="K102" s="13">
        <v>0</v>
      </c>
      <c r="L102" s="12" t="str">
        <f>""</f>
        <v/>
      </c>
      <c r="M102" s="13">
        <v>0</v>
      </c>
      <c r="N102" s="12" t="str">
        <f>""</f>
        <v/>
      </c>
      <c r="O102" s="5"/>
    </row>
    <row r="103" spans="1:15" ht="89.25">
      <c r="A103" s="7" t="s">
        <v>54</v>
      </c>
      <c r="B103" s="8" t="str">
        <f>"Четырнадцатый (№ 14)"</f>
        <v>Четырнадцатый (№ 14)</v>
      </c>
      <c r="C103" s="8" t="str">
        <f>"Лекомцев Кирилл Михайлович"</f>
        <v>Лекомцев Кирилл Михайлович</v>
      </c>
      <c r="D103" s="9">
        <v>811952</v>
      </c>
      <c r="E103" s="9">
        <v>803952</v>
      </c>
      <c r="F103" s="8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103" s="9"/>
      <c r="H103" s="10"/>
      <c r="I103" s="9">
        <v>111952</v>
      </c>
      <c r="J103" s="11" t="s">
        <v>9</v>
      </c>
      <c r="K103" s="9">
        <v>103952</v>
      </c>
      <c r="L103" s="8" t="str">
        <f>""</f>
        <v/>
      </c>
      <c r="M103" s="9"/>
      <c r="N103" s="8" t="str">
        <f>""</f>
        <v/>
      </c>
      <c r="O103" s="5"/>
    </row>
    <row r="104" spans="1:15" ht="25.5">
      <c r="A104" s="6" t="s">
        <v>7</v>
      </c>
      <c r="B104" s="12" t="str">
        <f>""</f>
        <v/>
      </c>
      <c r="C104" s="12" t="str">
        <f>"Итого по кандидату"</f>
        <v>Итого по кандидату</v>
      </c>
      <c r="D104" s="13">
        <v>811952</v>
      </c>
      <c r="E104" s="13">
        <v>803952</v>
      </c>
      <c r="F104" s="12" t="str">
        <f>""</f>
        <v/>
      </c>
      <c r="G104" s="13">
        <v>0</v>
      </c>
      <c r="H104" s="14"/>
      <c r="I104" s="13">
        <v>111952</v>
      </c>
      <c r="J104" s="15"/>
      <c r="K104" s="13">
        <v>103952</v>
      </c>
      <c r="L104" s="12" t="str">
        <f>""</f>
        <v/>
      </c>
      <c r="M104" s="13">
        <v>0</v>
      </c>
      <c r="N104" s="12" t="str">
        <f>""</f>
        <v/>
      </c>
      <c r="O104" s="2"/>
    </row>
    <row r="105" spans="1:15" ht="63.75">
      <c r="A105" s="6" t="s">
        <v>7</v>
      </c>
      <c r="B105" s="12" t="str">
        <f>""</f>
        <v/>
      </c>
      <c r="C105" s="12" t="str">
        <f>"Избирательный округ (Четырнадцатый (№ 14)), всего"</f>
        <v>Избирательный округ (Четырнадцатый (№ 14)), всего</v>
      </c>
      <c r="D105" s="13">
        <v>1283896.56</v>
      </c>
      <c r="E105" s="13">
        <v>1268134.56</v>
      </c>
      <c r="F105" s="12" t="str">
        <f>""</f>
        <v/>
      </c>
      <c r="G105" s="13">
        <v>0</v>
      </c>
      <c r="H105" s="14"/>
      <c r="I105" s="13">
        <v>583896.56000000006</v>
      </c>
      <c r="J105" s="15"/>
      <c r="K105" s="13">
        <v>373952</v>
      </c>
      <c r="L105" s="12" t="str">
        <f>""</f>
        <v/>
      </c>
      <c r="M105" s="13">
        <v>0</v>
      </c>
      <c r="N105" s="12" t="str">
        <f>""</f>
        <v/>
      </c>
      <c r="O105" s="5"/>
    </row>
    <row r="106" spans="1:15" ht="76.5">
      <c r="A106" s="7" t="s">
        <v>55</v>
      </c>
      <c r="B106" s="8" t="str">
        <f>"Пятнадцатый (№ 15)"</f>
        <v>Пятнадцатый (№ 15)</v>
      </c>
      <c r="C106" s="8" t="str">
        <f>"Евглевская Елена Игоревна"</f>
        <v>Евглевская Елена Игоревна</v>
      </c>
      <c r="D106" s="9">
        <v>390932.31</v>
      </c>
      <c r="E106" s="9">
        <v>390932.31</v>
      </c>
      <c r="F106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06" s="9"/>
      <c r="H106" s="10"/>
      <c r="I106" s="9">
        <v>390932.31</v>
      </c>
      <c r="J106" s="11" t="s">
        <v>12</v>
      </c>
      <c r="K106" s="9">
        <v>270000</v>
      </c>
      <c r="L106" s="8" t="str">
        <f>""</f>
        <v/>
      </c>
      <c r="M106" s="9"/>
      <c r="N106" s="8" t="str">
        <f>""</f>
        <v/>
      </c>
      <c r="O106" s="5"/>
    </row>
    <row r="107" spans="1:15" ht="25.5">
      <c r="A107" s="6" t="s">
        <v>7</v>
      </c>
      <c r="B107" s="12" t="str">
        <f>""</f>
        <v/>
      </c>
      <c r="C107" s="12" t="str">
        <f>"Итого по кандидату"</f>
        <v>Итого по кандидату</v>
      </c>
      <c r="D107" s="13">
        <v>390932.31</v>
      </c>
      <c r="E107" s="13">
        <v>390932.31</v>
      </c>
      <c r="F107" s="12" t="str">
        <f>""</f>
        <v/>
      </c>
      <c r="G107" s="13">
        <v>0</v>
      </c>
      <c r="H107" s="14"/>
      <c r="I107" s="13">
        <v>390932.31</v>
      </c>
      <c r="J107" s="15"/>
      <c r="K107" s="13">
        <v>270000</v>
      </c>
      <c r="L107" s="12" t="str">
        <f>""</f>
        <v/>
      </c>
      <c r="M107" s="13">
        <v>0</v>
      </c>
      <c r="N107" s="12" t="str">
        <f>""</f>
        <v/>
      </c>
      <c r="O107" s="2"/>
    </row>
    <row r="108" spans="1:15" ht="63.75">
      <c r="A108" s="6" t="s">
        <v>7</v>
      </c>
      <c r="B108" s="12" t="str">
        <f>""</f>
        <v/>
      </c>
      <c r="C108" s="12" t="str">
        <f>"Избирательный округ (Пятнадцатый (№ 15)), всего"</f>
        <v>Избирательный округ (Пятнадцатый (№ 15)), всего</v>
      </c>
      <c r="D108" s="13">
        <v>390932.31</v>
      </c>
      <c r="E108" s="13">
        <v>390932.31</v>
      </c>
      <c r="F108" s="12" t="str">
        <f>""</f>
        <v/>
      </c>
      <c r="G108" s="13">
        <v>0</v>
      </c>
      <c r="H108" s="14"/>
      <c r="I108" s="13">
        <v>390932.31</v>
      </c>
      <c r="J108" s="15"/>
      <c r="K108" s="13">
        <v>270000</v>
      </c>
      <c r="L108" s="12" t="str">
        <f>""</f>
        <v/>
      </c>
      <c r="M108" s="13">
        <v>0</v>
      </c>
      <c r="N108" s="12" t="str">
        <f>""</f>
        <v/>
      </c>
      <c r="O108" s="5"/>
    </row>
    <row r="109" spans="1:15" ht="76.5">
      <c r="A109" s="7" t="s">
        <v>56</v>
      </c>
      <c r="B109" s="8" t="str">
        <f>"Шестнадцатый (№ 16)"</f>
        <v>Шестнадцатый (№ 16)</v>
      </c>
      <c r="C109" s="8" t="str">
        <f>"Завалишин Константин Николаевич"</f>
        <v>Завалишин Константин Николаевич</v>
      </c>
      <c r="D109" s="9">
        <v>397682.31</v>
      </c>
      <c r="E109" s="9">
        <v>397682.31</v>
      </c>
      <c r="F109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09" s="9"/>
      <c r="H109" s="10"/>
      <c r="I109" s="9">
        <v>397682.31</v>
      </c>
      <c r="J109" s="11" t="s">
        <v>12</v>
      </c>
      <c r="K109" s="9">
        <v>270000</v>
      </c>
      <c r="L109" s="8" t="str">
        <f>""</f>
        <v/>
      </c>
      <c r="M109" s="9"/>
      <c r="N109" s="8" t="str">
        <f>""</f>
        <v/>
      </c>
      <c r="O109" s="5"/>
    </row>
    <row r="110" spans="1:15" ht="25.5">
      <c r="A110" s="6" t="s">
        <v>7</v>
      </c>
      <c r="B110" s="12" t="str">
        <f>""</f>
        <v/>
      </c>
      <c r="C110" s="12" t="str">
        <f>"Итого по кандидату"</f>
        <v>Итого по кандидату</v>
      </c>
      <c r="D110" s="13">
        <v>397682.31</v>
      </c>
      <c r="E110" s="13">
        <v>397682.31</v>
      </c>
      <c r="F110" s="12" t="str">
        <f>""</f>
        <v/>
      </c>
      <c r="G110" s="13">
        <v>0</v>
      </c>
      <c r="H110" s="14"/>
      <c r="I110" s="13">
        <v>397682.31</v>
      </c>
      <c r="J110" s="15"/>
      <c r="K110" s="13">
        <v>270000</v>
      </c>
      <c r="L110" s="12" t="str">
        <f>""</f>
        <v/>
      </c>
      <c r="M110" s="13">
        <v>0</v>
      </c>
      <c r="N110" s="12" t="str">
        <f>""</f>
        <v/>
      </c>
      <c r="O110" s="2"/>
    </row>
    <row r="111" spans="1:15" ht="38.25">
      <c r="A111" s="7" t="s">
        <v>57</v>
      </c>
      <c r="B111" s="8" t="str">
        <f>"Шестнадцатый (№ 16)"</f>
        <v>Шестнадцатый (№ 16)</v>
      </c>
      <c r="C111" s="8" t="str">
        <f>"Шедько Максим Сергеевич"</f>
        <v>Шедько Максим Сергеевич</v>
      </c>
      <c r="D111" s="9">
        <v>100000</v>
      </c>
      <c r="E111" s="9">
        <v>100000</v>
      </c>
      <c r="F111" s="8" t="str">
        <f>"ЛДПР"</f>
        <v>ЛДПР</v>
      </c>
      <c r="G111" s="9"/>
      <c r="H111" s="10"/>
      <c r="I111" s="9">
        <v>98780</v>
      </c>
      <c r="J111" s="11"/>
      <c r="K111" s="9"/>
      <c r="L111" s="8" t="str">
        <f>""</f>
        <v/>
      </c>
      <c r="M111" s="9"/>
      <c r="N111" s="8" t="str">
        <f>""</f>
        <v/>
      </c>
      <c r="O111" s="5"/>
    </row>
    <row r="112" spans="1:15" ht="25.5">
      <c r="A112" s="6" t="s">
        <v>7</v>
      </c>
      <c r="B112" s="12" t="str">
        <f>""</f>
        <v/>
      </c>
      <c r="C112" s="12" t="str">
        <f>"Итого по кандидату"</f>
        <v>Итого по кандидату</v>
      </c>
      <c r="D112" s="13">
        <v>100000</v>
      </c>
      <c r="E112" s="13">
        <v>100000</v>
      </c>
      <c r="F112" s="12" t="str">
        <f>""</f>
        <v/>
      </c>
      <c r="G112" s="13">
        <v>0</v>
      </c>
      <c r="H112" s="14"/>
      <c r="I112" s="13">
        <v>98780</v>
      </c>
      <c r="J112" s="15"/>
      <c r="K112" s="13">
        <v>0</v>
      </c>
      <c r="L112" s="12" t="str">
        <f>""</f>
        <v/>
      </c>
      <c r="M112" s="13">
        <v>0</v>
      </c>
      <c r="N112" s="12" t="str">
        <f>""</f>
        <v/>
      </c>
      <c r="O112" s="5"/>
    </row>
    <row r="113" spans="1:15" ht="25.5">
      <c r="A113" s="7" t="s">
        <v>58</v>
      </c>
      <c r="B113" s="8" t="str">
        <f>"Шестнадцатый (№ 16)"</f>
        <v>Шестнадцатый (№ 16)</v>
      </c>
      <c r="C113" s="8" t="str">
        <f>"Штепа Олег Алексеевич"</f>
        <v>Штепа Олег Алексеевич</v>
      </c>
      <c r="D113" s="9">
        <v>22000</v>
      </c>
      <c r="E113" s="9"/>
      <c r="F113" s="8" t="str">
        <f>""</f>
        <v/>
      </c>
      <c r="G113" s="9"/>
      <c r="H113" s="10"/>
      <c r="I113" s="9">
        <v>22000</v>
      </c>
      <c r="J113" s="11"/>
      <c r="K113" s="9"/>
      <c r="L113" s="8" t="str">
        <f>""</f>
        <v/>
      </c>
      <c r="M113" s="9"/>
      <c r="N113" s="8" t="str">
        <f>""</f>
        <v/>
      </c>
      <c r="O113" s="5"/>
    </row>
    <row r="114" spans="1:15" ht="25.5">
      <c r="A114" s="6" t="s">
        <v>7</v>
      </c>
      <c r="B114" s="12" t="str">
        <f>""</f>
        <v/>
      </c>
      <c r="C114" s="12" t="str">
        <f>"Итого по кандидату"</f>
        <v>Итого по кандидату</v>
      </c>
      <c r="D114" s="13">
        <v>22000</v>
      </c>
      <c r="E114" s="13">
        <v>0</v>
      </c>
      <c r="F114" s="12" t="str">
        <f>""</f>
        <v/>
      </c>
      <c r="G114" s="13">
        <v>0</v>
      </c>
      <c r="H114" s="14"/>
      <c r="I114" s="13">
        <v>22000</v>
      </c>
      <c r="J114" s="15"/>
      <c r="K114" s="13">
        <v>0</v>
      </c>
      <c r="L114" s="12" t="str">
        <f>""</f>
        <v/>
      </c>
      <c r="M114" s="13">
        <v>0</v>
      </c>
      <c r="N114" s="12" t="str">
        <f>""</f>
        <v/>
      </c>
      <c r="O114" s="5"/>
    </row>
    <row r="115" spans="1:15" ht="63.75">
      <c r="A115" s="6" t="s">
        <v>7</v>
      </c>
      <c r="B115" s="12" t="str">
        <f>""</f>
        <v/>
      </c>
      <c r="C115" s="12" t="str">
        <f>"Избирательный округ (Шестнадцатый (№ 16)), всего"</f>
        <v>Избирательный округ (Шестнадцатый (№ 16)), всего</v>
      </c>
      <c r="D115" s="13">
        <v>519682.31</v>
      </c>
      <c r="E115" s="13">
        <v>497682.31</v>
      </c>
      <c r="F115" s="12" t="str">
        <f>""</f>
        <v/>
      </c>
      <c r="G115" s="13">
        <v>0</v>
      </c>
      <c r="H115" s="14"/>
      <c r="I115" s="13">
        <v>518462.31</v>
      </c>
      <c r="J115" s="15"/>
      <c r="K115" s="13">
        <v>270000</v>
      </c>
      <c r="L115" s="12" t="str">
        <f>""</f>
        <v/>
      </c>
      <c r="M115" s="13">
        <v>0</v>
      </c>
      <c r="N115" s="12" t="str">
        <f>""</f>
        <v/>
      </c>
      <c r="O115" s="5"/>
    </row>
    <row r="116" spans="1:15" ht="51">
      <c r="A116" s="7" t="s">
        <v>59</v>
      </c>
      <c r="B116" s="8" t="str">
        <f>"Семнадцатый (№ 17)"</f>
        <v>Семнадцатый (№ 17)</v>
      </c>
      <c r="C116" s="8" t="str">
        <f>"Марчук Галина Владимировна"</f>
        <v>Марчук Галина Владимировна</v>
      </c>
      <c r="D116" s="9">
        <v>1998</v>
      </c>
      <c r="E116" s="9"/>
      <c r="F116" s="8" t="str">
        <f>""</f>
        <v/>
      </c>
      <c r="G116" s="9"/>
      <c r="H116" s="10"/>
      <c r="I116" s="9">
        <v>1998</v>
      </c>
      <c r="J116" s="11"/>
      <c r="K116" s="9"/>
      <c r="L116" s="8" t="str">
        <f>""</f>
        <v/>
      </c>
      <c r="M116" s="9"/>
      <c r="N116" s="8" t="str">
        <f>""</f>
        <v/>
      </c>
      <c r="O116" s="5"/>
    </row>
    <row r="117" spans="1:15" ht="25.5">
      <c r="A117" s="6" t="s">
        <v>7</v>
      </c>
      <c r="B117" s="12" t="str">
        <f>""</f>
        <v/>
      </c>
      <c r="C117" s="12" t="str">
        <f>"Итого по кандидату"</f>
        <v>Итого по кандидату</v>
      </c>
      <c r="D117" s="13">
        <v>1998</v>
      </c>
      <c r="E117" s="13">
        <v>0</v>
      </c>
      <c r="F117" s="12" t="str">
        <f>""</f>
        <v/>
      </c>
      <c r="G117" s="13">
        <v>0</v>
      </c>
      <c r="H117" s="14"/>
      <c r="I117" s="13">
        <v>1998</v>
      </c>
      <c r="J117" s="15"/>
      <c r="K117" s="13">
        <v>0</v>
      </c>
      <c r="L117" s="12" t="str">
        <f>""</f>
        <v/>
      </c>
      <c r="M117" s="13">
        <v>0</v>
      </c>
      <c r="N117" s="12" t="str">
        <f>""</f>
        <v/>
      </c>
      <c r="O117" s="5"/>
    </row>
    <row r="118" spans="1:15" ht="89.25">
      <c r="A118" s="7" t="s">
        <v>60</v>
      </c>
      <c r="B118" s="8" t="str">
        <f>"Семнадцатый (№ 17)"</f>
        <v>Семнадцатый (№ 17)</v>
      </c>
      <c r="C118" s="8" t="str">
        <f>"Милицин Михаил Сергеевич"</f>
        <v>Милицин Михаил Сергеевич</v>
      </c>
      <c r="D118" s="9">
        <v>82788</v>
      </c>
      <c r="E118" s="9">
        <v>74788</v>
      </c>
      <c r="F118" s="8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118" s="9"/>
      <c r="H118" s="10"/>
      <c r="I118" s="9">
        <v>82788</v>
      </c>
      <c r="J118" s="11" t="s">
        <v>9</v>
      </c>
      <c r="K118" s="9">
        <v>74788</v>
      </c>
      <c r="L118" s="8" t="str">
        <f>""</f>
        <v/>
      </c>
      <c r="M118" s="9"/>
      <c r="N118" s="8" t="str">
        <f>""</f>
        <v/>
      </c>
      <c r="O118" s="5"/>
    </row>
    <row r="119" spans="1:15" ht="25.5">
      <c r="A119" s="6" t="s">
        <v>7</v>
      </c>
      <c r="B119" s="12" t="str">
        <f>""</f>
        <v/>
      </c>
      <c r="C119" s="12" t="str">
        <f>"Итого по кандидату"</f>
        <v>Итого по кандидату</v>
      </c>
      <c r="D119" s="13">
        <v>82788</v>
      </c>
      <c r="E119" s="13">
        <v>74788</v>
      </c>
      <c r="F119" s="12" t="str">
        <f>""</f>
        <v/>
      </c>
      <c r="G119" s="13">
        <v>0</v>
      </c>
      <c r="H119" s="14"/>
      <c r="I119" s="13">
        <v>82788</v>
      </c>
      <c r="J119" s="15"/>
      <c r="K119" s="13">
        <v>74788</v>
      </c>
      <c r="L119" s="12" t="str">
        <f>""</f>
        <v/>
      </c>
      <c r="M119" s="13">
        <v>0</v>
      </c>
      <c r="N119" s="12" t="str">
        <f>""</f>
        <v/>
      </c>
      <c r="O119" s="2"/>
    </row>
    <row r="120" spans="1:15" ht="76.5">
      <c r="A120" s="7" t="s">
        <v>61</v>
      </c>
      <c r="B120" s="8" t="str">
        <f>"Семнадцатый (№ 17)"</f>
        <v>Семнадцатый (№ 17)</v>
      </c>
      <c r="C120" s="8" t="str">
        <f>"Оганнисян Рафик Меружанович"</f>
        <v>Оганнисян Рафик Меружанович</v>
      </c>
      <c r="D120" s="9">
        <v>397682.56</v>
      </c>
      <c r="E120" s="9">
        <v>397682.56</v>
      </c>
      <c r="F120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20" s="9"/>
      <c r="H120" s="10"/>
      <c r="I120" s="9">
        <v>397682.56</v>
      </c>
      <c r="J120" s="11" t="s">
        <v>19</v>
      </c>
      <c r="K120" s="9">
        <v>270000</v>
      </c>
      <c r="L120" s="8" t="str">
        <f>""</f>
        <v/>
      </c>
      <c r="M120" s="9"/>
      <c r="N120" s="8" t="str">
        <f>""</f>
        <v/>
      </c>
      <c r="O120" s="5"/>
    </row>
    <row r="121" spans="1:15" ht="25.5">
      <c r="A121" s="6" t="s">
        <v>7</v>
      </c>
      <c r="B121" s="12" t="str">
        <f>""</f>
        <v/>
      </c>
      <c r="C121" s="12" t="str">
        <f>"Итого по кандидату"</f>
        <v>Итого по кандидату</v>
      </c>
      <c r="D121" s="13">
        <v>397682.56</v>
      </c>
      <c r="E121" s="13">
        <v>397682.56</v>
      </c>
      <c r="F121" s="12" t="str">
        <f>""</f>
        <v/>
      </c>
      <c r="G121" s="13">
        <v>0</v>
      </c>
      <c r="H121" s="14"/>
      <c r="I121" s="13">
        <v>397682.56</v>
      </c>
      <c r="J121" s="15"/>
      <c r="K121" s="13">
        <v>270000</v>
      </c>
      <c r="L121" s="12" t="str">
        <f>""</f>
        <v/>
      </c>
      <c r="M121" s="13">
        <v>0</v>
      </c>
      <c r="N121" s="12" t="str">
        <f>""</f>
        <v/>
      </c>
      <c r="O121" s="2"/>
    </row>
    <row r="122" spans="1:15" ht="63.75">
      <c r="A122" s="6" t="s">
        <v>7</v>
      </c>
      <c r="B122" s="12" t="str">
        <f>""</f>
        <v/>
      </c>
      <c r="C122" s="12" t="str">
        <f>"Избирательный округ (Семнадцатый (№ 17)), всего"</f>
        <v>Избирательный округ (Семнадцатый (№ 17)), всего</v>
      </c>
      <c r="D122" s="13">
        <v>482468.56</v>
      </c>
      <c r="E122" s="13">
        <v>472470.56</v>
      </c>
      <c r="F122" s="12" t="str">
        <f>""</f>
        <v/>
      </c>
      <c r="G122" s="13">
        <v>0</v>
      </c>
      <c r="H122" s="14"/>
      <c r="I122" s="13">
        <v>482468.56</v>
      </c>
      <c r="J122" s="15"/>
      <c r="K122" s="13">
        <v>344788</v>
      </c>
      <c r="L122" s="12" t="str">
        <f>""</f>
        <v/>
      </c>
      <c r="M122" s="13">
        <v>0</v>
      </c>
      <c r="N122" s="12" t="str">
        <f>""</f>
        <v/>
      </c>
      <c r="O122" s="5"/>
    </row>
    <row r="123" spans="1:15" ht="76.5">
      <c r="A123" s="7" t="s">
        <v>62</v>
      </c>
      <c r="B123" s="8" t="str">
        <f>"Восемнадцатый (№ 18)"</f>
        <v>Восемнадцатый (№ 18)</v>
      </c>
      <c r="C123" s="8" t="str">
        <f>"Чихтисов Арсен Алибекович"</f>
        <v>Чихтисов Арсен Алибекович</v>
      </c>
      <c r="D123" s="9">
        <v>390932.56</v>
      </c>
      <c r="E123" s="9">
        <v>390932.56</v>
      </c>
      <c r="F123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23" s="9"/>
      <c r="H123" s="10"/>
      <c r="I123" s="9">
        <v>390932.56</v>
      </c>
      <c r="J123" s="11" t="s">
        <v>63</v>
      </c>
      <c r="K123" s="9">
        <v>270000</v>
      </c>
      <c r="L123" s="8" t="str">
        <f>""</f>
        <v/>
      </c>
      <c r="M123" s="9"/>
      <c r="N123" s="8" t="str">
        <f>""</f>
        <v/>
      </c>
      <c r="O123" s="5"/>
    </row>
    <row r="124" spans="1:15" ht="25.5">
      <c r="A124" s="6" t="s">
        <v>7</v>
      </c>
      <c r="B124" s="12" t="str">
        <f>""</f>
        <v/>
      </c>
      <c r="C124" s="12" t="str">
        <f>"Итого по кандидату"</f>
        <v>Итого по кандидату</v>
      </c>
      <c r="D124" s="13">
        <v>390932.56</v>
      </c>
      <c r="E124" s="13">
        <v>390932.56</v>
      </c>
      <c r="F124" s="12" t="str">
        <f>""</f>
        <v/>
      </c>
      <c r="G124" s="13">
        <v>0</v>
      </c>
      <c r="H124" s="14"/>
      <c r="I124" s="13">
        <v>390932.56</v>
      </c>
      <c r="J124" s="15"/>
      <c r="K124" s="13">
        <v>270000</v>
      </c>
      <c r="L124" s="12" t="str">
        <f>""</f>
        <v/>
      </c>
      <c r="M124" s="13">
        <v>0</v>
      </c>
      <c r="N124" s="12" t="str">
        <f>""</f>
        <v/>
      </c>
      <c r="O124" s="2"/>
    </row>
    <row r="125" spans="1:15" ht="63.75">
      <c r="A125" s="6" t="s">
        <v>7</v>
      </c>
      <c r="B125" s="12" t="str">
        <f>""</f>
        <v/>
      </c>
      <c r="C125" s="12" t="str">
        <f>"Избирательный округ (Восемнадцатый (№ 18)), всего"</f>
        <v>Избирательный округ (Восемнадцатый (№ 18)), всего</v>
      </c>
      <c r="D125" s="13">
        <v>390932.56</v>
      </c>
      <c r="E125" s="13">
        <v>390932.56</v>
      </c>
      <c r="F125" s="12" t="str">
        <f>""</f>
        <v/>
      </c>
      <c r="G125" s="13">
        <v>0</v>
      </c>
      <c r="H125" s="14"/>
      <c r="I125" s="13">
        <v>390932.56</v>
      </c>
      <c r="J125" s="15"/>
      <c r="K125" s="13">
        <v>270000</v>
      </c>
      <c r="L125" s="12" t="str">
        <f>""</f>
        <v/>
      </c>
      <c r="M125" s="13">
        <v>0</v>
      </c>
      <c r="N125" s="12" t="str">
        <f>""</f>
        <v/>
      </c>
      <c r="O125" s="5"/>
    </row>
    <row r="126" spans="1:15" ht="25.5">
      <c r="A126" s="7" t="s">
        <v>64</v>
      </c>
      <c r="B126" s="8" t="str">
        <f>"Девятнадцатый (№ 19)"</f>
        <v>Девятнадцатый (№ 19)</v>
      </c>
      <c r="C126" s="8" t="str">
        <f>"Попов Руслан Игоревич"</f>
        <v>Попов Руслан Игоревич</v>
      </c>
      <c r="D126" s="9">
        <v>100000</v>
      </c>
      <c r="E126" s="9">
        <v>100000</v>
      </c>
      <c r="F126" s="8" t="str">
        <f>"ЛДПР"</f>
        <v>ЛДПР</v>
      </c>
      <c r="G126" s="9"/>
      <c r="H126" s="10"/>
      <c r="I126" s="9">
        <v>95000</v>
      </c>
      <c r="J126" s="11"/>
      <c r="K126" s="9"/>
      <c r="L126" s="8" t="str">
        <f>""</f>
        <v/>
      </c>
      <c r="M126" s="9"/>
      <c r="N126" s="8" t="str">
        <f>""</f>
        <v/>
      </c>
      <c r="O126" s="5"/>
    </row>
    <row r="127" spans="1:15" ht="25.5">
      <c r="A127" s="6" t="s">
        <v>7</v>
      </c>
      <c r="B127" s="12" t="str">
        <f>""</f>
        <v/>
      </c>
      <c r="C127" s="12" t="str">
        <f>"Итого по кандидату"</f>
        <v>Итого по кандидату</v>
      </c>
      <c r="D127" s="13">
        <v>100000</v>
      </c>
      <c r="E127" s="13">
        <v>100000</v>
      </c>
      <c r="F127" s="12" t="str">
        <f>""</f>
        <v/>
      </c>
      <c r="G127" s="13">
        <v>0</v>
      </c>
      <c r="H127" s="14"/>
      <c r="I127" s="13">
        <v>95000</v>
      </c>
      <c r="J127" s="15"/>
      <c r="K127" s="13">
        <v>0</v>
      </c>
      <c r="L127" s="12" t="str">
        <f>""</f>
        <v/>
      </c>
      <c r="M127" s="13">
        <v>0</v>
      </c>
      <c r="N127" s="12" t="str">
        <f>""</f>
        <v/>
      </c>
      <c r="O127" s="5"/>
    </row>
    <row r="128" spans="1:15" ht="76.5">
      <c r="A128" s="7" t="s">
        <v>65</v>
      </c>
      <c r="B128" s="8" t="str">
        <f>"Девятнадцатый (№ 19)"</f>
        <v>Девятнадцатый (№ 19)</v>
      </c>
      <c r="C128" s="8" t="str">
        <f>"Якименко Михаил Александрович"</f>
        <v>Якименко Михаил Александрович</v>
      </c>
      <c r="D128" s="9">
        <v>397682.31</v>
      </c>
      <c r="E128" s="9">
        <v>397682.31</v>
      </c>
      <c r="F128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28" s="9"/>
      <c r="H128" s="10"/>
      <c r="I128" s="9">
        <v>397682.31</v>
      </c>
      <c r="J128" s="11" t="s">
        <v>12</v>
      </c>
      <c r="K128" s="9">
        <v>270000</v>
      </c>
      <c r="L128" s="8" t="str">
        <f>""</f>
        <v/>
      </c>
      <c r="M128" s="9"/>
      <c r="N128" s="8" t="str">
        <f>""</f>
        <v/>
      </c>
      <c r="O128" s="5"/>
    </row>
    <row r="129" spans="1:15" ht="25.5">
      <c r="A129" s="6" t="s">
        <v>7</v>
      </c>
      <c r="B129" s="12" t="str">
        <f>""</f>
        <v/>
      </c>
      <c r="C129" s="12" t="str">
        <f>"Итого по кандидату"</f>
        <v>Итого по кандидату</v>
      </c>
      <c r="D129" s="13">
        <v>397682.31</v>
      </c>
      <c r="E129" s="13">
        <v>397682.31</v>
      </c>
      <c r="F129" s="12" t="str">
        <f>""</f>
        <v/>
      </c>
      <c r="G129" s="13">
        <v>0</v>
      </c>
      <c r="H129" s="14"/>
      <c r="I129" s="13">
        <v>397682.31</v>
      </c>
      <c r="J129" s="15"/>
      <c r="K129" s="13">
        <v>270000</v>
      </c>
      <c r="L129" s="12" t="str">
        <f>""</f>
        <v/>
      </c>
      <c r="M129" s="13">
        <v>0</v>
      </c>
      <c r="N129" s="12" t="str">
        <f>""</f>
        <v/>
      </c>
      <c r="O129" s="2"/>
    </row>
    <row r="130" spans="1:15" ht="63.75">
      <c r="A130" s="6" t="s">
        <v>7</v>
      </c>
      <c r="B130" s="12" t="str">
        <f>""</f>
        <v/>
      </c>
      <c r="C130" s="12" t="str">
        <f>"Избирательный округ (Девятнадцатый (№ 19)), всего"</f>
        <v>Избирательный округ (Девятнадцатый (№ 19)), всего</v>
      </c>
      <c r="D130" s="13">
        <v>497682.31</v>
      </c>
      <c r="E130" s="13">
        <v>497682.31</v>
      </c>
      <c r="F130" s="12" t="str">
        <f>""</f>
        <v/>
      </c>
      <c r="G130" s="13">
        <v>0</v>
      </c>
      <c r="H130" s="14"/>
      <c r="I130" s="13">
        <v>492682.31</v>
      </c>
      <c r="J130" s="15"/>
      <c r="K130" s="13">
        <v>270000</v>
      </c>
      <c r="L130" s="12" t="str">
        <f>""</f>
        <v/>
      </c>
      <c r="M130" s="13">
        <v>0</v>
      </c>
      <c r="N130" s="12" t="str">
        <f>""</f>
        <v/>
      </c>
      <c r="O130" s="5"/>
    </row>
    <row r="131" spans="1:15" ht="38.25">
      <c r="A131" s="7" t="s">
        <v>66</v>
      </c>
      <c r="B131" s="8" t="str">
        <f>"Двадцатый (№ 20)"</f>
        <v>Двадцатый (№ 20)</v>
      </c>
      <c r="C131" s="8" t="str">
        <f>"Баженов Максим Валерьевич"</f>
        <v>Баженов Максим Валерьевич</v>
      </c>
      <c r="D131" s="9">
        <v>127907.56</v>
      </c>
      <c r="E131" s="9"/>
      <c r="F131" s="8" t="str">
        <f>""</f>
        <v/>
      </c>
      <c r="G131" s="9"/>
      <c r="H131" s="10"/>
      <c r="I131" s="9">
        <v>127907.56</v>
      </c>
      <c r="J131" s="11"/>
      <c r="K131" s="9"/>
      <c r="L131" s="8" t="str">
        <f>""</f>
        <v/>
      </c>
      <c r="M131" s="9"/>
      <c r="N131" s="8" t="str">
        <f>""</f>
        <v/>
      </c>
      <c r="O131" s="5"/>
    </row>
    <row r="132" spans="1:15" ht="25.5">
      <c r="A132" s="6" t="s">
        <v>7</v>
      </c>
      <c r="B132" s="12" t="str">
        <f>""</f>
        <v/>
      </c>
      <c r="C132" s="12" t="str">
        <f>"Итого по кандидату"</f>
        <v>Итого по кандидату</v>
      </c>
      <c r="D132" s="13">
        <v>127907.56</v>
      </c>
      <c r="E132" s="13">
        <v>0</v>
      </c>
      <c r="F132" s="12" t="str">
        <f>""</f>
        <v/>
      </c>
      <c r="G132" s="13">
        <v>0</v>
      </c>
      <c r="H132" s="14"/>
      <c r="I132" s="13">
        <v>127907.56</v>
      </c>
      <c r="J132" s="15"/>
      <c r="K132" s="13">
        <v>0</v>
      </c>
      <c r="L132" s="12" t="str">
        <f>""</f>
        <v/>
      </c>
      <c r="M132" s="13">
        <v>0</v>
      </c>
      <c r="N132" s="12" t="str">
        <f>""</f>
        <v/>
      </c>
      <c r="O132" s="5"/>
    </row>
    <row r="133" spans="1:15" ht="51">
      <c r="A133" s="6" t="s">
        <v>7</v>
      </c>
      <c r="B133" s="12" t="str">
        <f>""</f>
        <v/>
      </c>
      <c r="C133" s="12" t="str">
        <f>"Избирательный округ (Двадцатый (№ 20)), всего"</f>
        <v>Избирательный округ (Двадцатый (№ 20)), всего</v>
      </c>
      <c r="D133" s="13">
        <v>127907.56</v>
      </c>
      <c r="E133" s="13">
        <v>0</v>
      </c>
      <c r="F133" s="12" t="str">
        <f>""</f>
        <v/>
      </c>
      <c r="G133" s="13">
        <v>0</v>
      </c>
      <c r="H133" s="14"/>
      <c r="I133" s="13">
        <v>127907.56</v>
      </c>
      <c r="J133" s="15"/>
      <c r="K133" s="13">
        <v>0</v>
      </c>
      <c r="L133" s="12" t="str">
        <f>""</f>
        <v/>
      </c>
      <c r="M133" s="13">
        <v>0</v>
      </c>
      <c r="N133" s="12" t="str">
        <f>""</f>
        <v/>
      </c>
      <c r="O133" s="5"/>
    </row>
    <row r="134" spans="1:15" ht="76.5">
      <c r="A134" s="7" t="s">
        <v>67</v>
      </c>
      <c r="B134" s="8" t="str">
        <f>"Двадцать первый (№ 21)"</f>
        <v>Двадцать первый (№ 21)</v>
      </c>
      <c r="C134" s="8" t="str">
        <f>"Астафьев Алексей Владимирович"</f>
        <v>Астафьев Алексей Владимирович</v>
      </c>
      <c r="D134" s="9">
        <v>397682.31</v>
      </c>
      <c r="E134" s="9">
        <v>397682.31</v>
      </c>
      <c r="F134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34" s="9"/>
      <c r="H134" s="10"/>
      <c r="I134" s="9">
        <v>397682.31</v>
      </c>
      <c r="J134" s="11" t="s">
        <v>12</v>
      </c>
      <c r="K134" s="9">
        <v>270000</v>
      </c>
      <c r="L134" s="8" t="str">
        <f>""</f>
        <v/>
      </c>
      <c r="M134" s="9"/>
      <c r="N134" s="8" t="str">
        <f>""</f>
        <v/>
      </c>
      <c r="O134" s="5"/>
    </row>
    <row r="135" spans="1:15" ht="25.5">
      <c r="A135" s="6" t="s">
        <v>7</v>
      </c>
      <c r="B135" s="12" t="str">
        <f>""</f>
        <v/>
      </c>
      <c r="C135" s="12" t="str">
        <f>"Итого по кандидату"</f>
        <v>Итого по кандидату</v>
      </c>
      <c r="D135" s="13">
        <v>397682.31</v>
      </c>
      <c r="E135" s="13">
        <v>397682.31</v>
      </c>
      <c r="F135" s="12" t="str">
        <f>""</f>
        <v/>
      </c>
      <c r="G135" s="13">
        <v>0</v>
      </c>
      <c r="H135" s="14"/>
      <c r="I135" s="13">
        <v>397682.31</v>
      </c>
      <c r="J135" s="15"/>
      <c r="K135" s="13">
        <v>270000</v>
      </c>
      <c r="L135" s="12" t="str">
        <f>""</f>
        <v/>
      </c>
      <c r="M135" s="13">
        <v>0</v>
      </c>
      <c r="N135" s="12" t="str">
        <f>""</f>
        <v/>
      </c>
      <c r="O135" s="2"/>
    </row>
    <row r="136" spans="1:15" ht="38.25">
      <c r="A136" s="7" t="s">
        <v>68</v>
      </c>
      <c r="B136" s="8" t="str">
        <f>"Двадцать первый (№ 21)"</f>
        <v>Двадцать первый (№ 21)</v>
      </c>
      <c r="C136" s="8" t="str">
        <f>"Дедонис Владас Валянтинович"</f>
        <v>Дедонис Владас Валянтинович</v>
      </c>
      <c r="D136" s="9">
        <v>115728</v>
      </c>
      <c r="E136" s="9"/>
      <c r="F136" s="8" t="str">
        <f>""</f>
        <v/>
      </c>
      <c r="G136" s="9"/>
      <c r="H136" s="10"/>
      <c r="I136" s="9">
        <v>115728</v>
      </c>
      <c r="J136" s="11" t="s">
        <v>30</v>
      </c>
      <c r="K136" s="9">
        <v>85728</v>
      </c>
      <c r="L136" s="8" t="str">
        <f>""</f>
        <v/>
      </c>
      <c r="M136" s="9"/>
      <c r="N136" s="8" t="str">
        <f>""</f>
        <v/>
      </c>
      <c r="O136" s="5"/>
    </row>
    <row r="137" spans="1:15" ht="25.5">
      <c r="A137" s="6" t="s">
        <v>7</v>
      </c>
      <c r="B137" s="12" t="str">
        <f>""</f>
        <v/>
      </c>
      <c r="C137" s="12" t="str">
        <f>"Итого по кандидату"</f>
        <v>Итого по кандидату</v>
      </c>
      <c r="D137" s="13">
        <v>115728</v>
      </c>
      <c r="E137" s="13">
        <v>0</v>
      </c>
      <c r="F137" s="12" t="str">
        <f>""</f>
        <v/>
      </c>
      <c r="G137" s="13">
        <v>0</v>
      </c>
      <c r="H137" s="14"/>
      <c r="I137" s="13">
        <v>115728</v>
      </c>
      <c r="J137" s="15"/>
      <c r="K137" s="13">
        <v>85728</v>
      </c>
      <c r="L137" s="12" t="str">
        <f>""</f>
        <v/>
      </c>
      <c r="M137" s="13">
        <v>0</v>
      </c>
      <c r="N137" s="12" t="str">
        <f>""</f>
        <v/>
      </c>
      <c r="O137" s="2"/>
    </row>
    <row r="138" spans="1:15" ht="38.25">
      <c r="A138" s="7" t="s">
        <v>69</v>
      </c>
      <c r="B138" s="8" t="str">
        <f>"Двадцать первый (№ 21)"</f>
        <v>Двадцать первый (№ 21)</v>
      </c>
      <c r="C138" s="8" t="str">
        <f>"Калайтанов Василий Викторович"</f>
        <v>Калайтанов Василий Викторович</v>
      </c>
      <c r="D138" s="9">
        <v>1702</v>
      </c>
      <c r="E138" s="9"/>
      <c r="F138" s="8" t="str">
        <f>""</f>
        <v/>
      </c>
      <c r="G138" s="9"/>
      <c r="H138" s="10"/>
      <c r="I138" s="9">
        <v>1702</v>
      </c>
      <c r="J138" s="11"/>
      <c r="K138" s="9"/>
      <c r="L138" s="8" t="str">
        <f>""</f>
        <v/>
      </c>
      <c r="M138" s="9"/>
      <c r="N138" s="8" t="str">
        <f>""</f>
        <v/>
      </c>
      <c r="O138" s="5"/>
    </row>
    <row r="139" spans="1:15" ht="25.5">
      <c r="A139" s="6" t="s">
        <v>7</v>
      </c>
      <c r="B139" s="12" t="str">
        <f>""</f>
        <v/>
      </c>
      <c r="C139" s="12" t="str">
        <f>"Итого по кандидату"</f>
        <v>Итого по кандидату</v>
      </c>
      <c r="D139" s="13">
        <v>1702</v>
      </c>
      <c r="E139" s="13">
        <v>0</v>
      </c>
      <c r="F139" s="12" t="str">
        <f>""</f>
        <v/>
      </c>
      <c r="G139" s="13">
        <v>0</v>
      </c>
      <c r="H139" s="14"/>
      <c r="I139" s="13">
        <v>1702</v>
      </c>
      <c r="J139" s="15"/>
      <c r="K139" s="13">
        <v>0</v>
      </c>
      <c r="L139" s="12" t="str">
        <f>""</f>
        <v/>
      </c>
      <c r="M139" s="13">
        <v>0</v>
      </c>
      <c r="N139" s="12" t="str">
        <f>""</f>
        <v/>
      </c>
      <c r="O139" s="5"/>
    </row>
    <row r="140" spans="1:15" ht="25.5">
      <c r="A140" s="7" t="s">
        <v>70</v>
      </c>
      <c r="B140" s="8" t="str">
        <f>"Двадцать первый (№ 21)"</f>
        <v>Двадцать первый (№ 21)</v>
      </c>
      <c r="C140" s="8" t="str">
        <f>"Курило Елена Николаевна"</f>
        <v>Курило Елена Николаевна</v>
      </c>
      <c r="D140" s="9">
        <v>6000</v>
      </c>
      <c r="E140" s="9"/>
      <c r="F140" s="8" t="str">
        <f>""</f>
        <v/>
      </c>
      <c r="G140" s="9"/>
      <c r="H140" s="10"/>
      <c r="I140" s="9">
        <v>4885</v>
      </c>
      <c r="J140" s="11"/>
      <c r="K140" s="9"/>
      <c r="L140" s="8" t="str">
        <f>""</f>
        <v/>
      </c>
      <c r="M140" s="9"/>
      <c r="N140" s="8" t="str">
        <f>""</f>
        <v/>
      </c>
      <c r="O140" s="5"/>
    </row>
    <row r="141" spans="1:15" ht="25.5">
      <c r="A141" s="6" t="s">
        <v>7</v>
      </c>
      <c r="B141" s="12" t="str">
        <f>""</f>
        <v/>
      </c>
      <c r="C141" s="12" t="str">
        <f>"Итого по кандидату"</f>
        <v>Итого по кандидату</v>
      </c>
      <c r="D141" s="13">
        <v>6000</v>
      </c>
      <c r="E141" s="13">
        <v>0</v>
      </c>
      <c r="F141" s="12" t="str">
        <f>""</f>
        <v/>
      </c>
      <c r="G141" s="13">
        <v>0</v>
      </c>
      <c r="H141" s="14"/>
      <c r="I141" s="13">
        <v>4885</v>
      </c>
      <c r="J141" s="15"/>
      <c r="K141" s="13">
        <v>0</v>
      </c>
      <c r="L141" s="12" t="str">
        <f>""</f>
        <v/>
      </c>
      <c r="M141" s="13">
        <v>0</v>
      </c>
      <c r="N141" s="12" t="str">
        <f>""</f>
        <v/>
      </c>
      <c r="O141" s="5"/>
    </row>
    <row r="142" spans="1:15" ht="25.5">
      <c r="A142" s="7" t="s">
        <v>71</v>
      </c>
      <c r="B142" s="8" t="str">
        <f>"Двадцать первый (№ 21)"</f>
        <v>Двадцать первый (№ 21)</v>
      </c>
      <c r="C142" s="8" t="str">
        <f>"Сонин Павел Валерьевич"</f>
        <v>Сонин Павел Валерьевич</v>
      </c>
      <c r="D142" s="9">
        <v>11330</v>
      </c>
      <c r="E142" s="9"/>
      <c r="F142" s="8" t="str">
        <f>""</f>
        <v/>
      </c>
      <c r="G142" s="9"/>
      <c r="H142" s="10"/>
      <c r="I142" s="9">
        <v>11330</v>
      </c>
      <c r="J142" s="11"/>
      <c r="K142" s="9"/>
      <c r="L142" s="8" t="str">
        <f>""</f>
        <v/>
      </c>
      <c r="M142" s="9"/>
      <c r="N142" s="8" t="str">
        <f>""</f>
        <v/>
      </c>
      <c r="O142" s="5"/>
    </row>
    <row r="143" spans="1:15" ht="25.5">
      <c r="A143" s="6" t="s">
        <v>7</v>
      </c>
      <c r="B143" s="12" t="str">
        <f>""</f>
        <v/>
      </c>
      <c r="C143" s="12" t="str">
        <f>"Итого по кандидату"</f>
        <v>Итого по кандидату</v>
      </c>
      <c r="D143" s="13">
        <v>11330</v>
      </c>
      <c r="E143" s="13">
        <v>0</v>
      </c>
      <c r="F143" s="12" t="str">
        <f>""</f>
        <v/>
      </c>
      <c r="G143" s="13">
        <v>0</v>
      </c>
      <c r="H143" s="14"/>
      <c r="I143" s="13">
        <v>11330</v>
      </c>
      <c r="J143" s="15"/>
      <c r="K143" s="13">
        <v>0</v>
      </c>
      <c r="L143" s="12" t="str">
        <f>""</f>
        <v/>
      </c>
      <c r="M143" s="13">
        <v>0</v>
      </c>
      <c r="N143" s="12" t="str">
        <f>""</f>
        <v/>
      </c>
      <c r="O143" s="5"/>
    </row>
    <row r="144" spans="1:15" ht="63.75">
      <c r="A144" s="6" t="s">
        <v>7</v>
      </c>
      <c r="B144" s="12" t="str">
        <f>""</f>
        <v/>
      </c>
      <c r="C144" s="12" t="str">
        <f>"Избирательный округ (Двадцать первый (№ 21)), всего"</f>
        <v>Избирательный округ (Двадцать первый (№ 21)), всего</v>
      </c>
      <c r="D144" s="13">
        <v>532442.31000000006</v>
      </c>
      <c r="E144" s="13">
        <v>397682.31</v>
      </c>
      <c r="F144" s="12" t="str">
        <f>""</f>
        <v/>
      </c>
      <c r="G144" s="13">
        <v>0</v>
      </c>
      <c r="H144" s="14"/>
      <c r="I144" s="13">
        <v>531327.31000000006</v>
      </c>
      <c r="J144" s="15"/>
      <c r="K144" s="13">
        <v>355728</v>
      </c>
      <c r="L144" s="12" t="str">
        <f>""</f>
        <v/>
      </c>
      <c r="M144" s="13">
        <v>0</v>
      </c>
      <c r="N144" s="12" t="str">
        <f>""</f>
        <v/>
      </c>
      <c r="O144" s="5"/>
    </row>
    <row r="145" spans="1:15" ht="76.5">
      <c r="A145" s="7" t="s">
        <v>72</v>
      </c>
      <c r="B145" s="8" t="str">
        <f>"Двадцать второй (№ 22)"</f>
        <v>Двадцать второй (№ 22)</v>
      </c>
      <c r="C145" s="8" t="str">
        <f>"Ершов Вячеслав Вячеславович"</f>
        <v>Ершов Вячеслав Вячеславович</v>
      </c>
      <c r="D145" s="9">
        <v>407682.31</v>
      </c>
      <c r="E145" s="9">
        <v>407682.31</v>
      </c>
      <c r="F145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45" s="9"/>
      <c r="H145" s="10"/>
      <c r="I145" s="9">
        <v>407682.31</v>
      </c>
      <c r="J145" s="11" t="s">
        <v>12</v>
      </c>
      <c r="K145" s="9">
        <v>270000</v>
      </c>
      <c r="L145" s="8" t="str">
        <f>""</f>
        <v/>
      </c>
      <c r="M145" s="9"/>
      <c r="N145" s="8" t="str">
        <f>""</f>
        <v/>
      </c>
      <c r="O145" s="5"/>
    </row>
    <row r="146" spans="1:15" ht="25.5">
      <c r="A146" s="6" t="s">
        <v>7</v>
      </c>
      <c r="B146" s="12" t="str">
        <f>""</f>
        <v/>
      </c>
      <c r="C146" s="12" t="str">
        <f>"Итого по кандидату"</f>
        <v>Итого по кандидату</v>
      </c>
      <c r="D146" s="13">
        <v>407682.31</v>
      </c>
      <c r="E146" s="13">
        <v>407682.31</v>
      </c>
      <c r="F146" s="12" t="str">
        <f>""</f>
        <v/>
      </c>
      <c r="G146" s="13">
        <v>0</v>
      </c>
      <c r="H146" s="14"/>
      <c r="I146" s="13">
        <v>407682.31</v>
      </c>
      <c r="J146" s="15"/>
      <c r="K146" s="13">
        <v>270000</v>
      </c>
      <c r="L146" s="12" t="str">
        <f>""</f>
        <v/>
      </c>
      <c r="M146" s="13">
        <v>0</v>
      </c>
      <c r="N146" s="12" t="str">
        <f>""</f>
        <v/>
      </c>
      <c r="O146" s="2"/>
    </row>
    <row r="147" spans="1:15" ht="38.25">
      <c r="A147" s="7" t="s">
        <v>73</v>
      </c>
      <c r="B147" s="8" t="str">
        <f>"Двадцать второй (№ 22)"</f>
        <v>Двадцать второй (№ 22)</v>
      </c>
      <c r="C147" s="8" t="str">
        <f>"Марьин Дмитрий Игоревич"</f>
        <v>Марьин Дмитрий Игоревич</v>
      </c>
      <c r="D147" s="9">
        <v>1702</v>
      </c>
      <c r="E147" s="9"/>
      <c r="F147" s="8" t="str">
        <f>""</f>
        <v/>
      </c>
      <c r="G147" s="9"/>
      <c r="H147" s="10"/>
      <c r="I147" s="9">
        <v>1702</v>
      </c>
      <c r="J147" s="11"/>
      <c r="K147" s="9"/>
      <c r="L147" s="8" t="str">
        <f>""</f>
        <v/>
      </c>
      <c r="M147" s="9"/>
      <c r="N147" s="8" t="str">
        <f>""</f>
        <v/>
      </c>
      <c r="O147" s="5"/>
    </row>
    <row r="148" spans="1:15" ht="25.5">
      <c r="A148" s="6" t="s">
        <v>7</v>
      </c>
      <c r="B148" s="12" t="str">
        <f>""</f>
        <v/>
      </c>
      <c r="C148" s="12" t="str">
        <f>"Итого по кандидату"</f>
        <v>Итого по кандидату</v>
      </c>
      <c r="D148" s="13">
        <v>1702</v>
      </c>
      <c r="E148" s="13">
        <v>0</v>
      </c>
      <c r="F148" s="12" t="str">
        <f>""</f>
        <v/>
      </c>
      <c r="G148" s="13">
        <v>0</v>
      </c>
      <c r="H148" s="14"/>
      <c r="I148" s="13">
        <v>1702</v>
      </c>
      <c r="J148" s="15"/>
      <c r="K148" s="13">
        <v>0</v>
      </c>
      <c r="L148" s="12" t="str">
        <f>""</f>
        <v/>
      </c>
      <c r="M148" s="13">
        <v>0</v>
      </c>
      <c r="N148" s="12" t="str">
        <f>""</f>
        <v/>
      </c>
      <c r="O148" s="5"/>
    </row>
    <row r="149" spans="1:15" ht="63.75">
      <c r="A149" s="6" t="s">
        <v>7</v>
      </c>
      <c r="B149" s="12" t="str">
        <f>""</f>
        <v/>
      </c>
      <c r="C149" s="12" t="str">
        <f>"Избирательный округ (Двадцать второй (№ 22)), всего"</f>
        <v>Избирательный округ (Двадцать второй (№ 22)), всего</v>
      </c>
      <c r="D149" s="13">
        <v>409384.31</v>
      </c>
      <c r="E149" s="13">
        <v>407682.31</v>
      </c>
      <c r="F149" s="12" t="str">
        <f>""</f>
        <v/>
      </c>
      <c r="G149" s="13">
        <v>0</v>
      </c>
      <c r="H149" s="14"/>
      <c r="I149" s="13">
        <v>409384.31</v>
      </c>
      <c r="J149" s="15"/>
      <c r="K149" s="13">
        <v>270000</v>
      </c>
      <c r="L149" s="12" t="str">
        <f>""</f>
        <v/>
      </c>
      <c r="M149" s="13">
        <v>0</v>
      </c>
      <c r="N149" s="12" t="str">
        <f>""</f>
        <v/>
      </c>
      <c r="O149" s="5"/>
    </row>
    <row r="150" spans="1:15" ht="76.5">
      <c r="A150" s="7" t="s">
        <v>74</v>
      </c>
      <c r="B150" s="8" t="str">
        <f>"Двадцать третий (№ 23)"</f>
        <v>Двадцать третий (№ 23)</v>
      </c>
      <c r="C150" s="8" t="str">
        <f>"Кононыхин Евгений Константинович"</f>
        <v>Кононыхин Евгений Константинович</v>
      </c>
      <c r="D150" s="9">
        <v>397682.31</v>
      </c>
      <c r="E150" s="9">
        <v>397682.31</v>
      </c>
      <c r="F150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50" s="9"/>
      <c r="H150" s="10"/>
      <c r="I150" s="9">
        <v>397682.31</v>
      </c>
      <c r="J150" s="11" t="s">
        <v>12</v>
      </c>
      <c r="K150" s="9">
        <v>270000</v>
      </c>
      <c r="L150" s="8" t="str">
        <f>""</f>
        <v/>
      </c>
      <c r="M150" s="9"/>
      <c r="N150" s="8" t="str">
        <f>""</f>
        <v/>
      </c>
      <c r="O150" s="5"/>
    </row>
    <row r="151" spans="1:15" ht="25.5">
      <c r="A151" s="6" t="s">
        <v>7</v>
      </c>
      <c r="B151" s="12" t="str">
        <f>""</f>
        <v/>
      </c>
      <c r="C151" s="12" t="str">
        <f>"Итого по кандидату"</f>
        <v>Итого по кандидату</v>
      </c>
      <c r="D151" s="13">
        <v>397682.31</v>
      </c>
      <c r="E151" s="13">
        <v>397682.31</v>
      </c>
      <c r="F151" s="12" t="str">
        <f>""</f>
        <v/>
      </c>
      <c r="G151" s="13">
        <v>0</v>
      </c>
      <c r="H151" s="14"/>
      <c r="I151" s="13">
        <v>397682.31</v>
      </c>
      <c r="J151" s="15"/>
      <c r="K151" s="13">
        <v>270000</v>
      </c>
      <c r="L151" s="12" t="str">
        <f>""</f>
        <v/>
      </c>
      <c r="M151" s="13">
        <v>0</v>
      </c>
      <c r="N151" s="12" t="str">
        <f>""</f>
        <v/>
      </c>
      <c r="O151" s="2"/>
    </row>
    <row r="152" spans="1:15" ht="51">
      <c r="A152" s="7" t="s">
        <v>75</v>
      </c>
      <c r="B152" s="8" t="str">
        <f>"Двадцать третий (№ 23)"</f>
        <v>Двадцать третий (№ 23)</v>
      </c>
      <c r="C152" s="8" t="str">
        <f>"Котельникова Анна Владимировна"</f>
        <v>Котельникова Анна Владимировна</v>
      </c>
      <c r="D152" s="9">
        <v>1380</v>
      </c>
      <c r="E152" s="9"/>
      <c r="F152" s="8" t="str">
        <f>""</f>
        <v/>
      </c>
      <c r="G152" s="9"/>
      <c r="H152" s="10"/>
      <c r="I152" s="9">
        <v>1380</v>
      </c>
      <c r="J152" s="11"/>
      <c r="K152" s="9"/>
      <c r="L152" s="8" t="str">
        <f>""</f>
        <v/>
      </c>
      <c r="M152" s="9"/>
      <c r="N152" s="8" t="str">
        <f>""</f>
        <v/>
      </c>
      <c r="O152" s="5"/>
    </row>
    <row r="153" spans="1:15" ht="25.5">
      <c r="A153" s="6" t="s">
        <v>7</v>
      </c>
      <c r="B153" s="12" t="str">
        <f>""</f>
        <v/>
      </c>
      <c r="C153" s="12" t="str">
        <f>"Итого по кандидату"</f>
        <v>Итого по кандидату</v>
      </c>
      <c r="D153" s="13">
        <v>1380</v>
      </c>
      <c r="E153" s="13">
        <v>0</v>
      </c>
      <c r="F153" s="12" t="str">
        <f>""</f>
        <v/>
      </c>
      <c r="G153" s="13">
        <v>0</v>
      </c>
      <c r="H153" s="14"/>
      <c r="I153" s="13">
        <v>1380</v>
      </c>
      <c r="J153" s="15"/>
      <c r="K153" s="13">
        <v>0</v>
      </c>
      <c r="L153" s="12" t="str">
        <f>""</f>
        <v/>
      </c>
      <c r="M153" s="13">
        <v>0</v>
      </c>
      <c r="N153" s="12" t="str">
        <f>""</f>
        <v/>
      </c>
      <c r="O153" s="5"/>
    </row>
    <row r="154" spans="1:15" ht="38.25">
      <c r="A154" s="7" t="s">
        <v>76</v>
      </c>
      <c r="B154" s="8" t="str">
        <f>"Двадцать третий (№ 23)"</f>
        <v>Двадцать третий (№ 23)</v>
      </c>
      <c r="C154" s="8" t="str">
        <f>"Сергеева Татьяна Николаевна"</f>
        <v>Сергеева Татьяна Николаевна</v>
      </c>
      <c r="D154" s="9">
        <v>500</v>
      </c>
      <c r="E154" s="9"/>
      <c r="F154" s="8" t="str">
        <f>""</f>
        <v/>
      </c>
      <c r="G154" s="9"/>
      <c r="H154" s="10"/>
      <c r="I154" s="9">
        <v>385</v>
      </c>
      <c r="J154" s="11"/>
      <c r="K154" s="9"/>
      <c r="L154" s="8" t="str">
        <f>""</f>
        <v/>
      </c>
      <c r="M154" s="9"/>
      <c r="N154" s="8" t="str">
        <f>""</f>
        <v/>
      </c>
      <c r="O154" s="5"/>
    </row>
    <row r="155" spans="1:15" ht="25.5">
      <c r="A155" s="6" t="s">
        <v>7</v>
      </c>
      <c r="B155" s="12" t="str">
        <f>""</f>
        <v/>
      </c>
      <c r="C155" s="12" t="str">
        <f>"Итого по кандидату"</f>
        <v>Итого по кандидату</v>
      </c>
      <c r="D155" s="13">
        <v>500</v>
      </c>
      <c r="E155" s="13">
        <v>0</v>
      </c>
      <c r="F155" s="12" t="str">
        <f>""</f>
        <v/>
      </c>
      <c r="G155" s="13">
        <v>0</v>
      </c>
      <c r="H155" s="14"/>
      <c r="I155" s="13">
        <v>385</v>
      </c>
      <c r="J155" s="15"/>
      <c r="K155" s="13">
        <v>0</v>
      </c>
      <c r="L155" s="12" t="str">
        <f>""</f>
        <v/>
      </c>
      <c r="M155" s="13">
        <v>0</v>
      </c>
      <c r="N155" s="12" t="str">
        <f>""</f>
        <v/>
      </c>
      <c r="O155" s="5"/>
    </row>
    <row r="156" spans="1:15" ht="38.25">
      <c r="A156" s="7" t="s">
        <v>77</v>
      </c>
      <c r="B156" s="8" t="str">
        <f>"Двадцать третий (№ 23)"</f>
        <v>Двадцать третий (№ 23)</v>
      </c>
      <c r="C156" s="8" t="str">
        <f>"Скуратович Андрей Валерьевич"</f>
        <v>Скуратович Андрей Валерьевич</v>
      </c>
      <c r="D156" s="9">
        <v>34000</v>
      </c>
      <c r="E156" s="9"/>
      <c r="F156" s="8" t="str">
        <f>""</f>
        <v/>
      </c>
      <c r="G156" s="9"/>
      <c r="H156" s="10"/>
      <c r="I156" s="9">
        <v>33798.879999999997</v>
      </c>
      <c r="J156" s="11"/>
      <c r="K156" s="9"/>
      <c r="L156" s="8" t="str">
        <f>""</f>
        <v/>
      </c>
      <c r="M156" s="9"/>
      <c r="N156" s="8" t="str">
        <f>""</f>
        <v/>
      </c>
      <c r="O156" s="5"/>
    </row>
    <row r="157" spans="1:15" ht="25.5">
      <c r="A157" s="6" t="s">
        <v>7</v>
      </c>
      <c r="B157" s="12" t="str">
        <f>""</f>
        <v/>
      </c>
      <c r="C157" s="12" t="str">
        <f>"Итого по кандидату"</f>
        <v>Итого по кандидату</v>
      </c>
      <c r="D157" s="13">
        <v>34000</v>
      </c>
      <c r="E157" s="13">
        <v>0</v>
      </c>
      <c r="F157" s="12" t="str">
        <f>""</f>
        <v/>
      </c>
      <c r="G157" s="13">
        <v>0</v>
      </c>
      <c r="H157" s="14"/>
      <c r="I157" s="13">
        <v>33798.879999999997</v>
      </c>
      <c r="J157" s="15"/>
      <c r="K157" s="13">
        <v>0</v>
      </c>
      <c r="L157" s="12" t="str">
        <f>""</f>
        <v/>
      </c>
      <c r="M157" s="13">
        <v>0</v>
      </c>
      <c r="N157" s="12" t="str">
        <f>""</f>
        <v/>
      </c>
      <c r="O157" s="5"/>
    </row>
    <row r="158" spans="1:15" ht="63.75">
      <c r="A158" s="6" t="s">
        <v>7</v>
      </c>
      <c r="B158" s="12" t="str">
        <f>""</f>
        <v/>
      </c>
      <c r="C158" s="12" t="str">
        <f>"Избирательный округ (Двадцать третий (№ 23)), всего"</f>
        <v>Избирательный округ (Двадцать третий (№ 23)), всего</v>
      </c>
      <c r="D158" s="13">
        <v>433562.31</v>
      </c>
      <c r="E158" s="13">
        <v>397682.31</v>
      </c>
      <c r="F158" s="12" t="str">
        <f>""</f>
        <v/>
      </c>
      <c r="G158" s="13">
        <v>0</v>
      </c>
      <c r="H158" s="14"/>
      <c r="I158" s="13">
        <v>433246.19</v>
      </c>
      <c r="J158" s="15"/>
      <c r="K158" s="13">
        <v>270000</v>
      </c>
      <c r="L158" s="12" t="str">
        <f>""</f>
        <v/>
      </c>
      <c r="M158" s="13">
        <v>0</v>
      </c>
      <c r="N158" s="12" t="str">
        <f>""</f>
        <v/>
      </c>
      <c r="O158" s="5"/>
    </row>
    <row r="159" spans="1:15" ht="38.25">
      <c r="A159" s="7" t="s">
        <v>78</v>
      </c>
      <c r="B159" s="8" t="str">
        <f>"Двадцать четвертый (№ 24)"</f>
        <v>Двадцать четвертый (№ 24)</v>
      </c>
      <c r="C159" s="8" t="str">
        <f>"Ефремов Алексей Сергеевич"</f>
        <v>Ефремов Алексей Сергеевич</v>
      </c>
      <c r="D159" s="9">
        <v>1702</v>
      </c>
      <c r="E159" s="9"/>
      <c r="F159" s="8" t="str">
        <f>""</f>
        <v/>
      </c>
      <c r="G159" s="9"/>
      <c r="H159" s="10"/>
      <c r="I159" s="9">
        <v>0</v>
      </c>
      <c r="J159" s="11"/>
      <c r="K159" s="9"/>
      <c r="L159" s="8" t="str">
        <f>""</f>
        <v/>
      </c>
      <c r="M159" s="9"/>
      <c r="N159" s="8" t="str">
        <f>""</f>
        <v/>
      </c>
      <c r="O159" s="5"/>
    </row>
    <row r="160" spans="1:15" ht="25.5">
      <c r="A160" s="6" t="s">
        <v>7</v>
      </c>
      <c r="B160" s="12" t="str">
        <f>""</f>
        <v/>
      </c>
      <c r="C160" s="12" t="str">
        <f>"Итого по кандидату"</f>
        <v>Итого по кандидату</v>
      </c>
      <c r="D160" s="13">
        <v>1702</v>
      </c>
      <c r="E160" s="13">
        <v>0</v>
      </c>
      <c r="F160" s="12" t="str">
        <f>""</f>
        <v/>
      </c>
      <c r="G160" s="13">
        <v>0</v>
      </c>
      <c r="H160" s="14"/>
      <c r="I160" s="13">
        <v>0</v>
      </c>
      <c r="J160" s="15"/>
      <c r="K160" s="13">
        <v>0</v>
      </c>
      <c r="L160" s="12" t="str">
        <f>""</f>
        <v/>
      </c>
      <c r="M160" s="13">
        <v>0</v>
      </c>
      <c r="N160" s="12" t="str">
        <f>""</f>
        <v/>
      </c>
      <c r="O160" s="5"/>
    </row>
    <row r="161" spans="1:15" ht="76.5">
      <c r="A161" s="7" t="s">
        <v>79</v>
      </c>
      <c r="B161" s="8" t="str">
        <f>"Двадцать четвертый (№ 24)"</f>
        <v>Двадцать четвертый (№ 24)</v>
      </c>
      <c r="C161" s="8" t="str">
        <f>"Намаконова Екатерина Алексеевна"</f>
        <v>Намаконова Екатерина Алексеевна</v>
      </c>
      <c r="D161" s="9">
        <v>397682.31</v>
      </c>
      <c r="E161" s="9">
        <v>397682.31</v>
      </c>
      <c r="F161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61" s="9"/>
      <c r="H161" s="10"/>
      <c r="I161" s="9">
        <v>397682.31</v>
      </c>
      <c r="J161" s="11" t="s">
        <v>12</v>
      </c>
      <c r="K161" s="9">
        <v>270000</v>
      </c>
      <c r="L161" s="8" t="str">
        <f>""</f>
        <v/>
      </c>
      <c r="M161" s="9"/>
      <c r="N161" s="8" t="str">
        <f>""</f>
        <v/>
      </c>
      <c r="O161" s="5"/>
    </row>
    <row r="162" spans="1:15" ht="25.5">
      <c r="A162" s="6" t="s">
        <v>7</v>
      </c>
      <c r="B162" s="12" t="str">
        <f>""</f>
        <v/>
      </c>
      <c r="C162" s="12" t="str">
        <f>"Итого по кандидату"</f>
        <v>Итого по кандидату</v>
      </c>
      <c r="D162" s="13">
        <v>397682.31</v>
      </c>
      <c r="E162" s="13">
        <v>397682.31</v>
      </c>
      <c r="F162" s="12" t="str">
        <f>""</f>
        <v/>
      </c>
      <c r="G162" s="13">
        <v>0</v>
      </c>
      <c r="H162" s="14"/>
      <c r="I162" s="13">
        <v>397682.31</v>
      </c>
      <c r="J162" s="15"/>
      <c r="K162" s="13">
        <v>270000</v>
      </c>
      <c r="L162" s="12" t="str">
        <f>""</f>
        <v/>
      </c>
      <c r="M162" s="13">
        <v>0</v>
      </c>
      <c r="N162" s="12" t="str">
        <f>""</f>
        <v/>
      </c>
      <c r="O162" s="2"/>
    </row>
    <row r="163" spans="1:15" ht="38.25">
      <c r="A163" s="7" t="s">
        <v>80</v>
      </c>
      <c r="B163" s="8" t="str">
        <f>"Двадцать четвертый (№ 24)"</f>
        <v>Двадцать четвертый (№ 24)</v>
      </c>
      <c r="C163" s="8" t="str">
        <f>"Неонов Игорь Сергеевич"</f>
        <v>Неонов Игорь Сергеевич</v>
      </c>
      <c r="D163" s="9">
        <v>100000</v>
      </c>
      <c r="E163" s="9">
        <v>100000</v>
      </c>
      <c r="F163" s="8" t="str">
        <f>"АООПП КПРФ"</f>
        <v>АООПП КПРФ</v>
      </c>
      <c r="G163" s="9"/>
      <c r="H163" s="10"/>
      <c r="I163" s="9">
        <v>100000</v>
      </c>
      <c r="J163" s="11" t="s">
        <v>30</v>
      </c>
      <c r="K163" s="9">
        <v>100000</v>
      </c>
      <c r="L163" s="8" t="str">
        <f>""</f>
        <v/>
      </c>
      <c r="M163" s="9"/>
      <c r="N163" s="8" t="str">
        <f>""</f>
        <v/>
      </c>
      <c r="O163" s="5"/>
    </row>
    <row r="164" spans="1:15" ht="25.5">
      <c r="A164" s="6" t="s">
        <v>7</v>
      </c>
      <c r="B164" s="12" t="str">
        <f>""</f>
        <v/>
      </c>
      <c r="C164" s="12" t="str">
        <f>"Итого по кандидату"</f>
        <v>Итого по кандидату</v>
      </c>
      <c r="D164" s="13">
        <v>100000</v>
      </c>
      <c r="E164" s="13">
        <v>100000</v>
      </c>
      <c r="F164" s="12" t="str">
        <f>""</f>
        <v/>
      </c>
      <c r="G164" s="13">
        <v>0</v>
      </c>
      <c r="H164" s="14"/>
      <c r="I164" s="13">
        <v>100000</v>
      </c>
      <c r="J164" s="15"/>
      <c r="K164" s="13">
        <v>100000</v>
      </c>
      <c r="L164" s="12" t="str">
        <f>""</f>
        <v/>
      </c>
      <c r="M164" s="13">
        <v>0</v>
      </c>
      <c r="N164" s="12" t="str">
        <f>""</f>
        <v/>
      </c>
      <c r="O164" s="2"/>
    </row>
    <row r="165" spans="1:15" ht="63.75">
      <c r="A165" s="6" t="s">
        <v>7</v>
      </c>
      <c r="B165" s="12" t="str">
        <f>""</f>
        <v/>
      </c>
      <c r="C165" s="12" t="str">
        <f>"Избирательный округ (Двадцать четвертый (№ 24)), всего"</f>
        <v>Избирательный округ (Двадцать четвертый (№ 24)), всего</v>
      </c>
      <c r="D165" s="13">
        <v>499384.31</v>
      </c>
      <c r="E165" s="13">
        <v>497682.31</v>
      </c>
      <c r="F165" s="12" t="str">
        <f>""</f>
        <v/>
      </c>
      <c r="G165" s="13">
        <v>0</v>
      </c>
      <c r="H165" s="14"/>
      <c r="I165" s="13">
        <v>497682.31</v>
      </c>
      <c r="J165" s="15"/>
      <c r="K165" s="13">
        <v>370000</v>
      </c>
      <c r="L165" s="12" t="str">
        <f>""</f>
        <v/>
      </c>
      <c r="M165" s="13">
        <v>0</v>
      </c>
      <c r="N165" s="12" t="str">
        <f>""</f>
        <v/>
      </c>
      <c r="O165" s="5"/>
    </row>
    <row r="166" spans="1:15" ht="51">
      <c r="A166" s="7" t="s">
        <v>81</v>
      </c>
      <c r="B166" s="8" t="str">
        <f>"Двадцать пятый (№ 25)"</f>
        <v>Двадцать пятый (№ 25)</v>
      </c>
      <c r="C166" s="8" t="str">
        <f>"Коваленко Андрей Владимирович"</f>
        <v>Коваленко Андрей Владимирович</v>
      </c>
      <c r="D166" s="9">
        <v>7000</v>
      </c>
      <c r="E166" s="9"/>
      <c r="F166" s="8" t="str">
        <f>""</f>
        <v/>
      </c>
      <c r="G166" s="9"/>
      <c r="H166" s="10"/>
      <c r="I166" s="9">
        <v>7000</v>
      </c>
      <c r="J166" s="11"/>
      <c r="K166" s="9"/>
      <c r="L166" s="8" t="str">
        <f>""</f>
        <v/>
      </c>
      <c r="M166" s="9"/>
      <c r="N166" s="8" t="str">
        <f>""</f>
        <v/>
      </c>
      <c r="O166" s="5"/>
    </row>
    <row r="167" spans="1:15" ht="25.5">
      <c r="A167" s="6" t="s">
        <v>7</v>
      </c>
      <c r="B167" s="12" t="str">
        <f>""</f>
        <v/>
      </c>
      <c r="C167" s="12" t="str">
        <f>"Итого по кандидату"</f>
        <v>Итого по кандидату</v>
      </c>
      <c r="D167" s="13">
        <v>7000</v>
      </c>
      <c r="E167" s="13">
        <v>0</v>
      </c>
      <c r="F167" s="12" t="str">
        <f>""</f>
        <v/>
      </c>
      <c r="G167" s="13">
        <v>0</v>
      </c>
      <c r="H167" s="14"/>
      <c r="I167" s="13">
        <v>7000</v>
      </c>
      <c r="J167" s="15"/>
      <c r="K167" s="13">
        <v>0</v>
      </c>
      <c r="L167" s="12" t="str">
        <f>""</f>
        <v/>
      </c>
      <c r="M167" s="13">
        <v>0</v>
      </c>
      <c r="N167" s="12" t="str">
        <f>""</f>
        <v/>
      </c>
      <c r="O167" s="5"/>
    </row>
    <row r="168" spans="1:15" ht="76.5">
      <c r="A168" s="7" t="s">
        <v>82</v>
      </c>
      <c r="B168" s="8" t="str">
        <f>"Двадцать пятый (№ 25)"</f>
        <v>Двадцать пятый (№ 25)</v>
      </c>
      <c r="C168" s="8" t="str">
        <f>"Попов Степан Вячеславович"</f>
        <v>Попов Степан Вячеславович</v>
      </c>
      <c r="D168" s="9">
        <v>400932.31</v>
      </c>
      <c r="E168" s="9">
        <v>400932.31</v>
      </c>
      <c r="F168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68" s="9"/>
      <c r="H168" s="10"/>
      <c r="I168" s="9">
        <v>400932.31</v>
      </c>
      <c r="J168" s="11" t="s">
        <v>12</v>
      </c>
      <c r="K168" s="9">
        <v>270000</v>
      </c>
      <c r="L168" s="8" t="str">
        <f>""</f>
        <v/>
      </c>
      <c r="M168" s="9"/>
      <c r="N168" s="8" t="str">
        <f>""</f>
        <v/>
      </c>
      <c r="O168" s="5"/>
    </row>
    <row r="169" spans="1:15" ht="25.5">
      <c r="A169" s="6" t="s">
        <v>7</v>
      </c>
      <c r="B169" s="12" t="str">
        <f>""</f>
        <v/>
      </c>
      <c r="C169" s="12" t="str">
        <f>"Итого по кандидату"</f>
        <v>Итого по кандидату</v>
      </c>
      <c r="D169" s="13">
        <v>400932.31</v>
      </c>
      <c r="E169" s="13">
        <v>400932.31</v>
      </c>
      <c r="F169" s="12" t="str">
        <f>""</f>
        <v/>
      </c>
      <c r="G169" s="13">
        <v>0</v>
      </c>
      <c r="H169" s="14"/>
      <c r="I169" s="13">
        <v>400932.31</v>
      </c>
      <c r="J169" s="15"/>
      <c r="K169" s="13">
        <v>270000</v>
      </c>
      <c r="L169" s="12" t="str">
        <f>""</f>
        <v/>
      </c>
      <c r="M169" s="13">
        <v>0</v>
      </c>
      <c r="N169" s="12" t="str">
        <f>""</f>
        <v/>
      </c>
      <c r="O169" s="2"/>
    </row>
    <row r="170" spans="1:15" ht="63.75">
      <c r="A170" s="6" t="s">
        <v>7</v>
      </c>
      <c r="B170" s="12" t="str">
        <f>""</f>
        <v/>
      </c>
      <c r="C170" s="12" t="str">
        <f>"Избирательный округ (Двадцать пятый (№ 25)), всего"</f>
        <v>Избирательный округ (Двадцать пятый (№ 25)), всего</v>
      </c>
      <c r="D170" s="13">
        <v>407932.31</v>
      </c>
      <c r="E170" s="13">
        <v>400932.31</v>
      </c>
      <c r="F170" s="12" t="str">
        <f>""</f>
        <v/>
      </c>
      <c r="G170" s="13">
        <v>0</v>
      </c>
      <c r="H170" s="14"/>
      <c r="I170" s="13">
        <v>407932.31</v>
      </c>
      <c r="J170" s="15"/>
      <c r="K170" s="13">
        <v>270000</v>
      </c>
      <c r="L170" s="12" t="str">
        <f>""</f>
        <v/>
      </c>
      <c r="M170" s="13">
        <v>0</v>
      </c>
      <c r="N170" s="12" t="str">
        <f>""</f>
        <v/>
      </c>
      <c r="O170" s="5"/>
    </row>
    <row r="171" spans="1:15" ht="38.25">
      <c r="A171" s="7" t="s">
        <v>83</v>
      </c>
      <c r="B171" s="8" t="str">
        <f>"Двадцать шестой (№ 26)"</f>
        <v>Двадцать шестой (№ 26)</v>
      </c>
      <c r="C171" s="8" t="str">
        <f>"Бутузов Виталий Викторович"</f>
        <v>Бутузов Виталий Викторович</v>
      </c>
      <c r="D171" s="9">
        <v>51075</v>
      </c>
      <c r="E171" s="9"/>
      <c r="F171" s="8" t="str">
        <f>""</f>
        <v/>
      </c>
      <c r="G171" s="9"/>
      <c r="H171" s="10"/>
      <c r="I171" s="9">
        <v>51075</v>
      </c>
      <c r="J171" s="11"/>
      <c r="K171" s="9"/>
      <c r="L171" s="8" t="str">
        <f>""</f>
        <v/>
      </c>
      <c r="M171" s="9"/>
      <c r="N171" s="8" t="str">
        <f>""</f>
        <v/>
      </c>
      <c r="O171" s="5"/>
    </row>
    <row r="172" spans="1:15" ht="25.5">
      <c r="A172" s="6" t="s">
        <v>7</v>
      </c>
      <c r="B172" s="12" t="str">
        <f>""</f>
        <v/>
      </c>
      <c r="C172" s="12" t="str">
        <f>"Итого по кандидату"</f>
        <v>Итого по кандидату</v>
      </c>
      <c r="D172" s="13">
        <v>51075</v>
      </c>
      <c r="E172" s="13">
        <v>0</v>
      </c>
      <c r="F172" s="12" t="str">
        <f>""</f>
        <v/>
      </c>
      <c r="G172" s="13">
        <v>0</v>
      </c>
      <c r="H172" s="14"/>
      <c r="I172" s="13">
        <v>51075</v>
      </c>
      <c r="J172" s="15"/>
      <c r="K172" s="13">
        <v>0</v>
      </c>
      <c r="L172" s="12" t="str">
        <f>""</f>
        <v/>
      </c>
      <c r="M172" s="13">
        <v>0</v>
      </c>
      <c r="N172" s="12" t="str">
        <f>""</f>
        <v/>
      </c>
      <c r="O172" s="5"/>
    </row>
    <row r="173" spans="1:15" ht="51">
      <c r="A173" s="7" t="s">
        <v>84</v>
      </c>
      <c r="B173" s="8" t="str">
        <f>"Двадцать шестой (№ 26)"</f>
        <v>Двадцать шестой (№ 26)</v>
      </c>
      <c r="C173" s="8" t="str">
        <f>"Замчевская Юлия Александровна"</f>
        <v>Замчевская Юлия Александровна</v>
      </c>
      <c r="D173" s="9">
        <v>1702</v>
      </c>
      <c r="E173" s="9"/>
      <c r="F173" s="8" t="str">
        <f>""</f>
        <v/>
      </c>
      <c r="G173" s="9"/>
      <c r="H173" s="10"/>
      <c r="I173" s="9">
        <v>1702</v>
      </c>
      <c r="J173" s="11"/>
      <c r="K173" s="9"/>
      <c r="L173" s="8" t="str">
        <f>""</f>
        <v/>
      </c>
      <c r="M173" s="9"/>
      <c r="N173" s="8" t="str">
        <f>""</f>
        <v/>
      </c>
      <c r="O173" s="5"/>
    </row>
    <row r="174" spans="1:15" ht="25.5">
      <c r="A174" s="6" t="s">
        <v>7</v>
      </c>
      <c r="B174" s="12" t="str">
        <f>""</f>
        <v/>
      </c>
      <c r="C174" s="12" t="str">
        <f>"Итого по кандидату"</f>
        <v>Итого по кандидату</v>
      </c>
      <c r="D174" s="13">
        <v>1702</v>
      </c>
      <c r="E174" s="13">
        <v>0</v>
      </c>
      <c r="F174" s="12" t="str">
        <f>""</f>
        <v/>
      </c>
      <c r="G174" s="13">
        <v>0</v>
      </c>
      <c r="H174" s="14"/>
      <c r="I174" s="13">
        <v>1702</v>
      </c>
      <c r="J174" s="15"/>
      <c r="K174" s="13">
        <v>0</v>
      </c>
      <c r="L174" s="12" t="str">
        <f>""</f>
        <v/>
      </c>
      <c r="M174" s="13">
        <v>0</v>
      </c>
      <c r="N174" s="12" t="str">
        <f>""</f>
        <v/>
      </c>
      <c r="O174" s="5"/>
    </row>
    <row r="175" spans="1:15" ht="25.5">
      <c r="A175" s="7" t="s">
        <v>85</v>
      </c>
      <c r="B175" s="8" t="str">
        <f>"Двадцать шестой (№ 26)"</f>
        <v>Двадцать шестой (№ 26)</v>
      </c>
      <c r="C175" s="8" t="str">
        <f>"Зотов Михаил Вячеславович"</f>
        <v>Зотов Михаил Вячеславович</v>
      </c>
      <c r="D175" s="9">
        <v>100000</v>
      </c>
      <c r="E175" s="9">
        <v>100000</v>
      </c>
      <c r="F175" s="8" t="str">
        <f>"ЛДПР"</f>
        <v>ЛДПР</v>
      </c>
      <c r="G175" s="9"/>
      <c r="H175" s="10"/>
      <c r="I175" s="9">
        <v>100000</v>
      </c>
      <c r="J175" s="11"/>
      <c r="K175" s="9"/>
      <c r="L175" s="8" t="str">
        <f>""</f>
        <v/>
      </c>
      <c r="M175" s="9"/>
      <c r="N175" s="8" t="str">
        <f>""</f>
        <v/>
      </c>
      <c r="O175" s="5"/>
    </row>
    <row r="176" spans="1:15" ht="25.5">
      <c r="A176" s="6" t="s">
        <v>7</v>
      </c>
      <c r="B176" s="12" t="str">
        <f>""</f>
        <v/>
      </c>
      <c r="C176" s="12" t="str">
        <f>"Итого по кандидату"</f>
        <v>Итого по кандидату</v>
      </c>
      <c r="D176" s="13">
        <v>100000</v>
      </c>
      <c r="E176" s="13">
        <v>100000</v>
      </c>
      <c r="F176" s="12" t="str">
        <f>""</f>
        <v/>
      </c>
      <c r="G176" s="13">
        <v>0</v>
      </c>
      <c r="H176" s="14"/>
      <c r="I176" s="13">
        <v>100000</v>
      </c>
      <c r="J176" s="15"/>
      <c r="K176" s="13">
        <v>0</v>
      </c>
      <c r="L176" s="12" t="str">
        <f>""</f>
        <v/>
      </c>
      <c r="M176" s="13">
        <v>0</v>
      </c>
      <c r="N176" s="12" t="str">
        <f>""</f>
        <v/>
      </c>
      <c r="O176" s="5"/>
    </row>
    <row r="177" spans="1:15" ht="38.25">
      <c r="A177" s="7" t="s">
        <v>86</v>
      </c>
      <c r="B177" s="8" t="str">
        <f>"Двадцать шестой (№ 26)"</f>
        <v>Двадцать шестой (№ 26)</v>
      </c>
      <c r="C177" s="8" t="str">
        <f>"Щедрин Максим Андреевич"</f>
        <v>Щедрин Максим Андреевич</v>
      </c>
      <c r="D177" s="9">
        <v>127907.31</v>
      </c>
      <c r="E177" s="9"/>
      <c r="F177" s="8" t="str">
        <f>""</f>
        <v/>
      </c>
      <c r="G177" s="9"/>
      <c r="H177" s="10"/>
      <c r="I177" s="9">
        <v>127907.31</v>
      </c>
      <c r="J177" s="11"/>
      <c r="K177" s="9"/>
      <c r="L177" s="8" t="str">
        <f>""</f>
        <v/>
      </c>
      <c r="M177" s="9"/>
      <c r="N177" s="8" t="str">
        <f>""</f>
        <v/>
      </c>
      <c r="O177" s="5"/>
    </row>
    <row r="178" spans="1:15" ht="25.5">
      <c r="A178" s="6" t="s">
        <v>7</v>
      </c>
      <c r="B178" s="12" t="str">
        <f>""</f>
        <v/>
      </c>
      <c r="C178" s="12" t="str">
        <f>"Итого по кандидату"</f>
        <v>Итого по кандидату</v>
      </c>
      <c r="D178" s="13">
        <v>127907.31</v>
      </c>
      <c r="E178" s="13">
        <v>0</v>
      </c>
      <c r="F178" s="12" t="str">
        <f>""</f>
        <v/>
      </c>
      <c r="G178" s="13">
        <v>0</v>
      </c>
      <c r="H178" s="14"/>
      <c r="I178" s="13">
        <v>127907.31</v>
      </c>
      <c r="J178" s="15"/>
      <c r="K178" s="13">
        <v>0</v>
      </c>
      <c r="L178" s="12" t="str">
        <f>""</f>
        <v/>
      </c>
      <c r="M178" s="13">
        <v>0</v>
      </c>
      <c r="N178" s="12" t="str">
        <f>""</f>
        <v/>
      </c>
      <c r="O178" s="5"/>
    </row>
    <row r="179" spans="1:15" ht="63.75">
      <c r="A179" s="6" t="s">
        <v>7</v>
      </c>
      <c r="B179" s="12" t="str">
        <f>""</f>
        <v/>
      </c>
      <c r="C179" s="12" t="str">
        <f>"Избирательный округ (Двадцать шестой (№ 26)), всего"</f>
        <v>Избирательный округ (Двадцать шестой (№ 26)), всего</v>
      </c>
      <c r="D179" s="13">
        <v>280684.31</v>
      </c>
      <c r="E179" s="13">
        <v>100000</v>
      </c>
      <c r="F179" s="12" t="str">
        <f>""</f>
        <v/>
      </c>
      <c r="G179" s="13">
        <v>0</v>
      </c>
      <c r="H179" s="14"/>
      <c r="I179" s="13">
        <v>280684.31</v>
      </c>
      <c r="J179" s="15"/>
      <c r="K179" s="13">
        <v>0</v>
      </c>
      <c r="L179" s="12" t="str">
        <f>""</f>
        <v/>
      </c>
      <c r="M179" s="13">
        <v>0</v>
      </c>
      <c r="N179" s="12" t="str">
        <f>""</f>
        <v/>
      </c>
      <c r="O179" s="5"/>
    </row>
    <row r="180" spans="1:15" ht="38.25">
      <c r="A180" s="7" t="s">
        <v>87</v>
      </c>
      <c r="B180" s="8" t="str">
        <f>"Двадцать седьмой (№ 27)"</f>
        <v>Двадцать седьмой (№ 27)</v>
      </c>
      <c r="C180" s="8" t="str">
        <f>"Лизандер Мария Ивановна"</f>
        <v>Лизандер Мария Ивановна</v>
      </c>
      <c r="D180" s="9">
        <v>5340.5</v>
      </c>
      <c r="E180" s="9"/>
      <c r="F180" s="8" t="str">
        <f>""</f>
        <v/>
      </c>
      <c r="G180" s="9"/>
      <c r="H180" s="10"/>
      <c r="I180" s="9">
        <v>5340.5</v>
      </c>
      <c r="J180" s="11"/>
      <c r="K180" s="9"/>
      <c r="L180" s="8" t="str">
        <f>""</f>
        <v/>
      </c>
      <c r="M180" s="9"/>
      <c r="N180" s="8" t="str">
        <f>""</f>
        <v/>
      </c>
      <c r="O180" s="5"/>
    </row>
    <row r="181" spans="1:15" ht="25.5">
      <c r="A181" s="6" t="s">
        <v>7</v>
      </c>
      <c r="B181" s="12" t="str">
        <f>""</f>
        <v/>
      </c>
      <c r="C181" s="12" t="str">
        <f>"Итого по кандидату"</f>
        <v>Итого по кандидату</v>
      </c>
      <c r="D181" s="13">
        <v>5340.5</v>
      </c>
      <c r="E181" s="13">
        <v>0</v>
      </c>
      <c r="F181" s="12" t="str">
        <f>""</f>
        <v/>
      </c>
      <c r="G181" s="13">
        <v>0</v>
      </c>
      <c r="H181" s="14"/>
      <c r="I181" s="13">
        <v>5340.5</v>
      </c>
      <c r="J181" s="15"/>
      <c r="K181" s="13">
        <v>0</v>
      </c>
      <c r="L181" s="12" t="str">
        <f>""</f>
        <v/>
      </c>
      <c r="M181" s="13">
        <v>0</v>
      </c>
      <c r="N181" s="12" t="str">
        <f>""</f>
        <v/>
      </c>
      <c r="O181" s="5"/>
    </row>
    <row r="182" spans="1:15" ht="38.25">
      <c r="A182" s="7" t="s">
        <v>88</v>
      </c>
      <c r="B182" s="8" t="str">
        <f>"Двадцать седьмой (№ 27)"</f>
        <v>Двадцать седьмой (№ 27)</v>
      </c>
      <c r="C182" s="8" t="str">
        <f>"Минов Сергей Евгеньевич"</f>
        <v>Минов Сергей Евгеньевич</v>
      </c>
      <c r="D182" s="9">
        <v>66500</v>
      </c>
      <c r="E182" s="9">
        <v>66500</v>
      </c>
      <c r="F182" s="8" t="str">
        <f>"ЛДПР"</f>
        <v>ЛДПР</v>
      </c>
      <c r="G182" s="9"/>
      <c r="H182" s="10"/>
      <c r="I182" s="9">
        <v>37964</v>
      </c>
      <c r="J182" s="11"/>
      <c r="K182" s="9"/>
      <c r="L182" s="8" t="str">
        <f>""</f>
        <v/>
      </c>
      <c r="M182" s="9"/>
      <c r="N182" s="8" t="str">
        <f>""</f>
        <v/>
      </c>
      <c r="O182" s="5"/>
    </row>
    <row r="183" spans="1:15" ht="25.5">
      <c r="A183" s="6" t="s">
        <v>7</v>
      </c>
      <c r="B183" s="12" t="str">
        <f>""</f>
        <v/>
      </c>
      <c r="C183" s="12" t="str">
        <f>"Итого по кандидату"</f>
        <v>Итого по кандидату</v>
      </c>
      <c r="D183" s="13">
        <v>66500</v>
      </c>
      <c r="E183" s="13">
        <v>66500</v>
      </c>
      <c r="F183" s="12" t="str">
        <f>""</f>
        <v/>
      </c>
      <c r="G183" s="13">
        <v>0</v>
      </c>
      <c r="H183" s="14"/>
      <c r="I183" s="13">
        <v>37964</v>
      </c>
      <c r="J183" s="15"/>
      <c r="K183" s="13">
        <v>0</v>
      </c>
      <c r="L183" s="12" t="str">
        <f>""</f>
        <v/>
      </c>
      <c r="M183" s="13">
        <v>0</v>
      </c>
      <c r="N183" s="12" t="str">
        <f>""</f>
        <v/>
      </c>
      <c r="O183" s="5"/>
    </row>
    <row r="184" spans="1:15" ht="76.5">
      <c r="A184" s="7" t="s">
        <v>89</v>
      </c>
      <c r="B184" s="8" t="str">
        <f>"Двадцать седьмой (№ 27)"</f>
        <v>Двадцать седьмой (№ 27)</v>
      </c>
      <c r="C184" s="8" t="str">
        <f>"Чеглаков Игорь Александрович"</f>
        <v>Чеглаков Игорь Александрович</v>
      </c>
      <c r="D184" s="9">
        <v>397682.31</v>
      </c>
      <c r="E184" s="9">
        <v>397682.31</v>
      </c>
      <c r="F184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84" s="9"/>
      <c r="H184" s="10"/>
      <c r="I184" s="9">
        <v>397682.31</v>
      </c>
      <c r="J184" s="11" t="s">
        <v>12</v>
      </c>
      <c r="K184" s="9">
        <v>270000</v>
      </c>
      <c r="L184" s="8" t="str">
        <f>""</f>
        <v/>
      </c>
      <c r="M184" s="9"/>
      <c r="N184" s="8" t="str">
        <f>""</f>
        <v/>
      </c>
      <c r="O184" s="5"/>
    </row>
    <row r="185" spans="1:15" ht="25.5">
      <c r="A185" s="6" t="s">
        <v>7</v>
      </c>
      <c r="B185" s="12" t="str">
        <f>""</f>
        <v/>
      </c>
      <c r="C185" s="12" t="str">
        <f>"Итого по кандидату"</f>
        <v>Итого по кандидату</v>
      </c>
      <c r="D185" s="13">
        <v>397682.31</v>
      </c>
      <c r="E185" s="13">
        <v>397682.31</v>
      </c>
      <c r="F185" s="12" t="str">
        <f>""</f>
        <v/>
      </c>
      <c r="G185" s="13">
        <v>0</v>
      </c>
      <c r="H185" s="14"/>
      <c r="I185" s="13">
        <v>397682.31</v>
      </c>
      <c r="J185" s="15"/>
      <c r="K185" s="13">
        <v>270000</v>
      </c>
      <c r="L185" s="12" t="str">
        <f>""</f>
        <v/>
      </c>
      <c r="M185" s="13">
        <v>0</v>
      </c>
      <c r="N185" s="12" t="str">
        <f>""</f>
        <v/>
      </c>
      <c r="O185" s="2"/>
    </row>
    <row r="186" spans="1:15" ht="63.75">
      <c r="A186" s="6" t="s">
        <v>7</v>
      </c>
      <c r="B186" s="12" t="str">
        <f>""</f>
        <v/>
      </c>
      <c r="C186" s="12" t="str">
        <f>"Избирательный округ (Двадцать седьмой (№ 27)), всего"</f>
        <v>Избирательный округ (Двадцать седьмой (№ 27)), всего</v>
      </c>
      <c r="D186" s="13">
        <v>469522.81</v>
      </c>
      <c r="E186" s="13">
        <v>464182.31</v>
      </c>
      <c r="F186" s="12" t="str">
        <f>""</f>
        <v/>
      </c>
      <c r="G186" s="13">
        <v>0</v>
      </c>
      <c r="H186" s="14"/>
      <c r="I186" s="13">
        <v>440986.81</v>
      </c>
      <c r="J186" s="15"/>
      <c r="K186" s="13">
        <v>270000</v>
      </c>
      <c r="L186" s="12" t="str">
        <f>""</f>
        <v/>
      </c>
      <c r="M186" s="13">
        <v>0</v>
      </c>
      <c r="N186" s="12" t="str">
        <f>""</f>
        <v/>
      </c>
      <c r="O186" s="5"/>
    </row>
    <row r="187" spans="1:15" ht="76.5">
      <c r="A187" s="7" t="s">
        <v>90</v>
      </c>
      <c r="B187" s="8" t="str">
        <f>"Двадцать восьмой (№ 28)"</f>
        <v>Двадцать восьмой (№ 28)</v>
      </c>
      <c r="C187" s="8" t="str">
        <f>"Зинков Николай Павлович"</f>
        <v>Зинков Николай Павлович</v>
      </c>
      <c r="D187" s="9">
        <v>425157.31</v>
      </c>
      <c r="E187" s="9">
        <v>425157.31</v>
      </c>
      <c r="F187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87" s="9"/>
      <c r="H187" s="10"/>
      <c r="I187" s="9">
        <v>425157.31</v>
      </c>
      <c r="J187" s="11" t="s">
        <v>19</v>
      </c>
      <c r="K187" s="9">
        <v>270000</v>
      </c>
      <c r="L187" s="8" t="str">
        <f>""</f>
        <v/>
      </c>
      <c r="M187" s="9"/>
      <c r="N187" s="8" t="str">
        <f>""</f>
        <v/>
      </c>
      <c r="O187" s="5"/>
    </row>
    <row r="188" spans="1:15" ht="25.5">
      <c r="A188" s="6" t="s">
        <v>7</v>
      </c>
      <c r="B188" s="12" t="str">
        <f>""</f>
        <v/>
      </c>
      <c r="C188" s="12" t="str">
        <f>"Итого по кандидату"</f>
        <v>Итого по кандидату</v>
      </c>
      <c r="D188" s="13">
        <v>425157.31</v>
      </c>
      <c r="E188" s="13">
        <v>425157.31</v>
      </c>
      <c r="F188" s="12" t="str">
        <f>""</f>
        <v/>
      </c>
      <c r="G188" s="13">
        <v>0</v>
      </c>
      <c r="H188" s="14"/>
      <c r="I188" s="13">
        <v>425157.31</v>
      </c>
      <c r="J188" s="15"/>
      <c r="K188" s="13">
        <v>270000</v>
      </c>
      <c r="L188" s="12" t="str">
        <f>""</f>
        <v/>
      </c>
      <c r="M188" s="13">
        <v>0</v>
      </c>
      <c r="N188" s="12" t="str">
        <f>""</f>
        <v/>
      </c>
      <c r="O188" s="2"/>
    </row>
    <row r="189" spans="1:15" ht="38.25">
      <c r="A189" s="7" t="s">
        <v>91</v>
      </c>
      <c r="B189" s="8" t="str">
        <f>"Двадцать восьмой (№ 28)"</f>
        <v>Двадцать восьмой (№ 28)</v>
      </c>
      <c r="C189" s="8" t="str">
        <f>"Пелин Виталий Викторович"</f>
        <v>Пелин Виталий Викторович</v>
      </c>
      <c r="D189" s="9">
        <v>117650</v>
      </c>
      <c r="E189" s="9">
        <v>100000</v>
      </c>
      <c r="F189" s="8" t="str">
        <f>"ЛДПР"</f>
        <v>ЛДПР</v>
      </c>
      <c r="G189" s="9"/>
      <c r="H189" s="10"/>
      <c r="I189" s="9">
        <v>117624</v>
      </c>
      <c r="J189" s="11" t="s">
        <v>12</v>
      </c>
      <c r="K189" s="9">
        <v>63759</v>
      </c>
      <c r="L189" s="8" t="str">
        <f>""</f>
        <v/>
      </c>
      <c r="M189" s="9"/>
      <c r="N189" s="8" t="str">
        <f>""</f>
        <v/>
      </c>
      <c r="O189" s="5"/>
    </row>
    <row r="190" spans="1:15" ht="25.5">
      <c r="A190" s="6" t="s">
        <v>7</v>
      </c>
      <c r="B190" s="12" t="str">
        <f>""</f>
        <v/>
      </c>
      <c r="C190" s="12" t="str">
        <f>"Итого по кандидату"</f>
        <v>Итого по кандидату</v>
      </c>
      <c r="D190" s="13">
        <v>117650</v>
      </c>
      <c r="E190" s="13">
        <v>100000</v>
      </c>
      <c r="F190" s="12" t="str">
        <f>""</f>
        <v/>
      </c>
      <c r="G190" s="13">
        <v>0</v>
      </c>
      <c r="H190" s="14"/>
      <c r="I190" s="13">
        <v>117624</v>
      </c>
      <c r="J190" s="15"/>
      <c r="K190" s="13">
        <v>63759</v>
      </c>
      <c r="L190" s="12" t="str">
        <f>""</f>
        <v/>
      </c>
      <c r="M190" s="13">
        <v>0</v>
      </c>
      <c r="N190" s="12" t="str">
        <f>""</f>
        <v/>
      </c>
      <c r="O190" s="2"/>
    </row>
    <row r="191" spans="1:15" ht="63.75">
      <c r="A191" s="6" t="s">
        <v>7</v>
      </c>
      <c r="B191" s="12" t="str">
        <f>""</f>
        <v/>
      </c>
      <c r="C191" s="12" t="str">
        <f>"Избирательный округ (Двадцать восьмой (№ 28)), всего"</f>
        <v>Избирательный округ (Двадцать восьмой (№ 28)), всего</v>
      </c>
      <c r="D191" s="13">
        <v>542807.31000000006</v>
      </c>
      <c r="E191" s="13">
        <v>525157.31000000006</v>
      </c>
      <c r="F191" s="12" t="str">
        <f>""</f>
        <v/>
      </c>
      <c r="G191" s="13">
        <v>0</v>
      </c>
      <c r="H191" s="14"/>
      <c r="I191" s="13">
        <v>542781.31000000006</v>
      </c>
      <c r="J191" s="15"/>
      <c r="K191" s="13">
        <v>333759</v>
      </c>
      <c r="L191" s="12" t="str">
        <f>""</f>
        <v/>
      </c>
      <c r="M191" s="13">
        <v>0</v>
      </c>
      <c r="N191" s="12" t="str">
        <f>""</f>
        <v/>
      </c>
      <c r="O191" s="5"/>
    </row>
    <row r="192" spans="1:15" ht="76.5">
      <c r="A192" s="7" t="s">
        <v>92</v>
      </c>
      <c r="B192" s="8" t="str">
        <f>"Двадцать девятый (№ 29)"</f>
        <v>Двадцать девятый (№ 29)</v>
      </c>
      <c r="C192" s="8" t="str">
        <f>"Пушкарев Евгений Владимирович"</f>
        <v>Пушкарев Евгений Владимирович</v>
      </c>
      <c r="D192" s="9">
        <v>397682.31</v>
      </c>
      <c r="E192" s="9">
        <v>397682.31</v>
      </c>
      <c r="F192" s="8" t="str">
        <f>"АМУРСКОЕ РЕГИОНАЛЬНОЕ ОТДЕЛЕНИЕ ПАРТИИ ""ЕДИНАЯ РОССИЯ"""</f>
        <v>АМУРСКОЕ РЕГИОНАЛЬНОЕ ОТДЕЛЕНИЕ ПАРТИИ "ЕДИНАЯ РОССИЯ"</v>
      </c>
      <c r="G192" s="9"/>
      <c r="H192" s="10"/>
      <c r="I192" s="9">
        <v>397682.31</v>
      </c>
      <c r="J192" s="11" t="s">
        <v>19</v>
      </c>
      <c r="K192" s="9">
        <v>270000</v>
      </c>
      <c r="L192" s="8" t="str">
        <f>""</f>
        <v/>
      </c>
      <c r="M192" s="9"/>
      <c r="N192" s="8" t="str">
        <f>""</f>
        <v/>
      </c>
      <c r="O192" s="5"/>
    </row>
    <row r="193" spans="1:15" ht="25.5">
      <c r="A193" s="6" t="s">
        <v>7</v>
      </c>
      <c r="B193" s="12" t="str">
        <f>""</f>
        <v/>
      </c>
      <c r="C193" s="12" t="str">
        <f>"Итого по кандидату"</f>
        <v>Итого по кандидату</v>
      </c>
      <c r="D193" s="13">
        <v>397682.31</v>
      </c>
      <c r="E193" s="13">
        <v>397682.31</v>
      </c>
      <c r="F193" s="12" t="str">
        <f>""</f>
        <v/>
      </c>
      <c r="G193" s="13">
        <v>0</v>
      </c>
      <c r="H193" s="14"/>
      <c r="I193" s="13">
        <v>397682.31</v>
      </c>
      <c r="J193" s="15"/>
      <c r="K193" s="13">
        <v>270000</v>
      </c>
      <c r="L193" s="12" t="str">
        <f>""</f>
        <v/>
      </c>
      <c r="M193" s="13">
        <v>0</v>
      </c>
      <c r="N193" s="12" t="str">
        <f>""</f>
        <v/>
      </c>
      <c r="O193" s="2"/>
    </row>
    <row r="194" spans="1:15" ht="63.75">
      <c r="A194" s="6" t="s">
        <v>7</v>
      </c>
      <c r="B194" s="12" t="str">
        <f>""</f>
        <v/>
      </c>
      <c r="C194" s="12" t="str">
        <f>"Избирательный округ (Двадцать девятый (№ 29)), всего"</f>
        <v>Избирательный округ (Двадцать девятый (№ 29)), всего</v>
      </c>
      <c r="D194" s="13">
        <v>397682.31</v>
      </c>
      <c r="E194" s="13">
        <v>397682.31</v>
      </c>
      <c r="F194" s="12" t="str">
        <f>""</f>
        <v/>
      </c>
      <c r="G194" s="13">
        <v>0</v>
      </c>
      <c r="H194" s="14"/>
      <c r="I194" s="13">
        <v>397682.31</v>
      </c>
      <c r="J194" s="15"/>
      <c r="K194" s="13">
        <v>270000</v>
      </c>
      <c r="L194" s="12" t="str">
        <f>""</f>
        <v/>
      </c>
      <c r="M194" s="13">
        <v>0</v>
      </c>
      <c r="N194" s="12" t="str">
        <f>""</f>
        <v/>
      </c>
      <c r="O194" s="5"/>
    </row>
    <row r="195" spans="1:15" ht="38.25">
      <c r="A195" s="7" t="s">
        <v>93</v>
      </c>
      <c r="B195" s="8" t="str">
        <f>"Тридцатый (№ 30)"</f>
        <v>Тридцатый (№ 30)</v>
      </c>
      <c r="C195" s="8" t="str">
        <f>"Архипов Сергей Геннадьевич"</f>
        <v>Архипов Сергей Геннадьевич</v>
      </c>
      <c r="D195" s="9">
        <v>1702</v>
      </c>
      <c r="E195" s="9"/>
      <c r="F195" s="8" t="str">
        <f>""</f>
        <v/>
      </c>
      <c r="G195" s="9"/>
      <c r="H195" s="10"/>
      <c r="I195" s="9">
        <v>1700</v>
      </c>
      <c r="J195" s="11"/>
      <c r="K195" s="9"/>
      <c r="L195" s="8" t="str">
        <f>""</f>
        <v/>
      </c>
      <c r="M195" s="9"/>
      <c r="N195" s="8" t="str">
        <f>""</f>
        <v/>
      </c>
      <c r="O195" s="5"/>
    </row>
    <row r="196" spans="1:15" ht="25.5">
      <c r="A196" s="6" t="s">
        <v>7</v>
      </c>
      <c r="B196" s="12" t="str">
        <f>""</f>
        <v/>
      </c>
      <c r="C196" s="12" t="str">
        <f>"Итого по кандидату"</f>
        <v>Итого по кандидату</v>
      </c>
      <c r="D196" s="13">
        <v>1702</v>
      </c>
      <c r="E196" s="13">
        <v>0</v>
      </c>
      <c r="F196" s="12" t="str">
        <f>""</f>
        <v/>
      </c>
      <c r="G196" s="13">
        <v>0</v>
      </c>
      <c r="H196" s="14"/>
      <c r="I196" s="13">
        <v>1700</v>
      </c>
      <c r="J196" s="15"/>
      <c r="K196" s="13">
        <v>0</v>
      </c>
      <c r="L196" s="12" t="str">
        <f>""</f>
        <v/>
      </c>
      <c r="M196" s="13">
        <v>0</v>
      </c>
      <c r="N196" s="12" t="str">
        <f>""</f>
        <v/>
      </c>
      <c r="O196" s="5"/>
    </row>
    <row r="197" spans="1:15" ht="89.25">
      <c r="A197" s="7" t="s">
        <v>94</v>
      </c>
      <c r="B197" s="8" t="str">
        <f>"Тридцатый (№ 30)"</f>
        <v>Тридцатый (№ 30)</v>
      </c>
      <c r="C197" s="8" t="str">
        <f>"Дубовец Павел Сергеевич"</f>
        <v>Дубовец Павел Сергеевич</v>
      </c>
      <c r="D197" s="9"/>
      <c r="E197" s="9">
        <v>2350184</v>
      </c>
      <c r="F197" s="8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197" s="9"/>
      <c r="H197" s="10"/>
      <c r="I197" s="9"/>
      <c r="J197" s="11" t="s">
        <v>95</v>
      </c>
      <c r="K197" s="9">
        <v>200000</v>
      </c>
      <c r="L197" s="8" t="str">
        <f>""</f>
        <v/>
      </c>
      <c r="M197" s="9">
        <v>300000</v>
      </c>
      <c r="N197" s="8"/>
      <c r="O197" s="5"/>
    </row>
    <row r="198" spans="1:15">
      <c r="A198" s="7" t="s">
        <v>7</v>
      </c>
      <c r="B198" s="8" t="str">
        <f>""</f>
        <v/>
      </c>
      <c r="C198" s="8" t="str">
        <f>""</f>
        <v/>
      </c>
      <c r="D198" s="9"/>
      <c r="E198" s="9"/>
      <c r="F198" s="8" t="str">
        <f>""</f>
        <v/>
      </c>
      <c r="G198" s="9"/>
      <c r="H198" s="10"/>
      <c r="I198" s="9"/>
      <c r="J198" s="11" t="s">
        <v>96</v>
      </c>
      <c r="K198" s="9">
        <v>200000</v>
      </c>
      <c r="L198" s="8" t="str">
        <f>""</f>
        <v/>
      </c>
      <c r="M198" s="9"/>
      <c r="N198" s="8" t="str">
        <f>""</f>
        <v/>
      </c>
      <c r="O198" s="2"/>
    </row>
    <row r="199" spans="1:15">
      <c r="A199" s="7" t="s">
        <v>7</v>
      </c>
      <c r="B199" s="8" t="str">
        <f>""</f>
        <v/>
      </c>
      <c r="C199" s="8" t="str">
        <f>""</f>
        <v/>
      </c>
      <c r="D199" s="9"/>
      <c r="E199" s="9"/>
      <c r="F199" s="8" t="str">
        <f>""</f>
        <v/>
      </c>
      <c r="G199" s="9"/>
      <c r="H199" s="10"/>
      <c r="I199" s="9"/>
      <c r="J199" s="11" t="s">
        <v>95</v>
      </c>
      <c r="K199" s="9">
        <v>200000</v>
      </c>
      <c r="L199" s="8" t="str">
        <f>""</f>
        <v/>
      </c>
      <c r="M199" s="9"/>
      <c r="N199" s="8" t="str">
        <f>""</f>
        <v/>
      </c>
      <c r="O199" s="2"/>
    </row>
    <row r="200" spans="1:15">
      <c r="A200" s="7" t="s">
        <v>7</v>
      </c>
      <c r="B200" s="8" t="str">
        <f>""</f>
        <v/>
      </c>
      <c r="C200" s="8" t="str">
        <f>""</f>
        <v/>
      </c>
      <c r="D200" s="9"/>
      <c r="E200" s="9"/>
      <c r="F200" s="8" t="str">
        <f>""</f>
        <v/>
      </c>
      <c r="G200" s="9"/>
      <c r="H200" s="10"/>
      <c r="I200" s="9"/>
      <c r="J200" s="11" t="s">
        <v>96</v>
      </c>
      <c r="K200" s="9">
        <v>200000</v>
      </c>
      <c r="L200" s="8" t="str">
        <f>""</f>
        <v/>
      </c>
      <c r="M200" s="9"/>
      <c r="N200" s="8" t="str">
        <f>""</f>
        <v/>
      </c>
      <c r="O200" s="2"/>
    </row>
    <row r="201" spans="1:15">
      <c r="A201" s="7" t="s">
        <v>7</v>
      </c>
      <c r="B201" s="8" t="str">
        <f>""</f>
        <v/>
      </c>
      <c r="C201" s="8" t="str">
        <f>""</f>
        <v/>
      </c>
      <c r="D201" s="9"/>
      <c r="E201" s="9"/>
      <c r="F201" s="8" t="str">
        <f>""</f>
        <v/>
      </c>
      <c r="G201" s="9"/>
      <c r="H201" s="10"/>
      <c r="I201" s="9"/>
      <c r="J201" s="11" t="s">
        <v>96</v>
      </c>
      <c r="K201" s="9">
        <v>200000</v>
      </c>
      <c r="L201" s="8" t="str">
        <f>""</f>
        <v/>
      </c>
      <c r="M201" s="9"/>
      <c r="N201" s="8" t="str">
        <f>""</f>
        <v/>
      </c>
      <c r="O201" s="2"/>
    </row>
    <row r="202" spans="1:15">
      <c r="A202" s="7" t="s">
        <v>7</v>
      </c>
      <c r="B202" s="8" t="str">
        <f>""</f>
        <v/>
      </c>
      <c r="C202" s="8" t="str">
        <f>""</f>
        <v/>
      </c>
      <c r="D202" s="9"/>
      <c r="E202" s="9"/>
      <c r="F202" s="8" t="str">
        <f>""</f>
        <v/>
      </c>
      <c r="G202" s="9"/>
      <c r="H202" s="10"/>
      <c r="I202" s="9"/>
      <c r="J202" s="11" t="s">
        <v>96</v>
      </c>
      <c r="K202" s="9">
        <v>200000</v>
      </c>
      <c r="L202" s="8" t="str">
        <f>""</f>
        <v/>
      </c>
      <c r="M202" s="9"/>
      <c r="N202" s="8" t="str">
        <f>""</f>
        <v/>
      </c>
      <c r="O202" s="2"/>
    </row>
    <row r="203" spans="1:15">
      <c r="A203" s="7" t="s">
        <v>7</v>
      </c>
      <c r="B203" s="8" t="str">
        <f>""</f>
        <v/>
      </c>
      <c r="C203" s="8" t="str">
        <f>""</f>
        <v/>
      </c>
      <c r="D203" s="9"/>
      <c r="E203" s="9"/>
      <c r="F203" s="8" t="str">
        <f>""</f>
        <v/>
      </c>
      <c r="G203" s="9"/>
      <c r="H203" s="10"/>
      <c r="I203" s="9"/>
      <c r="J203" s="11" t="s">
        <v>95</v>
      </c>
      <c r="K203" s="9">
        <v>175000</v>
      </c>
      <c r="L203" s="8" t="str">
        <f>""</f>
        <v/>
      </c>
      <c r="M203" s="9"/>
      <c r="N203" s="8" t="str">
        <f>""</f>
        <v/>
      </c>
      <c r="O203" s="2"/>
    </row>
    <row r="204" spans="1:15">
      <c r="A204" s="7" t="s">
        <v>7</v>
      </c>
      <c r="B204" s="8" t="str">
        <f>""</f>
        <v/>
      </c>
      <c r="C204" s="8" t="str">
        <f>""</f>
        <v/>
      </c>
      <c r="D204" s="9"/>
      <c r="E204" s="9"/>
      <c r="F204" s="8" t="str">
        <f>""</f>
        <v/>
      </c>
      <c r="G204" s="9"/>
      <c r="H204" s="10"/>
      <c r="I204" s="9"/>
      <c r="J204" s="11" t="s">
        <v>9</v>
      </c>
      <c r="K204" s="9">
        <v>74788</v>
      </c>
      <c r="L204" s="8" t="str">
        <f>""</f>
        <v/>
      </c>
      <c r="M204" s="9"/>
      <c r="N204" s="8" t="str">
        <f>""</f>
        <v/>
      </c>
      <c r="O204" s="2"/>
    </row>
    <row r="205" spans="1:15" ht="25.5">
      <c r="A205" s="6" t="s">
        <v>7</v>
      </c>
      <c r="B205" s="12" t="str">
        <f>""</f>
        <v/>
      </c>
      <c r="C205" s="12" t="str">
        <f>"Итого по кандидату"</f>
        <v>Итого по кандидату</v>
      </c>
      <c r="D205" s="13">
        <v>2351184</v>
      </c>
      <c r="E205" s="13">
        <v>2350184</v>
      </c>
      <c r="F205" s="12" t="str">
        <f>""</f>
        <v/>
      </c>
      <c r="G205" s="13">
        <v>0</v>
      </c>
      <c r="H205" s="14"/>
      <c r="I205" s="13">
        <v>1472788</v>
      </c>
      <c r="J205" s="15"/>
      <c r="K205" s="13">
        <v>1449788</v>
      </c>
      <c r="L205" s="12" t="str">
        <f>""</f>
        <v/>
      </c>
      <c r="M205" s="13">
        <v>300000</v>
      </c>
      <c r="N205" s="12" t="str">
        <f>""</f>
        <v/>
      </c>
      <c r="O205" s="2"/>
    </row>
    <row r="206" spans="1:15" ht="76.5">
      <c r="A206" s="7" t="s">
        <v>97</v>
      </c>
      <c r="B206" s="8" t="str">
        <f>"Тридцатый (№ 30)"</f>
        <v>Тридцатый (№ 30)</v>
      </c>
      <c r="C206" s="8" t="str">
        <f>"Мальцев Аркадий Викторович"</f>
        <v>Мальцев Аркадий Викторович</v>
      </c>
      <c r="D206" s="9">
        <v>390932.31</v>
      </c>
      <c r="E206" s="9">
        <v>390932.31</v>
      </c>
      <c r="F206" s="8" t="str">
        <f>"АМУРСКОЕ РЕГИОНАЛЬНОЕ ОТДЕЛЕНИЕ ПАРТИИ ""ЕДИНАЯ РОССИЯ"""</f>
        <v>АМУРСКОЕ РЕГИОНАЛЬНОЕ ОТДЕЛЕНИЕ ПАРТИИ "ЕДИНАЯ РОССИЯ"</v>
      </c>
      <c r="G206" s="9"/>
      <c r="H206" s="10"/>
      <c r="I206" s="9">
        <v>390932.31</v>
      </c>
      <c r="J206" s="11" t="s">
        <v>12</v>
      </c>
      <c r="K206" s="9">
        <v>270000</v>
      </c>
      <c r="L206" s="8" t="str">
        <f>""</f>
        <v/>
      </c>
      <c r="M206" s="9"/>
      <c r="N206" s="8" t="str">
        <f>""</f>
        <v/>
      </c>
      <c r="O206" s="5"/>
    </row>
    <row r="207" spans="1:15" ht="25.5">
      <c r="A207" s="6" t="s">
        <v>7</v>
      </c>
      <c r="B207" s="12" t="str">
        <f>""</f>
        <v/>
      </c>
      <c r="C207" s="12" t="str">
        <f>"Итого по кандидату"</f>
        <v>Итого по кандидату</v>
      </c>
      <c r="D207" s="13">
        <v>390932.31</v>
      </c>
      <c r="E207" s="13">
        <v>390932.31</v>
      </c>
      <c r="F207" s="12" t="str">
        <f>""</f>
        <v/>
      </c>
      <c r="G207" s="13">
        <v>0</v>
      </c>
      <c r="H207" s="14"/>
      <c r="I207" s="13">
        <v>390932.31</v>
      </c>
      <c r="J207" s="15"/>
      <c r="K207" s="13">
        <v>270000</v>
      </c>
      <c r="L207" s="12" t="str">
        <f>""</f>
        <v/>
      </c>
      <c r="M207" s="13">
        <v>0</v>
      </c>
      <c r="N207" s="12" t="str">
        <f>""</f>
        <v/>
      </c>
      <c r="O207" s="2"/>
    </row>
    <row r="208" spans="1:15" ht="51">
      <c r="A208" s="6" t="s">
        <v>7</v>
      </c>
      <c r="B208" s="12" t="str">
        <f>""</f>
        <v/>
      </c>
      <c r="C208" s="12" t="str">
        <f>"Избирательный округ (Тридцатый (№ 30)), всего"</f>
        <v>Избирательный округ (Тридцатый (№ 30)), всего</v>
      </c>
      <c r="D208" s="13">
        <v>2743818.31</v>
      </c>
      <c r="E208" s="13">
        <v>2741116.31</v>
      </c>
      <c r="F208" s="12" t="str">
        <f>""</f>
        <v/>
      </c>
      <c r="G208" s="13">
        <v>0</v>
      </c>
      <c r="H208" s="14"/>
      <c r="I208" s="13">
        <v>1865420.31</v>
      </c>
      <c r="J208" s="15"/>
      <c r="K208" s="13">
        <v>1719788</v>
      </c>
      <c r="L208" s="12" t="str">
        <f>""</f>
        <v/>
      </c>
      <c r="M208" s="13">
        <v>300000</v>
      </c>
      <c r="N208" s="12" t="str">
        <f>""</f>
        <v/>
      </c>
      <c r="O208" s="5"/>
    </row>
    <row r="209" spans="1:15">
      <c r="A209" s="6" t="s">
        <v>7</v>
      </c>
      <c r="B209" s="12" t="str">
        <f>""</f>
        <v/>
      </c>
      <c r="C209" s="12" t="str">
        <f>"Итого"</f>
        <v>Итого</v>
      </c>
      <c r="D209" s="13">
        <v>16834629.559999999</v>
      </c>
      <c r="E209" s="13">
        <v>15343191.880000001</v>
      </c>
      <c r="F209" s="12" t="str">
        <f>""</f>
        <v/>
      </c>
      <c r="G209" s="13">
        <v>0</v>
      </c>
      <c r="H209" s="14">
        <v>0</v>
      </c>
      <c r="I209" s="13">
        <v>15078081.689999999</v>
      </c>
      <c r="J209" s="15"/>
      <c r="K209" s="13">
        <v>9945974</v>
      </c>
      <c r="L209" s="12" t="str">
        <f>""</f>
        <v/>
      </c>
      <c r="M209" s="13">
        <v>300000</v>
      </c>
      <c r="N209" s="12" t="str">
        <f>""</f>
        <v/>
      </c>
      <c r="O209" s="5"/>
    </row>
    <row r="210" spans="1:15">
      <c r="O210" s="5"/>
    </row>
  </sheetData>
  <mergeCells count="19"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  <mergeCell ref="J8:J9"/>
    <mergeCell ref="K8:K9"/>
    <mergeCell ref="L8:L9"/>
  </mergeCells>
  <pageMargins left="0.34722222222222221" right="0.1388888888888889" top="0.1388888888888889" bottom="0.1388888888888889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Администратор</cp:lastModifiedBy>
  <cp:lastPrinted>2024-09-03T04:24:02Z</cp:lastPrinted>
  <dcterms:created xsi:type="dcterms:W3CDTF">2024-09-03T04:20:25Z</dcterms:created>
  <dcterms:modified xsi:type="dcterms:W3CDTF">2024-09-04T01:33:21Z</dcterms:modified>
</cp:coreProperties>
</file>