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420" yWindow="0" windowWidth="16515" windowHeight="12570" tabRatio="212" firstSheet="1" activeTab="1"/>
  </bookViews>
  <sheets>
    <sheet name="Таблица № 3" sheetId="5" state="hidden" r:id="rId1"/>
    <sheet name="Приложение № 3 к МП РИМ_" sheetId="6" r:id="rId2"/>
  </sheets>
  <definedNames>
    <definedName name="_Par1041" localSheetId="1">'Приложение № 3 к МП РИМ_'!#REF!</definedName>
    <definedName name="_Par1041" localSheetId="0">'Таблица № 3'!#REF!</definedName>
    <definedName name="_Par1453" localSheetId="1">'Приложение № 3 к МП РИМ_'!#REF!</definedName>
    <definedName name="_Par1453" localSheetId="0">'Таблица № 3'!#REF!</definedName>
    <definedName name="_Par321" localSheetId="1">'Приложение № 3 к МП РИМ_'!#REF!</definedName>
    <definedName name="_Par321" localSheetId="0">'Таблица № 3'!#REF!</definedName>
    <definedName name="_Par788" localSheetId="1">'Приложение № 3 к МП РИМ_'!#REF!</definedName>
    <definedName name="_Par788" localSheetId="0">'Таблица № 3'!#REF!</definedName>
    <definedName name="_xlnm._FilterDatabase" localSheetId="1" hidden="1">'Приложение № 3 к МП РИМ_'!$A$7:$Y$825</definedName>
    <definedName name="_xlnm._FilterDatabase" localSheetId="0" hidden="1">'Таблица № 3'!$A$6:$S$120</definedName>
    <definedName name="_xlnm.Print_Area" localSheetId="1">'Приложение № 3 к МП РИМ_'!$A$1:$W$835</definedName>
    <definedName name="_xlnm.Print_Area" localSheetId="0">'Таблица № 3'!$A$1:$S$120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03" i="6" l="1"/>
  <c r="N829" i="6"/>
  <c r="N788" i="6" l="1"/>
  <c r="N390" i="6" l="1"/>
  <c r="N201" i="6" l="1"/>
  <c r="N730" i="6" l="1"/>
  <c r="N562" i="6" l="1"/>
  <c r="N560" i="6"/>
  <c r="N703" i="6" l="1"/>
  <c r="N678" i="6" l="1"/>
  <c r="N192" i="6" l="1"/>
  <c r="N667" i="6"/>
  <c r="W730" i="6" l="1"/>
  <c r="O730" i="6"/>
  <c r="O386" i="6"/>
  <c r="N386" i="6"/>
  <c r="M635" i="6" l="1"/>
  <c r="N636" i="6" l="1"/>
  <c r="N757" i="6"/>
  <c r="N758" i="6"/>
  <c r="N641" i="6" l="1"/>
  <c r="D668" i="6"/>
  <c r="N668" i="6"/>
  <c r="N26" i="6" l="1"/>
  <c r="M36" i="6"/>
  <c r="M33" i="6"/>
  <c r="N36" i="6"/>
  <c r="N709" i="6" l="1"/>
  <c r="D210" i="6"/>
  <c r="D316" i="6"/>
  <c r="N403" i="6"/>
  <c r="D407" i="6"/>
  <c r="D448" i="6" l="1"/>
  <c r="D447" i="6"/>
  <c r="D446" i="6"/>
  <c r="D445" i="6"/>
  <c r="M444" i="6"/>
  <c r="D444" i="6" s="1"/>
  <c r="M386" i="6" l="1"/>
  <c r="M432" i="6"/>
  <c r="M203" i="6" l="1"/>
  <c r="M788" i="6"/>
  <c r="M786" i="6"/>
  <c r="M467" i="6"/>
  <c r="M356" i="6" l="1"/>
  <c r="M351" i="6"/>
  <c r="M315" i="6"/>
  <c r="M209" i="6"/>
  <c r="M730" i="6" l="1"/>
  <c r="M829" i="6" l="1"/>
  <c r="M770" i="6"/>
  <c r="M789" i="6"/>
  <c r="M617" i="6"/>
  <c r="M366" i="6"/>
  <c r="M740" i="6" l="1"/>
  <c r="M703" i="6"/>
  <c r="M412" i="6"/>
  <c r="M750" i="6" l="1"/>
  <c r="M310" i="6"/>
  <c r="M350" i="6" l="1"/>
  <c r="M809" i="6" l="1"/>
  <c r="M693" i="6"/>
  <c r="M678" i="6"/>
  <c r="M623" i="6" l="1"/>
  <c r="M457" i="6"/>
  <c r="M385" i="6" l="1"/>
  <c r="N809" i="6" l="1"/>
  <c r="M781" i="6" l="1"/>
  <c r="M782" i="6"/>
  <c r="M780" i="6"/>
  <c r="M23" i="6"/>
  <c r="P811" i="6" l="1"/>
  <c r="Q811" i="6"/>
  <c r="R811" i="6"/>
  <c r="S811" i="6"/>
  <c r="T811" i="6"/>
  <c r="U811" i="6"/>
  <c r="V811" i="6"/>
  <c r="P806" i="6"/>
  <c r="Q806" i="6"/>
  <c r="R806" i="6"/>
  <c r="S806" i="6"/>
  <c r="T806" i="6"/>
  <c r="U806" i="6"/>
  <c r="V806" i="6"/>
  <c r="D822" i="6" l="1"/>
  <c r="D823" i="6"/>
  <c r="D825" i="6"/>
  <c r="D827" i="6"/>
  <c r="D828" i="6"/>
  <c r="D830" i="6"/>
  <c r="D615" i="6"/>
  <c r="D616" i="6"/>
  <c r="D618" i="6"/>
  <c r="D619" i="6"/>
  <c r="D621" i="6"/>
  <c r="D622" i="6"/>
  <c r="D624" i="6"/>
  <c r="D631" i="6"/>
  <c r="D632" i="6"/>
  <c r="D633" i="6"/>
  <c r="D634" i="6"/>
  <c r="D587" i="6"/>
  <c r="D588" i="6"/>
  <c r="D589" i="6"/>
  <c r="D592" i="6"/>
  <c r="D593" i="6"/>
  <c r="D595" i="6"/>
  <c r="D597" i="6"/>
  <c r="D598" i="6"/>
  <c r="D599" i="6"/>
  <c r="D600" i="6"/>
  <c r="D560" i="6"/>
  <c r="D562" i="6"/>
  <c r="D565" i="6"/>
  <c r="D566" i="6"/>
  <c r="D568" i="6"/>
  <c r="D570" i="6"/>
  <c r="D571" i="6"/>
  <c r="D572" i="6"/>
  <c r="D574" i="6"/>
  <c r="D575" i="6"/>
  <c r="D543" i="6"/>
  <c r="D544" i="6"/>
  <c r="D546" i="6"/>
  <c r="D548" i="6"/>
  <c r="D549" i="6"/>
  <c r="D551" i="6"/>
  <c r="D553" i="6"/>
  <c r="D554" i="6"/>
  <c r="D556" i="6"/>
  <c r="D504" i="6"/>
  <c r="D506" i="6"/>
  <c r="D507" i="6"/>
  <c r="D509" i="6"/>
  <c r="D510" i="6"/>
  <c r="D511" i="6"/>
  <c r="D513" i="6"/>
  <c r="D514" i="6"/>
  <c r="D516" i="6"/>
  <c r="D518" i="6"/>
  <c r="D519" i="6"/>
  <c r="D521" i="6"/>
  <c r="D523" i="6"/>
  <c r="D524" i="6"/>
  <c r="D526" i="6"/>
  <c r="D528" i="6"/>
  <c r="D529" i="6"/>
  <c r="D530" i="6"/>
  <c r="D531" i="6"/>
  <c r="D533" i="6"/>
  <c r="D534" i="6"/>
  <c r="D536" i="6"/>
  <c r="D455" i="6"/>
  <c r="D456" i="6"/>
  <c r="D458" i="6"/>
  <c r="D460" i="6"/>
  <c r="D462" i="6"/>
  <c r="D463" i="6"/>
  <c r="D465" i="6"/>
  <c r="D466" i="6"/>
  <c r="D468" i="6"/>
  <c r="D470" i="6"/>
  <c r="D472" i="6"/>
  <c r="D473" i="6"/>
  <c r="D475" i="6"/>
  <c r="D476" i="6"/>
  <c r="D477" i="6"/>
  <c r="D478" i="6"/>
  <c r="D480" i="6"/>
  <c r="D481" i="6"/>
  <c r="D482" i="6"/>
  <c r="D483" i="6"/>
  <c r="D485" i="6"/>
  <c r="D486" i="6"/>
  <c r="D488" i="6"/>
  <c r="D490" i="6"/>
  <c r="D491" i="6"/>
  <c r="D493" i="6"/>
  <c r="D495" i="6"/>
  <c r="D496" i="6"/>
  <c r="D498" i="6"/>
  <c r="D45" i="6"/>
  <c r="D46" i="6"/>
  <c r="D48" i="6"/>
  <c r="D49" i="6"/>
  <c r="D51" i="6"/>
  <c r="D52" i="6"/>
  <c r="D53" i="6"/>
  <c r="D54" i="6"/>
  <c r="D55" i="6"/>
  <c r="D57" i="6"/>
  <c r="D58" i="6"/>
  <c r="D59" i="6"/>
  <c r="D60" i="6"/>
  <c r="D63" i="6"/>
  <c r="D64" i="6"/>
  <c r="D66" i="6"/>
  <c r="D67" i="6"/>
  <c r="D70" i="6"/>
  <c r="D71" i="6"/>
  <c r="D72" i="6"/>
  <c r="D73" i="6"/>
  <c r="D76" i="6"/>
  <c r="D77" i="6"/>
  <c r="D78" i="6"/>
  <c r="D79" i="6"/>
  <c r="D80" i="6"/>
  <c r="D83" i="6"/>
  <c r="D84" i="6"/>
  <c r="D85" i="6"/>
  <c r="D86" i="6"/>
  <c r="D90" i="6"/>
  <c r="D91" i="6"/>
  <c r="D92" i="6"/>
  <c r="D93" i="6"/>
  <c r="D96" i="6"/>
  <c r="D97" i="6"/>
  <c r="D98" i="6"/>
  <c r="D99" i="6"/>
  <c r="D101" i="6"/>
  <c r="D102" i="6"/>
  <c r="D103" i="6"/>
  <c r="D104" i="6"/>
  <c r="D105" i="6"/>
  <c r="D108" i="6"/>
  <c r="D109" i="6"/>
  <c r="D111" i="6"/>
  <c r="D112" i="6"/>
  <c r="D115" i="6"/>
  <c r="D116" i="6"/>
  <c r="D118" i="6"/>
  <c r="D119" i="6"/>
  <c r="D122" i="6"/>
  <c r="D124" i="6"/>
  <c r="D125" i="6"/>
  <c r="D126" i="6"/>
  <c r="D127" i="6"/>
  <c r="D130" i="6"/>
  <c r="D132" i="6"/>
  <c r="D133" i="6"/>
  <c r="D135" i="6"/>
  <c r="D136" i="6"/>
  <c r="D139" i="6"/>
  <c r="D140" i="6"/>
  <c r="D142" i="6"/>
  <c r="D143" i="6"/>
  <c r="D146" i="6"/>
  <c r="D148" i="6"/>
  <c r="D150" i="6"/>
  <c r="D151" i="6"/>
  <c r="D153" i="6"/>
  <c r="D154" i="6"/>
  <c r="D155" i="6"/>
  <c r="D156" i="6"/>
  <c r="D157" i="6"/>
  <c r="D159" i="6"/>
  <c r="D161" i="6"/>
  <c r="D162" i="6"/>
  <c r="D163" i="6"/>
  <c r="D166" i="6"/>
  <c r="D167" i="6"/>
  <c r="D169" i="6"/>
  <c r="D170" i="6"/>
  <c r="D173" i="6"/>
  <c r="D174" i="6"/>
  <c r="D176" i="6"/>
  <c r="D177" i="6"/>
  <c r="D179" i="6"/>
  <c r="D180" i="6"/>
  <c r="D181" i="6"/>
  <c r="D183" i="6"/>
  <c r="D185" i="6"/>
  <c r="D186" i="6"/>
  <c r="D188" i="6"/>
  <c r="D190" i="6"/>
  <c r="D191" i="6"/>
  <c r="D192" i="6"/>
  <c r="D193" i="6"/>
  <c r="D195" i="6"/>
  <c r="D196" i="6"/>
  <c r="D197" i="6"/>
  <c r="D198" i="6"/>
  <c r="D200" i="6"/>
  <c r="D202" i="6"/>
  <c r="D204" i="6"/>
  <c r="D205" i="6"/>
  <c r="D207" i="6"/>
  <c r="D208" i="6"/>
  <c r="D211" i="6"/>
  <c r="D213" i="6"/>
  <c r="D214" i="6"/>
  <c r="D216" i="6"/>
  <c r="D218" i="6"/>
  <c r="D219" i="6"/>
  <c r="D221" i="6"/>
  <c r="D223" i="6"/>
  <c r="D224" i="6"/>
  <c r="D226" i="6"/>
  <c r="D228" i="6"/>
  <c r="D229" i="6"/>
  <c r="D231" i="6"/>
  <c r="D233" i="6"/>
  <c r="D234" i="6"/>
  <c r="D235" i="6"/>
  <c r="D236" i="6"/>
  <c r="D238" i="6"/>
  <c r="D239" i="6"/>
  <c r="D240" i="6"/>
  <c r="D241" i="6"/>
  <c r="D243" i="6"/>
  <c r="D245" i="6"/>
  <c r="D246" i="6"/>
  <c r="D248" i="6"/>
  <c r="D249" i="6"/>
  <c r="D250" i="6"/>
  <c r="D251" i="6"/>
  <c r="D253" i="6"/>
  <c r="D254" i="6"/>
  <c r="D256" i="6"/>
  <c r="D258" i="6"/>
  <c r="D259" i="6"/>
  <c r="D260" i="6"/>
  <c r="D261" i="6"/>
  <c r="D263" i="6"/>
  <c r="D264" i="6"/>
  <c r="D266" i="6"/>
  <c r="D268" i="6"/>
  <c r="D269" i="6"/>
  <c r="D271" i="6"/>
  <c r="D273" i="6"/>
  <c r="D274" i="6"/>
  <c r="D276" i="6"/>
  <c r="D278" i="6"/>
  <c r="D279" i="6"/>
  <c r="D281" i="6"/>
  <c r="D283" i="6"/>
  <c r="D286" i="6"/>
  <c r="D288" i="6"/>
  <c r="D289" i="6"/>
  <c r="D291" i="6"/>
  <c r="D294" i="6"/>
  <c r="D295" i="6"/>
  <c r="D296" i="6"/>
  <c r="D298" i="6"/>
  <c r="D299" i="6"/>
  <c r="D301" i="6"/>
  <c r="D303" i="6"/>
  <c r="D305" i="6"/>
  <c r="D306" i="6"/>
  <c r="D308" i="6"/>
  <c r="D309" i="6"/>
  <c r="D310" i="6"/>
  <c r="D311" i="6"/>
  <c r="D313" i="6"/>
  <c r="D314" i="6"/>
  <c r="D317" i="6"/>
  <c r="D319" i="6"/>
  <c r="D320" i="6"/>
  <c r="D322" i="6"/>
  <c r="D324" i="6"/>
  <c r="D325" i="6"/>
  <c r="D327" i="6"/>
  <c r="D329" i="6"/>
  <c r="D330" i="6"/>
  <c r="D331" i="6"/>
  <c r="D332" i="6"/>
  <c r="D334" i="6"/>
  <c r="D337" i="6"/>
  <c r="D339" i="6"/>
  <c r="D340" i="6"/>
  <c r="D341" i="6"/>
  <c r="D342" i="6"/>
  <c r="D344" i="6"/>
  <c r="D346" i="6"/>
  <c r="D347" i="6"/>
  <c r="D349" i="6"/>
  <c r="D352" i="6"/>
  <c r="D354" i="6"/>
  <c r="D355" i="6"/>
  <c r="D356" i="6"/>
  <c r="D357" i="6"/>
  <c r="D359" i="6"/>
  <c r="D360" i="6"/>
  <c r="D361" i="6"/>
  <c r="D362" i="6"/>
  <c r="D364" i="6"/>
  <c r="D365" i="6"/>
  <c r="D367" i="6"/>
  <c r="D374" i="6"/>
  <c r="D375" i="6"/>
  <c r="D376" i="6"/>
  <c r="D377" i="6"/>
  <c r="D379" i="6"/>
  <c r="D380" i="6"/>
  <c r="D382" i="6"/>
  <c r="D384" i="6"/>
  <c r="D387" i="6"/>
  <c r="D389" i="6"/>
  <c r="D392" i="6"/>
  <c r="D394" i="6"/>
  <c r="D395" i="6"/>
  <c r="D397" i="6"/>
  <c r="D399" i="6"/>
  <c r="D400" i="6"/>
  <c r="D402" i="6"/>
  <c r="D404" i="6"/>
  <c r="D405" i="6"/>
  <c r="D406" i="6"/>
  <c r="D408" i="6"/>
  <c r="D410" i="6"/>
  <c r="D411" i="6"/>
  <c r="D412" i="6"/>
  <c r="D413" i="6"/>
  <c r="D415" i="6"/>
  <c r="D418" i="6"/>
  <c r="D420" i="6"/>
  <c r="D422" i="6"/>
  <c r="D423" i="6"/>
  <c r="D430" i="6"/>
  <c r="D431" i="6"/>
  <c r="D432" i="6"/>
  <c r="D433" i="6"/>
  <c r="D435" i="6"/>
  <c r="D436" i="6"/>
  <c r="D437" i="6"/>
  <c r="D438" i="6"/>
  <c r="D43" i="6"/>
  <c r="D39" i="6"/>
  <c r="D40" i="6"/>
  <c r="D42" i="6"/>
  <c r="D27" i="6"/>
  <c r="O203" i="6" l="1"/>
  <c r="O201" i="6"/>
  <c r="N775" i="6"/>
  <c r="D421" i="6" l="1"/>
  <c r="W452" i="6" l="1"/>
  <c r="W451" i="6"/>
  <c r="M494" i="6"/>
  <c r="K497" i="6"/>
  <c r="D497" i="6" s="1"/>
  <c r="W494" i="6"/>
  <c r="O494" i="6"/>
  <c r="N494" i="6"/>
  <c r="L494" i="6"/>
  <c r="J494" i="6"/>
  <c r="I494" i="6"/>
  <c r="H494" i="6"/>
  <c r="G494" i="6"/>
  <c r="F494" i="6"/>
  <c r="E494" i="6"/>
  <c r="O829" i="6"/>
  <c r="O809" i="6"/>
  <c r="O804" i="6" s="1"/>
  <c r="N693" i="6"/>
  <c r="O678" i="6"/>
  <c r="O667" i="6"/>
  <c r="O623" i="6"/>
  <c r="N623" i="6"/>
  <c r="O594" i="6"/>
  <c r="N594" i="6"/>
  <c r="N487" i="6"/>
  <c r="N467" i="6"/>
  <c r="N457" i="6"/>
  <c r="O390" i="6"/>
  <c r="O351" i="6"/>
  <c r="O350" i="6"/>
  <c r="N350" i="6"/>
  <c r="N351" i="6"/>
  <c r="W584" i="6"/>
  <c r="W826" i="6"/>
  <c r="W824" i="6"/>
  <c r="W821" i="6" s="1"/>
  <c r="W820" i="6"/>
  <c r="W818" i="6"/>
  <c r="W817" i="6"/>
  <c r="W812" i="6"/>
  <c r="W811" i="6" s="1"/>
  <c r="W807" i="6"/>
  <c r="W806" i="6" s="1"/>
  <c r="W804" i="6"/>
  <c r="W802" i="6"/>
  <c r="W801" i="6" s="1"/>
  <c r="W797" i="6"/>
  <c r="W796" i="6" s="1"/>
  <c r="W792" i="6"/>
  <c r="W791" i="6" s="1"/>
  <c r="W785" i="6"/>
  <c r="W784" i="6" s="1"/>
  <c r="W781" i="6"/>
  <c r="W779" i="6"/>
  <c r="W778" i="6"/>
  <c r="W777" i="6"/>
  <c r="W772" i="6"/>
  <c r="W767" i="6"/>
  <c r="W762" i="6"/>
  <c r="W757" i="6"/>
  <c r="W752" i="6"/>
  <c r="W747" i="6"/>
  <c r="W742" i="6"/>
  <c r="W737" i="6"/>
  <c r="W732" i="6"/>
  <c r="W727" i="6"/>
  <c r="W722" i="6"/>
  <c r="W717" i="6"/>
  <c r="W712" i="6"/>
  <c r="W709" i="6"/>
  <c r="W706" i="6" s="1"/>
  <c r="W700" i="6"/>
  <c r="W695" i="6"/>
  <c r="W690" i="6"/>
  <c r="W685" i="6"/>
  <c r="W680" i="6"/>
  <c r="W675" i="6"/>
  <c r="W670" i="6"/>
  <c r="W664" i="6"/>
  <c r="W659" i="6"/>
  <c r="W654" i="6"/>
  <c r="W647" i="6"/>
  <c r="W646" i="6"/>
  <c r="W645" i="6"/>
  <c r="W644" i="6"/>
  <c r="W642" i="6"/>
  <c r="W641" i="6"/>
  <c r="W640" i="6"/>
  <c r="W638" i="6"/>
  <c r="W636" i="6"/>
  <c r="W630" i="6"/>
  <c r="W629" i="6"/>
  <c r="W628" i="6"/>
  <c r="W627" i="6"/>
  <c r="W626" i="6"/>
  <c r="W620" i="6"/>
  <c r="W614" i="6"/>
  <c r="W613" i="6"/>
  <c r="W612" i="6"/>
  <c r="W610" i="6"/>
  <c r="W609" i="6"/>
  <c r="W607" i="6"/>
  <c r="W606" i="6"/>
  <c r="W604" i="6"/>
  <c r="W602" i="6"/>
  <c r="W596" i="6"/>
  <c r="W591" i="6"/>
  <c r="W586" i="6"/>
  <c r="W585" i="6"/>
  <c r="W580" i="6" s="1"/>
  <c r="W17" i="6" s="1"/>
  <c r="W583" i="6"/>
  <c r="W582" i="6"/>
  <c r="W577" i="6" s="1"/>
  <c r="W576" i="6" s="1"/>
  <c r="W579" i="6"/>
  <c r="W578" i="6"/>
  <c r="W569" i="6"/>
  <c r="W564" i="6"/>
  <c r="W563" i="6"/>
  <c r="W561" i="6"/>
  <c r="W559" i="6"/>
  <c r="W558" i="6"/>
  <c r="W552" i="6"/>
  <c r="W547" i="6"/>
  <c r="W542" i="6"/>
  <c r="W541" i="6"/>
  <c r="W540" i="6"/>
  <c r="W539" i="6"/>
  <c r="W538" i="6"/>
  <c r="W532" i="6"/>
  <c r="W527" i="6"/>
  <c r="W525" i="6"/>
  <c r="W522" i="6" s="1"/>
  <c r="W517" i="6"/>
  <c r="W512" i="6"/>
  <c r="W508" i="6"/>
  <c r="W505" i="6" s="1"/>
  <c r="W503" i="6"/>
  <c r="W501" i="6"/>
  <c r="W500" i="6"/>
  <c r="W489" i="6"/>
  <c r="W484" i="6"/>
  <c r="W479" i="6"/>
  <c r="W474" i="6"/>
  <c r="W469" i="6"/>
  <c r="W464" i="6"/>
  <c r="W459" i="6"/>
  <c r="W454" i="6"/>
  <c r="W453" i="6"/>
  <c r="W450" i="6"/>
  <c r="W419" i="6"/>
  <c r="W414" i="6"/>
  <c r="W409" i="6"/>
  <c r="W403" i="6"/>
  <c r="W398" i="6"/>
  <c r="W393" i="6"/>
  <c r="W388" i="6"/>
  <c r="W383" i="6"/>
  <c r="W378" i="6"/>
  <c r="W373" i="6"/>
  <c r="W372" i="6"/>
  <c r="W371" i="6"/>
  <c r="W370" i="6"/>
  <c r="W369" i="6"/>
  <c r="W363" i="6"/>
  <c r="W358" i="6"/>
  <c r="W353" i="6"/>
  <c r="W348" i="6"/>
  <c r="W343" i="6"/>
  <c r="W338" i="6"/>
  <c r="W336" i="6"/>
  <c r="W335" i="6"/>
  <c r="W333" i="6" s="1"/>
  <c r="W312" i="6"/>
  <c r="W307" i="6"/>
  <c r="W302" i="6"/>
  <c r="W297" i="6"/>
  <c r="W292" i="6"/>
  <c r="W287" i="6"/>
  <c r="W282" i="6"/>
  <c r="W277" i="6"/>
  <c r="W272" i="6"/>
  <c r="W267" i="6"/>
  <c r="W262" i="6"/>
  <c r="W257" i="6"/>
  <c r="W252" i="6"/>
  <c r="W247" i="6"/>
  <c r="W242" i="6"/>
  <c r="W237" i="6"/>
  <c r="W232" i="6"/>
  <c r="W227" i="6"/>
  <c r="W222" i="6"/>
  <c r="W217" i="6"/>
  <c r="W212" i="6"/>
  <c r="W206" i="6"/>
  <c r="W199" i="6"/>
  <c r="W194" i="6"/>
  <c r="W189" i="6"/>
  <c r="W187" i="6"/>
  <c r="W184" i="6" s="1"/>
  <c r="W178" i="6"/>
  <c r="W175" i="6"/>
  <c r="W172" i="6"/>
  <c r="W171" i="6"/>
  <c r="W165" i="6"/>
  <c r="W164" i="6"/>
  <c r="W158" i="6"/>
  <c r="W152" i="6"/>
  <c r="W145" i="6"/>
  <c r="W144" i="6"/>
  <c r="W138" i="6"/>
  <c r="W137" i="6"/>
  <c r="W129" i="6"/>
  <c r="W128" i="6"/>
  <c r="W121" i="6"/>
  <c r="W120" i="6" s="1"/>
  <c r="W114" i="6"/>
  <c r="W113" i="6" s="1"/>
  <c r="W94" i="6"/>
  <c r="W87" i="6"/>
  <c r="W81" i="6"/>
  <c r="W74" i="6"/>
  <c r="W68" i="6"/>
  <c r="W61" i="6"/>
  <c r="W56" i="6"/>
  <c r="W50" i="6"/>
  <c r="W44" i="6"/>
  <c r="W38" i="6"/>
  <c r="W36" i="6"/>
  <c r="W35" i="6"/>
  <c r="W34" i="6"/>
  <c r="W33" i="6"/>
  <c r="W32" i="6"/>
  <c r="W22" i="6" s="1"/>
  <c r="W12" i="6" s="1"/>
  <c r="W30" i="6"/>
  <c r="W29" i="6"/>
  <c r="W26" i="6"/>
  <c r="W16" i="6" s="1"/>
  <c r="W23" i="6"/>
  <c r="W20" i="6"/>
  <c r="W10" i="6" s="1"/>
  <c r="W13" i="6"/>
  <c r="W368" i="6" l="1"/>
  <c r="W557" i="6"/>
  <c r="W637" i="6"/>
  <c r="D386" i="6"/>
  <c r="W25" i="6"/>
  <c r="D385" i="6"/>
  <c r="W643" i="6"/>
  <c r="W31" i="6"/>
  <c r="W21" i="6" s="1"/>
  <c r="W11" i="6" s="1"/>
  <c r="W537" i="6"/>
  <c r="W449" i="6"/>
  <c r="W603" i="6"/>
  <c r="W625" i="6"/>
  <c r="W502" i="6"/>
  <c r="W581" i="6"/>
  <c r="K494" i="6"/>
  <c r="D494" i="6" s="1"/>
  <c r="W819" i="6"/>
  <c r="W816" i="6" s="1"/>
  <c r="W639" i="6"/>
  <c r="W635" i="6" s="1"/>
  <c r="W19" i="6"/>
  <c r="W611" i="6"/>
  <c r="M434" i="6"/>
  <c r="D434" i="6" s="1"/>
  <c r="M429" i="6"/>
  <c r="D429" i="6" s="1"/>
  <c r="M428" i="6"/>
  <c r="D428" i="6" s="1"/>
  <c r="M427" i="6"/>
  <c r="D427" i="6" s="1"/>
  <c r="M426" i="6"/>
  <c r="D426" i="6" s="1"/>
  <c r="M425" i="6"/>
  <c r="D425" i="6" s="1"/>
  <c r="W28" i="6" l="1"/>
  <c r="M29" i="6"/>
  <c r="M424" i="6"/>
  <c r="D424" i="6" s="1"/>
  <c r="W608" i="6"/>
  <c r="W605" i="6"/>
  <c r="W601" i="6" s="1"/>
  <c r="W9" i="6"/>
  <c r="W499" i="6"/>
  <c r="W24" i="6"/>
  <c r="W14" i="6" l="1"/>
  <c r="W8" i="6" s="1"/>
  <c r="W18" i="6"/>
  <c r="M390" i="6"/>
  <c r="M754" i="6"/>
  <c r="M755" i="6"/>
  <c r="D776" i="6" l="1"/>
  <c r="D775" i="6"/>
  <c r="D774" i="6"/>
  <c r="D773" i="6"/>
  <c r="O772" i="6"/>
  <c r="N772" i="6"/>
  <c r="M772" i="6"/>
  <c r="L772" i="6"/>
  <c r="K772" i="6"/>
  <c r="J772" i="6"/>
  <c r="I772" i="6"/>
  <c r="H772" i="6"/>
  <c r="G772" i="6"/>
  <c r="F772" i="6"/>
  <c r="E772" i="6"/>
  <c r="D772" i="6" l="1"/>
  <c r="O767" i="6" l="1"/>
  <c r="F767" i="6"/>
  <c r="G767" i="6"/>
  <c r="H767" i="6"/>
  <c r="I767" i="6"/>
  <c r="J767" i="6"/>
  <c r="K767" i="6"/>
  <c r="L767" i="6"/>
  <c r="M767" i="6"/>
  <c r="N767" i="6"/>
  <c r="E767" i="6"/>
  <c r="D768" i="6"/>
  <c r="D769" i="6"/>
  <c r="D770" i="6"/>
  <c r="D771" i="6"/>
  <c r="D767" i="6" l="1"/>
  <c r="N416" i="6" l="1"/>
  <c r="N759" i="6"/>
  <c r="N645" i="6" s="1"/>
  <c r="D766" i="6"/>
  <c r="D765" i="6"/>
  <c r="D764" i="6"/>
  <c r="D763" i="6"/>
  <c r="O762" i="6"/>
  <c r="N762" i="6"/>
  <c r="M762" i="6"/>
  <c r="L762" i="6"/>
  <c r="K762" i="6"/>
  <c r="J762" i="6"/>
  <c r="I762" i="6"/>
  <c r="H762" i="6"/>
  <c r="G762" i="6"/>
  <c r="F762" i="6"/>
  <c r="E762" i="6"/>
  <c r="D761" i="6"/>
  <c r="N760" i="6"/>
  <c r="M760" i="6"/>
  <c r="M759" i="6"/>
  <c r="D758" i="6"/>
  <c r="O757" i="6"/>
  <c r="L757" i="6"/>
  <c r="K757" i="6"/>
  <c r="J757" i="6"/>
  <c r="I757" i="6"/>
  <c r="H757" i="6"/>
  <c r="G757" i="6"/>
  <c r="F757" i="6"/>
  <c r="E757" i="6"/>
  <c r="N414" i="6"/>
  <c r="M416" i="6"/>
  <c r="N417" i="6"/>
  <c r="M417" i="6"/>
  <c r="O419" i="6"/>
  <c r="N419" i="6"/>
  <c r="M419" i="6"/>
  <c r="L419" i="6"/>
  <c r="K419" i="6"/>
  <c r="J419" i="6"/>
  <c r="I419" i="6"/>
  <c r="H419" i="6"/>
  <c r="G419" i="6"/>
  <c r="F419" i="6"/>
  <c r="E419" i="6"/>
  <c r="O414" i="6"/>
  <c r="L414" i="6"/>
  <c r="K414" i="6"/>
  <c r="J414" i="6"/>
  <c r="I414" i="6"/>
  <c r="H414" i="6"/>
  <c r="G414" i="6"/>
  <c r="F414" i="6"/>
  <c r="E414" i="6"/>
  <c r="D416" i="6" l="1"/>
  <c r="D419" i="6"/>
  <c r="D417" i="6"/>
  <c r="D759" i="6"/>
  <c r="M414" i="6"/>
  <c r="D414" i="6" s="1"/>
  <c r="D762" i="6"/>
  <c r="D760" i="6"/>
  <c r="M757" i="6"/>
  <c r="D757" i="6" s="1"/>
  <c r="O409" i="6" l="1"/>
  <c r="N409" i="6"/>
  <c r="M409" i="6"/>
  <c r="L409" i="6"/>
  <c r="K409" i="6"/>
  <c r="J409" i="6"/>
  <c r="I409" i="6"/>
  <c r="H409" i="6"/>
  <c r="G409" i="6"/>
  <c r="F409" i="6"/>
  <c r="E409" i="6"/>
  <c r="D409" i="6" l="1"/>
  <c r="M401" i="6"/>
  <c r="O403" i="6" l="1"/>
  <c r="M403" i="6"/>
  <c r="L403" i="6"/>
  <c r="K403" i="6"/>
  <c r="J403" i="6"/>
  <c r="I403" i="6"/>
  <c r="H403" i="6"/>
  <c r="G403" i="6"/>
  <c r="F403" i="6"/>
  <c r="E403" i="6"/>
  <c r="D403" i="6" l="1"/>
  <c r="N401" i="6"/>
  <c r="D401" i="6" s="1"/>
  <c r="O398" i="6"/>
  <c r="L398" i="6"/>
  <c r="K398" i="6"/>
  <c r="J398" i="6"/>
  <c r="I398" i="6"/>
  <c r="H398" i="6"/>
  <c r="G398" i="6"/>
  <c r="F398" i="6"/>
  <c r="E398" i="6"/>
  <c r="N398" i="6" l="1"/>
  <c r="M398" i="6"/>
  <c r="D398" i="6" l="1"/>
  <c r="M594" i="6"/>
  <c r="M645" i="6" l="1"/>
  <c r="M647" i="6" l="1"/>
  <c r="M640" i="6" s="1"/>
  <c r="N647" i="6"/>
  <c r="O647" i="6"/>
  <c r="E647" i="6"/>
  <c r="F647" i="6"/>
  <c r="G647" i="6"/>
  <c r="H647" i="6"/>
  <c r="I647" i="6"/>
  <c r="J647" i="6"/>
  <c r="K647" i="6"/>
  <c r="L647" i="6"/>
  <c r="E640" i="6"/>
  <c r="F640" i="6"/>
  <c r="G640" i="6"/>
  <c r="H640" i="6"/>
  <c r="I640" i="6"/>
  <c r="J640" i="6"/>
  <c r="K640" i="6"/>
  <c r="L640" i="6"/>
  <c r="N640" i="6"/>
  <c r="O640" i="6"/>
  <c r="D640" i="6" l="1"/>
  <c r="D647" i="6"/>
  <c r="D756" i="6"/>
  <c r="L755" i="6"/>
  <c r="D755" i="6" s="1"/>
  <c r="D754" i="6"/>
  <c r="D753" i="6"/>
  <c r="O752" i="6"/>
  <c r="N752" i="6"/>
  <c r="M752" i="6"/>
  <c r="L752" i="6"/>
  <c r="K752" i="6"/>
  <c r="J752" i="6"/>
  <c r="I752" i="6"/>
  <c r="H752" i="6"/>
  <c r="G752" i="6"/>
  <c r="F752" i="6"/>
  <c r="E752" i="6"/>
  <c r="D752" i="6" l="1"/>
  <c r="M201" i="6" l="1"/>
  <c r="M396" i="6" l="1"/>
  <c r="N33" i="6" l="1"/>
  <c r="O33" i="6"/>
  <c r="O26" i="6" s="1"/>
  <c r="M26" i="6"/>
  <c r="F36" i="6"/>
  <c r="G36" i="6"/>
  <c r="H36" i="6"/>
  <c r="I36" i="6"/>
  <c r="J36" i="6"/>
  <c r="K36" i="6"/>
  <c r="L36" i="6"/>
  <c r="O36" i="6"/>
  <c r="E36" i="6"/>
  <c r="D36" i="6" l="1"/>
  <c r="M667" i="6"/>
  <c r="M646" i="6" s="1"/>
  <c r="E641" i="6" l="1"/>
  <c r="F641" i="6"/>
  <c r="G641" i="6"/>
  <c r="H641" i="6"/>
  <c r="I641" i="6"/>
  <c r="J641" i="6"/>
  <c r="K641" i="6"/>
  <c r="L641" i="6"/>
  <c r="O641" i="6"/>
  <c r="M641" i="6"/>
  <c r="E638" i="6"/>
  <c r="F638" i="6"/>
  <c r="G638" i="6"/>
  <c r="H638" i="6"/>
  <c r="I638" i="6"/>
  <c r="J638" i="6"/>
  <c r="K638" i="6"/>
  <c r="L638" i="6"/>
  <c r="N638" i="6"/>
  <c r="O638" i="6"/>
  <c r="M638" i="6"/>
  <c r="D782" i="6"/>
  <c r="D780" i="6"/>
  <c r="D789" i="6"/>
  <c r="D787" i="6"/>
  <c r="M16" i="6" l="1"/>
  <c r="D641" i="6"/>
  <c r="M13" i="6"/>
  <c r="D638" i="6"/>
  <c r="E26" i="6"/>
  <c r="F26" i="6"/>
  <c r="F16" i="6" s="1"/>
  <c r="G26" i="6"/>
  <c r="H26" i="6"/>
  <c r="H16" i="6" s="1"/>
  <c r="I26" i="6"/>
  <c r="I16" i="6" s="1"/>
  <c r="J26" i="6"/>
  <c r="J16" i="6" s="1"/>
  <c r="K26" i="6"/>
  <c r="K16" i="6" s="1"/>
  <c r="N16" i="6"/>
  <c r="O16" i="6"/>
  <c r="L26" i="6"/>
  <c r="L16" i="6" s="1"/>
  <c r="G16" i="6"/>
  <c r="P16" i="6"/>
  <c r="Q16" i="6"/>
  <c r="R16" i="6"/>
  <c r="S16" i="6"/>
  <c r="T16" i="6"/>
  <c r="U16" i="6"/>
  <c r="V16" i="6"/>
  <c r="E16" i="6" l="1"/>
  <c r="D16" i="6" s="1"/>
  <c r="D26" i="6"/>
  <c r="M515" i="6"/>
  <c r="M492" i="6" l="1"/>
  <c r="N396" i="6" l="1"/>
  <c r="D396" i="6" s="1"/>
  <c r="O393" i="6"/>
  <c r="L393" i="6"/>
  <c r="K393" i="6"/>
  <c r="J393" i="6"/>
  <c r="I393" i="6"/>
  <c r="H393" i="6"/>
  <c r="G393" i="6"/>
  <c r="F393" i="6"/>
  <c r="E393" i="6"/>
  <c r="N393" i="6" l="1"/>
  <c r="M393" i="6"/>
  <c r="D393" i="6" l="1"/>
  <c r="M814" i="6"/>
  <c r="M489" i="6" l="1"/>
  <c r="K492" i="6"/>
  <c r="D492" i="6" s="1"/>
  <c r="O489" i="6"/>
  <c r="N489" i="6"/>
  <c r="L489" i="6"/>
  <c r="J489" i="6"/>
  <c r="I489" i="6"/>
  <c r="H489" i="6"/>
  <c r="G489" i="6"/>
  <c r="F489" i="6"/>
  <c r="E489" i="6"/>
  <c r="K489" i="6" l="1"/>
  <c r="D489" i="6" s="1"/>
  <c r="O457" i="6" l="1"/>
  <c r="L366" i="6" l="1"/>
  <c r="D366" i="6" s="1"/>
  <c r="L730" i="6" l="1"/>
  <c r="L693" i="6"/>
  <c r="L678" i="6"/>
  <c r="L623" i="6"/>
  <c r="L457" i="6" l="1"/>
  <c r="L390" i="6"/>
  <c r="D390" i="6" s="1"/>
  <c r="L203" i="6"/>
  <c r="D203" i="6" s="1"/>
  <c r="L829" i="6" l="1"/>
  <c r="L809" i="6"/>
  <c r="L201" i="6" l="1"/>
  <c r="D201" i="6" s="1"/>
  <c r="L617" i="6" l="1"/>
  <c r="L65" i="6"/>
  <c r="L567" i="6"/>
  <c r="L315" i="6"/>
  <c r="D315" i="6" s="1"/>
  <c r="L535" i="6" l="1"/>
  <c r="D535" i="6" s="1"/>
  <c r="L709" i="6"/>
  <c r="L703" i="6" l="1"/>
  <c r="N391" i="6" l="1"/>
  <c r="N388" i="6" s="1"/>
  <c r="M391" i="6"/>
  <c r="O388" i="6"/>
  <c r="L388" i="6"/>
  <c r="K388" i="6"/>
  <c r="J388" i="6"/>
  <c r="I388" i="6"/>
  <c r="H388" i="6"/>
  <c r="G388" i="6"/>
  <c r="F388" i="6"/>
  <c r="E388" i="6"/>
  <c r="D388" i="6" l="1"/>
  <c r="M388" i="6"/>
  <c r="D391" i="6"/>
  <c r="L788" i="6"/>
  <c r="L750" i="6" l="1"/>
  <c r="O693" i="6" l="1"/>
  <c r="L740" i="6" l="1"/>
  <c r="L667" i="6"/>
  <c r="L467" i="6" l="1"/>
  <c r="O740" i="6" l="1"/>
  <c r="N740" i="6"/>
  <c r="O709" i="6"/>
  <c r="O703" i="6"/>
  <c r="N646" i="6" l="1"/>
  <c r="O515" i="6"/>
  <c r="N515" i="6"/>
  <c r="O508" i="6"/>
  <c r="N508" i="6"/>
  <c r="M508" i="6"/>
  <c r="M487" i="6"/>
  <c r="O467" i="6"/>
  <c r="O452" i="6" s="1"/>
  <c r="O383" i="6"/>
  <c r="O348" i="6"/>
  <c r="N452" i="6" l="1"/>
  <c r="M452" i="6"/>
  <c r="L735" i="6"/>
  <c r="L244" i="6" l="1"/>
  <c r="D440" i="6" l="1"/>
  <c r="O358" i="6"/>
  <c r="N358" i="6"/>
  <c r="M358" i="6"/>
  <c r="L358" i="6"/>
  <c r="K358" i="6"/>
  <c r="J358" i="6"/>
  <c r="I358" i="6"/>
  <c r="H358" i="6"/>
  <c r="G358" i="6"/>
  <c r="F358" i="6"/>
  <c r="E358" i="6"/>
  <c r="D358" i="6" l="1"/>
  <c r="M348" i="6"/>
  <c r="L351" i="6"/>
  <c r="D351" i="6" s="1"/>
  <c r="N348" i="6"/>
  <c r="L350" i="6"/>
  <c r="D350" i="6" s="1"/>
  <c r="K348" i="6"/>
  <c r="J348" i="6"/>
  <c r="I348" i="6"/>
  <c r="H348" i="6"/>
  <c r="G348" i="6"/>
  <c r="F348" i="6"/>
  <c r="E348" i="6"/>
  <c r="N383" i="6"/>
  <c r="M383" i="6"/>
  <c r="L383" i="6"/>
  <c r="K383" i="6"/>
  <c r="J383" i="6"/>
  <c r="I383" i="6"/>
  <c r="H383" i="6"/>
  <c r="G383" i="6"/>
  <c r="F383" i="6"/>
  <c r="E383" i="6"/>
  <c r="D383" i="6" l="1"/>
  <c r="L348" i="6"/>
  <c r="D348" i="6" s="1"/>
  <c r="L515" i="6" l="1"/>
  <c r="L508" i="6"/>
  <c r="O187" i="6" l="1"/>
  <c r="L814" i="6" l="1"/>
  <c r="O532" i="6" l="1"/>
  <c r="N532" i="6"/>
  <c r="M532" i="6"/>
  <c r="L532" i="6"/>
  <c r="K532" i="6"/>
  <c r="J532" i="6"/>
  <c r="I532" i="6"/>
  <c r="H532" i="6"/>
  <c r="G532" i="6"/>
  <c r="F532" i="6"/>
  <c r="E532" i="6"/>
  <c r="E527" i="6"/>
  <c r="F527" i="6"/>
  <c r="G527" i="6"/>
  <c r="H527" i="6"/>
  <c r="I527" i="6"/>
  <c r="J527" i="6"/>
  <c r="K527" i="6"/>
  <c r="L527" i="6"/>
  <c r="M527" i="6"/>
  <c r="N527" i="6"/>
  <c r="O527" i="6"/>
  <c r="D532" i="6" l="1"/>
  <c r="D527" i="6"/>
  <c r="L725" i="6"/>
  <c r="D751" i="6" l="1"/>
  <c r="D750" i="6"/>
  <c r="D749" i="6"/>
  <c r="D748" i="6"/>
  <c r="O747" i="6"/>
  <c r="N747" i="6"/>
  <c r="M747" i="6"/>
  <c r="L747" i="6"/>
  <c r="K747" i="6"/>
  <c r="J747" i="6"/>
  <c r="I747" i="6"/>
  <c r="H747" i="6"/>
  <c r="G747" i="6"/>
  <c r="F747" i="6"/>
  <c r="E747" i="6"/>
  <c r="L646" i="6"/>
  <c r="D747" i="6" l="1"/>
  <c r="L594" i="6"/>
  <c r="L520" i="6" l="1"/>
  <c r="L502" i="6" l="1"/>
  <c r="L381" i="6" l="1"/>
  <c r="D381" i="6" s="1"/>
  <c r="L345" i="6"/>
  <c r="M336" i="6"/>
  <c r="N336" i="6"/>
  <c r="O336" i="6"/>
  <c r="M335" i="6"/>
  <c r="N335" i="6"/>
  <c r="O335" i="6"/>
  <c r="O31" i="6" s="1"/>
  <c r="P335" i="6"/>
  <c r="Q335" i="6"/>
  <c r="R335" i="6"/>
  <c r="S335" i="6"/>
  <c r="T335" i="6"/>
  <c r="U335" i="6"/>
  <c r="V335" i="6"/>
  <c r="L336" i="6"/>
  <c r="D336" i="6" s="1"/>
  <c r="M369" i="6"/>
  <c r="N369" i="6"/>
  <c r="O369" i="6"/>
  <c r="L369" i="6"/>
  <c r="D369" i="6" s="1"/>
  <c r="M372" i="6"/>
  <c r="N372" i="6"/>
  <c r="O372" i="6"/>
  <c r="L372" i="6"/>
  <c r="D372" i="6" s="1"/>
  <c r="M370" i="6"/>
  <c r="N370" i="6"/>
  <c r="O370" i="6"/>
  <c r="L370" i="6"/>
  <c r="D370" i="6" s="1"/>
  <c r="M371" i="6"/>
  <c r="M368" i="6" s="1"/>
  <c r="N371" i="6"/>
  <c r="O371" i="6"/>
  <c r="O368" i="6" s="1"/>
  <c r="P371" i="6"/>
  <c r="Q371" i="6"/>
  <c r="R371" i="6"/>
  <c r="S371" i="6"/>
  <c r="T371" i="6"/>
  <c r="U371" i="6"/>
  <c r="V371" i="6"/>
  <c r="K368" i="6"/>
  <c r="J368" i="6"/>
  <c r="I368" i="6"/>
  <c r="H368" i="6"/>
  <c r="G368" i="6"/>
  <c r="F368" i="6"/>
  <c r="E368" i="6"/>
  <c r="O378" i="6"/>
  <c r="N378" i="6"/>
  <c r="M378" i="6"/>
  <c r="K378" i="6"/>
  <c r="J378" i="6"/>
  <c r="I378" i="6"/>
  <c r="H378" i="6"/>
  <c r="G378" i="6"/>
  <c r="F378" i="6"/>
  <c r="E378" i="6"/>
  <c r="O373" i="6"/>
  <c r="N373" i="6"/>
  <c r="M373" i="6"/>
  <c r="L373" i="6"/>
  <c r="K373" i="6"/>
  <c r="J373" i="6"/>
  <c r="I373" i="6"/>
  <c r="H373" i="6"/>
  <c r="G373" i="6"/>
  <c r="F373" i="6"/>
  <c r="E373" i="6"/>
  <c r="D373" i="6" l="1"/>
  <c r="L371" i="6"/>
  <c r="L335" i="6"/>
  <c r="D335" i="6" s="1"/>
  <c r="D345" i="6"/>
  <c r="D371" i="6"/>
  <c r="L378" i="6"/>
  <c r="D378" i="6" s="1"/>
  <c r="N368" i="6"/>
  <c r="N333" i="6"/>
  <c r="O333" i="6"/>
  <c r="M333" i="6"/>
  <c r="L368" i="6"/>
  <c r="D368" i="6" s="1"/>
  <c r="L284" i="6" l="1"/>
  <c r="D284" i="6" s="1"/>
  <c r="O363" i="6" l="1"/>
  <c r="N363" i="6"/>
  <c r="M363" i="6"/>
  <c r="L363" i="6"/>
  <c r="K363" i="6"/>
  <c r="J363" i="6"/>
  <c r="I363" i="6"/>
  <c r="H363" i="6"/>
  <c r="G363" i="6"/>
  <c r="F363" i="6"/>
  <c r="E363" i="6"/>
  <c r="D363" i="6" l="1"/>
  <c r="K550" i="6"/>
  <c r="D550" i="6" s="1"/>
  <c r="L285" i="6" l="1"/>
  <c r="D285" i="6" s="1"/>
  <c r="M804" i="6" l="1"/>
  <c r="N804" i="6"/>
  <c r="P804" i="6"/>
  <c r="Q804" i="6"/>
  <c r="R804" i="6"/>
  <c r="S804" i="6"/>
  <c r="L804" i="6"/>
  <c r="I815" i="6"/>
  <c r="H815" i="6"/>
  <c r="G815" i="6"/>
  <c r="F815" i="6"/>
  <c r="E815" i="6"/>
  <c r="D814" i="6"/>
  <c r="D813" i="6"/>
  <c r="O812" i="6"/>
  <c r="O811" i="6" s="1"/>
  <c r="N812" i="6"/>
  <c r="N811" i="6" s="1"/>
  <c r="M812" i="6"/>
  <c r="L812" i="6"/>
  <c r="K812" i="6"/>
  <c r="K811" i="6" s="1"/>
  <c r="I812" i="6"/>
  <c r="I811" i="6" s="1"/>
  <c r="H812" i="6"/>
  <c r="H811" i="6" s="1"/>
  <c r="G812" i="6"/>
  <c r="F812" i="6"/>
  <c r="F811" i="6" s="1"/>
  <c r="E812" i="6"/>
  <c r="E811" i="6" s="1"/>
  <c r="M811" i="6"/>
  <c r="J811" i="6"/>
  <c r="D812" i="6" l="1"/>
  <c r="L811" i="6"/>
  <c r="D815" i="6"/>
  <c r="G811" i="6"/>
  <c r="D811" i="6" l="1"/>
  <c r="O343" i="6"/>
  <c r="N343" i="6"/>
  <c r="M343" i="6"/>
  <c r="L343" i="6"/>
  <c r="K343" i="6"/>
  <c r="J343" i="6"/>
  <c r="I343" i="6"/>
  <c r="H343" i="6"/>
  <c r="G343" i="6"/>
  <c r="F343" i="6"/>
  <c r="E343" i="6"/>
  <c r="O338" i="6"/>
  <c r="N338" i="6"/>
  <c r="M338" i="6"/>
  <c r="L338" i="6"/>
  <c r="K338" i="6"/>
  <c r="J338" i="6"/>
  <c r="I338" i="6"/>
  <c r="H338" i="6"/>
  <c r="G338" i="6"/>
  <c r="F338" i="6"/>
  <c r="E338" i="6"/>
  <c r="D338" i="6" l="1"/>
  <c r="D343" i="6"/>
  <c r="M567" i="6"/>
  <c r="D567" i="6" s="1"/>
  <c r="O353" i="6" l="1"/>
  <c r="N353" i="6"/>
  <c r="M353" i="6"/>
  <c r="L353" i="6"/>
  <c r="K353" i="6"/>
  <c r="J353" i="6"/>
  <c r="I353" i="6"/>
  <c r="H353" i="6"/>
  <c r="G353" i="6"/>
  <c r="F353" i="6"/>
  <c r="E353" i="6"/>
  <c r="D353" i="6" l="1"/>
  <c r="P34" i="6"/>
  <c r="Q34" i="6"/>
  <c r="R34" i="6"/>
  <c r="S34" i="6"/>
  <c r="T34" i="6"/>
  <c r="U34" i="6"/>
  <c r="V34" i="6"/>
  <c r="M304" i="6"/>
  <c r="N304" i="6"/>
  <c r="L304" i="6"/>
  <c r="M244" i="6"/>
  <c r="N244" i="6"/>
  <c r="M639" i="6" l="1"/>
  <c r="N781" i="6"/>
  <c r="O781" i="6"/>
  <c r="M779" i="6"/>
  <c r="M637" i="6" s="1"/>
  <c r="N779" i="6"/>
  <c r="N637" i="6" s="1"/>
  <c r="O779" i="6"/>
  <c r="L781" i="6"/>
  <c r="L779" i="6"/>
  <c r="K290" i="6" l="1"/>
  <c r="D290" i="6" s="1"/>
  <c r="K270" i="6"/>
  <c r="K267" i="6" s="1"/>
  <c r="K617" i="6" l="1"/>
  <c r="K244" i="6"/>
  <c r="D244" i="6" s="1"/>
  <c r="K304" i="6"/>
  <c r="D304" i="6" s="1"/>
  <c r="L333" i="6" l="1"/>
  <c r="K333" i="6"/>
  <c r="J333" i="6"/>
  <c r="I333" i="6"/>
  <c r="H333" i="6"/>
  <c r="G333" i="6"/>
  <c r="F333" i="6"/>
  <c r="E333" i="6"/>
  <c r="D333" i="6" l="1"/>
  <c r="K709" i="6"/>
  <c r="K678" i="6" l="1"/>
  <c r="K703" i="6" l="1"/>
  <c r="K328" i="6" l="1"/>
  <c r="J328" i="6"/>
  <c r="I328" i="6"/>
  <c r="H328" i="6"/>
  <c r="G328" i="6"/>
  <c r="F328" i="6"/>
  <c r="E328" i="6"/>
  <c r="D328" i="6" l="1"/>
  <c r="K809" i="6"/>
  <c r="K804" i="6" s="1"/>
  <c r="K740" i="6"/>
  <c r="K730" i="6"/>
  <c r="K693" i="6"/>
  <c r="K555" i="6"/>
  <c r="D555" i="6" s="1"/>
  <c r="K508" i="6"/>
  <c r="K467" i="6"/>
  <c r="K326" i="6"/>
  <c r="D326" i="6" s="1"/>
  <c r="K321" i="6"/>
  <c r="D321" i="6" s="1"/>
  <c r="K215" i="6"/>
  <c r="K209" i="6"/>
  <c r="K573" i="6" l="1"/>
  <c r="D573" i="6" s="1"/>
  <c r="K457" i="6" l="1"/>
  <c r="K515" i="6" l="1"/>
  <c r="K41" i="6"/>
  <c r="K230" i="6" l="1"/>
  <c r="K720" i="6" l="1"/>
  <c r="L487" i="6"/>
  <c r="K47" i="6"/>
  <c r="K623" i="6" l="1"/>
  <c r="K594" i="6"/>
  <c r="K300" i="6" l="1"/>
  <c r="D300" i="6" s="1"/>
  <c r="K487" i="6" l="1"/>
  <c r="D487" i="6" s="1"/>
  <c r="O646" i="6" l="1"/>
  <c r="O639" i="6" s="1"/>
  <c r="N639" i="6"/>
  <c r="N635" i="6" s="1"/>
  <c r="L639" i="6"/>
  <c r="L611" i="6"/>
  <c r="M611" i="6"/>
  <c r="N611" i="6"/>
  <c r="O611" i="6"/>
  <c r="L584" i="6"/>
  <c r="L579" i="6" s="1"/>
  <c r="M584" i="6"/>
  <c r="M579" i="6" s="1"/>
  <c r="N584" i="6"/>
  <c r="N579" i="6" s="1"/>
  <c r="O584" i="6"/>
  <c r="O579" i="6" s="1"/>
  <c r="M502" i="6"/>
  <c r="N502" i="6"/>
  <c r="L452" i="6"/>
  <c r="K657" i="6" l="1"/>
  <c r="K323" i="6" l="1"/>
  <c r="J323" i="6"/>
  <c r="I323" i="6"/>
  <c r="H323" i="6"/>
  <c r="G323" i="6"/>
  <c r="F323" i="6"/>
  <c r="E323" i="6"/>
  <c r="D323" i="6" l="1"/>
  <c r="K540" i="6"/>
  <c r="O552" i="6"/>
  <c r="N552" i="6"/>
  <c r="M552" i="6"/>
  <c r="L552" i="6"/>
  <c r="K552" i="6"/>
  <c r="J552" i="6"/>
  <c r="I552" i="6"/>
  <c r="H552" i="6"/>
  <c r="G552" i="6"/>
  <c r="F552" i="6"/>
  <c r="E552" i="6"/>
  <c r="D552" i="6" l="1"/>
  <c r="K257" i="6"/>
  <c r="D746" i="6" l="1"/>
  <c r="D745" i="6"/>
  <c r="D744" i="6"/>
  <c r="D743" i="6"/>
  <c r="O742" i="6"/>
  <c r="N742" i="6"/>
  <c r="M742" i="6"/>
  <c r="L742" i="6"/>
  <c r="K742" i="6"/>
  <c r="J742" i="6"/>
  <c r="I742" i="6"/>
  <c r="H742" i="6"/>
  <c r="G742" i="6"/>
  <c r="F742" i="6"/>
  <c r="E742" i="6"/>
  <c r="D742" i="6" l="1"/>
  <c r="J804" i="6"/>
  <c r="J801" i="6" s="1"/>
  <c r="O807" i="6"/>
  <c r="O806" i="6" s="1"/>
  <c r="N807" i="6"/>
  <c r="N806" i="6" s="1"/>
  <c r="M807" i="6"/>
  <c r="M806" i="6" s="1"/>
  <c r="L807" i="6"/>
  <c r="L806" i="6" s="1"/>
  <c r="K807" i="6"/>
  <c r="K806" i="6" s="1"/>
  <c r="O802" i="6"/>
  <c r="O801" i="6" s="1"/>
  <c r="N802" i="6"/>
  <c r="N801" i="6" s="1"/>
  <c r="M802" i="6"/>
  <c r="M801" i="6" s="1"/>
  <c r="L802" i="6"/>
  <c r="L801" i="6" s="1"/>
  <c r="K802" i="6"/>
  <c r="I810" i="6"/>
  <c r="H810" i="6"/>
  <c r="G810" i="6"/>
  <c r="F810" i="6"/>
  <c r="E810" i="6"/>
  <c r="I807" i="6"/>
  <c r="H807" i="6"/>
  <c r="G807" i="6"/>
  <c r="F807" i="6"/>
  <c r="E807" i="6"/>
  <c r="I805" i="6"/>
  <c r="H805" i="6"/>
  <c r="G805" i="6"/>
  <c r="F805" i="6"/>
  <c r="E805" i="6"/>
  <c r="I802" i="6"/>
  <c r="H802" i="6"/>
  <c r="G802" i="6"/>
  <c r="F802" i="6"/>
  <c r="E802" i="6"/>
  <c r="D809" i="6"/>
  <c r="D808" i="6"/>
  <c r="J806" i="6"/>
  <c r="D803" i="6"/>
  <c r="D741" i="6"/>
  <c r="D740" i="6"/>
  <c r="D739" i="6"/>
  <c r="D738" i="6"/>
  <c r="O737" i="6"/>
  <c r="N737" i="6"/>
  <c r="M737" i="6"/>
  <c r="L737" i="6"/>
  <c r="K737" i="6"/>
  <c r="J737" i="6"/>
  <c r="I737" i="6"/>
  <c r="H737" i="6"/>
  <c r="G737" i="6"/>
  <c r="F737" i="6"/>
  <c r="E737" i="6"/>
  <c r="D734" i="6"/>
  <c r="D736" i="6"/>
  <c r="D735" i="6"/>
  <c r="D733" i="6"/>
  <c r="O732" i="6"/>
  <c r="N732" i="6"/>
  <c r="M732" i="6"/>
  <c r="L732" i="6"/>
  <c r="K732" i="6"/>
  <c r="J732" i="6"/>
  <c r="I732" i="6"/>
  <c r="H732" i="6"/>
  <c r="G732" i="6"/>
  <c r="F732" i="6"/>
  <c r="E732" i="6"/>
  <c r="I801" i="6" l="1"/>
  <c r="G806" i="6"/>
  <c r="E801" i="6"/>
  <c r="G801" i="6"/>
  <c r="F801" i="6"/>
  <c r="H801" i="6"/>
  <c r="D807" i="6"/>
  <c r="I806" i="6"/>
  <c r="D737" i="6"/>
  <c r="D805" i="6"/>
  <c r="D802" i="6"/>
  <c r="E806" i="6"/>
  <c r="F806" i="6"/>
  <c r="H806" i="6"/>
  <c r="D810" i="6"/>
  <c r="D806" i="6" s="1"/>
  <c r="D804" i="6"/>
  <c r="K801" i="6"/>
  <c r="D732" i="6"/>
  <c r="D801" i="6" l="1"/>
  <c r="K31" i="6"/>
  <c r="E318" i="6" l="1"/>
  <c r="F318" i="6"/>
  <c r="G318" i="6"/>
  <c r="H318" i="6"/>
  <c r="I318" i="6"/>
  <c r="J318" i="6"/>
  <c r="K318" i="6"/>
  <c r="D318" i="6" l="1"/>
  <c r="K280" i="6"/>
  <c r="K502" i="6" l="1"/>
  <c r="K187" i="6" l="1"/>
  <c r="K34" i="6" s="1"/>
  <c r="O727" i="6" l="1"/>
  <c r="N727" i="6"/>
  <c r="M727" i="6"/>
  <c r="L727" i="6"/>
  <c r="K727" i="6"/>
  <c r="J727" i="6"/>
  <c r="I727" i="6"/>
  <c r="H727" i="6"/>
  <c r="G727" i="6"/>
  <c r="F727" i="6"/>
  <c r="E727" i="6"/>
  <c r="D731" i="6"/>
  <c r="D730" i="6"/>
  <c r="D729" i="6"/>
  <c r="D728" i="6"/>
  <c r="K829" i="6"/>
  <c r="K667" i="6"/>
  <c r="K452" i="6"/>
  <c r="F484" i="6"/>
  <c r="G484" i="6"/>
  <c r="H484" i="6"/>
  <c r="I484" i="6"/>
  <c r="J484" i="6"/>
  <c r="K484" i="6"/>
  <c r="L484" i="6"/>
  <c r="M484" i="6"/>
  <c r="N484" i="6"/>
  <c r="O484" i="6"/>
  <c r="E484" i="6"/>
  <c r="D484" i="6" l="1"/>
  <c r="D727" i="6"/>
  <c r="O722" i="6"/>
  <c r="N722" i="6"/>
  <c r="M722" i="6"/>
  <c r="L722" i="6"/>
  <c r="K722" i="6"/>
  <c r="J722" i="6"/>
  <c r="I722" i="6"/>
  <c r="H722" i="6"/>
  <c r="G722" i="6"/>
  <c r="F722" i="6"/>
  <c r="E722" i="6"/>
  <c r="D726" i="6"/>
  <c r="D725" i="6"/>
  <c r="D724" i="6"/>
  <c r="D723" i="6"/>
  <c r="D722" i="6" l="1"/>
  <c r="O312" i="6"/>
  <c r="N312" i="6"/>
  <c r="M312" i="6"/>
  <c r="L312" i="6"/>
  <c r="K312" i="6"/>
  <c r="J312" i="6"/>
  <c r="I312" i="6"/>
  <c r="H312" i="6"/>
  <c r="G312" i="6"/>
  <c r="F312" i="6"/>
  <c r="E312" i="6"/>
  <c r="D312" i="6" l="1"/>
  <c r="M307" i="6"/>
  <c r="N307" i="6"/>
  <c r="O307" i="6"/>
  <c r="L307" i="6"/>
  <c r="K307" i="6"/>
  <c r="F307" i="6"/>
  <c r="G307" i="6"/>
  <c r="H307" i="6"/>
  <c r="I307" i="6"/>
  <c r="J307" i="6"/>
  <c r="E307" i="6"/>
  <c r="D307" i="6" l="1"/>
  <c r="K646" i="6"/>
  <c r="K569" i="6" l="1"/>
  <c r="E538" i="6" l="1"/>
  <c r="F538" i="6"/>
  <c r="G538" i="6"/>
  <c r="H538" i="6"/>
  <c r="I538" i="6"/>
  <c r="J538" i="6"/>
  <c r="F541" i="6" l="1"/>
  <c r="G541" i="6"/>
  <c r="H541" i="6"/>
  <c r="I541" i="6"/>
  <c r="J541" i="6"/>
  <c r="K541" i="6"/>
  <c r="L541" i="6"/>
  <c r="M541" i="6"/>
  <c r="N541" i="6"/>
  <c r="O541" i="6"/>
  <c r="E541" i="6"/>
  <c r="F540" i="6"/>
  <c r="G540" i="6"/>
  <c r="H540" i="6"/>
  <c r="I540" i="6"/>
  <c r="L540" i="6"/>
  <c r="M540" i="6"/>
  <c r="N540" i="6"/>
  <c r="O540" i="6"/>
  <c r="E540" i="6"/>
  <c r="F539" i="6"/>
  <c r="G539" i="6"/>
  <c r="H539" i="6"/>
  <c r="I539" i="6"/>
  <c r="J539" i="6"/>
  <c r="K539" i="6"/>
  <c r="L539" i="6"/>
  <c r="M539" i="6"/>
  <c r="N539" i="6"/>
  <c r="O539" i="6"/>
  <c r="E539" i="6"/>
  <c r="K538" i="6"/>
  <c r="L538" i="6"/>
  <c r="M538" i="6"/>
  <c r="N538" i="6"/>
  <c r="O538" i="6"/>
  <c r="F547" i="6"/>
  <c r="G547" i="6"/>
  <c r="H547" i="6"/>
  <c r="I547" i="6"/>
  <c r="J547" i="6"/>
  <c r="K547" i="6"/>
  <c r="L547" i="6"/>
  <c r="M547" i="6"/>
  <c r="N547" i="6"/>
  <c r="O547" i="6"/>
  <c r="E547" i="6"/>
  <c r="F542" i="6"/>
  <c r="G542" i="6"/>
  <c r="H542" i="6"/>
  <c r="I542" i="6"/>
  <c r="K542" i="6"/>
  <c r="L542" i="6"/>
  <c r="M542" i="6"/>
  <c r="N542" i="6"/>
  <c r="O542" i="6"/>
  <c r="E542" i="6"/>
  <c r="F563" i="6"/>
  <c r="G563" i="6"/>
  <c r="H563" i="6"/>
  <c r="I563" i="6"/>
  <c r="J563" i="6"/>
  <c r="K563" i="6"/>
  <c r="L563" i="6"/>
  <c r="M563" i="6"/>
  <c r="N563" i="6"/>
  <c r="O563" i="6"/>
  <c r="E563" i="6"/>
  <c r="F561" i="6"/>
  <c r="G561" i="6"/>
  <c r="H561" i="6"/>
  <c r="I561" i="6"/>
  <c r="J561" i="6"/>
  <c r="K561" i="6"/>
  <c r="L561" i="6"/>
  <c r="M561" i="6"/>
  <c r="N561" i="6"/>
  <c r="O561" i="6"/>
  <c r="E561" i="6"/>
  <c r="F559" i="6"/>
  <c r="G559" i="6"/>
  <c r="H559" i="6"/>
  <c r="I559" i="6"/>
  <c r="J559" i="6"/>
  <c r="K559" i="6"/>
  <c r="L559" i="6"/>
  <c r="M559" i="6"/>
  <c r="N559" i="6"/>
  <c r="O559" i="6"/>
  <c r="E559" i="6"/>
  <c r="F558" i="6"/>
  <c r="G558" i="6"/>
  <c r="H558" i="6"/>
  <c r="I558" i="6"/>
  <c r="J558" i="6"/>
  <c r="K558" i="6"/>
  <c r="L558" i="6"/>
  <c r="M558" i="6"/>
  <c r="N558" i="6"/>
  <c r="O558" i="6"/>
  <c r="E558" i="6"/>
  <c r="F569" i="6"/>
  <c r="G569" i="6"/>
  <c r="H569" i="6"/>
  <c r="I569" i="6"/>
  <c r="J569" i="6"/>
  <c r="L569" i="6"/>
  <c r="M569" i="6"/>
  <c r="N569" i="6"/>
  <c r="O569" i="6"/>
  <c r="E569" i="6"/>
  <c r="D558" i="6" l="1"/>
  <c r="D538" i="6"/>
  <c r="D569" i="6"/>
  <c r="D561" i="6"/>
  <c r="D547" i="6"/>
  <c r="D539" i="6"/>
  <c r="D541" i="6"/>
  <c r="D559" i="6"/>
  <c r="D563" i="6"/>
  <c r="F29" i="6"/>
  <c r="G29" i="6"/>
  <c r="H29" i="6"/>
  <c r="I29" i="6"/>
  <c r="J29" i="6"/>
  <c r="K29" i="6"/>
  <c r="K28" i="6" s="1"/>
  <c r="L29" i="6"/>
  <c r="N29" i="6"/>
  <c r="O29" i="6"/>
  <c r="F30" i="6"/>
  <c r="G30" i="6"/>
  <c r="H30" i="6"/>
  <c r="I30" i="6"/>
  <c r="J30" i="6"/>
  <c r="K30" i="6"/>
  <c r="F302" i="6"/>
  <c r="G302" i="6"/>
  <c r="H302" i="6"/>
  <c r="I302" i="6"/>
  <c r="J302" i="6"/>
  <c r="K302" i="6"/>
  <c r="L302" i="6"/>
  <c r="M302" i="6"/>
  <c r="N302" i="6"/>
  <c r="O302" i="6"/>
  <c r="E302" i="6"/>
  <c r="D302" i="6" l="1"/>
  <c r="J709" i="6"/>
  <c r="J661" i="6"/>
  <c r="J270" i="6"/>
  <c r="D270" i="6" s="1"/>
  <c r="J829" i="6" l="1"/>
  <c r="J703" i="6" l="1"/>
  <c r="J693" i="6"/>
  <c r="J657" i="6"/>
  <c r="J623" i="6"/>
  <c r="D623" i="6" s="1"/>
  <c r="J594" i="6"/>
  <c r="J457" i="6"/>
  <c r="D457" i="6" s="1"/>
  <c r="J667" i="6" l="1"/>
  <c r="J508" i="6"/>
  <c r="J467" i="6"/>
  <c r="D467" i="6" s="1"/>
  <c r="J275" i="6"/>
  <c r="D275" i="6" s="1"/>
  <c r="J187" i="6"/>
  <c r="D187" i="6" s="1"/>
  <c r="J280" i="6"/>
  <c r="D280" i="6" s="1"/>
  <c r="J41" i="6"/>
  <c r="D41" i="6" s="1"/>
  <c r="J720" i="6"/>
  <c r="J225" i="6"/>
  <c r="D225" i="6" s="1"/>
  <c r="J617" i="6" l="1"/>
  <c r="D617" i="6" s="1"/>
  <c r="M199" i="6" l="1"/>
  <c r="L199" i="6"/>
  <c r="K199" i="6"/>
  <c r="O525" i="6"/>
  <c r="L645" i="6"/>
  <c r="L637" i="6" s="1"/>
  <c r="O645" i="6"/>
  <c r="K645" i="6"/>
  <c r="K779" i="6"/>
  <c r="O297" i="6"/>
  <c r="N297" i="6"/>
  <c r="M297" i="6"/>
  <c r="L297" i="6"/>
  <c r="K297" i="6"/>
  <c r="J297" i="6"/>
  <c r="I297" i="6"/>
  <c r="H297" i="6"/>
  <c r="G297" i="6"/>
  <c r="F297" i="6"/>
  <c r="E297" i="6"/>
  <c r="O292" i="6"/>
  <c r="N292" i="6"/>
  <c r="M292" i="6"/>
  <c r="L292" i="6"/>
  <c r="K292" i="6"/>
  <c r="J292" i="6"/>
  <c r="I292" i="6"/>
  <c r="H292" i="6"/>
  <c r="G292" i="6"/>
  <c r="F292" i="6"/>
  <c r="O287" i="6"/>
  <c r="N287" i="6"/>
  <c r="M287" i="6"/>
  <c r="L287" i="6"/>
  <c r="K287" i="6"/>
  <c r="J287" i="6"/>
  <c r="I287" i="6"/>
  <c r="H287" i="6"/>
  <c r="G287" i="6"/>
  <c r="F287" i="6"/>
  <c r="E287" i="6"/>
  <c r="O282" i="6"/>
  <c r="N282" i="6"/>
  <c r="M282" i="6"/>
  <c r="L282" i="6"/>
  <c r="K282" i="6"/>
  <c r="J282" i="6"/>
  <c r="I282" i="6"/>
  <c r="H282" i="6"/>
  <c r="G282" i="6"/>
  <c r="F282" i="6"/>
  <c r="E282" i="6"/>
  <c r="H277" i="6"/>
  <c r="J520" i="6"/>
  <c r="J545" i="6"/>
  <c r="D545" i="6" s="1"/>
  <c r="J779" i="6"/>
  <c r="J781" i="6"/>
  <c r="J783" i="6"/>
  <c r="J209" i="6"/>
  <c r="E611" i="6"/>
  <c r="J611" i="6"/>
  <c r="J678" i="6"/>
  <c r="J515" i="6"/>
  <c r="J697" i="6"/>
  <c r="J682" i="6"/>
  <c r="D682" i="6" s="1"/>
  <c r="J471" i="6"/>
  <c r="J461" i="6"/>
  <c r="J199" i="6"/>
  <c r="J564" i="6"/>
  <c r="K564" i="6"/>
  <c r="L564" i="6"/>
  <c r="J65" i="6"/>
  <c r="D65" i="6" s="1"/>
  <c r="J255" i="6"/>
  <c r="D255" i="6" s="1"/>
  <c r="I636" i="6"/>
  <c r="E636" i="6"/>
  <c r="I800" i="6"/>
  <c r="I795" i="6" s="1"/>
  <c r="H800" i="6"/>
  <c r="H795" i="6" s="1"/>
  <c r="G800" i="6"/>
  <c r="G795" i="6" s="1"/>
  <c r="F800" i="6"/>
  <c r="F795" i="6" s="1"/>
  <c r="E800" i="6"/>
  <c r="E795" i="6" s="1"/>
  <c r="D799" i="6"/>
  <c r="D798" i="6"/>
  <c r="O797" i="6"/>
  <c r="O796" i="6" s="1"/>
  <c r="N797" i="6"/>
  <c r="N796" i="6" s="1"/>
  <c r="M797" i="6"/>
  <c r="M796" i="6" s="1"/>
  <c r="L797" i="6"/>
  <c r="L796" i="6" s="1"/>
  <c r="K797" i="6"/>
  <c r="K796" i="6" s="1"/>
  <c r="J797" i="6"/>
  <c r="J796" i="6" s="1"/>
  <c r="I797" i="6"/>
  <c r="I792" i="6" s="1"/>
  <c r="I791" i="6" s="1"/>
  <c r="H797" i="6"/>
  <c r="G797" i="6"/>
  <c r="F797" i="6"/>
  <c r="F792" i="6" s="1"/>
  <c r="E797" i="6"/>
  <c r="E792" i="6" s="1"/>
  <c r="K795" i="6"/>
  <c r="J795" i="6"/>
  <c r="K794" i="6"/>
  <c r="J794" i="6"/>
  <c r="I794" i="6"/>
  <c r="H794" i="6"/>
  <c r="G794" i="6"/>
  <c r="E794" i="6"/>
  <c r="F794" i="6"/>
  <c r="K793" i="6"/>
  <c r="J793" i="6"/>
  <c r="I793" i="6"/>
  <c r="H793" i="6"/>
  <c r="G793" i="6"/>
  <c r="F793" i="6"/>
  <c r="E793" i="6"/>
  <c r="O792" i="6"/>
  <c r="O791" i="6" s="1"/>
  <c r="N792" i="6"/>
  <c r="N791" i="6" s="1"/>
  <c r="M792" i="6"/>
  <c r="M791" i="6" s="1"/>
  <c r="L792" i="6"/>
  <c r="L791" i="6" s="1"/>
  <c r="J265" i="6"/>
  <c r="E609" i="6"/>
  <c r="F609" i="6"/>
  <c r="G609" i="6"/>
  <c r="G626" i="6"/>
  <c r="H609" i="6"/>
  <c r="I609" i="6"/>
  <c r="J609" i="6"/>
  <c r="K609" i="6"/>
  <c r="K626" i="6"/>
  <c r="L609" i="6"/>
  <c r="M609" i="6"/>
  <c r="N609" i="6"/>
  <c r="O609" i="6"/>
  <c r="O626" i="6"/>
  <c r="E610" i="6"/>
  <c r="F610" i="6"/>
  <c r="G610" i="6"/>
  <c r="H610" i="6"/>
  <c r="H627" i="6"/>
  <c r="I610" i="6"/>
  <c r="J610" i="6"/>
  <c r="K610" i="6"/>
  <c r="L610" i="6"/>
  <c r="L613" i="6"/>
  <c r="L607" i="6" s="1"/>
  <c r="M610" i="6"/>
  <c r="N610" i="6"/>
  <c r="O610" i="6"/>
  <c r="F611" i="6"/>
  <c r="F628" i="6"/>
  <c r="G611" i="6"/>
  <c r="H611" i="6"/>
  <c r="I611" i="6"/>
  <c r="K611" i="6"/>
  <c r="K628" i="6"/>
  <c r="E612" i="6"/>
  <c r="F612" i="6"/>
  <c r="F606" i="6" s="1"/>
  <c r="G612" i="6"/>
  <c r="H612" i="6"/>
  <c r="H606" i="6" s="1"/>
  <c r="I612" i="6"/>
  <c r="I606" i="6" s="1"/>
  <c r="J612" i="6"/>
  <c r="J606" i="6" s="1"/>
  <c r="K612" i="6"/>
  <c r="L612" i="6"/>
  <c r="L606" i="6" s="1"/>
  <c r="M612" i="6"/>
  <c r="M602" i="6" s="1"/>
  <c r="N612" i="6"/>
  <c r="N606" i="6" s="1"/>
  <c r="O612" i="6"/>
  <c r="E613" i="6"/>
  <c r="F613" i="6"/>
  <c r="G613" i="6"/>
  <c r="H613" i="6"/>
  <c r="I613" i="6"/>
  <c r="J613" i="6"/>
  <c r="K613" i="6"/>
  <c r="K607" i="6" s="1"/>
  <c r="M613" i="6"/>
  <c r="N613" i="6"/>
  <c r="N607" i="6" s="1"/>
  <c r="O613" i="6"/>
  <c r="O607" i="6" s="1"/>
  <c r="F626" i="6"/>
  <c r="H626" i="6"/>
  <c r="I626" i="6"/>
  <c r="J626" i="6"/>
  <c r="L626" i="6"/>
  <c r="M626" i="6"/>
  <c r="N626" i="6"/>
  <c r="F627" i="6"/>
  <c r="G627" i="6"/>
  <c r="I627" i="6"/>
  <c r="J627" i="6"/>
  <c r="K627" i="6"/>
  <c r="L627" i="6"/>
  <c r="M627" i="6"/>
  <c r="N627" i="6"/>
  <c r="O627" i="6"/>
  <c r="G628" i="6"/>
  <c r="H628" i="6"/>
  <c r="I628" i="6"/>
  <c r="J628" i="6"/>
  <c r="L628" i="6"/>
  <c r="L605" i="6" s="1"/>
  <c r="M628" i="6"/>
  <c r="M605" i="6" s="1"/>
  <c r="N628" i="6"/>
  <c r="N605" i="6" s="1"/>
  <c r="O628" i="6"/>
  <c r="O605" i="6" s="1"/>
  <c r="F629" i="6"/>
  <c r="G629" i="6"/>
  <c r="H629" i="6"/>
  <c r="I629" i="6"/>
  <c r="J629" i="6"/>
  <c r="K629" i="6"/>
  <c r="L629" i="6"/>
  <c r="M629" i="6"/>
  <c r="N629" i="6"/>
  <c r="O629" i="6"/>
  <c r="E629" i="6"/>
  <c r="E627" i="6"/>
  <c r="E628" i="6"/>
  <c r="E626" i="6"/>
  <c r="O630" i="6"/>
  <c r="N630" i="6"/>
  <c r="M630" i="6"/>
  <c r="L630" i="6"/>
  <c r="K630" i="6"/>
  <c r="J630" i="6"/>
  <c r="I630" i="6"/>
  <c r="H630" i="6"/>
  <c r="G630" i="6"/>
  <c r="F630" i="6"/>
  <c r="E630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646" i="6"/>
  <c r="J230" i="6"/>
  <c r="D230" i="6" s="1"/>
  <c r="J220" i="6"/>
  <c r="D220" i="6" s="1"/>
  <c r="J215" i="6"/>
  <c r="D215" i="6" s="1"/>
  <c r="J47" i="6"/>
  <c r="O277" i="6"/>
  <c r="N277" i="6"/>
  <c r="M277" i="6"/>
  <c r="L277" i="6"/>
  <c r="K277" i="6"/>
  <c r="J277" i="6"/>
  <c r="I277" i="6"/>
  <c r="E277" i="6"/>
  <c r="F277" i="6"/>
  <c r="G277" i="6"/>
  <c r="E247" i="6"/>
  <c r="F247" i="6"/>
  <c r="G247" i="6"/>
  <c r="H247" i="6"/>
  <c r="I247" i="6"/>
  <c r="J247" i="6"/>
  <c r="K247" i="6"/>
  <c r="L247" i="6"/>
  <c r="M247" i="6"/>
  <c r="N247" i="6"/>
  <c r="O247" i="6"/>
  <c r="R17" i="5"/>
  <c r="Q17" i="5"/>
  <c r="P17" i="5"/>
  <c r="O17" i="5"/>
  <c r="N17" i="5"/>
  <c r="S17" i="5"/>
  <c r="I17" i="5"/>
  <c r="H57" i="5"/>
  <c r="H58" i="5"/>
  <c r="O272" i="6"/>
  <c r="N272" i="6"/>
  <c r="M272" i="6"/>
  <c r="L272" i="6"/>
  <c r="K272" i="6"/>
  <c r="J272" i="6"/>
  <c r="I272" i="6"/>
  <c r="H272" i="6"/>
  <c r="G272" i="6"/>
  <c r="F272" i="6"/>
  <c r="E272" i="6"/>
  <c r="S16" i="5"/>
  <c r="R16" i="5"/>
  <c r="Q16" i="5"/>
  <c r="O16" i="5"/>
  <c r="L16" i="5"/>
  <c r="K16" i="5"/>
  <c r="J16" i="5"/>
  <c r="I16" i="5"/>
  <c r="I695" i="6"/>
  <c r="I717" i="6"/>
  <c r="Q717" i="6" s="1"/>
  <c r="I503" i="6"/>
  <c r="M19" i="5"/>
  <c r="H19" i="5" s="1"/>
  <c r="I47" i="6"/>
  <c r="N118" i="5"/>
  <c r="N115" i="5" s="1"/>
  <c r="N69" i="5"/>
  <c r="H55" i="5"/>
  <c r="H56" i="5"/>
  <c r="L61" i="6"/>
  <c r="M61" i="6"/>
  <c r="N61" i="6"/>
  <c r="O61" i="6"/>
  <c r="J501" i="6"/>
  <c r="O267" i="6"/>
  <c r="N267" i="6"/>
  <c r="M267" i="6"/>
  <c r="L267" i="6"/>
  <c r="J267" i="6"/>
  <c r="I267" i="6"/>
  <c r="H267" i="6"/>
  <c r="G267" i="6"/>
  <c r="F267" i="6"/>
  <c r="E267" i="6"/>
  <c r="O262" i="6"/>
  <c r="N262" i="6"/>
  <c r="M262" i="6"/>
  <c r="L262" i="6"/>
  <c r="K262" i="6"/>
  <c r="I262" i="6"/>
  <c r="H262" i="6"/>
  <c r="G262" i="6"/>
  <c r="F262" i="6"/>
  <c r="E262" i="6"/>
  <c r="O257" i="6"/>
  <c r="N257" i="6"/>
  <c r="M257" i="6"/>
  <c r="L257" i="6"/>
  <c r="J257" i="6"/>
  <c r="I257" i="6"/>
  <c r="H257" i="6"/>
  <c r="G257" i="6"/>
  <c r="F257" i="6"/>
  <c r="E257" i="6"/>
  <c r="O564" i="6"/>
  <c r="N564" i="6"/>
  <c r="M564" i="6"/>
  <c r="I564" i="6"/>
  <c r="H564" i="6"/>
  <c r="G564" i="6"/>
  <c r="F564" i="6"/>
  <c r="E564" i="6"/>
  <c r="I557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537" i="6"/>
  <c r="M118" i="5"/>
  <c r="I829" i="6"/>
  <c r="I693" i="6"/>
  <c r="I690" i="6" s="1"/>
  <c r="I678" i="6"/>
  <c r="I590" i="6"/>
  <c r="D590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520" i="6"/>
  <c r="D520" i="6" s="1"/>
  <c r="I657" i="6"/>
  <c r="D657" i="6" s="1"/>
  <c r="I709" i="6"/>
  <c r="I667" i="6"/>
  <c r="D667" i="6" s="1"/>
  <c r="I461" i="6"/>
  <c r="I515" i="6"/>
  <c r="I508" i="6"/>
  <c r="D508" i="6" s="1"/>
  <c r="I471" i="6"/>
  <c r="D471" i="6" s="1"/>
  <c r="I594" i="6"/>
  <c r="D594" i="6" s="1"/>
  <c r="M76" i="5"/>
  <c r="H76" i="5" s="1"/>
  <c r="Q85" i="5"/>
  <c r="H85" i="5" s="1"/>
  <c r="I91" i="5"/>
  <c r="D720" i="6"/>
  <c r="D721" i="6"/>
  <c r="D719" i="6"/>
  <c r="D718" i="6"/>
  <c r="O717" i="6"/>
  <c r="N717" i="6"/>
  <c r="M717" i="6"/>
  <c r="L717" i="6"/>
  <c r="K717" i="6"/>
  <c r="J717" i="6"/>
  <c r="H717" i="6"/>
  <c r="G717" i="6"/>
  <c r="E717" i="6"/>
  <c r="F717" i="6"/>
  <c r="J91" i="5"/>
  <c r="K91" i="5"/>
  <c r="L91" i="5"/>
  <c r="O91" i="5"/>
  <c r="P91" i="5"/>
  <c r="Q91" i="5"/>
  <c r="R91" i="5"/>
  <c r="S91" i="5"/>
  <c r="H108" i="5"/>
  <c r="M40" i="5"/>
  <c r="M17" i="5" s="1"/>
  <c r="L469" i="6"/>
  <c r="M469" i="6"/>
  <c r="N469" i="6"/>
  <c r="O469" i="6"/>
  <c r="L459" i="6"/>
  <c r="M459" i="6"/>
  <c r="N459" i="6"/>
  <c r="O459" i="6"/>
  <c r="H52" i="5"/>
  <c r="M48" i="5"/>
  <c r="M47" i="5"/>
  <c r="H47" i="5" s="1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86" i="6"/>
  <c r="D788" i="6"/>
  <c r="D713" i="6"/>
  <c r="D714" i="6"/>
  <c r="D715" i="6"/>
  <c r="D716" i="6"/>
  <c r="D707" i="6"/>
  <c r="D708" i="6"/>
  <c r="D710" i="6"/>
  <c r="D711" i="6"/>
  <c r="D701" i="6"/>
  <c r="D702" i="6"/>
  <c r="D703" i="6"/>
  <c r="D704" i="6"/>
  <c r="D705" i="6"/>
  <c r="D696" i="6"/>
  <c r="D698" i="6"/>
  <c r="D699" i="6"/>
  <c r="D691" i="6"/>
  <c r="D692" i="6"/>
  <c r="D694" i="6"/>
  <c r="D686" i="6"/>
  <c r="D687" i="6"/>
  <c r="D688" i="6"/>
  <c r="D689" i="6"/>
  <c r="D681" i="6"/>
  <c r="D683" i="6"/>
  <c r="D684" i="6"/>
  <c r="D676" i="6"/>
  <c r="D677" i="6"/>
  <c r="D679" i="6"/>
  <c r="D671" i="6"/>
  <c r="D672" i="6"/>
  <c r="D673" i="6"/>
  <c r="D674" i="6"/>
  <c r="D665" i="6"/>
  <c r="D666" i="6"/>
  <c r="D669" i="6"/>
  <c r="D660" i="6"/>
  <c r="D661" i="6"/>
  <c r="D662" i="6"/>
  <c r="D663" i="6"/>
  <c r="D655" i="6"/>
  <c r="D656" i="6"/>
  <c r="D658" i="6"/>
  <c r="E596" i="6"/>
  <c r="F596" i="6"/>
  <c r="G596" i="6"/>
  <c r="H596" i="6"/>
  <c r="I596" i="6"/>
  <c r="J596" i="6"/>
  <c r="K596" i="6"/>
  <c r="L596" i="6"/>
  <c r="M596" i="6"/>
  <c r="N596" i="6"/>
  <c r="O596" i="6"/>
  <c r="D37" i="6"/>
  <c r="O252" i="6"/>
  <c r="N252" i="6"/>
  <c r="M252" i="6"/>
  <c r="L252" i="6"/>
  <c r="K252" i="6"/>
  <c r="J252" i="6"/>
  <c r="I252" i="6"/>
  <c r="H252" i="6"/>
  <c r="G252" i="6"/>
  <c r="F252" i="6"/>
  <c r="E252" i="6"/>
  <c r="L184" i="6"/>
  <c r="N706" i="6"/>
  <c r="M706" i="6"/>
  <c r="M824" i="6"/>
  <c r="L824" i="6"/>
  <c r="L821" i="6" s="1"/>
  <c r="L826" i="6"/>
  <c r="L706" i="6"/>
  <c r="O706" i="6"/>
  <c r="M826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85" i="6"/>
  <c r="M585" i="6"/>
  <c r="M580" i="6" s="1"/>
  <c r="M17" i="6" s="1"/>
  <c r="N585" i="6"/>
  <c r="N580" i="6" s="1"/>
  <c r="N17" i="6" s="1"/>
  <c r="O585" i="6"/>
  <c r="O580" i="6" s="1"/>
  <c r="O17" i="6" s="1"/>
  <c r="L583" i="6"/>
  <c r="M583" i="6"/>
  <c r="N583" i="6"/>
  <c r="O583" i="6"/>
  <c r="L582" i="6"/>
  <c r="L577" i="6" s="1"/>
  <c r="M582" i="6"/>
  <c r="M577" i="6" s="1"/>
  <c r="N582" i="6"/>
  <c r="N577" i="6" s="1"/>
  <c r="O582" i="6"/>
  <c r="O577" i="6" s="1"/>
  <c r="L578" i="6"/>
  <c r="M578" i="6"/>
  <c r="N578" i="6"/>
  <c r="O578" i="6"/>
  <c r="L642" i="6"/>
  <c r="M642" i="6"/>
  <c r="N642" i="6"/>
  <c r="O642" i="6"/>
  <c r="L636" i="6"/>
  <c r="M636" i="6"/>
  <c r="O636" i="6"/>
  <c r="L644" i="6"/>
  <c r="M644" i="6"/>
  <c r="M643" i="6" s="1"/>
  <c r="N644" i="6"/>
  <c r="O644" i="6"/>
  <c r="L664" i="6"/>
  <c r="M607" i="6"/>
  <c r="M606" i="6"/>
  <c r="O606" i="6"/>
  <c r="L620" i="6"/>
  <c r="M620" i="6"/>
  <c r="N620" i="6"/>
  <c r="O620" i="6"/>
  <c r="L614" i="6"/>
  <c r="M614" i="6"/>
  <c r="N614" i="6"/>
  <c r="O614" i="6"/>
  <c r="L591" i="6"/>
  <c r="M591" i="6"/>
  <c r="N591" i="6"/>
  <c r="O591" i="6"/>
  <c r="L586" i="6"/>
  <c r="M586" i="6"/>
  <c r="N586" i="6"/>
  <c r="O586" i="6"/>
  <c r="L522" i="6"/>
  <c r="M522" i="6"/>
  <c r="L517" i="6"/>
  <c r="M517" i="6"/>
  <c r="N517" i="6"/>
  <c r="O517" i="6"/>
  <c r="L512" i="6"/>
  <c r="M512" i="6"/>
  <c r="N512" i="6"/>
  <c r="O512" i="6"/>
  <c r="L500" i="6"/>
  <c r="M500" i="6"/>
  <c r="M450" i="6"/>
  <c r="M443" i="6" s="1"/>
  <c r="D443" i="6" s="1"/>
  <c r="N500" i="6"/>
  <c r="O500" i="6"/>
  <c r="L501" i="6"/>
  <c r="M501" i="6"/>
  <c r="N501" i="6"/>
  <c r="O501" i="6"/>
  <c r="L503" i="6"/>
  <c r="M503" i="6"/>
  <c r="N503" i="6"/>
  <c r="O503" i="6"/>
  <c r="L505" i="6"/>
  <c r="M505" i="6"/>
  <c r="N505" i="6"/>
  <c r="O505" i="6"/>
  <c r="L450" i="6"/>
  <c r="N450" i="6"/>
  <c r="O450" i="6"/>
  <c r="L453" i="6"/>
  <c r="M453" i="6"/>
  <c r="N453" i="6"/>
  <c r="O453" i="6"/>
  <c r="L451" i="6"/>
  <c r="M451" i="6"/>
  <c r="N451" i="6"/>
  <c r="O451" i="6"/>
  <c r="L242" i="6"/>
  <c r="M242" i="6"/>
  <c r="N242" i="6"/>
  <c r="O242" i="6"/>
  <c r="L237" i="6"/>
  <c r="M237" i="6"/>
  <c r="N237" i="6"/>
  <c r="O237" i="6"/>
  <c r="L232" i="6"/>
  <c r="M232" i="6"/>
  <c r="N232" i="6"/>
  <c r="O232" i="6"/>
  <c r="L227" i="6"/>
  <c r="M227" i="6"/>
  <c r="N227" i="6"/>
  <c r="O227" i="6"/>
  <c r="L217" i="6"/>
  <c r="M217" i="6"/>
  <c r="N217" i="6"/>
  <c r="O217" i="6"/>
  <c r="L222" i="6"/>
  <c r="M222" i="6"/>
  <c r="N222" i="6"/>
  <c r="O222" i="6"/>
  <c r="L212" i="6"/>
  <c r="M212" i="6"/>
  <c r="N212" i="6"/>
  <c r="O212" i="6"/>
  <c r="L206" i="6"/>
  <c r="M206" i="6"/>
  <c r="N206" i="6"/>
  <c r="O206" i="6"/>
  <c r="L654" i="6"/>
  <c r="M654" i="6"/>
  <c r="N654" i="6"/>
  <c r="O654" i="6"/>
  <c r="L659" i="6"/>
  <c r="M659" i="6"/>
  <c r="N659" i="6"/>
  <c r="O659" i="6"/>
  <c r="L820" i="6"/>
  <c r="M820" i="6"/>
  <c r="N820" i="6"/>
  <c r="O820" i="6"/>
  <c r="L817" i="6"/>
  <c r="M817" i="6"/>
  <c r="N817" i="6"/>
  <c r="O817" i="6"/>
  <c r="L818" i="6"/>
  <c r="L778" i="6" s="1"/>
  <c r="L777" i="6" s="1"/>
  <c r="M818" i="6"/>
  <c r="M778" i="6" s="1"/>
  <c r="M777" i="6" s="1"/>
  <c r="N818" i="6"/>
  <c r="N778" i="6" s="1"/>
  <c r="N777" i="6" s="1"/>
  <c r="O818" i="6"/>
  <c r="O778" i="6" s="1"/>
  <c r="O777" i="6" s="1"/>
  <c r="L712" i="6"/>
  <c r="M712" i="6"/>
  <c r="N712" i="6"/>
  <c r="O712" i="6"/>
  <c r="L680" i="6"/>
  <c r="M680" i="6"/>
  <c r="N680" i="6"/>
  <c r="O680" i="6"/>
  <c r="L675" i="6"/>
  <c r="M675" i="6"/>
  <c r="N675" i="6"/>
  <c r="O675" i="6"/>
  <c r="L690" i="6"/>
  <c r="M690" i="6"/>
  <c r="N690" i="6"/>
  <c r="O690" i="6"/>
  <c r="L695" i="6"/>
  <c r="M695" i="6"/>
  <c r="N695" i="6"/>
  <c r="O695" i="6"/>
  <c r="L700" i="6"/>
  <c r="M700" i="6"/>
  <c r="N700" i="6"/>
  <c r="O700" i="6"/>
  <c r="O785" i="6"/>
  <c r="O784" i="6" s="1"/>
  <c r="N785" i="6"/>
  <c r="N784" i="6" s="1"/>
  <c r="M785" i="6"/>
  <c r="M784" i="6" s="1"/>
  <c r="L785" i="6"/>
  <c r="L784" i="6" s="1"/>
  <c r="O685" i="6"/>
  <c r="N685" i="6"/>
  <c r="M685" i="6"/>
  <c r="L685" i="6"/>
  <c r="O670" i="6"/>
  <c r="N670" i="6"/>
  <c r="M670" i="6"/>
  <c r="L670" i="6"/>
  <c r="N649" i="6"/>
  <c r="M649" i="6"/>
  <c r="L649" i="6"/>
  <c r="L464" i="6"/>
  <c r="M464" i="6"/>
  <c r="N464" i="6"/>
  <c r="O464" i="6"/>
  <c r="L454" i="6"/>
  <c r="M454" i="6"/>
  <c r="N454" i="6"/>
  <c r="O454" i="6"/>
  <c r="N824" i="6"/>
  <c r="N819" i="6" s="1"/>
  <c r="N522" i="6"/>
  <c r="L602" i="6"/>
  <c r="O602" i="6"/>
  <c r="N602" i="6"/>
  <c r="N826" i="6"/>
  <c r="L625" i="6"/>
  <c r="N625" i="6"/>
  <c r="O826" i="6"/>
  <c r="O824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79" i="6"/>
  <c r="N479" i="6"/>
  <c r="M479" i="6"/>
  <c r="L479" i="6"/>
  <c r="O474" i="6"/>
  <c r="N474" i="6"/>
  <c r="M474" i="6"/>
  <c r="L474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N175" i="6"/>
  <c r="M175" i="6"/>
  <c r="M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2" i="6"/>
  <c r="J242" i="6"/>
  <c r="I242" i="6"/>
  <c r="H242" i="6"/>
  <c r="G242" i="6"/>
  <c r="F242" i="6"/>
  <c r="E242" i="6"/>
  <c r="H112" i="5"/>
  <c r="M110" i="5"/>
  <c r="H110" i="5" s="1"/>
  <c r="M109" i="5"/>
  <c r="H109" i="5" s="1"/>
  <c r="H111" i="5"/>
  <c r="H43" i="5"/>
  <c r="F502" i="6"/>
  <c r="G502" i="6"/>
  <c r="H502" i="6"/>
  <c r="J502" i="6"/>
  <c r="K24" i="6"/>
  <c r="E502" i="6"/>
  <c r="K522" i="6"/>
  <c r="J522" i="6"/>
  <c r="I522" i="6"/>
  <c r="H522" i="6"/>
  <c r="G522" i="6"/>
  <c r="F522" i="6"/>
  <c r="E522" i="6"/>
  <c r="J66" i="5"/>
  <c r="K66" i="5"/>
  <c r="L66" i="5"/>
  <c r="N66" i="5"/>
  <c r="O66" i="5"/>
  <c r="I66" i="5"/>
  <c r="J712" i="6"/>
  <c r="U102" i="5"/>
  <c r="I645" i="6"/>
  <c r="E779" i="6"/>
  <c r="F779" i="6"/>
  <c r="F645" i="6" s="1"/>
  <c r="F637" i="6" s="1"/>
  <c r="G779" i="6"/>
  <c r="H779" i="6"/>
  <c r="H645" i="6" s="1"/>
  <c r="H637" i="6" s="1"/>
  <c r="I779" i="6"/>
  <c r="E781" i="6"/>
  <c r="F781" i="6"/>
  <c r="F646" i="6" s="1"/>
  <c r="G781" i="6"/>
  <c r="G646" i="6" s="1"/>
  <c r="H781" i="6"/>
  <c r="H646" i="6" s="1"/>
  <c r="I781" i="6"/>
  <c r="K781" i="6"/>
  <c r="K639" i="6" s="1"/>
  <c r="K783" i="6"/>
  <c r="I790" i="6"/>
  <c r="I783" i="6" s="1"/>
  <c r="H790" i="6"/>
  <c r="H783" i="6" s="1"/>
  <c r="G790" i="6"/>
  <c r="G783" i="6" s="1"/>
  <c r="F790" i="6"/>
  <c r="F783" i="6" s="1"/>
  <c r="E790" i="6"/>
  <c r="K785" i="6"/>
  <c r="K784" i="6" s="1"/>
  <c r="J785" i="6"/>
  <c r="J784" i="6" s="1"/>
  <c r="I785" i="6"/>
  <c r="I778" i="6" s="1"/>
  <c r="H785" i="6"/>
  <c r="G785" i="6"/>
  <c r="F785" i="6"/>
  <c r="F778" i="6" s="1"/>
  <c r="E785" i="6"/>
  <c r="K237" i="6"/>
  <c r="J237" i="6"/>
  <c r="I237" i="6"/>
  <c r="H237" i="6"/>
  <c r="G237" i="6"/>
  <c r="F237" i="6"/>
  <c r="E237" i="6"/>
  <c r="I501" i="6"/>
  <c r="E501" i="6"/>
  <c r="F501" i="6"/>
  <c r="G501" i="6"/>
  <c r="H501" i="6"/>
  <c r="K501" i="6"/>
  <c r="E503" i="6"/>
  <c r="F503" i="6"/>
  <c r="G503" i="6"/>
  <c r="H503" i="6"/>
  <c r="J503" i="6"/>
  <c r="K503" i="6"/>
  <c r="F500" i="6"/>
  <c r="G500" i="6"/>
  <c r="H500" i="6"/>
  <c r="I500" i="6"/>
  <c r="J500" i="6"/>
  <c r="K500" i="6"/>
  <c r="E500" i="6"/>
  <c r="K517" i="6"/>
  <c r="J517" i="6"/>
  <c r="H517" i="6"/>
  <c r="G517" i="6"/>
  <c r="F517" i="6"/>
  <c r="E517" i="6"/>
  <c r="K232" i="6"/>
  <c r="J232" i="6"/>
  <c r="I232" i="6"/>
  <c r="H232" i="6"/>
  <c r="G232" i="6"/>
  <c r="F232" i="6"/>
  <c r="E232" i="6"/>
  <c r="E452" i="6"/>
  <c r="H585" i="6"/>
  <c r="H580" i="6" s="1"/>
  <c r="F451" i="6"/>
  <c r="G451" i="6"/>
  <c r="H451" i="6"/>
  <c r="I450" i="6"/>
  <c r="I452" i="6"/>
  <c r="I453" i="6"/>
  <c r="K451" i="6"/>
  <c r="E451" i="6"/>
  <c r="F452" i="6"/>
  <c r="G452" i="6"/>
  <c r="H452" i="6"/>
  <c r="J452" i="6"/>
  <c r="K695" i="6"/>
  <c r="J695" i="6"/>
  <c r="H695" i="6"/>
  <c r="G695" i="6"/>
  <c r="F695" i="6"/>
  <c r="E695" i="6"/>
  <c r="K680" i="6"/>
  <c r="I680" i="6"/>
  <c r="H680" i="6"/>
  <c r="G680" i="6"/>
  <c r="F680" i="6"/>
  <c r="E680" i="6"/>
  <c r="E685" i="6"/>
  <c r="F685" i="6"/>
  <c r="G685" i="6"/>
  <c r="H685" i="6"/>
  <c r="I685" i="6"/>
  <c r="K659" i="6"/>
  <c r="J659" i="6"/>
  <c r="I659" i="6"/>
  <c r="H659" i="6"/>
  <c r="G659" i="6"/>
  <c r="F659" i="6"/>
  <c r="E659" i="6"/>
  <c r="K469" i="6"/>
  <c r="J469" i="6"/>
  <c r="H469" i="6"/>
  <c r="G469" i="6"/>
  <c r="F469" i="6"/>
  <c r="E469" i="6"/>
  <c r="K459" i="6"/>
  <c r="I459" i="6"/>
  <c r="H459" i="6"/>
  <c r="G459" i="6"/>
  <c r="F459" i="6"/>
  <c r="E459" i="6"/>
  <c r="L83" i="5"/>
  <c r="L79" i="5" s="1"/>
  <c r="G61" i="6"/>
  <c r="H61" i="6"/>
  <c r="I61" i="6"/>
  <c r="Q61" i="6" s="1"/>
  <c r="J61" i="6"/>
  <c r="K61" i="6"/>
  <c r="F61" i="6"/>
  <c r="I585" i="6"/>
  <c r="I580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642" i="6"/>
  <c r="K642" i="6"/>
  <c r="K636" i="6"/>
  <c r="K644" i="6"/>
  <c r="K643" i="6" s="1"/>
  <c r="J818" i="6"/>
  <c r="K818" i="6"/>
  <c r="J820" i="6"/>
  <c r="K820" i="6"/>
  <c r="K817" i="6"/>
  <c r="K824" i="6"/>
  <c r="K821" i="6" s="1"/>
  <c r="K826" i="6"/>
  <c r="K712" i="6"/>
  <c r="K706" i="6"/>
  <c r="K700" i="6"/>
  <c r="K690" i="6"/>
  <c r="K685" i="6"/>
  <c r="K675" i="6"/>
  <c r="K670" i="6"/>
  <c r="K664" i="6"/>
  <c r="K654" i="6"/>
  <c r="K606" i="6"/>
  <c r="K620" i="6"/>
  <c r="K614" i="6"/>
  <c r="K578" i="6"/>
  <c r="K585" i="6"/>
  <c r="K580" i="6" s="1"/>
  <c r="K17" i="6" s="1"/>
  <c r="K584" i="6"/>
  <c r="K579" i="6" s="1"/>
  <c r="K583" i="6"/>
  <c r="K582" i="6"/>
  <c r="K577" i="6" s="1"/>
  <c r="K586" i="6"/>
  <c r="J585" i="6"/>
  <c r="J580" i="6" s="1"/>
  <c r="J17" i="6" s="1"/>
  <c r="K591" i="6"/>
  <c r="K602" i="6"/>
  <c r="K184" i="6"/>
  <c r="K512" i="6"/>
  <c r="K505" i="6"/>
  <c r="K479" i="6"/>
  <c r="K474" i="6"/>
  <c r="K464" i="6"/>
  <c r="K450" i="6"/>
  <c r="K453" i="6"/>
  <c r="K454" i="6"/>
  <c r="K227" i="6"/>
  <c r="J227" i="6"/>
  <c r="I227" i="6"/>
  <c r="H227" i="6"/>
  <c r="G227" i="6"/>
  <c r="F227" i="6"/>
  <c r="E227" i="6"/>
  <c r="K222" i="6"/>
  <c r="J222" i="6"/>
  <c r="I222" i="6"/>
  <c r="H222" i="6"/>
  <c r="G222" i="6"/>
  <c r="F222" i="6"/>
  <c r="E222" i="6"/>
  <c r="K217" i="6"/>
  <c r="J217" i="6"/>
  <c r="I217" i="6"/>
  <c r="H217" i="6"/>
  <c r="G217" i="6"/>
  <c r="F217" i="6"/>
  <c r="E217" i="6"/>
  <c r="K206" i="6"/>
  <c r="K212" i="6"/>
  <c r="J212" i="6"/>
  <c r="I212" i="6"/>
  <c r="H212" i="6"/>
  <c r="G212" i="6"/>
  <c r="F212" i="6"/>
  <c r="E212" i="6"/>
  <c r="E44" i="6"/>
  <c r="F44" i="6"/>
  <c r="G44" i="6"/>
  <c r="H44" i="6"/>
  <c r="I44" i="6"/>
  <c r="K44" i="6"/>
  <c r="K38" i="6"/>
  <c r="F583" i="6"/>
  <c r="G583" i="6"/>
  <c r="G582" i="6"/>
  <c r="G577" i="6" s="1"/>
  <c r="G584" i="6"/>
  <c r="G579" i="6" s="1"/>
  <c r="G585" i="6"/>
  <c r="G580" i="6" s="1"/>
  <c r="G17" i="6" s="1"/>
  <c r="H583" i="6"/>
  <c r="I583" i="6"/>
  <c r="J583" i="6"/>
  <c r="E583" i="6"/>
  <c r="F584" i="6"/>
  <c r="F579" i="6" s="1"/>
  <c r="H584" i="6"/>
  <c r="H579" i="6" s="1"/>
  <c r="J584" i="6"/>
  <c r="J579" i="6" s="1"/>
  <c r="J582" i="6"/>
  <c r="J577" i="6" s="1"/>
  <c r="E584" i="6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85" i="6"/>
  <c r="F580" i="6" s="1"/>
  <c r="F17" i="6" s="1"/>
  <c r="E585" i="6"/>
  <c r="F582" i="6"/>
  <c r="F577" i="6" s="1"/>
  <c r="H582" i="6"/>
  <c r="H577" i="6" s="1"/>
  <c r="I582" i="6"/>
  <c r="I577" i="6" s="1"/>
  <c r="E582" i="6"/>
  <c r="H184" i="6"/>
  <c r="J824" i="6"/>
  <c r="J819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G15" i="6"/>
  <c r="F712" i="6"/>
  <c r="G712" i="6"/>
  <c r="E712" i="6"/>
  <c r="H712" i="6"/>
  <c r="I712" i="6"/>
  <c r="G38" i="6"/>
  <c r="H706" i="6"/>
  <c r="I706" i="6"/>
  <c r="J706" i="6"/>
  <c r="F706" i="6"/>
  <c r="G706" i="6"/>
  <c r="J479" i="6"/>
  <c r="I479" i="6"/>
  <c r="H479" i="6"/>
  <c r="G479" i="6"/>
  <c r="F479" i="6"/>
  <c r="E479" i="6"/>
  <c r="E129" i="6"/>
  <c r="I35" i="6"/>
  <c r="J75" i="5"/>
  <c r="K75" i="5"/>
  <c r="L75" i="5"/>
  <c r="N75" i="5"/>
  <c r="I75" i="5"/>
  <c r="H824" i="6"/>
  <c r="H821" i="6" s="1"/>
  <c r="H819" i="6" s="1"/>
  <c r="G824" i="6"/>
  <c r="G821" i="6" s="1"/>
  <c r="G819" i="6" s="1"/>
  <c r="G664" i="6"/>
  <c r="J194" i="6"/>
  <c r="I194" i="6"/>
  <c r="H194" i="6"/>
  <c r="G194" i="6"/>
  <c r="F194" i="6"/>
  <c r="E194" i="6"/>
  <c r="J189" i="6"/>
  <c r="I189" i="6"/>
  <c r="H189" i="6"/>
  <c r="G189" i="6"/>
  <c r="F189" i="6"/>
  <c r="E189" i="6"/>
  <c r="E184" i="6"/>
  <c r="F184" i="6"/>
  <c r="G184" i="6"/>
  <c r="I184" i="6"/>
  <c r="J184" i="6"/>
  <c r="E33" i="6"/>
  <c r="E32" i="6"/>
  <c r="E824" i="6"/>
  <c r="E819" i="6" s="1"/>
  <c r="F824" i="6"/>
  <c r="F819" i="6" s="1"/>
  <c r="F178" i="6"/>
  <c r="G178" i="6"/>
  <c r="H178" i="6"/>
  <c r="I178" i="6"/>
  <c r="J178" i="6"/>
  <c r="E178" i="6"/>
  <c r="E182" i="6"/>
  <c r="E450" i="6"/>
  <c r="F450" i="6"/>
  <c r="G450" i="6"/>
  <c r="H450" i="6"/>
  <c r="J450" i="6"/>
  <c r="E453" i="6"/>
  <c r="F453" i="6"/>
  <c r="G453" i="6"/>
  <c r="H453" i="6"/>
  <c r="J453" i="6"/>
  <c r="E454" i="6"/>
  <c r="F454" i="6"/>
  <c r="G454" i="6"/>
  <c r="H454" i="6"/>
  <c r="I454" i="6"/>
  <c r="J454" i="6"/>
  <c r="E131" i="6"/>
  <c r="E62" i="6"/>
  <c r="D62" i="6" s="1"/>
  <c r="F20" i="6"/>
  <c r="G20" i="6"/>
  <c r="G10" i="6" s="1"/>
  <c r="H20" i="6"/>
  <c r="H10" i="6" s="1"/>
  <c r="I20" i="6"/>
  <c r="I10" i="6" s="1"/>
  <c r="J20" i="6"/>
  <c r="J10" i="6" s="1"/>
  <c r="E30" i="6"/>
  <c r="E670" i="6"/>
  <c r="F670" i="6"/>
  <c r="G670" i="6"/>
  <c r="H670" i="6"/>
  <c r="I670" i="6"/>
  <c r="J670" i="6"/>
  <c r="E664" i="6"/>
  <c r="F664" i="6"/>
  <c r="D653" i="6"/>
  <c r="J649" i="6"/>
  <c r="H649" i="6"/>
  <c r="G649" i="6"/>
  <c r="F649" i="6"/>
  <c r="E649" i="6"/>
  <c r="J826" i="6"/>
  <c r="H826" i="6"/>
  <c r="G826" i="6"/>
  <c r="F826" i="6"/>
  <c r="E826" i="6"/>
  <c r="E474" i="6"/>
  <c r="F474" i="6"/>
  <c r="G474" i="6"/>
  <c r="H474" i="6"/>
  <c r="I474" i="6"/>
  <c r="J474" i="6"/>
  <c r="G606" i="6"/>
  <c r="G602" i="6"/>
  <c r="J602" i="6"/>
  <c r="H602" i="6"/>
  <c r="F602" i="6"/>
  <c r="E606" i="6"/>
  <c r="D606" i="6" s="1"/>
  <c r="D652" i="6"/>
  <c r="I649" i="6"/>
  <c r="J80" i="5"/>
  <c r="J11" i="5" s="1"/>
  <c r="F648" i="6"/>
  <c r="G648" i="6"/>
  <c r="H648" i="6"/>
  <c r="I648" i="6"/>
  <c r="E648" i="6"/>
  <c r="F644" i="6"/>
  <c r="G644" i="6"/>
  <c r="H644" i="6"/>
  <c r="I644" i="6"/>
  <c r="J644" i="6"/>
  <c r="E644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85" i="6"/>
  <c r="E709" i="6"/>
  <c r="D709" i="6" s="1"/>
  <c r="E134" i="6"/>
  <c r="D134" i="6" s="1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614" i="6"/>
  <c r="F614" i="6"/>
  <c r="G614" i="6"/>
  <c r="H614" i="6"/>
  <c r="I614" i="6"/>
  <c r="J614" i="6"/>
  <c r="E620" i="6"/>
  <c r="F620" i="6"/>
  <c r="G620" i="6"/>
  <c r="H620" i="6"/>
  <c r="I620" i="6"/>
  <c r="J620" i="6"/>
  <c r="F607" i="6"/>
  <c r="G607" i="6"/>
  <c r="H607" i="6"/>
  <c r="I607" i="6"/>
  <c r="J607" i="6"/>
  <c r="E152" i="6"/>
  <c r="F152" i="6"/>
  <c r="G152" i="6"/>
  <c r="H152" i="6"/>
  <c r="I152" i="6"/>
  <c r="J152" i="6"/>
  <c r="E160" i="6"/>
  <c r="F160" i="6"/>
  <c r="F158" i="6" s="1"/>
  <c r="G160" i="6"/>
  <c r="G158" i="6" s="1"/>
  <c r="H160" i="6"/>
  <c r="H158" i="6" s="1"/>
  <c r="I160" i="6"/>
  <c r="J160" i="6"/>
  <c r="J158" i="6" s="1"/>
  <c r="E700" i="6"/>
  <c r="J172" i="6"/>
  <c r="I172" i="6"/>
  <c r="H172" i="6"/>
  <c r="G172" i="6"/>
  <c r="E172" i="6"/>
  <c r="F172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10" i="6"/>
  <c r="J50" i="6"/>
  <c r="I50" i="6"/>
  <c r="H50" i="6"/>
  <c r="G50" i="6"/>
  <c r="F50" i="6"/>
  <c r="E50" i="6"/>
  <c r="D50" i="6" s="1"/>
  <c r="F165" i="6"/>
  <c r="G165" i="6"/>
  <c r="H165" i="6"/>
  <c r="I165" i="6"/>
  <c r="J165" i="6"/>
  <c r="E165" i="6"/>
  <c r="F168" i="6"/>
  <c r="G168" i="6"/>
  <c r="H168" i="6"/>
  <c r="H164" i="6" s="1"/>
  <c r="I168" i="6"/>
  <c r="I164" i="6" s="1"/>
  <c r="E168" i="6"/>
  <c r="F138" i="6"/>
  <c r="G138" i="6"/>
  <c r="H138" i="6"/>
  <c r="I138" i="6"/>
  <c r="J138" i="6"/>
  <c r="E138" i="6"/>
  <c r="E141" i="6"/>
  <c r="D141" i="6" s="1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D149" i="6" s="1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7" i="6"/>
  <c r="D117" i="6" s="1"/>
  <c r="E95" i="6"/>
  <c r="D95" i="6" s="1"/>
  <c r="J94" i="6"/>
  <c r="I94" i="6"/>
  <c r="H94" i="6"/>
  <c r="G94" i="6"/>
  <c r="F94" i="6"/>
  <c r="E88" i="6"/>
  <c r="D88" i="6" s="1"/>
  <c r="E107" i="6"/>
  <c r="D107" i="6" s="1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D147" i="6" s="1"/>
  <c r="E89" i="6"/>
  <c r="D89" i="6" s="1"/>
  <c r="J87" i="6"/>
  <c r="I87" i="6"/>
  <c r="H87" i="6"/>
  <c r="G87" i="6"/>
  <c r="F87" i="6"/>
  <c r="E82" i="6"/>
  <c r="D82" i="6" s="1"/>
  <c r="J81" i="6"/>
  <c r="I81" i="6"/>
  <c r="H81" i="6"/>
  <c r="G81" i="6"/>
  <c r="F81" i="6"/>
  <c r="E75" i="6"/>
  <c r="D75" i="6" s="1"/>
  <c r="J74" i="6"/>
  <c r="I74" i="6"/>
  <c r="H74" i="6"/>
  <c r="G74" i="6"/>
  <c r="F74" i="6"/>
  <c r="J56" i="6"/>
  <c r="I56" i="6"/>
  <c r="H56" i="6"/>
  <c r="G56" i="6"/>
  <c r="F56" i="6"/>
  <c r="E56" i="6"/>
  <c r="D56" i="6" s="1"/>
  <c r="E69" i="6"/>
  <c r="D69" i="6" s="1"/>
  <c r="G68" i="6"/>
  <c r="H68" i="6"/>
  <c r="I68" i="6"/>
  <c r="J68" i="6"/>
  <c r="F68" i="6"/>
  <c r="J100" i="6"/>
  <c r="I100" i="6"/>
  <c r="H100" i="6"/>
  <c r="G100" i="6"/>
  <c r="F100" i="6"/>
  <c r="E100" i="6"/>
  <c r="D100" i="6" s="1"/>
  <c r="H817" i="6"/>
  <c r="H818" i="6"/>
  <c r="H820" i="6"/>
  <c r="G817" i="6"/>
  <c r="G818" i="6"/>
  <c r="G820" i="6"/>
  <c r="E821" i="6"/>
  <c r="I820" i="6"/>
  <c r="E820" i="6"/>
  <c r="F820" i="6"/>
  <c r="F817" i="6"/>
  <c r="F818" i="6"/>
  <c r="I818" i="6"/>
  <c r="E818" i="6"/>
  <c r="J817" i="6"/>
  <c r="I817" i="6"/>
  <c r="E817" i="6"/>
  <c r="G700" i="6"/>
  <c r="F700" i="6"/>
  <c r="E690" i="6"/>
  <c r="G675" i="6"/>
  <c r="E675" i="6"/>
  <c r="F675" i="6"/>
  <c r="H675" i="6"/>
  <c r="I675" i="6"/>
  <c r="J675" i="6"/>
  <c r="J654" i="6"/>
  <c r="G654" i="6"/>
  <c r="F654" i="6"/>
  <c r="E654" i="6"/>
  <c r="I642" i="6"/>
  <c r="G642" i="6"/>
  <c r="F642" i="6"/>
  <c r="E642" i="6"/>
  <c r="J636" i="6"/>
  <c r="H636" i="6"/>
  <c r="G636" i="6"/>
  <c r="F636" i="6"/>
  <c r="J591" i="6"/>
  <c r="I591" i="6"/>
  <c r="H591" i="6"/>
  <c r="G591" i="6"/>
  <c r="F591" i="6"/>
  <c r="E591" i="6"/>
  <c r="J586" i="6"/>
  <c r="I586" i="6"/>
  <c r="H586" i="6"/>
  <c r="G586" i="6"/>
  <c r="F586" i="6"/>
  <c r="E586" i="6"/>
  <c r="J578" i="6"/>
  <c r="I578" i="6"/>
  <c r="H578" i="6"/>
  <c r="G578" i="6"/>
  <c r="F578" i="6"/>
  <c r="J512" i="6"/>
  <c r="H512" i="6"/>
  <c r="G512" i="6"/>
  <c r="F512" i="6"/>
  <c r="E512" i="6"/>
  <c r="J505" i="6"/>
  <c r="I505" i="6"/>
  <c r="H505" i="6"/>
  <c r="G505" i="6"/>
  <c r="F505" i="6"/>
  <c r="E505" i="6"/>
  <c r="J464" i="6"/>
  <c r="I464" i="6"/>
  <c r="H464" i="6"/>
  <c r="G464" i="6"/>
  <c r="F464" i="6"/>
  <c r="E464" i="6"/>
  <c r="J113" i="5"/>
  <c r="K113" i="5"/>
  <c r="E608" i="6"/>
  <c r="G645" i="6"/>
  <c r="G637" i="6" s="1"/>
  <c r="E645" i="6"/>
  <c r="E637" i="6" s="1"/>
  <c r="J164" i="6"/>
  <c r="G690" i="6"/>
  <c r="H700" i="6"/>
  <c r="H654" i="6"/>
  <c r="F690" i="6"/>
  <c r="M113" i="5"/>
  <c r="F38" i="6"/>
  <c r="E38" i="6"/>
  <c r="H38" i="6"/>
  <c r="L113" i="5"/>
  <c r="I38" i="6"/>
  <c r="I700" i="6"/>
  <c r="J700" i="6"/>
  <c r="H690" i="6"/>
  <c r="I158" i="6"/>
  <c r="J35" i="6"/>
  <c r="J38" i="6"/>
  <c r="H664" i="6"/>
  <c r="I664" i="6"/>
  <c r="J690" i="6"/>
  <c r="J664" i="6"/>
  <c r="O78" i="5"/>
  <c r="I517" i="6"/>
  <c r="H97" i="5"/>
  <c r="I79" i="5"/>
  <c r="L580" i="6"/>
  <c r="L17" i="6" s="1"/>
  <c r="L819" i="6"/>
  <c r="K90" i="5"/>
  <c r="G19" i="6"/>
  <c r="L114" i="5"/>
  <c r="L89" i="5"/>
  <c r="L171" i="6"/>
  <c r="N81" i="5"/>
  <c r="I89" i="5"/>
  <c r="D697" i="6"/>
  <c r="S15" i="5"/>
  <c r="K792" i="6"/>
  <c r="K791" i="6" s="1"/>
  <c r="D800" i="6"/>
  <c r="G792" i="6"/>
  <c r="I81" i="5"/>
  <c r="P79" i="5"/>
  <c r="M664" i="6"/>
  <c r="I80" i="5"/>
  <c r="I11" i="5" s="1"/>
  <c r="O77" i="5"/>
  <c r="R90" i="5"/>
  <c r="J778" i="6"/>
  <c r="O637" i="6"/>
  <c r="N581" i="6"/>
  <c r="S79" i="5"/>
  <c r="R118" i="5"/>
  <c r="S118" i="5" s="1"/>
  <c r="S113" i="5" s="1"/>
  <c r="Q115" i="5"/>
  <c r="R115" i="5" s="1"/>
  <c r="I584" i="6"/>
  <c r="I579" i="6" s="1"/>
  <c r="H68" i="5"/>
  <c r="M66" i="5"/>
  <c r="P680" i="6"/>
  <c r="D678" i="6"/>
  <c r="M115" i="5"/>
  <c r="M114" i="5" s="1"/>
  <c r="H19" i="6"/>
  <c r="H87" i="5"/>
  <c r="M84" i="5"/>
  <c r="M77" i="5" s="1"/>
  <c r="N664" i="6"/>
  <c r="O664" i="6"/>
  <c r="D505" i="6" l="1"/>
  <c r="D586" i="6"/>
  <c r="D642" i="6"/>
  <c r="D818" i="6"/>
  <c r="D145" i="6"/>
  <c r="D165" i="6"/>
  <c r="D172" i="6"/>
  <c r="D222" i="6"/>
  <c r="D500" i="6"/>
  <c r="D627" i="6"/>
  <c r="D287" i="6"/>
  <c r="D47" i="6"/>
  <c r="D178" i="6"/>
  <c r="D564" i="6"/>
  <c r="D257" i="6"/>
  <c r="D267" i="6"/>
  <c r="D272" i="6"/>
  <c r="D626" i="6"/>
  <c r="D591" i="6"/>
  <c r="E106" i="6"/>
  <c r="D106" i="6" s="1"/>
  <c r="D110" i="6"/>
  <c r="D131" i="6"/>
  <c r="D450" i="6"/>
  <c r="E22" i="6"/>
  <c r="D22" i="6" s="1"/>
  <c r="D32" i="6"/>
  <c r="D184" i="6"/>
  <c r="D129" i="6"/>
  <c r="E577" i="6"/>
  <c r="D577" i="6" s="1"/>
  <c r="D582" i="6"/>
  <c r="E580" i="6"/>
  <c r="D585" i="6"/>
  <c r="E579" i="6"/>
  <c r="D579" i="6" s="1"/>
  <c r="D584" i="6"/>
  <c r="D452" i="6"/>
  <c r="D517" i="6"/>
  <c r="D503" i="6"/>
  <c r="D454" i="6"/>
  <c r="D464" i="6"/>
  <c r="I512" i="6"/>
  <c r="D515" i="6"/>
  <c r="D247" i="6"/>
  <c r="E602" i="6"/>
  <c r="D612" i="6"/>
  <c r="D610" i="6"/>
  <c r="D609" i="6"/>
  <c r="D636" i="6"/>
  <c r="J206" i="6"/>
  <c r="D209" i="6"/>
  <c r="O502" i="6"/>
  <c r="O24" i="6" s="1"/>
  <c r="D525" i="6"/>
  <c r="D512" i="6"/>
  <c r="D38" i="6"/>
  <c r="D817" i="6"/>
  <c r="D820" i="6"/>
  <c r="E113" i="6"/>
  <c r="D113" i="6" s="1"/>
  <c r="D114" i="6"/>
  <c r="E120" i="6"/>
  <c r="D120" i="6" s="1"/>
  <c r="D121" i="6"/>
  <c r="D123" i="6"/>
  <c r="D138" i="6"/>
  <c r="E164" i="6"/>
  <c r="D168" i="6"/>
  <c r="F34" i="6"/>
  <c r="E171" i="6"/>
  <c r="D175" i="6"/>
  <c r="E158" i="6"/>
  <c r="D158" i="6" s="1"/>
  <c r="D160" i="6"/>
  <c r="D152" i="6"/>
  <c r="D474" i="6"/>
  <c r="E20" i="6"/>
  <c r="D30" i="6"/>
  <c r="D453" i="6"/>
  <c r="E35" i="6"/>
  <c r="D35" i="6" s="1"/>
  <c r="D182" i="6"/>
  <c r="E23" i="6"/>
  <c r="D23" i="6" s="1"/>
  <c r="D33" i="6"/>
  <c r="D189" i="6"/>
  <c r="D194" i="6"/>
  <c r="D479" i="6"/>
  <c r="E578" i="6"/>
  <c r="D578" i="6" s="1"/>
  <c r="D583" i="6"/>
  <c r="D212" i="6"/>
  <c r="D217" i="6"/>
  <c r="D227" i="6"/>
  <c r="D232" i="6"/>
  <c r="D501" i="6"/>
  <c r="D237" i="6"/>
  <c r="D242" i="6"/>
  <c r="N31" i="6"/>
  <c r="N21" i="6" s="1"/>
  <c r="D206" i="6"/>
  <c r="D441" i="6"/>
  <c r="D614" i="6"/>
  <c r="D620" i="6"/>
  <c r="D252" i="6"/>
  <c r="D596" i="6"/>
  <c r="D461" i="6"/>
  <c r="I824" i="6"/>
  <c r="I821" i="6" s="1"/>
  <c r="I819" i="6" s="1"/>
  <c r="D829" i="6"/>
  <c r="D277" i="6"/>
  <c r="D630" i="6"/>
  <c r="D628" i="6"/>
  <c r="D629" i="6"/>
  <c r="D613" i="6"/>
  <c r="J262" i="6"/>
  <c r="D262" i="6" s="1"/>
  <c r="D265" i="6"/>
  <c r="D611" i="6"/>
  <c r="D282" i="6"/>
  <c r="E293" i="6"/>
  <c r="D293" i="6" s="1"/>
  <c r="D297" i="6"/>
  <c r="D199" i="6"/>
  <c r="M819" i="6"/>
  <c r="M31" i="6"/>
  <c r="M21" i="6" s="1"/>
  <c r="N34" i="6"/>
  <c r="N24" i="6" s="1"/>
  <c r="L635" i="6"/>
  <c r="E13" i="6"/>
  <c r="D13" i="6" s="1"/>
  <c r="L31" i="6"/>
  <c r="L28" i="6" s="1"/>
  <c r="H625" i="6"/>
  <c r="J451" i="6"/>
  <c r="G625" i="6"/>
  <c r="D649" i="6"/>
  <c r="G608" i="6"/>
  <c r="I451" i="6"/>
  <c r="D451" i="6" s="1"/>
  <c r="J777" i="6"/>
  <c r="M171" i="6"/>
  <c r="K778" i="6"/>
  <c r="K777" i="6" s="1"/>
  <c r="I796" i="6"/>
  <c r="G791" i="6"/>
  <c r="I654" i="6"/>
  <c r="F24" i="6"/>
  <c r="I25" i="6"/>
  <c r="I15" i="6" s="1"/>
  <c r="J459" i="6"/>
  <c r="D459" i="6" s="1"/>
  <c r="I469" i="6"/>
  <c r="D469" i="6" s="1"/>
  <c r="J680" i="6"/>
  <c r="D680" i="6" s="1"/>
  <c r="O522" i="6"/>
  <c r="D522" i="6" s="1"/>
  <c r="K21" i="6"/>
  <c r="H84" i="5"/>
  <c r="L14" i="5"/>
  <c r="J14" i="5"/>
  <c r="Q83" i="5"/>
  <c r="Q116" i="5"/>
  <c r="R116" i="5" s="1"/>
  <c r="S116" i="5" s="1"/>
  <c r="H106" i="5"/>
  <c r="J792" i="6"/>
  <c r="J791" i="6" s="1"/>
  <c r="G796" i="6"/>
  <c r="R14" i="5"/>
  <c r="P77" i="5"/>
  <c r="O625" i="6"/>
  <c r="N608" i="6"/>
  <c r="I604" i="6"/>
  <c r="E87" i="6"/>
  <c r="D87" i="6" s="1"/>
  <c r="M576" i="6"/>
  <c r="O821" i="6"/>
  <c r="O819" i="6"/>
  <c r="H105" i="5"/>
  <c r="O89" i="5"/>
  <c r="S14" i="5"/>
  <c r="S13" i="5" s="1"/>
  <c r="H46" i="5"/>
  <c r="E791" i="6"/>
  <c r="H784" i="6"/>
  <c r="E137" i="6"/>
  <c r="D137" i="6" s="1"/>
  <c r="N14" i="5"/>
  <c r="J89" i="5"/>
  <c r="N77" i="5"/>
  <c r="K77" i="5"/>
  <c r="J81" i="5"/>
  <c r="Q113" i="5"/>
  <c r="H48" i="5"/>
  <c r="H119" i="5"/>
  <c r="D700" i="6"/>
  <c r="E31" i="6"/>
  <c r="D670" i="6"/>
  <c r="O88" i="5"/>
  <c r="L77" i="5"/>
  <c r="K14" i="5"/>
  <c r="D659" i="6"/>
  <c r="K499" i="6"/>
  <c r="H66" i="5"/>
  <c r="J114" i="5"/>
  <c r="N499" i="6"/>
  <c r="Q114" i="5"/>
  <c r="O114" i="5"/>
  <c r="F784" i="6"/>
  <c r="I637" i="6"/>
  <c r="Q90" i="5"/>
  <c r="V94" i="5"/>
  <c r="M80" i="5"/>
  <c r="M11" i="5" s="1"/>
  <c r="H92" i="5"/>
  <c r="D648" i="6"/>
  <c r="I114" i="5"/>
  <c r="Q14" i="5"/>
  <c r="D795" i="6"/>
  <c r="F791" i="6"/>
  <c r="I88" i="5"/>
  <c r="H83" i="5"/>
  <c r="L643" i="6"/>
  <c r="N643" i="6"/>
  <c r="M91" i="5"/>
  <c r="M90" i="5" s="1"/>
  <c r="H117" i="5"/>
  <c r="I502" i="6"/>
  <c r="D502" i="6" s="1"/>
  <c r="K81" i="5"/>
  <c r="J78" i="5"/>
  <c r="I826" i="6"/>
  <c r="D826" i="6" s="1"/>
  <c r="F449" i="6"/>
  <c r="J79" i="5"/>
  <c r="M75" i="5"/>
  <c r="H75" i="5" s="1"/>
  <c r="K25" i="6"/>
  <c r="I77" i="5"/>
  <c r="S81" i="5"/>
  <c r="M821" i="6"/>
  <c r="M25" i="6"/>
  <c r="M15" i="6" s="1"/>
  <c r="S77" i="5"/>
  <c r="M89" i="5"/>
  <c r="D690" i="6"/>
  <c r="J15" i="5"/>
  <c r="J13" i="5" s="1"/>
  <c r="N16" i="5"/>
  <c r="N90" i="5"/>
  <c r="O604" i="6"/>
  <c r="F796" i="6"/>
  <c r="D644" i="6"/>
  <c r="Q89" i="5"/>
  <c r="Q88" i="5" s="1"/>
  <c r="I15" i="5"/>
  <c r="I12" i="5" s="1"/>
  <c r="J645" i="6"/>
  <c r="J637" i="6" s="1"/>
  <c r="D790" i="6"/>
  <c r="D779" i="6"/>
  <c r="S12" i="5"/>
  <c r="R77" i="5"/>
  <c r="F777" i="6"/>
  <c r="J31" i="6"/>
  <c r="M74" i="5"/>
  <c r="M73" i="5" s="1"/>
  <c r="H73" i="5" s="1"/>
  <c r="D685" i="6"/>
  <c r="L88" i="5"/>
  <c r="H94" i="5"/>
  <c r="N576" i="6"/>
  <c r="Q77" i="5"/>
  <c r="L12" i="5"/>
  <c r="Q15" i="5"/>
  <c r="J44" i="6"/>
  <c r="D44" i="6" s="1"/>
  <c r="J34" i="6"/>
  <c r="I581" i="6"/>
  <c r="H82" i="5"/>
  <c r="E94" i="6"/>
  <c r="D94" i="6" s="1"/>
  <c r="G31" i="6"/>
  <c r="P114" i="5"/>
  <c r="G604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783" i="6"/>
  <c r="D783" i="6" s="1"/>
  <c r="P89" i="5"/>
  <c r="I777" i="6"/>
  <c r="N113" i="5"/>
  <c r="H113" i="5" s="1"/>
  <c r="H34" i="6"/>
  <c r="I78" i="5"/>
  <c r="I10" i="5" s="1"/>
  <c r="E778" i="6"/>
  <c r="E784" i="6"/>
  <c r="U110" i="5"/>
  <c r="P90" i="5"/>
  <c r="D693" i="6"/>
  <c r="H40" i="5"/>
  <c r="K15" i="5"/>
  <c r="K12" i="5" s="1"/>
  <c r="E796" i="6"/>
  <c r="O15" i="5"/>
  <c r="O12" i="5" s="1"/>
  <c r="J542" i="6"/>
  <c r="D542" i="6" s="1"/>
  <c r="J540" i="6"/>
  <c r="K88" i="5"/>
  <c r="G164" i="6"/>
  <c r="G34" i="6"/>
  <c r="I13" i="5"/>
  <c r="H118" i="5"/>
  <c r="I9" i="5"/>
  <c r="M14" i="5"/>
  <c r="H91" i="5"/>
  <c r="H61" i="5"/>
  <c r="R81" i="5"/>
  <c r="O81" i="5"/>
  <c r="E816" i="6"/>
  <c r="F31" i="6"/>
  <c r="F28" i="6" s="1"/>
  <c r="J77" i="5"/>
  <c r="K114" i="5"/>
  <c r="K10" i="5" s="1"/>
  <c r="K9" i="5" s="1"/>
  <c r="H93" i="5"/>
  <c r="L81" i="5"/>
  <c r="G778" i="6"/>
  <c r="G784" i="6"/>
  <c r="L25" i="6"/>
  <c r="S88" i="5"/>
  <c r="M625" i="6"/>
  <c r="H608" i="6"/>
  <c r="H796" i="6"/>
  <c r="N449" i="6"/>
  <c r="R89" i="5"/>
  <c r="R88" i="5" s="1"/>
  <c r="N114" i="5"/>
  <c r="M81" i="5"/>
  <c r="L581" i="6"/>
  <c r="O499" i="6"/>
  <c r="H31" i="6"/>
  <c r="H21" i="6" s="1"/>
  <c r="E581" i="6"/>
  <c r="L80" i="5"/>
  <c r="L11" i="5" s="1"/>
  <c r="P64" i="6"/>
  <c r="E29" i="6"/>
  <c r="N89" i="5"/>
  <c r="H116" i="5"/>
  <c r="H25" i="6"/>
  <c r="O14" i="5"/>
  <c r="H17" i="5"/>
  <c r="I784" i="6"/>
  <c r="H18" i="5"/>
  <c r="R15" i="5"/>
  <c r="R13" i="5" s="1"/>
  <c r="I34" i="6"/>
  <c r="P15" i="5"/>
  <c r="P12" i="5" s="1"/>
  <c r="E605" i="6"/>
  <c r="H792" i="6"/>
  <c r="H791" i="6" s="1"/>
  <c r="I646" i="6"/>
  <c r="N15" i="5"/>
  <c r="K625" i="6"/>
  <c r="K608" i="6"/>
  <c r="D781" i="6"/>
  <c r="J625" i="6"/>
  <c r="J608" i="6"/>
  <c r="J639" i="6"/>
  <c r="K557" i="6"/>
  <c r="M557" i="6"/>
  <c r="E25" i="6"/>
  <c r="F499" i="6"/>
  <c r="K604" i="6"/>
  <c r="I608" i="6"/>
  <c r="O449" i="6"/>
  <c r="L499" i="6"/>
  <c r="F821" i="6"/>
  <c r="M603" i="6"/>
  <c r="M608" i="6"/>
  <c r="N604" i="6"/>
  <c r="J576" i="6"/>
  <c r="O581" i="6"/>
  <c r="H449" i="6"/>
  <c r="N19" i="6"/>
  <c r="E128" i="6"/>
  <c r="D128" i="6" s="1"/>
  <c r="J25" i="6"/>
  <c r="E74" i="6"/>
  <c r="D74" i="6" s="1"/>
  <c r="N25" i="6"/>
  <c r="E537" i="6"/>
  <c r="L537" i="6"/>
  <c r="H537" i="6"/>
  <c r="G449" i="6"/>
  <c r="M499" i="6"/>
  <c r="M19" i="6"/>
  <c r="E292" i="6"/>
  <c r="D292" i="6" s="1"/>
  <c r="D793" i="6"/>
  <c r="M816" i="6"/>
  <c r="O816" i="6"/>
  <c r="N816" i="6"/>
  <c r="K637" i="6"/>
  <c r="K581" i="6"/>
  <c r="F581" i="6"/>
  <c r="H581" i="6"/>
  <c r="J24" i="6"/>
  <c r="F25" i="6"/>
  <c r="F15" i="6" s="1"/>
  <c r="G499" i="6"/>
  <c r="G576" i="6"/>
  <c r="M581" i="6"/>
  <c r="J21" i="6"/>
  <c r="J499" i="6"/>
  <c r="O608" i="6"/>
  <c r="I625" i="6"/>
  <c r="F608" i="6"/>
  <c r="I602" i="6"/>
  <c r="I603" i="6"/>
  <c r="O603" i="6"/>
  <c r="J605" i="6"/>
  <c r="G603" i="6"/>
  <c r="G9" i="6" s="1"/>
  <c r="F625" i="6"/>
  <c r="E625" i="6"/>
  <c r="L603" i="6"/>
  <c r="N171" i="6"/>
  <c r="E68" i="6"/>
  <c r="D68" i="6" s="1"/>
  <c r="O25" i="6"/>
  <c r="J821" i="6"/>
  <c r="L816" i="6"/>
  <c r="D785" i="6"/>
  <c r="D794" i="6"/>
  <c r="I605" i="6"/>
  <c r="F603" i="6"/>
  <c r="F9" i="6" s="1"/>
  <c r="H605" i="6"/>
  <c r="N603" i="6"/>
  <c r="K605" i="6"/>
  <c r="O576" i="6"/>
  <c r="G581" i="6"/>
  <c r="L449" i="6"/>
  <c r="H639" i="6"/>
  <c r="H635" i="6" s="1"/>
  <c r="H643" i="6"/>
  <c r="D664" i="6"/>
  <c r="D654" i="6"/>
  <c r="E81" i="6"/>
  <c r="D81" i="6" s="1"/>
  <c r="E144" i="6"/>
  <c r="D144" i="6" s="1"/>
  <c r="I576" i="6"/>
  <c r="K576" i="6"/>
  <c r="H778" i="6"/>
  <c r="H777" i="6" s="1"/>
  <c r="H499" i="6"/>
  <c r="G537" i="6"/>
  <c r="F557" i="6"/>
  <c r="J557" i="6"/>
  <c r="M604" i="6"/>
  <c r="E557" i="6"/>
  <c r="F816" i="6"/>
  <c r="E21" i="6"/>
  <c r="O537" i="6"/>
  <c r="L608" i="6"/>
  <c r="G816" i="6"/>
  <c r="E706" i="6"/>
  <c r="D706" i="6" s="1"/>
  <c r="J449" i="6"/>
  <c r="E449" i="6"/>
  <c r="K449" i="6"/>
  <c r="D695" i="6"/>
  <c r="E499" i="6"/>
  <c r="I499" i="6"/>
  <c r="N821" i="6"/>
  <c r="D717" i="6"/>
  <c r="N537" i="6"/>
  <c r="I537" i="6"/>
  <c r="N557" i="6"/>
  <c r="G557" i="6"/>
  <c r="F604" i="6"/>
  <c r="L604" i="6"/>
  <c r="J816" i="6"/>
  <c r="K819" i="6"/>
  <c r="K816" i="6" s="1"/>
  <c r="H816" i="6"/>
  <c r="G639" i="6"/>
  <c r="G635" i="6" s="1"/>
  <c r="G643" i="6"/>
  <c r="F639" i="6"/>
  <c r="F635" i="6" s="1"/>
  <c r="F643" i="6"/>
  <c r="D675" i="6"/>
  <c r="E646" i="6"/>
  <c r="D712" i="6"/>
  <c r="O643" i="6"/>
  <c r="E603" i="6"/>
  <c r="F605" i="6"/>
  <c r="H604" i="6"/>
  <c r="G605" i="6"/>
  <c r="H603" i="6"/>
  <c r="E604" i="6"/>
  <c r="K603" i="6"/>
  <c r="H17" i="6"/>
  <c r="F576" i="6"/>
  <c r="E576" i="6"/>
  <c r="L576" i="6"/>
  <c r="J581" i="6"/>
  <c r="H576" i="6"/>
  <c r="H557" i="6"/>
  <c r="L557" i="6"/>
  <c r="L19" i="6"/>
  <c r="J19" i="6"/>
  <c r="J9" i="6" s="1"/>
  <c r="K19" i="6"/>
  <c r="I449" i="6"/>
  <c r="M24" i="6"/>
  <c r="M14" i="6" s="1"/>
  <c r="O21" i="6"/>
  <c r="O11" i="6" s="1"/>
  <c r="O19" i="6"/>
  <c r="F537" i="6"/>
  <c r="M449" i="6"/>
  <c r="D442" i="6" s="1"/>
  <c r="O557" i="6"/>
  <c r="F10" i="6"/>
  <c r="E12" i="6"/>
  <c r="D12" i="6" s="1"/>
  <c r="O28" i="6"/>
  <c r="K537" i="6"/>
  <c r="O635" i="6"/>
  <c r="I816" i="6"/>
  <c r="J12" i="5"/>
  <c r="E61" i="6"/>
  <c r="D61" i="6" s="1"/>
  <c r="H54" i="5"/>
  <c r="P81" i="5"/>
  <c r="D797" i="6"/>
  <c r="M16" i="5"/>
  <c r="I19" i="6"/>
  <c r="D824" i="6" l="1"/>
  <c r="D625" i="6"/>
  <c r="D605" i="6"/>
  <c r="D576" i="6"/>
  <c r="D604" i="6"/>
  <c r="D499" i="6"/>
  <c r="D557" i="6"/>
  <c r="D816" i="6"/>
  <c r="D608" i="6"/>
  <c r="E15" i="6"/>
  <c r="D15" i="6" s="1"/>
  <c r="D25" i="6"/>
  <c r="D581" i="6"/>
  <c r="J537" i="6"/>
  <c r="D537" i="6" s="1"/>
  <c r="D540" i="6"/>
  <c r="D821" i="6"/>
  <c r="O14" i="6"/>
  <c r="M11" i="6"/>
  <c r="D31" i="6"/>
  <c r="D819" i="6"/>
  <c r="P816" i="6" s="1"/>
  <c r="M439" i="6"/>
  <c r="D439" i="6" s="1"/>
  <c r="E10" i="6"/>
  <c r="D10" i="6" s="1"/>
  <c r="D20" i="6"/>
  <c r="D171" i="6"/>
  <c r="D602" i="6"/>
  <c r="E17" i="6"/>
  <c r="D17" i="6" s="1"/>
  <c r="D580" i="6"/>
  <c r="D603" i="6"/>
  <c r="E28" i="6"/>
  <c r="D29" i="6"/>
  <c r="D637" i="6"/>
  <c r="D164" i="6"/>
  <c r="D449" i="6"/>
  <c r="D34" i="6"/>
  <c r="J11" i="6"/>
  <c r="J635" i="6"/>
  <c r="J643" i="6"/>
  <c r="D645" i="6"/>
  <c r="L9" i="6"/>
  <c r="I21" i="6"/>
  <c r="I11" i="6" s="1"/>
  <c r="N601" i="6"/>
  <c r="F21" i="6"/>
  <c r="F18" i="6" s="1"/>
  <c r="Q79" i="5"/>
  <c r="H79" i="5" s="1"/>
  <c r="Q81" i="5"/>
  <c r="E24" i="6"/>
  <c r="K14" i="6"/>
  <c r="K635" i="6"/>
  <c r="K11" i="6"/>
  <c r="L21" i="6"/>
  <c r="L11" i="6" s="1"/>
  <c r="O9" i="6"/>
  <c r="O8" i="6" s="1"/>
  <c r="I24" i="6"/>
  <c r="L9" i="5"/>
  <c r="H77" i="5"/>
  <c r="Q13" i="5"/>
  <c r="D791" i="6"/>
  <c r="D792" i="6"/>
  <c r="H115" i="5"/>
  <c r="J28" i="6"/>
  <c r="G28" i="6"/>
  <c r="U11" i="5"/>
  <c r="M9" i="6"/>
  <c r="M8" i="6" s="1"/>
  <c r="H114" i="5"/>
  <c r="J10" i="5"/>
  <c r="P10" i="5"/>
  <c r="G601" i="6"/>
  <c r="H80" i="5"/>
  <c r="N88" i="5"/>
  <c r="K13" i="5"/>
  <c r="H14" i="5"/>
  <c r="P13" i="5"/>
  <c r="E777" i="6"/>
  <c r="H74" i="5"/>
  <c r="H78" i="5"/>
  <c r="S9" i="5"/>
  <c r="H11" i="5"/>
  <c r="P9" i="5"/>
  <c r="N11" i="6"/>
  <c r="O601" i="6"/>
  <c r="D778" i="6"/>
  <c r="D784" i="6"/>
  <c r="H90" i="5"/>
  <c r="G777" i="6"/>
  <c r="N28" i="6"/>
  <c r="R12" i="5"/>
  <c r="R9" i="5" s="1"/>
  <c r="H81" i="5"/>
  <c r="P88" i="5"/>
  <c r="H88" i="5" s="1"/>
  <c r="G24" i="6"/>
  <c r="G14" i="6" s="1"/>
  <c r="I643" i="6"/>
  <c r="I639" i="6"/>
  <c r="I635" i="6" s="1"/>
  <c r="M10" i="5"/>
  <c r="D796" i="6"/>
  <c r="K601" i="6"/>
  <c r="I28" i="6"/>
  <c r="N12" i="5"/>
  <c r="O13" i="5"/>
  <c r="N10" i="5"/>
  <c r="H89" i="5"/>
  <c r="O10" i="5"/>
  <c r="O9" i="5" s="1"/>
  <c r="N13" i="5"/>
  <c r="H11" i="6"/>
  <c r="M601" i="6"/>
  <c r="J14" i="6"/>
  <c r="J8" i="6" s="1"/>
  <c r="G21" i="6"/>
  <c r="E19" i="6"/>
  <c r="D19" i="6" s="1"/>
  <c r="I601" i="6"/>
  <c r="N9" i="6"/>
  <c r="L601" i="6"/>
  <c r="E607" i="6"/>
  <c r="D607" i="6" s="1"/>
  <c r="E11" i="6"/>
  <c r="L24" i="6"/>
  <c r="L14" i="6" s="1"/>
  <c r="N18" i="6"/>
  <c r="J601" i="6"/>
  <c r="N14" i="6"/>
  <c r="M28" i="6"/>
  <c r="E639" i="6"/>
  <c r="E643" i="6"/>
  <c r="D646" i="6"/>
  <c r="F14" i="6"/>
  <c r="F601" i="6"/>
  <c r="K9" i="6"/>
  <c r="H601" i="6"/>
  <c r="H9" i="6"/>
  <c r="K18" i="6"/>
  <c r="J18" i="6"/>
  <c r="O18" i="6"/>
  <c r="M15" i="5"/>
  <c r="H16" i="5"/>
  <c r="J9" i="5"/>
  <c r="I9" i="6"/>
  <c r="H24" i="6"/>
  <c r="H28" i="6"/>
  <c r="H10" i="5"/>
  <c r="D24" i="6" l="1"/>
  <c r="D639" i="6"/>
  <c r="D28" i="6"/>
  <c r="D21" i="6"/>
  <c r="I18" i="6"/>
  <c r="E14" i="6"/>
  <c r="F11" i="6"/>
  <c r="E18" i="6"/>
  <c r="Q12" i="5"/>
  <c r="Q9" i="5" s="1"/>
  <c r="K8" i="6"/>
  <c r="L8" i="6"/>
  <c r="I14" i="6"/>
  <c r="I8" i="6" s="1"/>
  <c r="D777" i="6"/>
  <c r="L18" i="6"/>
  <c r="N9" i="5"/>
  <c r="D643" i="6"/>
  <c r="E9" i="6"/>
  <c r="D9" i="6" s="1"/>
  <c r="G18" i="6"/>
  <c r="G11" i="6"/>
  <c r="G8" i="6" s="1"/>
  <c r="N8" i="6"/>
  <c r="F8" i="6"/>
  <c r="E601" i="6"/>
  <c r="D601" i="6" s="1"/>
  <c r="M18" i="6"/>
  <c r="E635" i="6"/>
  <c r="D635" i="6" s="1"/>
  <c r="H15" i="5"/>
  <c r="M12" i="5"/>
  <c r="M13" i="5"/>
  <c r="H13" i="5" s="1"/>
  <c r="H14" i="6"/>
  <c r="H8" i="6" s="1"/>
  <c r="H18" i="6"/>
  <c r="D14" i="6" l="1"/>
  <c r="D11" i="6"/>
  <c r="D18" i="6"/>
  <c r="Y8" i="6"/>
  <c r="E8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  <author>Журавлёва Татьяна Викторовна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82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7" authorId="1">
      <text/>
    </comment>
    <comment ref="B297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4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0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4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52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53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5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90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61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7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72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72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73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4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4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B7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76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7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86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88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81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<sst xmlns="http://schemas.openxmlformats.org/spreadsheetml/2006/main" count="1764" uniqueCount="480">
  <si>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</si>
  <si>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</si>
  <si>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</si>
  <si>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</si>
  <si>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</si>
  <si>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</si>
  <si>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</si>
  <si>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</si>
  <si>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</si>
  <si>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</si>
  <si>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</si>
  <si>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</si>
  <si>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</si>
  <si>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</si>
  <si>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</si>
  <si>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</si>
  <si>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</si>
  <si>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</si>
  <si>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</si>
  <si>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</si>
  <si>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</si>
  <si>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</si>
  <si>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</si>
  <si>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</si>
  <si>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</si>
  <si>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</si>
  <si>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</si>
  <si>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</si>
  <si>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</si>
  <si>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</si>
  <si>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</si>
  <si>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</si>
  <si>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</si>
  <si>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</si>
  <si>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</si>
  <si>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</si>
  <si>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</si>
  <si>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</si>
  <si>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</si>
  <si>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</si>
  <si>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</si>
  <si>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</si>
  <si>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</si>
  <si>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</si>
  <si>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</si>
  <si>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</si>
  <si>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</si>
  <si>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</si>
  <si>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</si>
  <si>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</si>
  <si>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</si>
  <si>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</si>
  <si>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</si>
  <si>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</si>
  <si>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</si>
  <si>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</si>
  <si>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</si>
  <si>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</si>
  <si>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</si>
  <si>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</si>
  <si>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</si>
  <si>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</si>
  <si>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</si>
  <si>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</si>
  <si>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</si>
  <si>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</si>
  <si>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</si>
  <si>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</si>
  <si>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</si>
  <si>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</si>
  <si>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</si>
  <si>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</si>
  <si>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</si>
  <si>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</si>
  <si>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</si>
  <si>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</si>
  <si>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</si>
  <si>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</si>
  <si>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</si>
  <si>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</si>
  <si>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</si>
  <si>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</si>
  <si>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</si>
  <si>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</si>
  <si>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</si>
  <si>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</si>
  <si>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</si>
  <si>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</si>
  <si>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</si>
  <si>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</si>
  <si>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</si>
  <si>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</si>
  <si>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</si>
  <si>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</si>
  <si>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</si>
  <si>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</si>
  <si>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</si>
  <si>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</si>
  <si>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</si>
  <si>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</si>
  <si>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</si>
  <si>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</si>
  <si>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</si>
  <si>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</si>
  <si>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</si>
  <si>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</si>
  <si>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</si>
  <si>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</si>
  <si>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</si>
  <si>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</si>
  <si>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</si>
  <si>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</si>
  <si>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</si>
  <si>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</si>
  <si>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</si>
  <si>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</si>
  <si>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</si>
  <si>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</si>
  <si>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</si>
  <si>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</si>
  <si>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</si>
  <si>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</si>
  <si>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</si>
  <si>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</si>
  <si>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</si>
  <si>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</si>
  <si>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</si>
  <si>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</si>
  <si>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</si>
  <si>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</si>
  <si>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</si>
  <si>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</si>
  <si>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</si>
  <si>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</si>
  <si>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</si>
  <si>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</si>
  <si>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</si>
  <si>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</si>
  <si>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</si>
  <si>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</si>
  <si>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</si>
  <si>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</si>
  <si>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</si>
  <si>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</si>
  <si>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</si>
  <si>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</si>
  <si>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</si>
  <si>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</si>
  <si>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</si>
  <si>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</si>
  <si>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</si>
  <si>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</si>
  <si>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</si>
  <si>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</si>
  <si>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</si>
  <si>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</si>
  <si>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</si>
  <si>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</si>
  <si>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</si>
  <si>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</si>
  <si>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</si>
  <si>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</si>
  <si>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</si>
  <si>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</si>
  <si>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</si>
  <si>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</si>
  <si>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</si>
  <si>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</si>
  <si>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</si>
  <si>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</si>
  <si>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</si>
  <si>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</si>
  <si>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</si>
  <si>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</si>
  <si>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</si>
  <si>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</si>
  <si>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</si>
  <si>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</si>
  <si>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</si>
  <si>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</si>
  <si>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</si>
  <si>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</si>
  <si>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</si>
  <si>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</si>
  <si>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</si>
  <si>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</si>
  <si>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</si>
  <si>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</si>
  <si>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</si>
  <si>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</si>
  <si>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</si>
  <si>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</si>
  <si>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</si>
  <si>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</si>
  <si>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</si>
  <si>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</si>
  <si>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</si>
  <si>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</si>
  <si>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</si>
  <si>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</si>
  <si>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</si>
  <si>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</si>
  <si>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</si>
  <si>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</si>
  <si>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</si>
  <si>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</si>
  <si>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</si>
  <si>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</si>
  <si>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</si>
  <si>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</si>
  <si>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</si>
  <si>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</si>
  <si>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</si>
  <si>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</si>
  <si>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</si>
  <si>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</si>
  <si>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</si>
  <si>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</si>
  <si>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</si>
  <si>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</si>
  <si>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</si>
  <si>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</si>
  <si>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</si>
  <si>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</si>
  <si>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</si>
  <si>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</si>
  <si>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</si>
  <si>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</si>
  <si>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</si>
  <si>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</si>
  <si>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</si>
  <si>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</si>
  <si>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</si>
  <si>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</si>
  <si>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</si>
  <si>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</si>
  <si>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</si>
  <si>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</si>
  <si>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</si>
  <si>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</si>
  <si>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</si>
  <si>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</si>
  <si>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</si>
  <si>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</si>
  <si>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</si>
  <si>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</si>
  <si>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</si>
  <si>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</si>
  <si>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</si>
  <si>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</si>
  <si>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</si>
  <si>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</si>
  <si>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</si>
  <si>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</si>
  <si>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</si>
  <si>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</si>
  <si>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</si>
  <si>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</si>
  <si>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</si>
  <si>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</si>
  <si>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</si>
  <si>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</si>
  <si>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</si>
  <si>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</si>
  <si>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</si>
  <si>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</si>
  <si>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</si>
  <si>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</si>
  <si>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</si>
  <si>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</si>
  <si>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</si>
  <si>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</si>
  <si>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</si>
  <si>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</si>
  <si>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</si>
  <si>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</si>
  <si>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</si>
  <si>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</si>
  <si>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</si>
  <si>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</si>
  <si>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</si>
  <si>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</si>
  <si>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</si>
  <si>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</si>
  <si>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</si>
  <si>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</si>
  <si>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</si>
  <si>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</si>
  <si>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</si>
  <si>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</si>
  <si>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</si>
  <si>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</si>
  <si>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</si>
  <si>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</si>
  <si>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</si>
  <si>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</si>
  <si>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</si>
  <si>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</si>
  <si>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</si>
  <si>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</si>
  <si>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</si>
  <si>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</si>
  <si>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</si>
  <si>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</si>
  <si>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</si>
  <si>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</si>
  <si>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</si>
  <si>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</si>
  <si>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</si>
  <si>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</si>
  <si>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</si>
  <si>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</si>
  <si>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</si>
  <si>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</si>
  <si>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</si>
  <si>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</si>
  <si>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</si>
  <si>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</si>
  <si>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</si>
  <si>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</si>
  <si>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</si>
  <si>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</si>
  <si>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</si>
  <si>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</si>
  <si>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</si>
  <si>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</si>
  <si>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</si>
  <si>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</si>
  <si>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</si>
  <si>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</si>
  <si>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</si>
  <si>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</si>
  <si>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</si>
  <si>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</si>
  <si>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</si>
  <si>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</si>
  <si>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</si>
  <si>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</si>
  <si>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</si>
  <si>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</si>
  <si>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</si>
  <si>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</si>
  <si>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</si>
  <si>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</si>
  <si>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</si>
  <si>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</si>
  <si>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</si>
  <si>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</si>
  <si>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</si>
  <si>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</si>
  <si>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</si>
  <si>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</si>
  <si>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</si>
  <si>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</si>
  <si>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</si>
  <si>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</si>
  <si>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</si>
  <si>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</si>
  <si>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</si>
  <si>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</si>
  <si>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</si>
  <si>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</si>
  <si>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</si>
  <si>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</si>
  <si>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</si>
  <si>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</si>
  <si>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</si>
  <si>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</si>
  <si>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</si>
  <si>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</si>
  <si>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</si>
  <si>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</si>
  <si>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</si>
  <si>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</si>
  <si>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</si>
  <si>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</si>
  <si>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</si>
  <si>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</si>
  <si>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</si>
  <si>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</si>
  <si>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</si>
  <si>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</si>
  <si>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</si>
  <si>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</si>
  <si>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</si>
  <si>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</si>
  <si>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</si>
  <si>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</si>
  <si>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</si>
  <si>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</si>
  <si>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</si>
  <si>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</si>
  <si>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</si>
  <si>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</si>
  <si>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</si>
  <si>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</si>
  <si>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</si>
  <si>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</si>
  <si>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</si>
  <si>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</si>
  <si>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</si>
  <si>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</si>
  <si>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</si>
  <si>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</si>
  <si>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</si>
  <si>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</si>
  <si>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</si>
  <si>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</si>
  <si>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</si>
  <si>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</si>
  <si>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</si>
  <si>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</si>
  <si>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</si>
  <si>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</si>
  <si>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</si>
  <si>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</si>
  <si>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</si>
  <si>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</si>
  <si>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</si>
  <si>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</si>
  <si>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</si>
  <si>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</si>
  <si>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</si>
  <si>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</si>
  <si>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</si>
  <si>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</si>
  <si>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</si>
  <si>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</si>
  <si>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</si>
  <si>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</si>
  <si>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</si>
  <si>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</si>
  <si>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</si>
  <si>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</si>
  <si>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</si>
  <si>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</si>
  <si>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</si>
  <si>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</si>
  <si>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</si>
  <si>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</si>
  <si>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</si>
  <si>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</si>
  <si>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</si>
  <si>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</si>
  <si>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</si>
  <si>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</si>
  <si>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</si>
  <si>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</si>
  <si>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</si>
  <si>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Мероприятие 4.1.21.</t>
  </si>
  <si>
    <t>Расходы на ремонт фасадов многоквартирных домов</t>
  </si>
  <si>
    <t>Мероприятие 1.1.55.</t>
  </si>
  <si>
    <t>Осуществление строительного контроля по объекту "Реконструкция ул.Тепличная города Благовещенска 1 этап 1 очередь (инженерные сети)"</t>
  </si>
  <si>
    <t>Реконструкция тепловой сети в квартале 345 г.Благовещенск, Амурская область (строительный контроль)</t>
  </si>
  <si>
    <t>Мероприятие 1.1.56.</t>
  </si>
  <si>
    <t>Текущий ремонт наружных сетей водоснабжения, водоотведения и теплоснабжения на территории города Благовещенска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</si>
  <si>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</si>
  <si>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Мероприятие 1.1.57.</t>
  </si>
  <si>
    <t xml:space="preserve"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</si>
  <si>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>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</si>
  <si>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1.1.57.1.</t>
  </si>
  <si>
    <t>Проектирование реконструкции городского парка</t>
  </si>
  <si>
    <t>Благоустройство придомовых территорий многоквартирных домов (выполнение залоговых обязательств застройщика)</t>
  </si>
  <si>
    <t>Разработка проектной
документации на объект:
«Комплексное благоустройство
сквера им. В.М. Приемыхова и
улицы 50 лет Октября на
участке от ул. Амурская до ул.
Горького»</t>
  </si>
  <si>
    <t>Мероприятие 1.1.58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</si>
  <si>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</si>
  <si>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Строительство 2-й очереди водозабора "Северный"</t>
  </si>
  <si>
    <t xml:space="preserve">Сети и объекты водоотведения
</t>
  </si>
  <si>
    <t>Мероприятие 4.1.23.</t>
  </si>
  <si>
    <t>2026 год</t>
  </si>
  <si>
    <t>Расходы, направленные на ремонт общественных бань</t>
  </si>
  <si>
    <t>Мероприятие 4.1.22.</t>
  </si>
  <si>
    <t>Мероприятие 1.1.59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</si>
  <si>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</si>
  <si>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1.1.58.1*</t>
  </si>
  <si>
    <t>1.1.58.2*</t>
  </si>
  <si>
    <t>1.1.59.1*</t>
  </si>
  <si>
    <t>*  Финансовое обеспечение работ  (в т. ч. авансирование) осуществлено в 2023 году.</t>
  </si>
  <si>
    <t>4.1.21.1.</t>
  </si>
  <si>
    <t>Приложение №  6  к постановлению администрации города Благовещенска от 26.03.2024 № 1270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</si>
</sst>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83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/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0" fontId="17" fillId="0" borderId="0" xfId="0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6" fillId="4" borderId="0" xfId="0" applyFont="1" applyFill="1"/>
    <xf numFmtId="0" fontId="17" fillId="0" borderId="3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top"/>
    </xf>
    <xf numFmtId="0" fontId="24" fillId="0" borderId="0" xfId="0" applyFont="1" applyFill="1"/>
    <xf numFmtId="0" fontId="17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17" fillId="0" borderId="1" xfId="0" applyFont="1" applyFill="1" applyBorder="1" applyAlignment="1">
      <alignment horizontal="left" vertical="top" wrapText="1"/>
    </xf>
    <xf numFmtId="165" fontId="1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left"/>
    </xf>
    <xf numFmtId="0" fontId="17" fillId="0" borderId="3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0" xfId="0" applyFont="1" applyFill="1" applyAlignment="1">
      <alignment horizontal="left" vertical="top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32" t="s">
        <v>310</v>
      </c>
      <c r="P1" s="132"/>
      <c r="Q1" s="132"/>
      <c r="R1" s="132"/>
      <c r="S1" s="132"/>
      <c r="T1" s="9"/>
    </row>
    <row r="2" spans="1:21" ht="35.25" customHeight="1" x14ac:dyDescent="0.25">
      <c r="B2" s="7"/>
      <c r="O2" s="132" t="s">
        <v>311</v>
      </c>
      <c r="P2" s="132"/>
      <c r="Q2" s="132"/>
      <c r="R2" s="132"/>
      <c r="S2" s="132"/>
      <c r="T2" s="9"/>
    </row>
    <row r="3" spans="1:21" ht="17.25" customHeight="1" x14ac:dyDescent="0.25">
      <c r="B3" s="133" t="s">
        <v>0</v>
      </c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</row>
    <row r="4" spans="1:21" ht="16.5" customHeight="1" x14ac:dyDescent="0.25">
      <c r="B4" s="134" t="s">
        <v>1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</row>
    <row r="5" spans="1:21" ht="3" customHeight="1" x14ac:dyDescent="0.25">
      <c r="B5" s="11"/>
      <c r="M5" s="12"/>
      <c r="N5" s="33"/>
    </row>
    <row r="6" spans="1:21" ht="53.25" customHeight="1" x14ac:dyDescent="0.2">
      <c r="A6" s="129" t="s">
        <v>25</v>
      </c>
      <c r="B6" s="129" t="s">
        <v>93</v>
      </c>
      <c r="C6" s="129" t="s">
        <v>129</v>
      </c>
      <c r="D6" s="129" t="s">
        <v>2</v>
      </c>
      <c r="E6" s="129"/>
      <c r="F6" s="129"/>
      <c r="G6" s="129"/>
      <c r="H6" s="122" t="s">
        <v>3</v>
      </c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4"/>
    </row>
    <row r="7" spans="1:21" x14ac:dyDescent="0.2">
      <c r="A7" s="129"/>
      <c r="B7" s="129"/>
      <c r="C7" s="129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8" t="s">
        <v>26</v>
      </c>
      <c r="B9" s="118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8"/>
      <c r="B10" s="118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8"/>
      <c r="B11" s="118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8"/>
      <c r="B12" s="118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25" t="s">
        <v>30</v>
      </c>
      <c r="B13" s="118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30"/>
      <c r="B14" s="118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31"/>
      <c r="B15" s="118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16" t="s">
        <v>235</v>
      </c>
      <c r="B16" s="116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21"/>
      <c r="B17" s="121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5" t="s">
        <v>118</v>
      </c>
      <c r="B43" s="105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7"/>
      <c r="B44" s="107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8" t="s">
        <v>33</v>
      </c>
      <c r="B73" s="118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28"/>
      <c r="B74" s="128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8" t="s">
        <v>39</v>
      </c>
      <c r="B77" s="125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8"/>
      <c r="B78" s="126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8"/>
      <c r="B79" s="126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7"/>
      <c r="B80" s="127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16" t="s">
        <v>40</v>
      </c>
      <c r="B81" s="105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7"/>
      <c r="B82" s="119"/>
      <c r="C82" s="47" t="s">
        <v>84</v>
      </c>
      <c r="D82" s="43" t="s">
        <v>14</v>
      </c>
      <c r="E82" s="43" t="s">
        <v>23</v>
      </c>
      <c r="F82" s="112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7"/>
      <c r="B83" s="119"/>
      <c r="C83" s="47" t="s">
        <v>89</v>
      </c>
      <c r="D83" s="43" t="s">
        <v>47</v>
      </c>
      <c r="E83" s="43" t="s">
        <v>23</v>
      </c>
      <c r="F83" s="113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7"/>
      <c r="B84" s="120"/>
      <c r="C84" s="47" t="s">
        <v>86</v>
      </c>
      <c r="D84" s="43" t="s">
        <v>48</v>
      </c>
      <c r="E84" s="43" t="s">
        <v>23</v>
      </c>
      <c r="F84" s="113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16" t="s">
        <v>133</v>
      </c>
      <c r="B85" s="116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16"/>
      <c r="B86" s="116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8" t="s">
        <v>31</v>
      </c>
      <c r="B88" s="118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8"/>
      <c r="B89" s="118"/>
      <c r="C89" s="42" t="s">
        <v>89</v>
      </c>
      <c r="D89" s="43" t="s">
        <v>47</v>
      </c>
      <c r="E89" s="56" t="s">
        <v>244</v>
      </c>
      <c r="F89" s="114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8"/>
      <c r="B90" s="118"/>
      <c r="C90" s="47" t="s">
        <v>84</v>
      </c>
      <c r="D90" s="43" t="s">
        <v>14</v>
      </c>
      <c r="E90" s="56" t="s">
        <v>244</v>
      </c>
      <c r="F90" s="115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5" t="s">
        <v>34</v>
      </c>
      <c r="B91" s="105" t="s">
        <v>122</v>
      </c>
      <c r="C91" s="47" t="s">
        <v>84</v>
      </c>
      <c r="D91" s="43" t="s">
        <v>14</v>
      </c>
      <c r="E91" s="43" t="s">
        <v>35</v>
      </c>
      <c r="F91" s="112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06"/>
      <c r="B92" s="106"/>
      <c r="C92" s="47" t="s">
        <v>84</v>
      </c>
      <c r="D92" s="43" t="s">
        <v>14</v>
      </c>
      <c r="E92" s="43" t="s">
        <v>49</v>
      </c>
      <c r="F92" s="112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06"/>
      <c r="B93" s="106"/>
      <c r="C93" s="47" t="s">
        <v>89</v>
      </c>
      <c r="D93" s="43" t="s">
        <v>47</v>
      </c>
      <c r="E93" s="43" t="s">
        <v>35</v>
      </c>
      <c r="F93" s="112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7"/>
      <c r="B94" s="107"/>
      <c r="C94" s="47" t="s">
        <v>89</v>
      </c>
      <c r="D94" s="43" t="s">
        <v>47</v>
      </c>
      <c r="E94" s="43" t="s">
        <v>49</v>
      </c>
      <c r="F94" s="112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5" t="s">
        <v>267</v>
      </c>
      <c r="B103" s="105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06"/>
      <c r="B104" s="106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06"/>
      <c r="B105" s="106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7"/>
      <c r="B106" s="107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5" t="s">
        <v>282</v>
      </c>
      <c r="B109" s="105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7"/>
      <c r="B110" s="107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5" t="s">
        <v>284</v>
      </c>
      <c r="B111" s="105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7"/>
      <c r="B112" s="107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8" t="s">
        <v>42</v>
      </c>
      <c r="B113" s="104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8"/>
      <c r="B114" s="104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16" t="s">
        <v>334</v>
      </c>
      <c r="B115" s="108" t="s">
        <v>144</v>
      </c>
      <c r="C115" s="111" t="s">
        <v>84</v>
      </c>
      <c r="D115" s="103" t="s">
        <v>14</v>
      </c>
      <c r="E115" s="103" t="s">
        <v>41</v>
      </c>
      <c r="F115" s="113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16"/>
      <c r="B116" s="109"/>
      <c r="C116" s="111"/>
      <c r="D116" s="103"/>
      <c r="E116" s="103"/>
      <c r="F116" s="113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16"/>
      <c r="B117" s="110"/>
      <c r="C117" s="111"/>
      <c r="D117" s="103"/>
      <c r="E117" s="103"/>
      <c r="F117" s="113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5" t="s">
        <v>143</v>
      </c>
      <c r="B118" s="105" t="s">
        <v>56</v>
      </c>
      <c r="C118" s="116" t="s">
        <v>84</v>
      </c>
      <c r="D118" s="103" t="s">
        <v>14</v>
      </c>
      <c r="E118" s="103" t="s">
        <v>41</v>
      </c>
      <c r="F118" s="112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06"/>
      <c r="B119" s="106"/>
      <c r="C119" s="116"/>
      <c r="D119" s="103"/>
      <c r="E119" s="103"/>
      <c r="F119" s="112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7"/>
      <c r="B120" s="107"/>
      <c r="C120" s="116"/>
      <c r="D120" s="103"/>
      <c r="E120" s="103"/>
      <c r="F120" s="112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844"/>
  <sheetViews>
    <sheetView tabSelected="1" view="pageBreakPreview" zoomScale="80" zoomScaleNormal="85" zoomScaleSheetLayoutView="8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40625" defaultRowHeight="12.75" x14ac:dyDescent="0.2"/>
  <cols>
    <col min="1" max="1" width="35.42578125" style="58" customWidth="1"/>
    <col min="2" max="2" width="54.28515625" style="59" customWidth="1"/>
    <col min="3" max="3" width="27.5703125" style="58" customWidth="1"/>
    <col min="4" max="4" width="17" style="62" customWidth="1"/>
    <col min="5" max="5" width="12.5703125" style="62" customWidth="1"/>
    <col min="6" max="6" width="11.42578125" style="62" customWidth="1"/>
    <col min="7" max="7" width="11.85546875" style="62" customWidth="1"/>
    <col min="8" max="8" width="13.140625" style="62" customWidth="1"/>
    <col min="9" max="9" width="11.42578125" style="62" customWidth="1"/>
    <col min="10" max="10" width="14" style="62" customWidth="1"/>
    <col min="11" max="11" width="13.42578125" style="62" customWidth="1"/>
    <col min="12" max="12" width="15.85546875" style="62" customWidth="1"/>
    <col min="13" max="13" width="14.7109375" style="62" customWidth="1"/>
    <col min="14" max="14" width="13.140625" style="62" customWidth="1"/>
    <col min="15" max="15" width="12.85546875" style="62" customWidth="1"/>
    <col min="16" max="17" width="23.140625" style="62" hidden="1" customWidth="1"/>
    <col min="18" max="18" width="9.140625" style="62" hidden="1" customWidth="1"/>
    <col min="19" max="19" width="15.42578125" style="62" hidden="1" customWidth="1"/>
    <col min="20" max="20" width="20.5703125" style="62" hidden="1" customWidth="1"/>
    <col min="21" max="21" width="15.140625" style="62" hidden="1" customWidth="1"/>
    <col min="22" max="22" width="0" style="62" hidden="1" customWidth="1"/>
    <col min="23" max="23" width="14.85546875" style="62" customWidth="1"/>
    <col min="24" max="24" width="13.28515625" style="62" customWidth="1"/>
    <col min="25" max="25" width="12.5703125" style="62" customWidth="1"/>
    <col min="26" max="16384" width="9.140625" style="62"/>
  </cols>
  <sheetData>
    <row r="1" spans="1:25" ht="40.5" customHeight="1" x14ac:dyDescent="0.2">
      <c r="D1" s="60"/>
      <c r="E1" s="61"/>
      <c r="G1" s="61"/>
      <c r="L1" s="162" t="s">
        <v>479</v>
      </c>
      <c r="M1" s="162"/>
      <c r="N1" s="162"/>
      <c r="O1" s="162"/>
    </row>
    <row r="2" spans="1:25" ht="27.75" customHeight="1" x14ac:dyDescent="0.2">
      <c r="E2" s="61"/>
      <c r="G2" s="61"/>
      <c r="I2" s="63"/>
      <c r="K2" s="62" t="s">
        <v>402</v>
      </c>
      <c r="L2" s="162" t="s">
        <v>311</v>
      </c>
      <c r="M2" s="162"/>
      <c r="N2" s="162"/>
      <c r="O2" s="162"/>
    </row>
    <row r="3" spans="1:25" ht="18.75" x14ac:dyDescent="0.3">
      <c r="B3" s="163" t="s">
        <v>368</v>
      </c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</row>
    <row r="4" spans="1:25" x14ac:dyDescent="0.2">
      <c r="A4" s="171"/>
      <c r="B4" s="171"/>
      <c r="C4" s="171"/>
      <c r="D4" s="171"/>
      <c r="E4" s="171"/>
      <c r="F4" s="171"/>
      <c r="G4" s="171"/>
      <c r="H4" s="171"/>
      <c r="I4" s="171"/>
      <c r="J4" s="171"/>
      <c r="K4" s="100"/>
      <c r="L4" s="100"/>
      <c r="M4" s="64"/>
    </row>
    <row r="5" spans="1:25" ht="20.25" customHeight="1" x14ac:dyDescent="0.2">
      <c r="A5" s="167" t="s">
        <v>25</v>
      </c>
      <c r="B5" s="136" t="s">
        <v>93</v>
      </c>
      <c r="C5" s="136" t="s">
        <v>8</v>
      </c>
      <c r="D5" s="136" t="s">
        <v>343</v>
      </c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</row>
    <row r="6" spans="1:25" ht="49.5" customHeight="1" x14ac:dyDescent="0.2">
      <c r="A6" s="167"/>
      <c r="B6" s="136"/>
      <c r="C6" s="136"/>
      <c r="D6" s="90" t="s">
        <v>9</v>
      </c>
      <c r="E6" s="90" t="s">
        <v>16</v>
      </c>
      <c r="F6" s="90" t="s">
        <v>24</v>
      </c>
      <c r="G6" s="90" t="s">
        <v>18</v>
      </c>
      <c r="H6" s="90" t="s">
        <v>19</v>
      </c>
      <c r="I6" s="90" t="s">
        <v>20</v>
      </c>
      <c r="J6" s="90" t="s">
        <v>21</v>
      </c>
      <c r="K6" s="90" t="s">
        <v>251</v>
      </c>
      <c r="L6" s="90" t="s">
        <v>294</v>
      </c>
      <c r="M6" s="90" t="s">
        <v>295</v>
      </c>
      <c r="N6" s="90" t="s">
        <v>296</v>
      </c>
      <c r="O6" s="90" t="s">
        <v>297</v>
      </c>
      <c r="W6" s="90" t="s">
        <v>469</v>
      </c>
    </row>
    <row r="7" spans="1:25" ht="16.5" customHeight="1" x14ac:dyDescent="0.2">
      <c r="A7" s="99">
        <v>1</v>
      </c>
      <c r="B7" s="98">
        <v>2</v>
      </c>
      <c r="C7" s="99">
        <v>3</v>
      </c>
      <c r="D7" s="98">
        <v>4</v>
      </c>
      <c r="E7" s="99">
        <v>5</v>
      </c>
      <c r="F7" s="98">
        <v>6</v>
      </c>
      <c r="G7" s="99">
        <v>7</v>
      </c>
      <c r="H7" s="98">
        <v>8</v>
      </c>
      <c r="I7" s="99">
        <v>9</v>
      </c>
      <c r="J7" s="98">
        <v>10</v>
      </c>
      <c r="K7" s="98">
        <v>11</v>
      </c>
      <c r="L7" s="98">
        <v>12</v>
      </c>
      <c r="M7" s="98">
        <v>13</v>
      </c>
      <c r="N7" s="98">
        <v>14</v>
      </c>
      <c r="O7" s="98">
        <v>15</v>
      </c>
      <c r="W7" s="98">
        <v>15</v>
      </c>
    </row>
    <row r="8" spans="1:25" ht="15.75" x14ac:dyDescent="0.2">
      <c r="A8" s="169" t="s">
        <v>26</v>
      </c>
      <c r="B8" s="168" t="s">
        <v>344</v>
      </c>
      <c r="C8" s="65" t="s">
        <v>7</v>
      </c>
      <c r="D8" s="66">
        <f>D9+D11+D14+D17</f>
        <v>20557626.706999999</v>
      </c>
      <c r="E8" s="66">
        <f>E9+E11+E14+E17</f>
        <v>512896.39999999997</v>
      </c>
      <c r="F8" s="66">
        <f t="shared" ref="F8:O8" si="0">F9+F11+F14+F17</f>
        <v>382692.8</v>
      </c>
      <c r="G8" s="66">
        <f t="shared" si="0"/>
        <v>383942.1</v>
      </c>
      <c r="H8" s="66">
        <f>H9+H11+H14+H17</f>
        <v>456612.2</v>
      </c>
      <c r="I8" s="66">
        <f t="shared" si="0"/>
        <v>513509.20000000007</v>
      </c>
      <c r="J8" s="66">
        <f>J9+J11+J14+J17</f>
        <v>1405769.2999999998</v>
      </c>
      <c r="K8" s="66">
        <f>K9+K11+K14+K17</f>
        <v>2236267.5920000002</v>
      </c>
      <c r="L8" s="66">
        <f>L9+L11+L14+L17</f>
        <v>3777326.5999999996</v>
      </c>
      <c r="M8" s="66">
        <f>M9+M11+M14+M17</f>
        <v>5645176.0149999997</v>
      </c>
      <c r="N8" s="66">
        <f t="shared" si="0"/>
        <v>3808153.1999999993</v>
      </c>
      <c r="O8" s="66">
        <f t="shared" si="0"/>
        <v>919907.7</v>
      </c>
      <c r="P8" s="67"/>
      <c r="Q8" s="60"/>
      <c r="W8" s="66">
        <f>W9+W11+W14+W17</f>
        <v>515373.6</v>
      </c>
      <c r="X8" s="60"/>
      <c r="Y8" s="60">
        <f>M18+M576+M601+M635+M816</f>
        <v>5645176.0149999997</v>
      </c>
    </row>
    <row r="9" spans="1:25" ht="31.5" x14ac:dyDescent="0.2">
      <c r="A9" s="169"/>
      <c r="B9" s="168"/>
      <c r="C9" s="68" t="s">
        <v>80</v>
      </c>
      <c r="D9" s="69">
        <f>E9+F9+G9+H9+I9+J9+K9+L9+M9+N9+O9+W9</f>
        <v>1350748.9</v>
      </c>
      <c r="E9" s="69">
        <f t="shared" ref="E9:O9" si="1">E19+E577+E603+E636+E817</f>
        <v>98793.9</v>
      </c>
      <c r="F9" s="69">
        <f t="shared" si="1"/>
        <v>0</v>
      </c>
      <c r="G9" s="69">
        <f t="shared" si="1"/>
        <v>0</v>
      </c>
      <c r="H9" s="69">
        <f t="shared" si="1"/>
        <v>0</v>
      </c>
      <c r="I9" s="69">
        <f t="shared" si="1"/>
        <v>0</v>
      </c>
      <c r="J9" s="69">
        <f t="shared" si="1"/>
        <v>0</v>
      </c>
      <c r="K9" s="69">
        <f t="shared" si="1"/>
        <v>115023.2</v>
      </c>
      <c r="L9" s="69">
        <f t="shared" si="1"/>
        <v>0</v>
      </c>
      <c r="M9" s="69">
        <f t="shared" si="1"/>
        <v>1108031.8</v>
      </c>
      <c r="N9" s="69">
        <f t="shared" si="1"/>
        <v>28900</v>
      </c>
      <c r="O9" s="69">
        <f t="shared" si="1"/>
        <v>0</v>
      </c>
      <c r="W9" s="69">
        <f>W19+W577+W603+W636+W817</f>
        <v>0</v>
      </c>
    </row>
    <row r="10" spans="1:25" ht="31.5" x14ac:dyDescent="0.2">
      <c r="A10" s="169"/>
      <c r="B10" s="168"/>
      <c r="C10" s="70" t="s">
        <v>81</v>
      </c>
      <c r="D10" s="69">
        <f t="shared" ref="D10" si="2">E10+F10+G10+H10+I10+J10+K10+L10+M10+N10+O10</f>
        <v>98793.9</v>
      </c>
      <c r="E10" s="71">
        <f t="shared" ref="E10:O10" si="3">E20</f>
        <v>98793.9</v>
      </c>
      <c r="F10" s="71">
        <f t="shared" si="3"/>
        <v>0</v>
      </c>
      <c r="G10" s="71">
        <f t="shared" si="3"/>
        <v>0</v>
      </c>
      <c r="H10" s="71">
        <f t="shared" si="3"/>
        <v>0</v>
      </c>
      <c r="I10" s="71">
        <f t="shared" si="3"/>
        <v>0</v>
      </c>
      <c r="J10" s="71">
        <f t="shared" si="3"/>
        <v>0</v>
      </c>
      <c r="K10" s="71">
        <f t="shared" si="3"/>
        <v>0</v>
      </c>
      <c r="L10" s="71">
        <f t="shared" si="3"/>
        <v>0</v>
      </c>
      <c r="M10" s="71">
        <f t="shared" si="3"/>
        <v>0</v>
      </c>
      <c r="N10" s="71">
        <f t="shared" si="3"/>
        <v>0</v>
      </c>
      <c r="O10" s="71">
        <f t="shared" si="3"/>
        <v>0</v>
      </c>
      <c r="W10" s="71">
        <f t="shared" ref="W10" si="4">W20</f>
        <v>0</v>
      </c>
    </row>
    <row r="11" spans="1:25" ht="31.5" x14ac:dyDescent="0.2">
      <c r="A11" s="170"/>
      <c r="B11" s="168"/>
      <c r="C11" s="68" t="s">
        <v>69</v>
      </c>
      <c r="D11" s="69">
        <f>E11+F11+G11+H11+I11+J11+K11+L11+M11+N11+O11+W11</f>
        <v>13865130.109999999</v>
      </c>
      <c r="E11" s="69">
        <f t="shared" ref="E11:O11" si="5">E21+E578+E604+E637+E818</f>
        <v>68697.599999999991</v>
      </c>
      <c r="F11" s="69">
        <f t="shared" si="5"/>
        <v>15000</v>
      </c>
      <c r="G11" s="69">
        <f t="shared" si="5"/>
        <v>26276.799999999999</v>
      </c>
      <c r="H11" s="69">
        <f t="shared" si="5"/>
        <v>47416.2</v>
      </c>
      <c r="I11" s="69">
        <f t="shared" si="5"/>
        <v>203223.40000000002</v>
      </c>
      <c r="J11" s="69">
        <f t="shared" si="5"/>
        <v>1002052.3999999999</v>
      </c>
      <c r="K11" s="69">
        <f t="shared" si="5"/>
        <v>1513799.91</v>
      </c>
      <c r="L11" s="69">
        <f t="shared" si="5"/>
        <v>3229486.8</v>
      </c>
      <c r="M11" s="69">
        <f t="shared" si="5"/>
        <v>3869889.5</v>
      </c>
      <c r="N11" s="69">
        <f t="shared" si="5"/>
        <v>3219371.5999999996</v>
      </c>
      <c r="O11" s="69">
        <f t="shared" si="5"/>
        <v>542904</v>
      </c>
      <c r="W11" s="69">
        <f>W21+W578+W604+W637+W818</f>
        <v>127011.9</v>
      </c>
    </row>
    <row r="12" spans="1:25" ht="31.5" x14ac:dyDescent="0.2">
      <c r="A12" s="170"/>
      <c r="B12" s="168"/>
      <c r="C12" s="70" t="s">
        <v>79</v>
      </c>
      <c r="D12" s="69">
        <f t="shared" ref="D12:D17" si="6">E12+F12+G12+H12+I12+J12+K12+L12+M12+N12+O12+W12</f>
        <v>43117.100000000006</v>
      </c>
      <c r="E12" s="71">
        <f>E22</f>
        <v>43117.100000000006</v>
      </c>
      <c r="F12" s="71">
        <f t="shared" ref="F12:K12" si="7">F22</f>
        <v>0</v>
      </c>
      <c r="G12" s="71">
        <f t="shared" si="7"/>
        <v>0</v>
      </c>
      <c r="H12" s="71">
        <f t="shared" si="7"/>
        <v>0</v>
      </c>
      <c r="I12" s="71">
        <f t="shared" si="7"/>
        <v>0</v>
      </c>
      <c r="J12" s="71">
        <f t="shared" si="7"/>
        <v>0</v>
      </c>
      <c r="K12" s="71">
        <f t="shared" si="7"/>
        <v>0</v>
      </c>
      <c r="L12" s="71">
        <f t="shared" ref="L12:O12" si="8">L22</f>
        <v>0</v>
      </c>
      <c r="M12" s="71">
        <f t="shared" si="8"/>
        <v>0</v>
      </c>
      <c r="N12" s="71">
        <f t="shared" si="8"/>
        <v>0</v>
      </c>
      <c r="O12" s="71">
        <f t="shared" si="8"/>
        <v>0</v>
      </c>
      <c r="R12" s="60"/>
      <c r="W12" s="71">
        <f t="shared" ref="W12" si="9">W22</f>
        <v>0</v>
      </c>
    </row>
    <row r="13" spans="1:25" ht="31.5" x14ac:dyDescent="0.2">
      <c r="A13" s="170"/>
      <c r="B13" s="168"/>
      <c r="C13" s="70" t="s">
        <v>81</v>
      </c>
      <c r="D13" s="69">
        <f t="shared" si="6"/>
        <v>208586.2</v>
      </c>
      <c r="E13" s="71">
        <f t="shared" ref="E13:L13" si="10">E23</f>
        <v>20580.5</v>
      </c>
      <c r="F13" s="71">
        <f t="shared" si="10"/>
        <v>0</v>
      </c>
      <c r="G13" s="71">
        <f t="shared" si="10"/>
        <v>0</v>
      </c>
      <c r="H13" s="71">
        <f t="shared" si="10"/>
        <v>0</v>
      </c>
      <c r="I13" s="71">
        <f t="shared" si="10"/>
        <v>0</v>
      </c>
      <c r="J13" s="71">
        <f t="shared" si="10"/>
        <v>0</v>
      </c>
      <c r="K13" s="71">
        <f t="shared" si="10"/>
        <v>0</v>
      </c>
      <c r="L13" s="71">
        <f t="shared" si="10"/>
        <v>21808</v>
      </c>
      <c r="M13" s="71">
        <f>M23+M638</f>
        <v>40718.5</v>
      </c>
      <c r="N13" s="71">
        <f>N23+N638</f>
        <v>125479.2</v>
      </c>
      <c r="O13" s="71">
        <f>O23+O638</f>
        <v>0</v>
      </c>
      <c r="W13" s="71">
        <f>W23+W638</f>
        <v>0</v>
      </c>
    </row>
    <row r="14" spans="1:25" ht="31.5" x14ac:dyDescent="0.2">
      <c r="A14" s="170"/>
      <c r="B14" s="168"/>
      <c r="C14" s="68" t="s">
        <v>65</v>
      </c>
      <c r="D14" s="69">
        <f t="shared" si="6"/>
        <v>5311482.6969999997</v>
      </c>
      <c r="E14" s="69">
        <f t="shared" ref="E14:O14" si="11">E24+E579+E605+E639+E819</f>
        <v>325404.89999999997</v>
      </c>
      <c r="F14" s="69">
        <f t="shared" si="11"/>
        <v>364692.8</v>
      </c>
      <c r="G14" s="69">
        <f t="shared" si="11"/>
        <v>356065.3</v>
      </c>
      <c r="H14" s="69">
        <f t="shared" si="11"/>
        <v>405742.4</v>
      </c>
      <c r="I14" s="69">
        <f t="shared" si="11"/>
        <v>308074.40000000002</v>
      </c>
      <c r="J14" s="69">
        <f t="shared" si="11"/>
        <v>403716.9</v>
      </c>
      <c r="K14" s="69">
        <f t="shared" si="11"/>
        <v>607444.48200000008</v>
      </c>
      <c r="L14" s="69">
        <f t="shared" si="11"/>
        <v>547839.79999999993</v>
      </c>
      <c r="M14" s="69">
        <f t="shared" si="11"/>
        <v>667254.71500000008</v>
      </c>
      <c r="N14" s="69">
        <f t="shared" si="11"/>
        <v>559881.59999999986</v>
      </c>
      <c r="O14" s="69">
        <f t="shared" si="11"/>
        <v>377003.69999999995</v>
      </c>
      <c r="W14" s="69">
        <f>W24+W579+W605+W639+W819</f>
        <v>388361.7</v>
      </c>
    </row>
    <row r="15" spans="1:25" ht="31.5" x14ac:dyDescent="0.2">
      <c r="A15" s="170"/>
      <c r="B15" s="168"/>
      <c r="C15" s="70" t="s">
        <v>79</v>
      </c>
      <c r="D15" s="69">
        <f t="shared" si="6"/>
        <v>85206.799999999988</v>
      </c>
      <c r="E15" s="71">
        <f>E25+E640+E606</f>
        <v>48729.7</v>
      </c>
      <c r="F15" s="71">
        <f>F25+F640+F606</f>
        <v>30651</v>
      </c>
      <c r="G15" s="71">
        <f>G42+G618</f>
        <v>5127.3999999999996</v>
      </c>
      <c r="H15" s="71">
        <v>0</v>
      </c>
      <c r="I15" s="71">
        <f>I25</f>
        <v>698.7</v>
      </c>
      <c r="J15" s="71">
        <v>0</v>
      </c>
      <c r="K15" s="71">
        <v>0</v>
      </c>
      <c r="L15" s="71">
        <v>0</v>
      </c>
      <c r="M15" s="71">
        <f>M25+M612+M640</f>
        <v>0</v>
      </c>
      <c r="N15" s="71">
        <v>0</v>
      </c>
      <c r="O15" s="71">
        <v>0</v>
      </c>
      <c r="W15" s="71">
        <v>0</v>
      </c>
    </row>
    <row r="16" spans="1:25" ht="36.75" customHeight="1" x14ac:dyDescent="0.2">
      <c r="A16" s="170"/>
      <c r="B16" s="168"/>
      <c r="C16" s="72" t="s">
        <v>448</v>
      </c>
      <c r="D16" s="69">
        <f t="shared" si="6"/>
        <v>38810.800000000003</v>
      </c>
      <c r="E16" s="71">
        <f t="shared" ref="E16:K16" si="12">E26</f>
        <v>0</v>
      </c>
      <c r="F16" s="71">
        <f t="shared" si="12"/>
        <v>0</v>
      </c>
      <c r="G16" s="71">
        <f t="shared" si="12"/>
        <v>0</v>
      </c>
      <c r="H16" s="71">
        <f t="shared" si="12"/>
        <v>0</v>
      </c>
      <c r="I16" s="71">
        <f t="shared" si="12"/>
        <v>0</v>
      </c>
      <c r="J16" s="71">
        <f t="shared" si="12"/>
        <v>0</v>
      </c>
      <c r="K16" s="71">
        <f t="shared" si="12"/>
        <v>0</v>
      </c>
      <c r="L16" s="71">
        <f>L26</f>
        <v>1392</v>
      </c>
      <c r="M16" s="71">
        <f>M26+M641</f>
        <v>12270.300000000001</v>
      </c>
      <c r="N16" s="71">
        <f>N26+N641</f>
        <v>25148.5</v>
      </c>
      <c r="O16" s="71">
        <f>O26+O641</f>
        <v>0</v>
      </c>
      <c r="P16" s="71">
        <f t="shared" ref="P16:V16" si="13">P26</f>
        <v>0</v>
      </c>
      <c r="Q16" s="71">
        <f t="shared" si="13"/>
        <v>0</v>
      </c>
      <c r="R16" s="71">
        <f t="shared" si="13"/>
        <v>0</v>
      </c>
      <c r="S16" s="71">
        <f t="shared" si="13"/>
        <v>0</v>
      </c>
      <c r="T16" s="71">
        <f t="shared" si="13"/>
        <v>0</v>
      </c>
      <c r="U16" s="71">
        <f t="shared" si="13"/>
        <v>0</v>
      </c>
      <c r="V16" s="71">
        <f t="shared" si="13"/>
        <v>0</v>
      </c>
      <c r="W16" s="71">
        <f>W26+W641</f>
        <v>0</v>
      </c>
    </row>
    <row r="17" spans="1:23" ht="17.25" customHeight="1" x14ac:dyDescent="0.2">
      <c r="A17" s="170"/>
      <c r="B17" s="168"/>
      <c r="C17" s="68" t="s">
        <v>13</v>
      </c>
      <c r="D17" s="69">
        <f t="shared" si="6"/>
        <v>30265</v>
      </c>
      <c r="E17" s="69">
        <f>E580</f>
        <v>20000</v>
      </c>
      <c r="F17" s="69">
        <f t="shared" ref="F17:K17" si="14">F580</f>
        <v>3000</v>
      </c>
      <c r="G17" s="69">
        <f t="shared" si="14"/>
        <v>1600</v>
      </c>
      <c r="H17" s="69">
        <f t="shared" si="14"/>
        <v>3453.6</v>
      </c>
      <c r="I17" s="69">
        <f t="shared" si="14"/>
        <v>2211.4</v>
      </c>
      <c r="J17" s="69">
        <f t="shared" si="14"/>
        <v>0</v>
      </c>
      <c r="K17" s="69">
        <f t="shared" si="14"/>
        <v>0</v>
      </c>
      <c r="L17" s="69">
        <f>L580</f>
        <v>0</v>
      </c>
      <c r="M17" s="69">
        <f>M580</f>
        <v>0</v>
      </c>
      <c r="N17" s="69">
        <f>N580</f>
        <v>0</v>
      </c>
      <c r="O17" s="69">
        <f>O580</f>
        <v>0</v>
      </c>
      <c r="W17" s="69">
        <f>W580</f>
        <v>0</v>
      </c>
    </row>
    <row r="18" spans="1:23" ht="15.75" x14ac:dyDescent="0.2">
      <c r="A18" s="164" t="s">
        <v>27</v>
      </c>
      <c r="B18" s="164" t="s">
        <v>28</v>
      </c>
      <c r="C18" s="73" t="s">
        <v>7</v>
      </c>
      <c r="D18" s="66">
        <f>E18+F18+G18+H18+I18+J18+K18+L18+M18+N18+O18+W18</f>
        <v>15026579.43</v>
      </c>
      <c r="E18" s="66">
        <f>E19+E21+E24+E27</f>
        <v>218606.2</v>
      </c>
      <c r="F18" s="66">
        <f t="shared" ref="F18:K18" si="15">F19+F21+F24+F27</f>
        <v>51837.9</v>
      </c>
      <c r="G18" s="66">
        <f t="shared" si="15"/>
        <v>71967.7</v>
      </c>
      <c r="H18" s="66">
        <f>H19+H21+H24+H27</f>
        <v>137590.59999999998</v>
      </c>
      <c r="I18" s="66">
        <f t="shared" si="15"/>
        <v>93705.7</v>
      </c>
      <c r="J18" s="66">
        <f t="shared" si="15"/>
        <v>861013.6</v>
      </c>
      <c r="K18" s="66">
        <f t="shared" si="15"/>
        <v>1369692.33</v>
      </c>
      <c r="L18" s="66">
        <f>L19+L21+L24+L27</f>
        <v>3128932.9</v>
      </c>
      <c r="M18" s="66">
        <f>M19+M21+M24+M27</f>
        <v>5030430.3</v>
      </c>
      <c r="N18" s="66">
        <f>N19+N21+N24+N27</f>
        <v>3335350.3999999994</v>
      </c>
      <c r="O18" s="66">
        <f>O19+O21+O24+O27</f>
        <v>585028.30000000005</v>
      </c>
      <c r="P18" s="67"/>
      <c r="Q18" s="60"/>
      <c r="W18" s="66">
        <f>W19+W21+W24+W27</f>
        <v>142423.5</v>
      </c>
    </row>
    <row r="19" spans="1:23" ht="31.5" x14ac:dyDescent="0.2">
      <c r="A19" s="165"/>
      <c r="B19" s="165"/>
      <c r="C19" s="101" t="s">
        <v>80</v>
      </c>
      <c r="D19" s="69">
        <f>E19+F19+G19+H19+I19+J19+K19+L19+M19+N19+O19+W19</f>
        <v>1321848.8999999999</v>
      </c>
      <c r="E19" s="69">
        <f>E29+E538</f>
        <v>98793.9</v>
      </c>
      <c r="F19" s="69">
        <f>F29+F538</f>
        <v>0</v>
      </c>
      <c r="G19" s="69">
        <f>G29+G538</f>
        <v>0</v>
      </c>
      <c r="H19" s="69">
        <f>H29+H538</f>
        <v>0</v>
      </c>
      <c r="I19" s="69">
        <f>I29+I538</f>
        <v>0</v>
      </c>
      <c r="J19" s="69">
        <f t="shared" ref="J19:O19" si="16">J29+J538+J450+J500+J558</f>
        <v>0</v>
      </c>
      <c r="K19" s="69">
        <f t="shared" si="16"/>
        <v>115023.2</v>
      </c>
      <c r="L19" s="69">
        <f t="shared" si="16"/>
        <v>0</v>
      </c>
      <c r="M19" s="69">
        <f t="shared" si="16"/>
        <v>1108031.8</v>
      </c>
      <c r="N19" s="69">
        <f t="shared" si="16"/>
        <v>0</v>
      </c>
      <c r="O19" s="69">
        <f t="shared" si="16"/>
        <v>0</v>
      </c>
      <c r="W19" s="69">
        <f>W29+W538+W450+W500+W558</f>
        <v>0</v>
      </c>
    </row>
    <row r="20" spans="1:23" ht="31.5" x14ac:dyDescent="0.2">
      <c r="A20" s="165"/>
      <c r="B20" s="165"/>
      <c r="C20" s="74" t="s">
        <v>81</v>
      </c>
      <c r="D20" s="71">
        <f t="shared" ref="D20:D27" si="17">E20+F20+G20+H20+I20+J20+K20+L20+M20+N20+O20+W20</f>
        <v>98793.9</v>
      </c>
      <c r="E20" s="71">
        <f>E30</f>
        <v>98793.9</v>
      </c>
      <c r="F20" s="71">
        <f t="shared" ref="F20:K20" si="18">F30</f>
        <v>0</v>
      </c>
      <c r="G20" s="71">
        <f t="shared" si="18"/>
        <v>0</v>
      </c>
      <c r="H20" s="71">
        <f t="shared" si="18"/>
        <v>0</v>
      </c>
      <c r="I20" s="71">
        <f t="shared" si="18"/>
        <v>0</v>
      </c>
      <c r="J20" s="71">
        <f t="shared" si="18"/>
        <v>0</v>
      </c>
      <c r="K20" s="71">
        <f t="shared" si="18"/>
        <v>0</v>
      </c>
      <c r="L20" s="71">
        <f>L30</f>
        <v>0</v>
      </c>
      <c r="M20" s="71">
        <f>M30</f>
        <v>0</v>
      </c>
      <c r="N20" s="71">
        <f>N30</f>
        <v>0</v>
      </c>
      <c r="O20" s="71">
        <f>O30</f>
        <v>0</v>
      </c>
      <c r="W20" s="71">
        <f>W30</f>
        <v>0</v>
      </c>
    </row>
    <row r="21" spans="1:23" ht="31.5" customHeight="1" x14ac:dyDescent="0.2">
      <c r="A21" s="165"/>
      <c r="B21" s="165"/>
      <c r="C21" s="101" t="s">
        <v>69</v>
      </c>
      <c r="D21" s="69">
        <f>E21+F21+G21+H21+I21+J21+K21+L21+M21+N21+O21+W21</f>
        <v>12766052.51</v>
      </c>
      <c r="E21" s="69">
        <f>E31+E451+E501+E539</f>
        <v>68697.599999999991</v>
      </c>
      <c r="F21" s="69">
        <f>F31+F451+F501+F539</f>
        <v>15000</v>
      </c>
      <c r="G21" s="69">
        <f>G31+G451+G501+G539</f>
        <v>26276.799999999999</v>
      </c>
      <c r="H21" s="69">
        <f>H31+H451+H501+H539</f>
        <v>47416.2</v>
      </c>
      <c r="I21" s="69">
        <f>I31+I451+I501+I539</f>
        <v>43469.7</v>
      </c>
      <c r="J21" s="69">
        <f t="shared" ref="J21:O21" si="19">J31+J451+J501+J539+J559</f>
        <v>718423.5</v>
      </c>
      <c r="K21" s="69">
        <f t="shared" si="19"/>
        <v>1144814.71</v>
      </c>
      <c r="L21" s="69">
        <f t="shared" si="19"/>
        <v>3033866.3</v>
      </c>
      <c r="M21" s="69">
        <f t="shared" si="19"/>
        <v>3790967.2</v>
      </c>
      <c r="N21" s="69">
        <f t="shared" si="19"/>
        <v>3207204.5999999996</v>
      </c>
      <c r="O21" s="69">
        <f t="shared" si="19"/>
        <v>542904</v>
      </c>
      <c r="W21" s="69">
        <f>W31+W451+W501+W539+W559</f>
        <v>127011.9</v>
      </c>
    </row>
    <row r="22" spans="1:23" ht="31.5" x14ac:dyDescent="0.2">
      <c r="A22" s="165"/>
      <c r="B22" s="165"/>
      <c r="C22" s="74" t="s">
        <v>79</v>
      </c>
      <c r="D22" s="69">
        <f t="shared" si="17"/>
        <v>43117.100000000006</v>
      </c>
      <c r="E22" s="71">
        <f>E32</f>
        <v>43117.100000000006</v>
      </c>
      <c r="F22" s="71">
        <f t="shared" ref="F22:K22" si="20">F32</f>
        <v>0</v>
      </c>
      <c r="G22" s="71">
        <f t="shared" si="20"/>
        <v>0</v>
      </c>
      <c r="H22" s="71">
        <f t="shared" si="20"/>
        <v>0</v>
      </c>
      <c r="I22" s="71">
        <f t="shared" si="20"/>
        <v>0</v>
      </c>
      <c r="J22" s="71">
        <f t="shared" si="20"/>
        <v>0</v>
      </c>
      <c r="K22" s="71">
        <f t="shared" si="20"/>
        <v>0</v>
      </c>
      <c r="L22" s="71">
        <f t="shared" ref="L22:O22" si="21">L32</f>
        <v>0</v>
      </c>
      <c r="M22" s="71">
        <f t="shared" si="21"/>
        <v>0</v>
      </c>
      <c r="N22" s="71">
        <f t="shared" si="21"/>
        <v>0</v>
      </c>
      <c r="O22" s="71">
        <f t="shared" si="21"/>
        <v>0</v>
      </c>
      <c r="W22" s="71">
        <f t="shared" ref="W22" si="22">W32</f>
        <v>0</v>
      </c>
    </row>
    <row r="23" spans="1:23" ht="31.5" x14ac:dyDescent="0.2">
      <c r="A23" s="165"/>
      <c r="B23" s="165"/>
      <c r="C23" s="74" t="s">
        <v>81</v>
      </c>
      <c r="D23" s="71">
        <f t="shared" si="17"/>
        <v>200006.3</v>
      </c>
      <c r="E23" s="71">
        <f>E33</f>
        <v>20580.5</v>
      </c>
      <c r="F23" s="71">
        <f t="shared" ref="F23:K23" si="23">F33</f>
        <v>0</v>
      </c>
      <c r="G23" s="71">
        <f t="shared" si="23"/>
        <v>0</v>
      </c>
      <c r="H23" s="71">
        <f t="shared" si="23"/>
        <v>0</v>
      </c>
      <c r="I23" s="71">
        <f t="shared" si="23"/>
        <v>0</v>
      </c>
      <c r="J23" s="71">
        <f t="shared" si="23"/>
        <v>0</v>
      </c>
      <c r="K23" s="71">
        <f t="shared" si="23"/>
        <v>0</v>
      </c>
      <c r="L23" s="71">
        <f>L33+L560</f>
        <v>21808</v>
      </c>
      <c r="M23" s="71">
        <f>M33+M560</f>
        <v>32138.6</v>
      </c>
      <c r="N23" s="71">
        <f>N33+N560</f>
        <v>125479.2</v>
      </c>
      <c r="O23" s="71">
        <f>O33+O560</f>
        <v>0</v>
      </c>
      <c r="W23" s="71">
        <f>W33+W560</f>
        <v>0</v>
      </c>
    </row>
    <row r="24" spans="1:23" ht="31.5" x14ac:dyDescent="0.2">
      <c r="A24" s="165"/>
      <c r="B24" s="165"/>
      <c r="C24" s="101" t="s">
        <v>65</v>
      </c>
      <c r="D24" s="69">
        <f t="shared" si="17"/>
        <v>938678.02</v>
      </c>
      <c r="E24" s="69">
        <f>E34+E452+E502+E540</f>
        <v>51114.700000000004</v>
      </c>
      <c r="F24" s="69">
        <f>F34+F452+F502+F540</f>
        <v>36837.9</v>
      </c>
      <c r="G24" s="69">
        <f>G34+G452+G502+G540</f>
        <v>45690.899999999994</v>
      </c>
      <c r="H24" s="69">
        <f>H34+H452+H502+H540</f>
        <v>90174.399999999994</v>
      </c>
      <c r="I24" s="69">
        <f>I34+I452+I502+I540</f>
        <v>50236</v>
      </c>
      <c r="J24" s="69">
        <f t="shared" ref="J24:O24" si="24">J34+J452+J502+J540+J561</f>
        <v>142590.1</v>
      </c>
      <c r="K24" s="69">
        <f t="shared" si="24"/>
        <v>109854.42000000004</v>
      </c>
      <c r="L24" s="69">
        <f t="shared" si="24"/>
        <v>95066.599999999977</v>
      </c>
      <c r="M24" s="69">
        <f t="shared" si="24"/>
        <v>131431.29999999999</v>
      </c>
      <c r="N24" s="69">
        <f t="shared" si="24"/>
        <v>128145.79999999997</v>
      </c>
      <c r="O24" s="69">
        <f t="shared" si="24"/>
        <v>42124.299999999996</v>
      </c>
      <c r="P24" s="60"/>
      <c r="Q24" s="60"/>
      <c r="W24" s="69">
        <f>W34+W452+W502+W540+W561</f>
        <v>15411.6</v>
      </c>
    </row>
    <row r="25" spans="1:23" ht="31.5" customHeight="1" x14ac:dyDescent="0.2">
      <c r="A25" s="165"/>
      <c r="B25" s="165"/>
      <c r="C25" s="74" t="s">
        <v>79</v>
      </c>
      <c r="D25" s="69">
        <f t="shared" si="17"/>
        <v>24185.399999999998</v>
      </c>
      <c r="E25" s="71">
        <f t="shared" ref="E25:O25" si="25">E35+E503</f>
        <v>17427.399999999998</v>
      </c>
      <c r="F25" s="71">
        <f t="shared" si="25"/>
        <v>2151</v>
      </c>
      <c r="G25" s="71">
        <f t="shared" si="25"/>
        <v>3908.3</v>
      </c>
      <c r="H25" s="71">
        <f t="shared" si="25"/>
        <v>0</v>
      </c>
      <c r="I25" s="71">
        <f t="shared" si="25"/>
        <v>698.7</v>
      </c>
      <c r="J25" s="71">
        <f t="shared" si="25"/>
        <v>0</v>
      </c>
      <c r="K25" s="71">
        <f t="shared" si="25"/>
        <v>0</v>
      </c>
      <c r="L25" s="71">
        <f t="shared" si="25"/>
        <v>0</v>
      </c>
      <c r="M25" s="71">
        <f t="shared" si="25"/>
        <v>0</v>
      </c>
      <c r="N25" s="71">
        <f t="shared" si="25"/>
        <v>0</v>
      </c>
      <c r="O25" s="71">
        <f t="shared" si="25"/>
        <v>0</v>
      </c>
      <c r="W25" s="71">
        <f>W35+W503</f>
        <v>0</v>
      </c>
    </row>
    <row r="26" spans="1:23" ht="31.5" customHeight="1" x14ac:dyDescent="0.2">
      <c r="A26" s="165"/>
      <c r="B26" s="165"/>
      <c r="C26" s="72" t="s">
        <v>448</v>
      </c>
      <c r="D26" s="71">
        <f t="shared" si="17"/>
        <v>38030.199999999997</v>
      </c>
      <c r="E26" s="71">
        <f t="shared" ref="E26:K26" si="26">E562</f>
        <v>0</v>
      </c>
      <c r="F26" s="71">
        <f t="shared" si="26"/>
        <v>0</v>
      </c>
      <c r="G26" s="71">
        <f t="shared" si="26"/>
        <v>0</v>
      </c>
      <c r="H26" s="71">
        <f t="shared" si="26"/>
        <v>0</v>
      </c>
      <c r="I26" s="71">
        <f t="shared" si="26"/>
        <v>0</v>
      </c>
      <c r="J26" s="71">
        <f t="shared" si="26"/>
        <v>0</v>
      </c>
      <c r="K26" s="71">
        <f t="shared" si="26"/>
        <v>0</v>
      </c>
      <c r="L26" s="71">
        <f>L562</f>
        <v>1392</v>
      </c>
      <c r="M26" s="71">
        <f>M33+M562</f>
        <v>11722.6</v>
      </c>
      <c r="N26" s="71">
        <f>N36</f>
        <v>24915.599999999999</v>
      </c>
      <c r="O26" s="71">
        <f>O33+O562</f>
        <v>0</v>
      </c>
      <c r="W26" s="71">
        <f>W33+W562</f>
        <v>0</v>
      </c>
    </row>
    <row r="27" spans="1:23" ht="17.25" customHeight="1" x14ac:dyDescent="0.2">
      <c r="A27" s="166"/>
      <c r="B27" s="166"/>
      <c r="C27" s="101" t="s">
        <v>13</v>
      </c>
      <c r="D27" s="69">
        <f t="shared" si="17"/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W27" s="69">
        <v>0</v>
      </c>
    </row>
    <row r="28" spans="1:23" ht="15.75" x14ac:dyDescent="0.2">
      <c r="A28" s="172" t="s">
        <v>235</v>
      </c>
      <c r="B28" s="175" t="s">
        <v>142</v>
      </c>
      <c r="C28" s="101" t="s">
        <v>7</v>
      </c>
      <c r="D28" s="69">
        <f>D29+D31+D34+D37</f>
        <v>14214220.800000001</v>
      </c>
      <c r="E28" s="69">
        <f t="shared" ref="E28:O28" si="27">E29+E31+E34+E37</f>
        <v>190159.7</v>
      </c>
      <c r="F28" s="69">
        <f t="shared" si="27"/>
        <v>25969.5</v>
      </c>
      <c r="G28" s="69">
        <f t="shared" si="27"/>
        <v>41615.9</v>
      </c>
      <c r="H28" s="69">
        <f t="shared" si="27"/>
        <v>112179.9</v>
      </c>
      <c r="I28" s="69">
        <f t="shared" si="27"/>
        <v>55446.6</v>
      </c>
      <c r="J28" s="69">
        <f t="shared" si="27"/>
        <v>621253.9</v>
      </c>
      <c r="K28" s="69">
        <f t="shared" si="27"/>
        <v>1099158.2</v>
      </c>
      <c r="L28" s="69">
        <f t="shared" si="27"/>
        <v>3086603.5</v>
      </c>
      <c r="M28" s="69">
        <f t="shared" si="27"/>
        <v>4985382.9000000004</v>
      </c>
      <c r="N28" s="69">
        <f t="shared" si="27"/>
        <v>3300016.3</v>
      </c>
      <c r="O28" s="69">
        <f t="shared" si="27"/>
        <v>573397.19999999995</v>
      </c>
      <c r="P28" s="67"/>
      <c r="Q28" s="60"/>
      <c r="W28" s="69">
        <f t="shared" ref="W28" si="28">W29+W31+W34+W37</f>
        <v>123037.2</v>
      </c>
    </row>
    <row r="29" spans="1:23" ht="31.5" customHeight="1" x14ac:dyDescent="0.2">
      <c r="A29" s="173"/>
      <c r="B29" s="176"/>
      <c r="C29" s="101" t="s">
        <v>80</v>
      </c>
      <c r="D29" s="69">
        <f>E29+F29+G29+H29+I29+J29+K29+L29+M29+N29+O29+W29</f>
        <v>1206825.7</v>
      </c>
      <c r="E29" s="69">
        <f>E39+E45+E51+E57+E62+E69+E75+E82+E89+E95+E101+E108+E115+E122+E130+E139+E146+E153+E159+E166+E173+E179+E185+E190+E195+E200+E207+E213+E218+E223+E228+E233+E238+E243+E248+E253+E258+E263+E268+E273+E303</f>
        <v>98793.9</v>
      </c>
      <c r="F29" s="69">
        <f t="shared" ref="F29:O29" si="29">F39+F45+F51+F57+F62+F69+F75+F82+F89+F95+F101+F108+F115+F122+F130+F139+F146+F153+F159+F166+F173+F179+F185+F190+F195+F200+F207+F213+F218+F223+F228+F233+F238+F243+F248+F253+F258+F263+F268+F273+F303</f>
        <v>0</v>
      </c>
      <c r="G29" s="69">
        <f t="shared" si="29"/>
        <v>0</v>
      </c>
      <c r="H29" s="69">
        <f t="shared" si="29"/>
        <v>0</v>
      </c>
      <c r="I29" s="69">
        <f t="shared" si="29"/>
        <v>0</v>
      </c>
      <c r="J29" s="69">
        <f t="shared" si="29"/>
        <v>0</v>
      </c>
      <c r="K29" s="69">
        <f t="shared" si="29"/>
        <v>0</v>
      </c>
      <c r="L29" s="69">
        <f t="shared" si="29"/>
        <v>0</v>
      </c>
      <c r="M29" s="69">
        <f>M39+M45+M51+M57+M62+M69+M75+M82+M89+M95+M101+M108+M115+M122+M130+M139+M146+M153+M159+M166+M173+M179+M185+M190+M195+M200+M207+M213+M218+M223+M228+M233+M238+M243+M248+M253+M258+M263+M268+M273+M303+M425</f>
        <v>1108031.8</v>
      </c>
      <c r="N29" s="69">
        <f t="shared" si="29"/>
        <v>0</v>
      </c>
      <c r="O29" s="69">
        <f t="shared" si="29"/>
        <v>0</v>
      </c>
      <c r="W29" s="69">
        <f t="shared" ref="W29" si="30">W39+W45+W51+W57+W62+W69+W75+W82+W89+W95+W101+W108+W115+W122+W130+W139+W146+W153+W159+W166+W173+W179+W185+W190+W195+W200+W207+W213+W218+W223+W228+W233+W238+W243+W248+W253+W258+W263+W268+W273+W303</f>
        <v>0</v>
      </c>
    </row>
    <row r="30" spans="1:23" ht="31.5" x14ac:dyDescent="0.2">
      <c r="A30" s="173"/>
      <c r="B30" s="176"/>
      <c r="C30" s="74" t="s">
        <v>81</v>
      </c>
      <c r="D30" s="69">
        <f t="shared" ref="D30:D36" si="31">E30+F30+G30+H30+I30+J30+K30+L30+M30+N30+O30+W30</f>
        <v>98793.9</v>
      </c>
      <c r="E30" s="71">
        <f>E63</f>
        <v>98793.9</v>
      </c>
      <c r="F30" s="71">
        <f t="shared" ref="F30:K30" si="32">F63</f>
        <v>0</v>
      </c>
      <c r="G30" s="71">
        <f t="shared" si="32"/>
        <v>0</v>
      </c>
      <c r="H30" s="71">
        <f t="shared" si="32"/>
        <v>0</v>
      </c>
      <c r="I30" s="71">
        <f t="shared" si="32"/>
        <v>0</v>
      </c>
      <c r="J30" s="71">
        <f t="shared" si="32"/>
        <v>0</v>
      </c>
      <c r="K30" s="71">
        <f t="shared" si="32"/>
        <v>0</v>
      </c>
      <c r="L30" s="71">
        <f>L63</f>
        <v>0</v>
      </c>
      <c r="M30" s="71">
        <f>M63</f>
        <v>0</v>
      </c>
      <c r="N30" s="71">
        <f>N63</f>
        <v>0</v>
      </c>
      <c r="O30" s="71">
        <f>O63</f>
        <v>0</v>
      </c>
      <c r="R30" s="60"/>
      <c r="S30" s="60"/>
      <c r="T30" s="60"/>
      <c r="U30" s="60"/>
      <c r="W30" s="71">
        <f>W63</f>
        <v>0</v>
      </c>
    </row>
    <row r="31" spans="1:23" ht="31.5" x14ac:dyDescent="0.2">
      <c r="A31" s="173"/>
      <c r="B31" s="176"/>
      <c r="C31" s="101" t="s">
        <v>69</v>
      </c>
      <c r="D31" s="69">
        <f t="shared" si="31"/>
        <v>12335658.200000001</v>
      </c>
      <c r="E31" s="69">
        <f>E40+E46+E52+E58+E64+E70+E76+E83+E90+E96+E102+E109+E116+E123+E131+E140+E147+E154+E160+E167+E174+E180+E186+E191+E196+E201+E208+E219+E224+E229++E234+E239+E244+E249+E254+E259+E264+E269+E274+E304</f>
        <v>68697.599999999991</v>
      </c>
      <c r="F31" s="69">
        <f t="shared" ref="F31:I31" si="33">F40+F46+F52+F58+F64+F70+F76+F83+F90+F96+F102+F109+F116+F123+F131+F140+F147+F154+F160+F167+F174+F180+F186+F191+F196+F201+F208+F219+F224+F229++F234+F239+F244+F249+F254+F259+F264+F269+F274+F304</f>
        <v>15000</v>
      </c>
      <c r="G31" s="69">
        <f t="shared" si="33"/>
        <v>26276.799999999999</v>
      </c>
      <c r="H31" s="69">
        <f t="shared" si="33"/>
        <v>47416.2</v>
      </c>
      <c r="I31" s="69">
        <f t="shared" si="33"/>
        <v>16128.9</v>
      </c>
      <c r="J31" s="69">
        <f>J40+J46+J52+J58+J64+J70+J76+J83+J90+J96+J102+J109+J116+J123+J131+J140+J147+J154+J160+J167+J174+J180+J186+J191+J196+J201+J208+J219+J224+J229++J234+J239+J244+J249+J254+J259+J264+J269+J274+J304+J279</f>
        <v>510517.9</v>
      </c>
      <c r="K31" s="69">
        <f>K40+K46+K52+K58+K64+K70+K76+K83+K90+K96+K102+K109+K116+K123+K131+K140+K147+K154+K160+K167+K174+K180+K186+K191+K196+K201+K208+K219+K224+K229++K234+K239+K244+K249+K254+K259+K264+K269+K274+K304+K279+K284+K289+K294+K299</f>
        <v>1022380.7</v>
      </c>
      <c r="L31" s="69">
        <f>L40+L46+L52+L58+L64+L70+L76+L83+L90+L96+L102+L109+L116+L123+L131+L140+L147+L154+L160+L167+L174+L180+L186+L191+L196+L201+L208+L219+L224+L229++L234+L239+L244+L249+L254+L259+L264+L269+L274+L304+L279+L284+L289+L294+L299+L335+L350+L355+L365+L370+L385+L390</f>
        <v>3012058.3</v>
      </c>
      <c r="M31" s="69">
        <f>M40+M46+M52+M58+M64+M70+M76+M83+M90+M96+M102+M109+M116+M123+M131+M140+M147+M154+M160+M167+M174+M180+M186+M191+M196+M201+M208+M219+M224+M229++M234+M239+M244+M249+M254+M259+M264+M269+M274+M304+M279+M284+M289+M294+M299+M335+M350+M355+M365+M370+M385+M390+M416+M426</f>
        <v>3769159.2</v>
      </c>
      <c r="N31" s="69">
        <f t="shared" ref="N31:O31" si="34">N40+N46+N52+N58+N64+N70+N76+N83+N90+N96+N102+N109+N116+N123+N131+N140+N147+N154+N160+N167+N174+N180+N186+N191+N196+N201+N208+N219+N224+N229++N234+N239+N244+N249+N254+N259+N264+N269+N274+N304+N279+N284+N289+N294+N299+N335+N350+N355+N365+N370+N385+N390+N416</f>
        <v>3185396.5999999996</v>
      </c>
      <c r="O31" s="69">
        <f t="shared" si="34"/>
        <v>542904</v>
      </c>
      <c r="W31" s="69">
        <f t="shared" ref="W31" si="35">W40+W46+W52+W58+W64+W70+W76+W83+W90+W96+W102+W109+W116+W123+W131+W140+W147+W154+W160+W167+W174+W180+W186+W191+W196+W201+W208+W219+W224+W229++W234+W239+W244+W249+W254+W259+W264+W269+W274+W304+W279+W284+W289+W294+W299+W335+W350+W355+W365+W370+W385+W390+W416</f>
        <v>119722</v>
      </c>
    </row>
    <row r="32" spans="1:23" ht="31.5" x14ac:dyDescent="0.2">
      <c r="A32" s="173"/>
      <c r="B32" s="176"/>
      <c r="C32" s="74" t="s">
        <v>79</v>
      </c>
      <c r="D32" s="69">
        <f t="shared" si="31"/>
        <v>43117.100000000006</v>
      </c>
      <c r="E32" s="71">
        <f t="shared" ref="E32:K32" si="36">E77+E124+E133+E148</f>
        <v>43117.100000000006</v>
      </c>
      <c r="F32" s="71">
        <f t="shared" si="36"/>
        <v>0</v>
      </c>
      <c r="G32" s="71">
        <f t="shared" si="36"/>
        <v>0</v>
      </c>
      <c r="H32" s="71">
        <f t="shared" si="36"/>
        <v>0</v>
      </c>
      <c r="I32" s="71">
        <f t="shared" si="36"/>
        <v>0</v>
      </c>
      <c r="J32" s="71">
        <f t="shared" si="36"/>
        <v>0</v>
      </c>
      <c r="K32" s="71">
        <f t="shared" si="36"/>
        <v>0</v>
      </c>
      <c r="L32" s="71">
        <f>L77+L124+L133+L148</f>
        <v>0</v>
      </c>
      <c r="M32" s="71">
        <f>M77+M124+M133+M148</f>
        <v>0</v>
      </c>
      <c r="N32" s="71">
        <f>N77+N124+N133+N148</f>
        <v>0</v>
      </c>
      <c r="O32" s="71">
        <f>O77+O124+O133+O148</f>
        <v>0</v>
      </c>
      <c r="W32" s="71">
        <f>W77+W124+W133+W148</f>
        <v>0</v>
      </c>
    </row>
    <row r="33" spans="1:23" ht="31.5" customHeight="1" x14ac:dyDescent="0.2">
      <c r="A33" s="173"/>
      <c r="B33" s="176"/>
      <c r="C33" s="74" t="s">
        <v>81</v>
      </c>
      <c r="D33" s="69">
        <f t="shared" si="31"/>
        <v>134582.29999999999</v>
      </c>
      <c r="E33" s="71">
        <f>E103+E161+E132</f>
        <v>20580.5</v>
      </c>
      <c r="F33" s="71">
        <f t="shared" ref="F33:K33" si="37">F103+F161</f>
        <v>0</v>
      </c>
      <c r="G33" s="71">
        <f t="shared" si="37"/>
        <v>0</v>
      </c>
      <c r="H33" s="71">
        <f t="shared" si="37"/>
        <v>0</v>
      </c>
      <c r="I33" s="71">
        <f t="shared" si="37"/>
        <v>0</v>
      </c>
      <c r="J33" s="71">
        <f t="shared" si="37"/>
        <v>0</v>
      </c>
      <c r="K33" s="71">
        <f t="shared" si="37"/>
        <v>0</v>
      </c>
      <c r="L33" s="71">
        <f>L103+L161</f>
        <v>0</v>
      </c>
      <c r="M33" s="71">
        <f>M103+M161+M202</f>
        <v>10330.6</v>
      </c>
      <c r="N33" s="71">
        <f t="shared" ref="N33:O33" si="38">N103+N161+N202</f>
        <v>103671.2</v>
      </c>
      <c r="O33" s="71">
        <f t="shared" si="38"/>
        <v>0</v>
      </c>
      <c r="W33" s="71">
        <f t="shared" ref="W33" si="39">W103+W161+W202</f>
        <v>0</v>
      </c>
    </row>
    <row r="34" spans="1:23" ht="31.5" x14ac:dyDescent="0.2">
      <c r="A34" s="173"/>
      <c r="B34" s="176"/>
      <c r="C34" s="101" t="s">
        <v>65</v>
      </c>
      <c r="D34" s="69">
        <f t="shared" si="31"/>
        <v>671736.89999999991</v>
      </c>
      <c r="E34" s="69">
        <f>E41+E47+E53+E59+E65+E71+E78+E84+E91+E97+E104+E110+E117+E125+E134+E141+E149+E155+E162+E168+E175+E181+E187+E192+E197+E203+E209+E215+E220+E225+E230+E235+E240+E245+E255+E250+E260+E265+E270+E275+E305</f>
        <v>22668.2</v>
      </c>
      <c r="F34" s="69">
        <f t="shared" ref="F34:I34" si="40">F41+F47+F53+F59+F65+F71+F78+F84+F91+F97+F104+F110+F117+F125+F134+F141+F149+F155+F162+F168+F175+F181+F187+F192+F197+F203+F209+F215+F220+F225+F230+F235+F240+F245+F255+F250+F260+F265+F270+F275+F305</f>
        <v>10969.5</v>
      </c>
      <c r="G34" s="69">
        <f t="shared" si="40"/>
        <v>15339.1</v>
      </c>
      <c r="H34" s="69">
        <f t="shared" si="40"/>
        <v>64763.7</v>
      </c>
      <c r="I34" s="69">
        <f t="shared" si="40"/>
        <v>39317.699999999997</v>
      </c>
      <c r="J34" s="69">
        <f>J41+J47+J53+J59+J65+J71+J78+J84+J91+J97+J104+J110+J117+J125+J134+J141+J149+J155+J162+J168+J175+J181+J187+J192+J197+J203+J209+J215+J220+J225+J230+J235+J240+J245+J255+J250+J260+J265+J270+J275+J305+J280</f>
        <v>110736</v>
      </c>
      <c r="K34" s="69">
        <f>K41+K47+K53+K59+K65+K71+K78+K84+K91+K97+K104+K110+K117+K125+K134+K141+K149+K155+K162+K168+K175+K181+K187+K192+K197+K203+K209+K215+K220+K225+K230+K235+K240+K245+K255+K250+K260+K265+K270+K275+K280+K305+K285+K290+K295+K300+K310+K315+K321+K326+K331</f>
        <v>76777.500000000029</v>
      </c>
      <c r="L34" s="69">
        <f>L41+L47+L53+L59+L65+L71+L78+L84+L91+L97+L104+L110+L117+L125+L134+L141+L149+L155+L162+L168+L175+L181+L187+L192+L197+L203+L209+L215+L220+L225+L230+L235+L240+L245+L255+L250+L260+L265+L270+L275+L280+L305+L285+L290+L295+L300+L310+L315+L321+L326+L336+L351+L356+L366+L371+L386+L391</f>
        <v>74545.199999999983</v>
      </c>
      <c r="M34" s="69">
        <f>M41+M47+M53+M59+M65+M71+M78+M84+M91+M97+M104+M110+M117+M125+M134+M141+M149+M155+M162+M168+M175+M181+M187+M192+M197+M203+M209+M215+M220+M225+M230+M235+M240+M245+M255+M250+M260+M265+M270+M275+M280+M305+M285+M290+M295+M300+M310+M315+M321+M326+M336+M351+M356+M366+M371+M386+M391+M396+M401+M406+M412+M422+M427</f>
        <v>108191.9</v>
      </c>
      <c r="N34" s="69">
        <f>N41+N47+N53+N59+N65+N71+N78+N84+N91+N97+N104+N110+N117+N125+N134+N141+N149+N155+N162+N168+N175+N181+N187+N192+N197+N203+N209+N215+N220+N225+N230+N235+N240+N245+N255+N250+N260+N265+N270+N275+N280+N305+N285+N290+N295+N300+N310+N315+N321+N326+N336+N351+N356+N366+N371+N386+N391+N396+N401+N406+N412+N422</f>
        <v>114619.69999999998</v>
      </c>
      <c r="O34" s="69">
        <f t="shared" ref="O34" si="41">O41+O47+O53+O59+O65+O71+O78+O84+O91+O97+O104+O110+O117+O125+O134+O141+O149+O155+O162+O168+O175+O181+O187+O192+O197+O203+O209+O215+O220+O225+O230+O235+O240+O245+O255+O250+O260+O265+O270+O275+O280+O305+O285+O290+O295+O300+O310+O315+O321+O326+O336+O351+O356+O366+O371+O386+O391</f>
        <v>30493.200000000001</v>
      </c>
      <c r="P34" s="69">
        <f t="shared" ref="P34:V34" si="42">P41+P47+P53+P59+P65+P71+P78+P84+P91+P97+P104+P110+P117+P125+P134+P141+P149+P155+P162+P168+P175+P181+P187+P192+P197+P203+P209+P215+P220+P225+P230+P235+P240+P245+P255+P250+P260+P265+P270+P275+P280+P305+P285+P290+P295+P300+P310+P315+P321+P326+P336+P351</f>
        <v>0</v>
      </c>
      <c r="Q34" s="69">
        <f t="shared" si="42"/>
        <v>0</v>
      </c>
      <c r="R34" s="69">
        <f t="shared" si="42"/>
        <v>0</v>
      </c>
      <c r="S34" s="69">
        <f t="shared" si="42"/>
        <v>0</v>
      </c>
      <c r="T34" s="69">
        <f t="shared" si="42"/>
        <v>0</v>
      </c>
      <c r="U34" s="69">
        <f t="shared" si="42"/>
        <v>0</v>
      </c>
      <c r="V34" s="69">
        <f t="shared" si="42"/>
        <v>0</v>
      </c>
      <c r="W34" s="69">
        <f t="shared" ref="W34" si="43">W41+W47+W53+W59+W65+W71+W78+W84+W91+W97+W104+W110+W117+W125+W134+W141+W149+W155+W162+W168+W175+W181+W187+W192+W197+W203+W209+W215+W220+W225+W230+W235+W240+W245+W255+W250+W260+W265+W270+W275+W280+W305+W285+W290+W295+W300+W310+W315+W321+W326+W336+W351+W356+W366+W371+W386+W391</f>
        <v>3315.2000000000003</v>
      </c>
    </row>
    <row r="35" spans="1:23" ht="31.5" x14ac:dyDescent="0.2">
      <c r="A35" s="173"/>
      <c r="B35" s="176"/>
      <c r="C35" s="74" t="s">
        <v>79</v>
      </c>
      <c r="D35" s="69">
        <f t="shared" si="31"/>
        <v>20554.099999999999</v>
      </c>
      <c r="E35" s="71">
        <f>E48+E54+E72+E79+E85+E92+E98+E111+E118+E126+E135+E142+E150+E156+E169+E176+E182+E42+E66</f>
        <v>14494.8</v>
      </c>
      <c r="F35" s="71">
        <f t="shared" ref="F35:K35" si="44">F48+F54+F72+F79+F85+F92+F98+F111+F118+F126+F135+F142+F150+F156+F169+F176+F182+F42+F66</f>
        <v>2151</v>
      </c>
      <c r="G35" s="71">
        <f t="shared" si="44"/>
        <v>3908.3</v>
      </c>
      <c r="H35" s="71">
        <f t="shared" si="44"/>
        <v>0</v>
      </c>
      <c r="I35" s="71">
        <f t="shared" si="44"/>
        <v>0</v>
      </c>
      <c r="J35" s="71">
        <f t="shared" si="44"/>
        <v>0</v>
      </c>
      <c r="K35" s="71">
        <f t="shared" si="44"/>
        <v>0</v>
      </c>
      <c r="L35" s="71">
        <f>L48+L54+L72+L79+L85+L92+L98+L111+L118+L126+L135+L142+L150+L156+L169+L176+L182+L42+L66</f>
        <v>0</v>
      </c>
      <c r="M35" s="71">
        <f>M48+M54+M72+M79+M85+M92+M98+M111+M118+M126+M135+M142+M150+M156+M169+M176+M182+M42+M66</f>
        <v>0</v>
      </c>
      <c r="N35" s="71">
        <f>N48+N54+N72+N79+N85+N92+N98+N111+N118+N126+N135+N142+N150+N156+N169+N176+N182+N42+N66</f>
        <v>0</v>
      </c>
      <c r="O35" s="71">
        <f>O48+O54+O72+O79+O85+O92+O98+O111+O118+O126+O135+O142+O150+O156+O169+O176+O182+O42+O66</f>
        <v>0</v>
      </c>
      <c r="W35" s="71">
        <f>W48+W54+W72+W79+W85+W92+W98+W111+W118+W126+W135+W142+W150+W156+W169+W176+W182+W42+W66</f>
        <v>0</v>
      </c>
    </row>
    <row r="36" spans="1:23" ht="31.5" x14ac:dyDescent="0.2">
      <c r="A36" s="173"/>
      <c r="B36" s="176"/>
      <c r="C36" s="74" t="s">
        <v>448</v>
      </c>
      <c r="D36" s="69">
        <f t="shared" si="31"/>
        <v>25575</v>
      </c>
      <c r="E36" s="71">
        <f>E204</f>
        <v>0</v>
      </c>
      <c r="F36" s="71">
        <f t="shared" ref="F36:O36" si="45">F204</f>
        <v>0</v>
      </c>
      <c r="G36" s="71">
        <f t="shared" si="45"/>
        <v>0</v>
      </c>
      <c r="H36" s="71">
        <f t="shared" si="45"/>
        <v>0</v>
      </c>
      <c r="I36" s="71">
        <f t="shared" si="45"/>
        <v>0</v>
      </c>
      <c r="J36" s="71">
        <f t="shared" si="45"/>
        <v>0</v>
      </c>
      <c r="K36" s="71">
        <f t="shared" si="45"/>
        <v>0</v>
      </c>
      <c r="L36" s="71">
        <f t="shared" si="45"/>
        <v>0</v>
      </c>
      <c r="M36" s="71">
        <f>M204</f>
        <v>659.4</v>
      </c>
      <c r="N36" s="71">
        <f>N210+N316+N407</f>
        <v>24915.599999999999</v>
      </c>
      <c r="O36" s="71">
        <f t="shared" si="45"/>
        <v>0</v>
      </c>
      <c r="W36" s="71">
        <f t="shared" ref="W36" si="46">W204</f>
        <v>0</v>
      </c>
    </row>
    <row r="37" spans="1:23" ht="18.75" customHeight="1" x14ac:dyDescent="0.2">
      <c r="A37" s="174"/>
      <c r="B37" s="177"/>
      <c r="C37" s="101" t="s">
        <v>13</v>
      </c>
      <c r="D37" s="69">
        <f t="shared" ref="D37" si="47">E37+F37+G37+H37+I37+J37+K37+L37+M37+N37+O37</f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W37" s="69">
        <v>0</v>
      </c>
    </row>
    <row r="38" spans="1:23" ht="15.75" x14ac:dyDescent="0.2">
      <c r="A38" s="137" t="s">
        <v>94</v>
      </c>
      <c r="B38" s="152" t="s">
        <v>371</v>
      </c>
      <c r="C38" s="96" t="s">
        <v>7</v>
      </c>
      <c r="D38" s="69">
        <f>E38+F38+G38+H38+I38+J38+K38+L38+M38+N38+O38+W38</f>
        <v>20898.7</v>
      </c>
      <c r="E38" s="69">
        <f t="shared" ref="E38:J38" si="48">SUM(E39:E43)</f>
        <v>279.3</v>
      </c>
      <c r="F38" s="69">
        <f t="shared" si="48"/>
        <v>7999</v>
      </c>
      <c r="G38" s="69">
        <f>G39+G40+G41+G43</f>
        <v>3908.3</v>
      </c>
      <c r="H38" s="69">
        <f t="shared" si="48"/>
        <v>0</v>
      </c>
      <c r="I38" s="69">
        <f t="shared" si="48"/>
        <v>7695.7</v>
      </c>
      <c r="J38" s="69">
        <f t="shared" si="48"/>
        <v>1016.4000000000001</v>
      </c>
      <c r="K38" s="69">
        <f>K39+K40+K41+K42+K43</f>
        <v>0</v>
      </c>
      <c r="L38" s="69">
        <f>L39+L40+L41+L42+L43</f>
        <v>0</v>
      </c>
      <c r="M38" s="69">
        <f>M39+M40+M41+M42+M43</f>
        <v>0</v>
      </c>
      <c r="N38" s="69">
        <f>N39+N40+N41+N42+N43</f>
        <v>0</v>
      </c>
      <c r="O38" s="69">
        <f>O39+O40+O41+O42+O43</f>
        <v>0</v>
      </c>
      <c r="P38" s="62" t="s">
        <v>354</v>
      </c>
      <c r="W38" s="69">
        <f>W39+W40+W41+W42+W43</f>
        <v>0</v>
      </c>
    </row>
    <row r="39" spans="1:23" ht="15.75" x14ac:dyDescent="0.2">
      <c r="A39" s="137"/>
      <c r="B39" s="153"/>
      <c r="C39" s="101" t="s">
        <v>10</v>
      </c>
      <c r="D39" s="69">
        <f t="shared" ref="D39:D42" si="49">E39+F39+G39+H39+I39+J39+K39+L39+M39+N39+O39+W39</f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W39" s="69">
        <v>0</v>
      </c>
    </row>
    <row r="40" spans="1:23" ht="15.75" x14ac:dyDescent="0.2">
      <c r="A40" s="137"/>
      <c r="B40" s="153"/>
      <c r="C40" s="101" t="s">
        <v>11</v>
      </c>
      <c r="D40" s="69">
        <f t="shared" si="49"/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  <c r="W40" s="69">
        <v>0</v>
      </c>
    </row>
    <row r="41" spans="1:23" ht="15.75" x14ac:dyDescent="0.2">
      <c r="A41" s="137"/>
      <c r="B41" s="153"/>
      <c r="C41" s="101" t="s">
        <v>12</v>
      </c>
      <c r="D41" s="69">
        <f t="shared" si="49"/>
        <v>20898.7</v>
      </c>
      <c r="E41" s="69">
        <v>279.3</v>
      </c>
      <c r="F41" s="69">
        <v>7999</v>
      </c>
      <c r="G41" s="69">
        <v>3908.3</v>
      </c>
      <c r="H41" s="69">
        <v>0</v>
      </c>
      <c r="I41" s="69">
        <v>7695.7</v>
      </c>
      <c r="J41" s="69">
        <f>13000-10000-91-1800-1.6-235+144</f>
        <v>1016.4000000000001</v>
      </c>
      <c r="K41" s="69">
        <f>1620.7-553.4-1067.3</f>
        <v>0</v>
      </c>
      <c r="L41" s="69">
        <v>0</v>
      </c>
      <c r="M41" s="69">
        <v>0</v>
      </c>
      <c r="N41" s="69">
        <v>0</v>
      </c>
      <c r="O41" s="69">
        <v>0</v>
      </c>
      <c r="W41" s="69">
        <v>0</v>
      </c>
    </row>
    <row r="42" spans="1:23" ht="31.5" x14ac:dyDescent="0.2">
      <c r="A42" s="137"/>
      <c r="B42" s="153"/>
      <c r="C42" s="74" t="s">
        <v>79</v>
      </c>
      <c r="D42" s="69">
        <f t="shared" si="49"/>
        <v>3908.3</v>
      </c>
      <c r="E42" s="71">
        <v>0</v>
      </c>
      <c r="F42" s="71">
        <v>0</v>
      </c>
      <c r="G42" s="71">
        <v>3908.3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W42" s="69">
        <v>0</v>
      </c>
    </row>
    <row r="43" spans="1:23" ht="20.25" customHeight="1" x14ac:dyDescent="0.2">
      <c r="A43" s="137"/>
      <c r="B43" s="154"/>
      <c r="C43" s="101" t="s">
        <v>13</v>
      </c>
      <c r="D43" s="69">
        <f>E43+F43+G43+H43+I43+J43+K43+L43+M43+N43+O43+W43</f>
        <v>0</v>
      </c>
      <c r="E43" s="69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W43" s="69">
        <v>0</v>
      </c>
    </row>
    <row r="44" spans="1:23" ht="15.75" x14ac:dyDescent="0.2">
      <c r="A44" s="137" t="s">
        <v>95</v>
      </c>
      <c r="B44" s="149" t="s">
        <v>247</v>
      </c>
      <c r="C44" s="101" t="s">
        <v>7</v>
      </c>
      <c r="D44" s="69">
        <f t="shared" ref="D44:D107" si="50">E44+F44+G44+H44+I44+J44+K44+L44+M44+N44+O44+W44</f>
        <v>89901.1</v>
      </c>
      <c r="E44" s="69">
        <f t="shared" ref="E44:O44" si="51">E45+E46+E47+E49</f>
        <v>2524.5</v>
      </c>
      <c r="F44" s="69">
        <f t="shared" si="51"/>
        <v>0</v>
      </c>
      <c r="G44" s="69">
        <f t="shared" si="51"/>
        <v>9700</v>
      </c>
      <c r="H44" s="69">
        <f t="shared" si="51"/>
        <v>55770.7</v>
      </c>
      <c r="I44" s="69">
        <f t="shared" si="51"/>
        <v>20706</v>
      </c>
      <c r="J44" s="69">
        <f>J45+J46+J47+J49</f>
        <v>1153.1000000000004</v>
      </c>
      <c r="K44" s="69">
        <f t="shared" si="51"/>
        <v>46.800000000000004</v>
      </c>
      <c r="L44" s="69">
        <f t="shared" si="51"/>
        <v>0</v>
      </c>
      <c r="M44" s="69">
        <f t="shared" si="51"/>
        <v>0</v>
      </c>
      <c r="N44" s="69">
        <f t="shared" si="51"/>
        <v>0</v>
      </c>
      <c r="O44" s="69">
        <f t="shared" si="51"/>
        <v>0</v>
      </c>
      <c r="P44" s="62" t="s">
        <v>354</v>
      </c>
      <c r="W44" s="69">
        <f t="shared" ref="W44" si="52">W45+W46+W47+W49</f>
        <v>0</v>
      </c>
    </row>
    <row r="45" spans="1:23" ht="17.25" customHeight="1" x14ac:dyDescent="0.2">
      <c r="A45" s="137"/>
      <c r="B45" s="149"/>
      <c r="C45" s="101" t="s">
        <v>10</v>
      </c>
      <c r="D45" s="69">
        <f t="shared" si="50"/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W45" s="69">
        <v>0</v>
      </c>
    </row>
    <row r="46" spans="1:23" ht="15.75" x14ac:dyDescent="0.2">
      <c r="A46" s="137"/>
      <c r="B46" s="149"/>
      <c r="C46" s="101" t="s">
        <v>11</v>
      </c>
      <c r="D46" s="69">
        <f t="shared" si="50"/>
        <v>0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W46" s="69">
        <v>0</v>
      </c>
    </row>
    <row r="47" spans="1:23" ht="31.5" x14ac:dyDescent="0.2">
      <c r="A47" s="137"/>
      <c r="B47" s="149"/>
      <c r="C47" s="101" t="s">
        <v>65</v>
      </c>
      <c r="D47" s="69">
        <f t="shared" si="50"/>
        <v>89901.1</v>
      </c>
      <c r="E47" s="69">
        <v>2524.5</v>
      </c>
      <c r="F47" s="69">
        <v>0</v>
      </c>
      <c r="G47" s="69">
        <v>9700</v>
      </c>
      <c r="H47" s="69">
        <v>55770.7</v>
      </c>
      <c r="I47" s="69">
        <f>23156-2450</f>
        <v>20706</v>
      </c>
      <c r="J47" s="69">
        <f>10000-8846.9</f>
        <v>1153.1000000000004</v>
      </c>
      <c r="K47" s="69">
        <f>49.2-2.4</f>
        <v>46.800000000000004</v>
      </c>
      <c r="L47" s="69">
        <v>0</v>
      </c>
      <c r="M47" s="69">
        <v>0</v>
      </c>
      <c r="N47" s="69">
        <v>0</v>
      </c>
      <c r="O47" s="69">
        <v>0</v>
      </c>
      <c r="W47" s="69">
        <v>0</v>
      </c>
    </row>
    <row r="48" spans="1:23" ht="31.5" x14ac:dyDescent="0.2">
      <c r="A48" s="137"/>
      <c r="B48" s="149"/>
      <c r="C48" s="74" t="s">
        <v>79</v>
      </c>
      <c r="D48" s="69">
        <f t="shared" si="50"/>
        <v>1837.2</v>
      </c>
      <c r="E48" s="71">
        <v>1837.2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  <c r="W48" s="71">
        <v>0</v>
      </c>
    </row>
    <row r="49" spans="1:23" ht="18" customHeight="1" x14ac:dyDescent="0.2">
      <c r="A49" s="137"/>
      <c r="B49" s="149"/>
      <c r="C49" s="101" t="s">
        <v>13</v>
      </c>
      <c r="D49" s="69">
        <f t="shared" si="50"/>
        <v>0</v>
      </c>
      <c r="E49" s="69">
        <v>0</v>
      </c>
      <c r="F49" s="69">
        <v>0</v>
      </c>
      <c r="G49" s="69">
        <v>0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  <c r="W49" s="69">
        <v>0</v>
      </c>
    </row>
    <row r="50" spans="1:23" ht="15.75" x14ac:dyDescent="0.2">
      <c r="A50" s="138" t="s">
        <v>131</v>
      </c>
      <c r="B50" s="152" t="s">
        <v>227</v>
      </c>
      <c r="C50" s="101" t="s">
        <v>7</v>
      </c>
      <c r="D50" s="69">
        <f t="shared" si="50"/>
        <v>342.5</v>
      </c>
      <c r="E50" s="69">
        <f t="shared" ref="E50:K50" si="53">E51+E52+E53+E55</f>
        <v>330.5</v>
      </c>
      <c r="F50" s="69">
        <f t="shared" si="53"/>
        <v>12</v>
      </c>
      <c r="G50" s="69">
        <f t="shared" si="53"/>
        <v>0</v>
      </c>
      <c r="H50" s="69">
        <f t="shared" si="53"/>
        <v>0</v>
      </c>
      <c r="I50" s="69">
        <f t="shared" si="53"/>
        <v>0</v>
      </c>
      <c r="J50" s="69">
        <f t="shared" si="53"/>
        <v>0</v>
      </c>
      <c r="K50" s="69">
        <f t="shared" si="53"/>
        <v>0</v>
      </c>
      <c r="L50" s="69">
        <f>L51+L52+L53+L55</f>
        <v>0</v>
      </c>
      <c r="M50" s="69">
        <f>M51+M52+M53+M55</f>
        <v>0</v>
      </c>
      <c r="N50" s="69">
        <f>N51+N52+N53+N55</f>
        <v>0</v>
      </c>
      <c r="O50" s="69">
        <f>O51+O52+O53+O55</f>
        <v>0</v>
      </c>
      <c r="W50" s="69">
        <f>W51+W52+W53+W55</f>
        <v>0</v>
      </c>
    </row>
    <row r="51" spans="1:23" ht="15.75" x14ac:dyDescent="0.2">
      <c r="A51" s="139"/>
      <c r="B51" s="153"/>
      <c r="C51" s="101" t="s">
        <v>10</v>
      </c>
      <c r="D51" s="69">
        <f t="shared" si="50"/>
        <v>0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  <c r="W51" s="69">
        <v>0</v>
      </c>
    </row>
    <row r="52" spans="1:23" ht="15.75" x14ac:dyDescent="0.2">
      <c r="A52" s="139"/>
      <c r="B52" s="153"/>
      <c r="C52" s="101" t="s">
        <v>11</v>
      </c>
      <c r="D52" s="69">
        <f t="shared" si="50"/>
        <v>0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W52" s="69">
        <v>0</v>
      </c>
    </row>
    <row r="53" spans="1:23" ht="30.75" customHeight="1" x14ac:dyDescent="0.2">
      <c r="A53" s="139"/>
      <c r="B53" s="153"/>
      <c r="C53" s="101" t="s">
        <v>65</v>
      </c>
      <c r="D53" s="69">
        <f t="shared" si="50"/>
        <v>342.5</v>
      </c>
      <c r="E53" s="69">
        <v>330.5</v>
      </c>
      <c r="F53" s="69">
        <v>12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W53" s="69">
        <v>0</v>
      </c>
    </row>
    <row r="54" spans="1:23" ht="32.25" customHeight="1" x14ac:dyDescent="0.2">
      <c r="A54" s="139"/>
      <c r="B54" s="153"/>
      <c r="C54" s="74" t="s">
        <v>79</v>
      </c>
      <c r="D54" s="69">
        <f t="shared" si="50"/>
        <v>330.5</v>
      </c>
      <c r="E54" s="71">
        <v>330.5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69">
        <v>0</v>
      </c>
      <c r="L54" s="71">
        <v>0</v>
      </c>
      <c r="M54" s="71">
        <v>0</v>
      </c>
      <c r="N54" s="71">
        <v>0</v>
      </c>
      <c r="O54" s="69">
        <v>0</v>
      </c>
      <c r="W54" s="69">
        <v>0</v>
      </c>
    </row>
    <row r="55" spans="1:23" ht="26.25" customHeight="1" x14ac:dyDescent="0.2">
      <c r="A55" s="140"/>
      <c r="B55" s="154"/>
      <c r="C55" s="101" t="s">
        <v>13</v>
      </c>
      <c r="D55" s="69">
        <f t="shared" si="50"/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  <c r="W55" s="69">
        <v>0</v>
      </c>
    </row>
    <row r="56" spans="1:23" ht="15.75" x14ac:dyDescent="0.2">
      <c r="A56" s="137" t="s">
        <v>96</v>
      </c>
      <c r="B56" s="149" t="s">
        <v>88</v>
      </c>
      <c r="C56" s="101" t="s">
        <v>7</v>
      </c>
      <c r="D56" s="69">
        <f t="shared" si="50"/>
        <v>5540</v>
      </c>
      <c r="E56" s="69">
        <f t="shared" ref="E56:K56" si="54">E57+E58+E59+E60</f>
        <v>5540</v>
      </c>
      <c r="F56" s="69">
        <f t="shared" si="54"/>
        <v>0</v>
      </c>
      <c r="G56" s="69">
        <f t="shared" si="54"/>
        <v>0</v>
      </c>
      <c r="H56" s="69">
        <f t="shared" si="54"/>
        <v>0</v>
      </c>
      <c r="I56" s="69">
        <f t="shared" si="54"/>
        <v>0</v>
      </c>
      <c r="J56" s="69">
        <f t="shared" si="54"/>
        <v>0</v>
      </c>
      <c r="K56" s="69">
        <f t="shared" si="54"/>
        <v>0</v>
      </c>
      <c r="L56" s="69">
        <f>L57+L58+L59+L60</f>
        <v>0</v>
      </c>
      <c r="M56" s="69">
        <f>M57+M58+M59+M60</f>
        <v>0</v>
      </c>
      <c r="N56" s="69">
        <f>N57+N58+N59+N60</f>
        <v>0</v>
      </c>
      <c r="O56" s="69">
        <f>O57+O58+O59+O60</f>
        <v>0</v>
      </c>
      <c r="W56" s="69">
        <f>W57+W58+W59+W60</f>
        <v>0</v>
      </c>
    </row>
    <row r="57" spans="1:23" ht="17.25" customHeight="1" x14ac:dyDescent="0.2">
      <c r="A57" s="137"/>
      <c r="B57" s="149"/>
      <c r="C57" s="101" t="s">
        <v>10</v>
      </c>
      <c r="D57" s="69">
        <f t="shared" si="50"/>
        <v>0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69">
        <v>0</v>
      </c>
      <c r="W57" s="69">
        <v>0</v>
      </c>
    </row>
    <row r="58" spans="1:23" ht="15.75" x14ac:dyDescent="0.2">
      <c r="A58" s="137"/>
      <c r="B58" s="149"/>
      <c r="C58" s="101" t="s">
        <v>11</v>
      </c>
      <c r="D58" s="69">
        <f t="shared" si="50"/>
        <v>5000</v>
      </c>
      <c r="E58" s="69">
        <v>5000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  <c r="W58" s="69">
        <v>0</v>
      </c>
    </row>
    <row r="59" spans="1:23" ht="15.75" x14ac:dyDescent="0.2">
      <c r="A59" s="137"/>
      <c r="B59" s="149"/>
      <c r="C59" s="101" t="s">
        <v>12</v>
      </c>
      <c r="D59" s="69">
        <f t="shared" si="50"/>
        <v>540</v>
      </c>
      <c r="E59" s="69">
        <v>540</v>
      </c>
      <c r="F59" s="69">
        <v>0</v>
      </c>
      <c r="G59" s="69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  <c r="W59" s="69">
        <v>0</v>
      </c>
    </row>
    <row r="60" spans="1:23" ht="19.5" customHeight="1" x14ac:dyDescent="0.2">
      <c r="A60" s="137"/>
      <c r="B60" s="149"/>
      <c r="C60" s="101" t="s">
        <v>13</v>
      </c>
      <c r="D60" s="69">
        <f t="shared" si="50"/>
        <v>0</v>
      </c>
      <c r="E60" s="69">
        <v>0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  <c r="W60" s="69">
        <v>0</v>
      </c>
    </row>
    <row r="61" spans="1:23" ht="15.75" x14ac:dyDescent="0.2">
      <c r="A61" s="137" t="s">
        <v>97</v>
      </c>
      <c r="B61" s="152" t="s">
        <v>420</v>
      </c>
      <c r="C61" s="101" t="s">
        <v>7</v>
      </c>
      <c r="D61" s="69">
        <f t="shared" si="50"/>
        <v>103481.5</v>
      </c>
      <c r="E61" s="69">
        <f>E62+E64+E65+E67</f>
        <v>101289</v>
      </c>
      <c r="F61" s="69">
        <f>F62+F64+F65+F67</f>
        <v>1200</v>
      </c>
      <c r="G61" s="69">
        <f t="shared" ref="G61:O61" si="55">G62+G64+G65+G67</f>
        <v>0</v>
      </c>
      <c r="H61" s="69">
        <f t="shared" si="55"/>
        <v>600</v>
      </c>
      <c r="I61" s="69">
        <f t="shared" si="55"/>
        <v>35.5</v>
      </c>
      <c r="J61" s="69">
        <f t="shared" si="55"/>
        <v>23.4</v>
      </c>
      <c r="K61" s="69">
        <f t="shared" si="55"/>
        <v>0</v>
      </c>
      <c r="L61" s="69">
        <f t="shared" si="55"/>
        <v>153.6</v>
      </c>
      <c r="M61" s="69">
        <f t="shared" si="55"/>
        <v>180</v>
      </c>
      <c r="N61" s="69">
        <f t="shared" si="55"/>
        <v>0</v>
      </c>
      <c r="O61" s="69">
        <f t="shared" si="55"/>
        <v>0</v>
      </c>
      <c r="P61" s="58">
        <v>35.4</v>
      </c>
      <c r="Q61" s="67">
        <f>I61-P61</f>
        <v>0.10000000000000142</v>
      </c>
      <c r="W61" s="69">
        <f t="shared" ref="W61" si="56">W62+W64+W65+W67</f>
        <v>0</v>
      </c>
    </row>
    <row r="62" spans="1:23" ht="31.5" x14ac:dyDescent="0.2">
      <c r="A62" s="137"/>
      <c r="B62" s="153"/>
      <c r="C62" s="101" t="s">
        <v>80</v>
      </c>
      <c r="D62" s="69">
        <f t="shared" si="50"/>
        <v>98793.9</v>
      </c>
      <c r="E62" s="69">
        <f>E63</f>
        <v>98793.9</v>
      </c>
      <c r="F62" s="69">
        <v>0</v>
      </c>
      <c r="G62" s="69">
        <v>0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  <c r="M62" s="69">
        <v>0</v>
      </c>
      <c r="N62" s="69">
        <v>0</v>
      </c>
      <c r="O62" s="69">
        <v>0</v>
      </c>
      <c r="W62" s="69">
        <v>0</v>
      </c>
    </row>
    <row r="63" spans="1:23" ht="31.5" x14ac:dyDescent="0.2">
      <c r="A63" s="137"/>
      <c r="B63" s="153"/>
      <c r="C63" s="74" t="s">
        <v>81</v>
      </c>
      <c r="D63" s="69">
        <f t="shared" si="50"/>
        <v>98793.9</v>
      </c>
      <c r="E63" s="71">
        <v>98793.9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W63" s="71">
        <v>0</v>
      </c>
    </row>
    <row r="64" spans="1:23" ht="15.75" x14ac:dyDescent="0.2">
      <c r="A64" s="137"/>
      <c r="B64" s="153"/>
      <c r="C64" s="101" t="s">
        <v>11</v>
      </c>
      <c r="D64" s="69">
        <f t="shared" si="50"/>
        <v>0</v>
      </c>
      <c r="E64" s="69">
        <v>0</v>
      </c>
      <c r="F64" s="69">
        <v>0</v>
      </c>
      <c r="G64" s="69">
        <v>0</v>
      </c>
      <c r="H64" s="69">
        <v>0</v>
      </c>
      <c r="I64" s="69"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0">
        <f>D62+D64+D65+D67</f>
        <v>103481.5</v>
      </c>
      <c r="Q64" s="60"/>
      <c r="W64" s="69">
        <v>0</v>
      </c>
    </row>
    <row r="65" spans="1:23" ht="15.75" x14ac:dyDescent="0.2">
      <c r="A65" s="137"/>
      <c r="B65" s="153"/>
      <c r="C65" s="101" t="s">
        <v>12</v>
      </c>
      <c r="D65" s="69">
        <f t="shared" si="50"/>
        <v>4687.6000000000004</v>
      </c>
      <c r="E65" s="69">
        <v>2495.1</v>
      </c>
      <c r="F65" s="69">
        <v>1200</v>
      </c>
      <c r="G65" s="69">
        <v>0</v>
      </c>
      <c r="H65" s="69">
        <v>600</v>
      </c>
      <c r="I65" s="69">
        <v>35.5</v>
      </c>
      <c r="J65" s="69">
        <f>0+23.4</f>
        <v>23.4</v>
      </c>
      <c r="K65" s="69">
        <v>0</v>
      </c>
      <c r="L65" s="69">
        <f>221.5-67.9</f>
        <v>153.6</v>
      </c>
      <c r="M65" s="69">
        <v>180</v>
      </c>
      <c r="N65" s="69">
        <v>0</v>
      </c>
      <c r="O65" s="69">
        <v>0</v>
      </c>
      <c r="W65" s="69">
        <v>0</v>
      </c>
    </row>
    <row r="66" spans="1:23" ht="31.5" x14ac:dyDescent="0.2">
      <c r="A66" s="137"/>
      <c r="B66" s="153"/>
      <c r="C66" s="74" t="s">
        <v>79</v>
      </c>
      <c r="D66" s="69">
        <f t="shared" si="50"/>
        <v>1200</v>
      </c>
      <c r="E66" s="71">
        <v>0</v>
      </c>
      <c r="F66" s="71">
        <v>1200</v>
      </c>
      <c r="G66" s="71">
        <v>0</v>
      </c>
      <c r="H66" s="71">
        <v>0</v>
      </c>
      <c r="I66" s="71">
        <v>0</v>
      </c>
      <c r="J66" s="71">
        <v>0</v>
      </c>
      <c r="K66" s="69">
        <v>0</v>
      </c>
      <c r="L66" s="69">
        <v>0</v>
      </c>
      <c r="M66" s="69">
        <v>0</v>
      </c>
      <c r="N66" s="69">
        <v>0</v>
      </c>
      <c r="O66" s="69">
        <v>0</v>
      </c>
      <c r="W66" s="69">
        <v>0</v>
      </c>
    </row>
    <row r="67" spans="1:23" ht="21" customHeight="1" x14ac:dyDescent="0.2">
      <c r="A67" s="137"/>
      <c r="B67" s="154"/>
      <c r="C67" s="101" t="s">
        <v>13</v>
      </c>
      <c r="D67" s="69">
        <f t="shared" si="50"/>
        <v>0</v>
      </c>
      <c r="E67" s="69">
        <v>0</v>
      </c>
      <c r="F67" s="69">
        <v>0</v>
      </c>
      <c r="G67" s="69">
        <v>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  <c r="W67" s="69">
        <v>0</v>
      </c>
    </row>
    <row r="68" spans="1:23" ht="15.75" x14ac:dyDescent="0.2">
      <c r="A68" s="137" t="s">
        <v>98</v>
      </c>
      <c r="B68" s="149" t="s">
        <v>61</v>
      </c>
      <c r="C68" s="101" t="s">
        <v>7</v>
      </c>
      <c r="D68" s="69">
        <f t="shared" si="50"/>
        <v>2863</v>
      </c>
      <c r="E68" s="69">
        <f t="shared" ref="E68:K68" si="57">E69+E70+E71+E73</f>
        <v>2863</v>
      </c>
      <c r="F68" s="69">
        <f t="shared" si="57"/>
        <v>0</v>
      </c>
      <c r="G68" s="69">
        <f t="shared" si="57"/>
        <v>0</v>
      </c>
      <c r="H68" s="69">
        <f t="shared" si="57"/>
        <v>0</v>
      </c>
      <c r="I68" s="69">
        <f t="shared" si="57"/>
        <v>0</v>
      </c>
      <c r="J68" s="69">
        <f t="shared" si="57"/>
        <v>0</v>
      </c>
      <c r="K68" s="69">
        <f t="shared" si="57"/>
        <v>0</v>
      </c>
      <c r="L68" s="69">
        <f>L69+L70+L71+L73</f>
        <v>0</v>
      </c>
      <c r="M68" s="69">
        <f>M69+M70+M71+M73</f>
        <v>0</v>
      </c>
      <c r="N68" s="69">
        <f>N69+N70+N71+N73</f>
        <v>0</v>
      </c>
      <c r="O68" s="69">
        <f>O69+O70+O71+O73</f>
        <v>0</v>
      </c>
      <c r="W68" s="69">
        <f>W69+W70+W71+W73</f>
        <v>0</v>
      </c>
    </row>
    <row r="69" spans="1:23" ht="15.75" x14ac:dyDescent="0.2">
      <c r="A69" s="137"/>
      <c r="B69" s="149"/>
      <c r="C69" s="101" t="s">
        <v>10</v>
      </c>
      <c r="D69" s="69">
        <f t="shared" si="50"/>
        <v>0</v>
      </c>
      <c r="E69" s="69">
        <f>F69+G69+H69+I69+J69</f>
        <v>0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  <c r="W69" s="69">
        <v>0</v>
      </c>
    </row>
    <row r="70" spans="1:23" ht="15.75" x14ac:dyDescent="0.2">
      <c r="A70" s="137"/>
      <c r="B70" s="149"/>
      <c r="C70" s="101" t="s">
        <v>11</v>
      </c>
      <c r="D70" s="69">
        <f t="shared" si="50"/>
        <v>0</v>
      </c>
      <c r="E70" s="69">
        <v>0</v>
      </c>
      <c r="F70" s="69">
        <v>0</v>
      </c>
      <c r="G70" s="69">
        <v>0</v>
      </c>
      <c r="H70" s="69">
        <v>0</v>
      </c>
      <c r="I70" s="69">
        <v>0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0</v>
      </c>
      <c r="W70" s="69">
        <v>0</v>
      </c>
    </row>
    <row r="71" spans="1:23" ht="31.5" x14ac:dyDescent="0.2">
      <c r="A71" s="137"/>
      <c r="B71" s="149"/>
      <c r="C71" s="101" t="s">
        <v>65</v>
      </c>
      <c r="D71" s="69">
        <f t="shared" si="50"/>
        <v>2863</v>
      </c>
      <c r="E71" s="69">
        <v>2863</v>
      </c>
      <c r="F71" s="69">
        <v>0</v>
      </c>
      <c r="G71" s="69">
        <v>0</v>
      </c>
      <c r="H71" s="69">
        <v>0</v>
      </c>
      <c r="I71" s="69">
        <v>0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0</v>
      </c>
      <c r="W71" s="69">
        <v>0</v>
      </c>
    </row>
    <row r="72" spans="1:23" ht="33" customHeight="1" x14ac:dyDescent="0.2">
      <c r="A72" s="137"/>
      <c r="B72" s="149"/>
      <c r="C72" s="74" t="s">
        <v>79</v>
      </c>
      <c r="D72" s="69">
        <f t="shared" si="50"/>
        <v>2863</v>
      </c>
      <c r="E72" s="71">
        <v>2863</v>
      </c>
      <c r="F72" s="71">
        <v>0</v>
      </c>
      <c r="G72" s="71">
        <v>0</v>
      </c>
      <c r="H72" s="71">
        <v>0</v>
      </c>
      <c r="I72" s="71">
        <v>0</v>
      </c>
      <c r="J72" s="71">
        <v>0</v>
      </c>
      <c r="K72" s="69">
        <v>0</v>
      </c>
      <c r="L72" s="71">
        <v>0</v>
      </c>
      <c r="M72" s="71">
        <v>0</v>
      </c>
      <c r="N72" s="71">
        <v>0</v>
      </c>
      <c r="O72" s="69">
        <v>0</v>
      </c>
      <c r="W72" s="69">
        <v>0</v>
      </c>
    </row>
    <row r="73" spans="1:23" ht="20.25" customHeight="1" x14ac:dyDescent="0.2">
      <c r="A73" s="137"/>
      <c r="B73" s="149"/>
      <c r="C73" s="101" t="s">
        <v>13</v>
      </c>
      <c r="D73" s="69">
        <f t="shared" si="50"/>
        <v>0</v>
      </c>
      <c r="E73" s="69">
        <v>0</v>
      </c>
      <c r="F73" s="69">
        <v>0</v>
      </c>
      <c r="G73" s="69">
        <v>0</v>
      </c>
      <c r="H73" s="69">
        <v>0</v>
      </c>
      <c r="I73" s="69">
        <v>0</v>
      </c>
      <c r="J73" s="69">
        <v>0</v>
      </c>
      <c r="K73" s="69">
        <v>0</v>
      </c>
      <c r="L73" s="69">
        <v>0</v>
      </c>
      <c r="M73" s="69">
        <v>0</v>
      </c>
      <c r="N73" s="69">
        <v>0</v>
      </c>
      <c r="O73" s="69">
        <v>0</v>
      </c>
      <c r="W73" s="69">
        <v>0</v>
      </c>
    </row>
    <row r="74" spans="1:23" ht="15.75" x14ac:dyDescent="0.2">
      <c r="A74" s="137" t="s">
        <v>99</v>
      </c>
      <c r="B74" s="149" t="s">
        <v>138</v>
      </c>
      <c r="C74" s="101" t="s">
        <v>7</v>
      </c>
      <c r="D74" s="69">
        <f t="shared" si="50"/>
        <v>19253.100000000002</v>
      </c>
      <c r="E74" s="69">
        <f t="shared" ref="E74:K74" si="58">E75+E76+E78+E80</f>
        <v>19253.100000000002</v>
      </c>
      <c r="F74" s="69">
        <f t="shared" si="58"/>
        <v>0</v>
      </c>
      <c r="G74" s="69">
        <f t="shared" si="58"/>
        <v>0</v>
      </c>
      <c r="H74" s="69">
        <f t="shared" si="58"/>
        <v>0</v>
      </c>
      <c r="I74" s="69">
        <f t="shared" si="58"/>
        <v>0</v>
      </c>
      <c r="J74" s="69">
        <f t="shared" si="58"/>
        <v>0</v>
      </c>
      <c r="K74" s="69">
        <f t="shared" si="58"/>
        <v>0</v>
      </c>
      <c r="L74" s="69">
        <f>L75+L76+L78+L80</f>
        <v>0</v>
      </c>
      <c r="M74" s="69">
        <f>M75+M76+M78+M80</f>
        <v>0</v>
      </c>
      <c r="N74" s="69">
        <f>N75+N76+N78+N80</f>
        <v>0</v>
      </c>
      <c r="O74" s="69">
        <f>O75+O76+O78+O80</f>
        <v>0</v>
      </c>
      <c r="W74" s="69">
        <f>W75+W76+W78+W80</f>
        <v>0</v>
      </c>
    </row>
    <row r="75" spans="1:23" ht="15.75" x14ac:dyDescent="0.2">
      <c r="A75" s="137"/>
      <c r="B75" s="149"/>
      <c r="C75" s="101" t="s">
        <v>10</v>
      </c>
      <c r="D75" s="69">
        <f t="shared" si="50"/>
        <v>0</v>
      </c>
      <c r="E75" s="69">
        <f>F75+G75+H75+I75+J75</f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  <c r="W75" s="69">
        <v>0</v>
      </c>
    </row>
    <row r="76" spans="1:23" ht="33" customHeight="1" x14ac:dyDescent="0.2">
      <c r="A76" s="137"/>
      <c r="B76" s="149"/>
      <c r="C76" s="101" t="s">
        <v>69</v>
      </c>
      <c r="D76" s="69">
        <f t="shared" si="50"/>
        <v>18290.400000000001</v>
      </c>
      <c r="E76" s="69">
        <v>18290.400000000001</v>
      </c>
      <c r="F76" s="69">
        <v>0</v>
      </c>
      <c r="G76" s="69">
        <v>0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  <c r="M76" s="69">
        <v>0</v>
      </c>
      <c r="N76" s="69">
        <v>0</v>
      </c>
      <c r="O76" s="69">
        <v>0</v>
      </c>
      <c r="W76" s="69">
        <v>0</v>
      </c>
    </row>
    <row r="77" spans="1:23" ht="32.25" customHeight="1" x14ac:dyDescent="0.2">
      <c r="A77" s="137"/>
      <c r="B77" s="149"/>
      <c r="C77" s="74" t="s">
        <v>79</v>
      </c>
      <c r="D77" s="69">
        <f t="shared" si="50"/>
        <v>18290.400000000001</v>
      </c>
      <c r="E77" s="71">
        <v>18290.400000000001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69">
        <v>0</v>
      </c>
      <c r="L77" s="71">
        <v>0</v>
      </c>
      <c r="M77" s="71">
        <v>0</v>
      </c>
      <c r="N77" s="71">
        <v>0</v>
      </c>
      <c r="O77" s="69">
        <v>0</v>
      </c>
      <c r="W77" s="69">
        <v>0</v>
      </c>
    </row>
    <row r="78" spans="1:23" ht="33.75" customHeight="1" x14ac:dyDescent="0.2">
      <c r="A78" s="137"/>
      <c r="B78" s="149"/>
      <c r="C78" s="101" t="s">
        <v>65</v>
      </c>
      <c r="D78" s="69">
        <f t="shared" si="50"/>
        <v>962.7</v>
      </c>
      <c r="E78" s="69">
        <v>962.7</v>
      </c>
      <c r="F78" s="69">
        <v>0</v>
      </c>
      <c r="G78" s="69">
        <v>0</v>
      </c>
      <c r="H78" s="69">
        <v>0</v>
      </c>
      <c r="I78" s="69">
        <v>0</v>
      </c>
      <c r="J78" s="69">
        <v>0</v>
      </c>
      <c r="K78" s="69">
        <v>0</v>
      </c>
      <c r="L78" s="69">
        <v>0</v>
      </c>
      <c r="M78" s="69">
        <v>0</v>
      </c>
      <c r="N78" s="69">
        <v>0</v>
      </c>
      <c r="O78" s="69">
        <v>0</v>
      </c>
      <c r="W78" s="69">
        <v>0</v>
      </c>
    </row>
    <row r="79" spans="1:23" ht="30.75" customHeight="1" x14ac:dyDescent="0.2">
      <c r="A79" s="137"/>
      <c r="B79" s="149"/>
      <c r="C79" s="74" t="s">
        <v>79</v>
      </c>
      <c r="D79" s="69">
        <f t="shared" si="50"/>
        <v>962.7</v>
      </c>
      <c r="E79" s="71">
        <v>962.7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69">
        <v>0</v>
      </c>
      <c r="L79" s="71">
        <v>0</v>
      </c>
      <c r="M79" s="71">
        <v>0</v>
      </c>
      <c r="N79" s="71">
        <v>0</v>
      </c>
      <c r="O79" s="69">
        <v>0</v>
      </c>
      <c r="W79" s="69">
        <v>0</v>
      </c>
    </row>
    <row r="80" spans="1:23" ht="18.75" customHeight="1" x14ac:dyDescent="0.2">
      <c r="A80" s="137"/>
      <c r="B80" s="149"/>
      <c r="C80" s="101" t="s">
        <v>13</v>
      </c>
      <c r="D80" s="69">
        <f t="shared" si="50"/>
        <v>0</v>
      </c>
      <c r="E80" s="69"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  <c r="W80" s="69">
        <v>0</v>
      </c>
    </row>
    <row r="81" spans="1:23" ht="21.75" customHeight="1" x14ac:dyDescent="0.2">
      <c r="A81" s="137" t="s">
        <v>100</v>
      </c>
      <c r="B81" s="152" t="s">
        <v>68</v>
      </c>
      <c r="C81" s="101" t="s">
        <v>7</v>
      </c>
      <c r="D81" s="69">
        <f t="shared" si="50"/>
        <v>79.5</v>
      </c>
      <c r="E81" s="69">
        <f t="shared" ref="E81:I81" si="59">E82+E83+E84+E86</f>
        <v>79.5</v>
      </c>
      <c r="F81" s="69">
        <f t="shared" si="59"/>
        <v>0</v>
      </c>
      <c r="G81" s="69">
        <f t="shared" si="59"/>
        <v>0</v>
      </c>
      <c r="H81" s="69">
        <f t="shared" si="59"/>
        <v>0</v>
      </c>
      <c r="I81" s="69">
        <f t="shared" si="59"/>
        <v>0</v>
      </c>
      <c r="J81" s="69">
        <f t="shared" ref="J81:O81" si="60">J82+J83+J84+J86</f>
        <v>0</v>
      </c>
      <c r="K81" s="69">
        <f t="shared" si="60"/>
        <v>0</v>
      </c>
      <c r="L81" s="69">
        <f t="shared" si="60"/>
        <v>0</v>
      </c>
      <c r="M81" s="69">
        <f t="shared" si="60"/>
        <v>0</v>
      </c>
      <c r="N81" s="69">
        <f t="shared" si="60"/>
        <v>0</v>
      </c>
      <c r="O81" s="69">
        <f t="shared" si="60"/>
        <v>0</v>
      </c>
      <c r="W81" s="69">
        <f t="shared" ref="W81" si="61">W82+W83+W84+W86</f>
        <v>0</v>
      </c>
    </row>
    <row r="82" spans="1:23" ht="18.75" customHeight="1" x14ac:dyDescent="0.2">
      <c r="A82" s="137"/>
      <c r="B82" s="153"/>
      <c r="C82" s="101" t="s">
        <v>10</v>
      </c>
      <c r="D82" s="69">
        <f t="shared" si="50"/>
        <v>0</v>
      </c>
      <c r="E82" s="69">
        <f>F82+G82+H82+I82+J82</f>
        <v>0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  <c r="W82" s="69">
        <v>0</v>
      </c>
    </row>
    <row r="83" spans="1:23" ht="16.5" customHeight="1" x14ac:dyDescent="0.2">
      <c r="A83" s="137"/>
      <c r="B83" s="153"/>
      <c r="C83" s="101" t="s">
        <v>11</v>
      </c>
      <c r="D83" s="69">
        <f t="shared" si="50"/>
        <v>0</v>
      </c>
      <c r="E83" s="69">
        <v>0</v>
      </c>
      <c r="F83" s="69">
        <v>0</v>
      </c>
      <c r="G83" s="69">
        <v>0</v>
      </c>
      <c r="H83" s="69">
        <v>0</v>
      </c>
      <c r="I83" s="69">
        <v>0</v>
      </c>
      <c r="J83" s="69">
        <v>0</v>
      </c>
      <c r="K83" s="69">
        <v>0</v>
      </c>
      <c r="L83" s="69">
        <v>0</v>
      </c>
      <c r="M83" s="69">
        <v>0</v>
      </c>
      <c r="N83" s="69">
        <v>0</v>
      </c>
      <c r="O83" s="69">
        <v>0</v>
      </c>
      <c r="W83" s="69">
        <v>0</v>
      </c>
    </row>
    <row r="84" spans="1:23" ht="31.5" x14ac:dyDescent="0.2">
      <c r="A84" s="137"/>
      <c r="B84" s="153"/>
      <c r="C84" s="101" t="s">
        <v>65</v>
      </c>
      <c r="D84" s="69">
        <f t="shared" si="50"/>
        <v>79.5</v>
      </c>
      <c r="E84" s="69">
        <v>79.5</v>
      </c>
      <c r="F84" s="69">
        <v>0</v>
      </c>
      <c r="G84" s="69">
        <v>0</v>
      </c>
      <c r="H84" s="69">
        <v>0</v>
      </c>
      <c r="I84" s="69">
        <v>0</v>
      </c>
      <c r="J84" s="69">
        <v>0</v>
      </c>
      <c r="K84" s="69">
        <v>0</v>
      </c>
      <c r="L84" s="69">
        <v>0</v>
      </c>
      <c r="M84" s="69">
        <v>0</v>
      </c>
      <c r="N84" s="69">
        <v>0</v>
      </c>
      <c r="O84" s="69">
        <v>0</v>
      </c>
      <c r="W84" s="69">
        <v>0</v>
      </c>
    </row>
    <row r="85" spans="1:23" ht="30.75" customHeight="1" x14ac:dyDescent="0.2">
      <c r="A85" s="137"/>
      <c r="B85" s="153"/>
      <c r="C85" s="74" t="s">
        <v>79</v>
      </c>
      <c r="D85" s="69">
        <f t="shared" si="50"/>
        <v>79.5</v>
      </c>
      <c r="E85" s="71">
        <v>79.5</v>
      </c>
      <c r="F85" s="71">
        <v>0</v>
      </c>
      <c r="G85" s="71">
        <v>0</v>
      </c>
      <c r="H85" s="71">
        <v>0</v>
      </c>
      <c r="I85" s="71">
        <v>0</v>
      </c>
      <c r="J85" s="71">
        <v>0</v>
      </c>
      <c r="K85" s="69">
        <v>0</v>
      </c>
      <c r="L85" s="71">
        <v>0</v>
      </c>
      <c r="M85" s="71">
        <v>0</v>
      </c>
      <c r="N85" s="71">
        <v>0</v>
      </c>
      <c r="O85" s="69">
        <v>0</v>
      </c>
      <c r="W85" s="69">
        <v>0</v>
      </c>
    </row>
    <row r="86" spans="1:23" ht="39.75" customHeight="1" x14ac:dyDescent="0.2">
      <c r="A86" s="137"/>
      <c r="B86" s="154"/>
      <c r="C86" s="101" t="s">
        <v>13</v>
      </c>
      <c r="D86" s="69">
        <f t="shared" si="50"/>
        <v>0</v>
      </c>
      <c r="E86" s="69">
        <v>0</v>
      </c>
      <c r="F86" s="69">
        <v>0</v>
      </c>
      <c r="G86" s="69">
        <v>0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  <c r="M86" s="69">
        <v>0</v>
      </c>
      <c r="N86" s="69">
        <v>0</v>
      </c>
      <c r="O86" s="69">
        <v>0</v>
      </c>
      <c r="W86" s="69">
        <v>0</v>
      </c>
    </row>
    <row r="87" spans="1:23" ht="15.75" x14ac:dyDescent="0.2">
      <c r="A87" s="137" t="s">
        <v>101</v>
      </c>
      <c r="B87" s="149" t="s">
        <v>70</v>
      </c>
      <c r="C87" s="101" t="s">
        <v>7</v>
      </c>
      <c r="D87" s="69">
        <f t="shared" si="50"/>
        <v>31.7</v>
      </c>
      <c r="E87" s="69">
        <f t="shared" ref="E87:K87" si="62">E89+E90+E91+E93</f>
        <v>31.7</v>
      </c>
      <c r="F87" s="69">
        <f t="shared" si="62"/>
        <v>0</v>
      </c>
      <c r="G87" s="69">
        <f t="shared" si="62"/>
        <v>0</v>
      </c>
      <c r="H87" s="69">
        <f t="shared" si="62"/>
        <v>0</v>
      </c>
      <c r="I87" s="69">
        <f t="shared" si="62"/>
        <v>0</v>
      </c>
      <c r="J87" s="69">
        <f t="shared" si="62"/>
        <v>0</v>
      </c>
      <c r="K87" s="69">
        <f t="shared" si="62"/>
        <v>0</v>
      </c>
      <c r="L87" s="69">
        <f>L89+L90+L91+L93</f>
        <v>0</v>
      </c>
      <c r="M87" s="69">
        <f>M89+M90+M91+M93</f>
        <v>0</v>
      </c>
      <c r="N87" s="69">
        <f>N89+N90+N91+N93</f>
        <v>0</v>
      </c>
      <c r="O87" s="69">
        <f>O89+O90+O91+O93</f>
        <v>0</v>
      </c>
      <c r="W87" s="69">
        <f>W89+W90+W91+W93</f>
        <v>0</v>
      </c>
    </row>
    <row r="88" spans="1:23" ht="31.5" x14ac:dyDescent="0.2">
      <c r="A88" s="137"/>
      <c r="B88" s="149"/>
      <c r="C88" s="74" t="s">
        <v>79</v>
      </c>
      <c r="D88" s="69">
        <f t="shared" si="50"/>
        <v>31.7</v>
      </c>
      <c r="E88" s="71">
        <f>E92</f>
        <v>31.7</v>
      </c>
      <c r="F88" s="71">
        <v>0</v>
      </c>
      <c r="G88" s="71">
        <v>0</v>
      </c>
      <c r="H88" s="71">
        <v>0</v>
      </c>
      <c r="I88" s="71">
        <v>0</v>
      </c>
      <c r="J88" s="71"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  <c r="W88" s="71">
        <v>0</v>
      </c>
    </row>
    <row r="89" spans="1:23" ht="15.75" x14ac:dyDescent="0.2">
      <c r="A89" s="137"/>
      <c r="B89" s="149"/>
      <c r="C89" s="101" t="s">
        <v>10</v>
      </c>
      <c r="D89" s="69">
        <f t="shared" si="50"/>
        <v>0</v>
      </c>
      <c r="E89" s="69">
        <f>F89+G89+H89+I89+J89</f>
        <v>0</v>
      </c>
      <c r="F89" s="69">
        <v>0</v>
      </c>
      <c r="G89" s="69">
        <v>0</v>
      </c>
      <c r="H89" s="69">
        <v>0</v>
      </c>
      <c r="I89" s="69">
        <v>0</v>
      </c>
      <c r="J89" s="69">
        <v>0</v>
      </c>
      <c r="K89" s="69">
        <v>0</v>
      </c>
      <c r="L89" s="69">
        <v>0</v>
      </c>
      <c r="M89" s="69">
        <v>0</v>
      </c>
      <c r="N89" s="69">
        <v>0</v>
      </c>
      <c r="O89" s="69">
        <v>0</v>
      </c>
      <c r="W89" s="69">
        <v>0</v>
      </c>
    </row>
    <row r="90" spans="1:23" ht="15.75" x14ac:dyDescent="0.2">
      <c r="A90" s="137"/>
      <c r="B90" s="149"/>
      <c r="C90" s="101" t="s">
        <v>11</v>
      </c>
      <c r="D90" s="69">
        <f t="shared" si="50"/>
        <v>0</v>
      </c>
      <c r="E90" s="69">
        <v>0</v>
      </c>
      <c r="F90" s="69">
        <v>0</v>
      </c>
      <c r="G90" s="69">
        <v>0</v>
      </c>
      <c r="H90" s="69">
        <v>0</v>
      </c>
      <c r="I90" s="69">
        <v>0</v>
      </c>
      <c r="J90" s="69">
        <v>0</v>
      </c>
      <c r="K90" s="69">
        <v>0</v>
      </c>
      <c r="L90" s="69">
        <v>0</v>
      </c>
      <c r="M90" s="69">
        <v>0</v>
      </c>
      <c r="N90" s="69">
        <v>0</v>
      </c>
      <c r="O90" s="69">
        <v>0</v>
      </c>
      <c r="W90" s="69">
        <v>0</v>
      </c>
    </row>
    <row r="91" spans="1:23" ht="32.25" customHeight="1" x14ac:dyDescent="0.2">
      <c r="A91" s="137"/>
      <c r="B91" s="149"/>
      <c r="C91" s="101" t="s">
        <v>65</v>
      </c>
      <c r="D91" s="69">
        <f t="shared" si="50"/>
        <v>31.7</v>
      </c>
      <c r="E91" s="69">
        <v>31.7</v>
      </c>
      <c r="F91" s="69">
        <v>0</v>
      </c>
      <c r="G91" s="69">
        <v>0</v>
      </c>
      <c r="H91" s="69">
        <v>0</v>
      </c>
      <c r="I91" s="69">
        <v>0</v>
      </c>
      <c r="J91" s="69">
        <v>0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  <c r="W91" s="69">
        <v>0</v>
      </c>
    </row>
    <row r="92" spans="1:23" ht="31.5" customHeight="1" x14ac:dyDescent="0.2">
      <c r="A92" s="137"/>
      <c r="B92" s="149"/>
      <c r="C92" s="74" t="s">
        <v>79</v>
      </c>
      <c r="D92" s="69">
        <f t="shared" si="50"/>
        <v>31.7</v>
      </c>
      <c r="E92" s="71">
        <v>31.7</v>
      </c>
      <c r="F92" s="71">
        <v>0</v>
      </c>
      <c r="G92" s="71">
        <v>0</v>
      </c>
      <c r="H92" s="71">
        <v>0</v>
      </c>
      <c r="I92" s="71">
        <v>0</v>
      </c>
      <c r="J92" s="71">
        <v>0</v>
      </c>
      <c r="K92" s="69">
        <v>0</v>
      </c>
      <c r="L92" s="71">
        <v>0</v>
      </c>
      <c r="M92" s="71">
        <v>0</v>
      </c>
      <c r="N92" s="71">
        <v>0</v>
      </c>
      <c r="O92" s="69">
        <v>0</v>
      </c>
      <c r="W92" s="69">
        <v>0</v>
      </c>
    </row>
    <row r="93" spans="1:23" ht="38.25" customHeight="1" x14ac:dyDescent="0.2">
      <c r="A93" s="137"/>
      <c r="B93" s="149"/>
      <c r="C93" s="101" t="s">
        <v>13</v>
      </c>
      <c r="D93" s="69">
        <f t="shared" si="50"/>
        <v>0</v>
      </c>
      <c r="E93" s="69">
        <v>0</v>
      </c>
      <c r="F93" s="69">
        <v>0</v>
      </c>
      <c r="G93" s="69">
        <v>0</v>
      </c>
      <c r="H93" s="69">
        <v>0</v>
      </c>
      <c r="I93" s="69">
        <v>0</v>
      </c>
      <c r="J93" s="69">
        <v>0</v>
      </c>
      <c r="K93" s="69">
        <v>0</v>
      </c>
      <c r="L93" s="69">
        <v>0</v>
      </c>
      <c r="M93" s="69">
        <v>0</v>
      </c>
      <c r="N93" s="69">
        <v>0</v>
      </c>
      <c r="O93" s="69">
        <v>0</v>
      </c>
      <c r="W93" s="69">
        <v>0</v>
      </c>
    </row>
    <row r="94" spans="1:23" ht="15.75" x14ac:dyDescent="0.2">
      <c r="A94" s="137" t="s">
        <v>102</v>
      </c>
      <c r="B94" s="137" t="s">
        <v>208</v>
      </c>
      <c r="C94" s="101" t="s">
        <v>7</v>
      </c>
      <c r="D94" s="69">
        <f t="shared" si="50"/>
        <v>7.8</v>
      </c>
      <c r="E94" s="69">
        <f t="shared" ref="E94:K94" si="63">E95+E96+E97+E99</f>
        <v>7.8</v>
      </c>
      <c r="F94" s="69">
        <f t="shared" si="63"/>
        <v>0</v>
      </c>
      <c r="G94" s="69">
        <f t="shared" si="63"/>
        <v>0</v>
      </c>
      <c r="H94" s="69">
        <f t="shared" si="63"/>
        <v>0</v>
      </c>
      <c r="I94" s="69">
        <f t="shared" si="63"/>
        <v>0</v>
      </c>
      <c r="J94" s="69">
        <f t="shared" si="63"/>
        <v>0</v>
      </c>
      <c r="K94" s="69">
        <f t="shared" si="63"/>
        <v>0</v>
      </c>
      <c r="L94" s="69">
        <f>L96+L97+L98+L100</f>
        <v>0</v>
      </c>
      <c r="M94" s="69">
        <f>M96+M97+M98+M100</f>
        <v>0</v>
      </c>
      <c r="N94" s="69">
        <f>N96+N97+N98+N100</f>
        <v>0</v>
      </c>
      <c r="O94" s="69">
        <f>O96+O97+O98+O100</f>
        <v>0</v>
      </c>
      <c r="W94" s="69">
        <f>W96+W97+W98+W100</f>
        <v>0</v>
      </c>
    </row>
    <row r="95" spans="1:23" ht="15.75" x14ac:dyDescent="0.2">
      <c r="A95" s="137"/>
      <c r="B95" s="137"/>
      <c r="C95" s="101" t="s">
        <v>10</v>
      </c>
      <c r="D95" s="69">
        <f t="shared" si="50"/>
        <v>0</v>
      </c>
      <c r="E95" s="69">
        <f>F95+G95+H95+I95+J95</f>
        <v>0</v>
      </c>
      <c r="F95" s="69">
        <v>0</v>
      </c>
      <c r="G95" s="69">
        <v>0</v>
      </c>
      <c r="H95" s="69">
        <v>0</v>
      </c>
      <c r="I95" s="69">
        <v>0</v>
      </c>
      <c r="J95" s="69">
        <v>0</v>
      </c>
      <c r="K95" s="69">
        <v>0</v>
      </c>
      <c r="L95" s="71">
        <v>0</v>
      </c>
      <c r="M95" s="71">
        <v>0</v>
      </c>
      <c r="N95" s="71">
        <v>0</v>
      </c>
      <c r="O95" s="71">
        <v>0</v>
      </c>
      <c r="W95" s="71">
        <v>0</v>
      </c>
    </row>
    <row r="96" spans="1:23" ht="18" customHeight="1" x14ac:dyDescent="0.2">
      <c r="A96" s="137"/>
      <c r="B96" s="137"/>
      <c r="C96" s="101" t="s">
        <v>11</v>
      </c>
      <c r="D96" s="69">
        <f t="shared" si="50"/>
        <v>0</v>
      </c>
      <c r="E96" s="69">
        <v>0</v>
      </c>
      <c r="F96" s="69">
        <v>0</v>
      </c>
      <c r="G96" s="69">
        <v>0</v>
      </c>
      <c r="H96" s="69">
        <v>0</v>
      </c>
      <c r="I96" s="69">
        <v>0</v>
      </c>
      <c r="J96" s="69">
        <v>0</v>
      </c>
      <c r="K96" s="69">
        <v>0</v>
      </c>
      <c r="L96" s="69">
        <v>0</v>
      </c>
      <c r="M96" s="69">
        <v>0</v>
      </c>
      <c r="N96" s="69">
        <v>0</v>
      </c>
      <c r="O96" s="69">
        <v>0</v>
      </c>
      <c r="W96" s="69">
        <v>0</v>
      </c>
    </row>
    <row r="97" spans="1:23" ht="31.5" x14ac:dyDescent="0.2">
      <c r="A97" s="137"/>
      <c r="B97" s="137"/>
      <c r="C97" s="101" t="s">
        <v>65</v>
      </c>
      <c r="D97" s="69">
        <f t="shared" si="50"/>
        <v>7.8</v>
      </c>
      <c r="E97" s="69">
        <v>7.8</v>
      </c>
      <c r="F97" s="69">
        <v>0</v>
      </c>
      <c r="G97" s="69">
        <v>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0</v>
      </c>
      <c r="N97" s="69">
        <v>0</v>
      </c>
      <c r="O97" s="69">
        <v>0</v>
      </c>
      <c r="W97" s="69">
        <v>0</v>
      </c>
    </row>
    <row r="98" spans="1:23" ht="31.5" customHeight="1" x14ac:dyDescent="0.2">
      <c r="A98" s="137"/>
      <c r="B98" s="137"/>
      <c r="C98" s="74" t="s">
        <v>79</v>
      </c>
      <c r="D98" s="69">
        <f t="shared" si="50"/>
        <v>7.8</v>
      </c>
      <c r="E98" s="71">
        <v>7.8</v>
      </c>
      <c r="F98" s="71">
        <v>0</v>
      </c>
      <c r="G98" s="71">
        <v>0</v>
      </c>
      <c r="H98" s="71">
        <v>0</v>
      </c>
      <c r="I98" s="71">
        <v>0</v>
      </c>
      <c r="J98" s="71">
        <v>0</v>
      </c>
      <c r="K98" s="69">
        <v>0</v>
      </c>
      <c r="L98" s="69">
        <v>0</v>
      </c>
      <c r="M98" s="69">
        <v>0</v>
      </c>
      <c r="N98" s="69">
        <v>0</v>
      </c>
      <c r="O98" s="69">
        <v>0</v>
      </c>
      <c r="W98" s="69">
        <v>0</v>
      </c>
    </row>
    <row r="99" spans="1:23" ht="36.75" customHeight="1" x14ac:dyDescent="0.2">
      <c r="A99" s="137"/>
      <c r="B99" s="137"/>
      <c r="C99" s="101" t="s">
        <v>13</v>
      </c>
      <c r="D99" s="69">
        <f t="shared" si="50"/>
        <v>0</v>
      </c>
      <c r="E99" s="69">
        <v>0</v>
      </c>
      <c r="F99" s="69">
        <v>0</v>
      </c>
      <c r="G99" s="69">
        <v>0</v>
      </c>
      <c r="H99" s="69">
        <v>0</v>
      </c>
      <c r="I99" s="69">
        <v>0</v>
      </c>
      <c r="J99" s="69">
        <v>0</v>
      </c>
      <c r="K99" s="69">
        <v>0</v>
      </c>
      <c r="L99" s="71">
        <v>0</v>
      </c>
      <c r="M99" s="71">
        <v>0</v>
      </c>
      <c r="N99" s="71">
        <v>0</v>
      </c>
      <c r="O99" s="69">
        <v>0</v>
      </c>
      <c r="W99" s="69">
        <v>0</v>
      </c>
    </row>
    <row r="100" spans="1:23" ht="15.75" x14ac:dyDescent="0.2">
      <c r="A100" s="137" t="s">
        <v>103</v>
      </c>
      <c r="B100" s="149" t="s">
        <v>234</v>
      </c>
      <c r="C100" s="101" t="s">
        <v>7</v>
      </c>
      <c r="D100" s="69">
        <f t="shared" si="50"/>
        <v>12272.3</v>
      </c>
      <c r="E100" s="69">
        <f t="shared" ref="E100:K100" si="64">E101+E102+E104+E105</f>
        <v>12243.8</v>
      </c>
      <c r="F100" s="69">
        <f t="shared" si="64"/>
        <v>17.5</v>
      </c>
      <c r="G100" s="69">
        <f t="shared" si="64"/>
        <v>11</v>
      </c>
      <c r="H100" s="69">
        <f t="shared" si="64"/>
        <v>0</v>
      </c>
      <c r="I100" s="69">
        <f t="shared" si="64"/>
        <v>0</v>
      </c>
      <c r="J100" s="69">
        <f t="shared" si="64"/>
        <v>0</v>
      </c>
      <c r="K100" s="69">
        <f t="shared" si="64"/>
        <v>0</v>
      </c>
      <c r="L100" s="69">
        <v>0</v>
      </c>
      <c r="M100" s="69">
        <v>0</v>
      </c>
      <c r="N100" s="69">
        <v>0</v>
      </c>
      <c r="O100" s="69">
        <v>0</v>
      </c>
      <c r="W100" s="69">
        <v>0</v>
      </c>
    </row>
    <row r="101" spans="1:23" ht="15.75" x14ac:dyDescent="0.2">
      <c r="A101" s="144"/>
      <c r="B101" s="149"/>
      <c r="C101" s="101" t="s">
        <v>10</v>
      </c>
      <c r="D101" s="69">
        <f t="shared" si="50"/>
        <v>0</v>
      </c>
      <c r="E101" s="69">
        <v>0</v>
      </c>
      <c r="F101" s="69">
        <v>0</v>
      </c>
      <c r="G101" s="69">
        <v>0</v>
      </c>
      <c r="H101" s="69">
        <v>0</v>
      </c>
      <c r="I101" s="69">
        <v>0</v>
      </c>
      <c r="J101" s="69">
        <v>0</v>
      </c>
      <c r="K101" s="69">
        <v>0</v>
      </c>
      <c r="L101" s="69">
        <v>0</v>
      </c>
      <c r="M101" s="69">
        <v>0</v>
      </c>
      <c r="N101" s="69">
        <v>0</v>
      </c>
      <c r="O101" s="69">
        <v>0</v>
      </c>
      <c r="W101" s="69">
        <v>0</v>
      </c>
    </row>
    <row r="102" spans="1:23" ht="31.5" x14ac:dyDescent="0.2">
      <c r="A102" s="144"/>
      <c r="B102" s="149"/>
      <c r="C102" s="101" t="s">
        <v>69</v>
      </c>
      <c r="D102" s="69">
        <f t="shared" si="50"/>
        <v>9842.7999999999993</v>
      </c>
      <c r="E102" s="69">
        <v>9842.7999999999993</v>
      </c>
      <c r="F102" s="69">
        <v>0</v>
      </c>
      <c r="G102" s="69">
        <v>0</v>
      </c>
      <c r="H102" s="69">
        <v>0</v>
      </c>
      <c r="I102" s="69">
        <v>0</v>
      </c>
      <c r="J102" s="69">
        <v>0</v>
      </c>
      <c r="K102" s="69">
        <v>0</v>
      </c>
      <c r="L102" s="69">
        <v>0</v>
      </c>
      <c r="M102" s="69">
        <v>0</v>
      </c>
      <c r="N102" s="69">
        <v>0</v>
      </c>
      <c r="O102" s="69">
        <v>0</v>
      </c>
      <c r="W102" s="69">
        <v>0</v>
      </c>
    </row>
    <row r="103" spans="1:23" ht="31.5" customHeight="1" x14ac:dyDescent="0.2">
      <c r="A103" s="144"/>
      <c r="B103" s="149"/>
      <c r="C103" s="74" t="s">
        <v>81</v>
      </c>
      <c r="D103" s="69">
        <f t="shared" si="50"/>
        <v>9842.7999999999993</v>
      </c>
      <c r="E103" s="71">
        <v>9842.7999999999993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69">
        <v>0</v>
      </c>
      <c r="L103" s="71">
        <v>0</v>
      </c>
      <c r="M103" s="71">
        <v>0</v>
      </c>
      <c r="N103" s="71">
        <v>0</v>
      </c>
      <c r="O103" s="69">
        <v>0</v>
      </c>
      <c r="W103" s="69">
        <v>0</v>
      </c>
    </row>
    <row r="104" spans="1:23" ht="16.5" customHeight="1" x14ac:dyDescent="0.2">
      <c r="A104" s="144"/>
      <c r="B104" s="149"/>
      <c r="C104" s="101" t="s">
        <v>12</v>
      </c>
      <c r="D104" s="69">
        <f t="shared" si="50"/>
        <v>2429.5</v>
      </c>
      <c r="E104" s="69">
        <v>2401</v>
      </c>
      <c r="F104" s="69">
        <v>17.5</v>
      </c>
      <c r="G104" s="69">
        <v>11</v>
      </c>
      <c r="H104" s="69">
        <v>0</v>
      </c>
      <c r="I104" s="69">
        <v>0</v>
      </c>
      <c r="J104" s="69">
        <v>0</v>
      </c>
      <c r="K104" s="69">
        <v>0</v>
      </c>
      <c r="L104" s="69">
        <v>0</v>
      </c>
      <c r="M104" s="69">
        <v>0</v>
      </c>
      <c r="N104" s="69">
        <v>0</v>
      </c>
      <c r="O104" s="69">
        <v>0</v>
      </c>
      <c r="W104" s="69">
        <v>0</v>
      </c>
    </row>
    <row r="105" spans="1:23" ht="32.25" customHeight="1" x14ac:dyDescent="0.2">
      <c r="A105" s="144"/>
      <c r="B105" s="149"/>
      <c r="C105" s="101" t="s">
        <v>13</v>
      </c>
      <c r="D105" s="69">
        <f t="shared" si="50"/>
        <v>0</v>
      </c>
      <c r="E105" s="69">
        <v>0</v>
      </c>
      <c r="F105" s="69">
        <v>0</v>
      </c>
      <c r="G105" s="69">
        <v>0</v>
      </c>
      <c r="H105" s="69">
        <v>0</v>
      </c>
      <c r="I105" s="69">
        <v>0</v>
      </c>
      <c r="J105" s="69">
        <v>0</v>
      </c>
      <c r="K105" s="69">
        <v>0</v>
      </c>
      <c r="L105" s="69">
        <v>0</v>
      </c>
      <c r="M105" s="69">
        <v>0</v>
      </c>
      <c r="N105" s="69">
        <v>0</v>
      </c>
      <c r="O105" s="69">
        <v>0</v>
      </c>
      <c r="W105" s="69">
        <v>0</v>
      </c>
    </row>
    <row r="106" spans="1:23" ht="15.75" x14ac:dyDescent="0.2">
      <c r="A106" s="138" t="s">
        <v>104</v>
      </c>
      <c r="B106" s="152" t="s">
        <v>139</v>
      </c>
      <c r="C106" s="101" t="s">
        <v>7</v>
      </c>
      <c r="D106" s="69">
        <f t="shared" si="50"/>
        <v>1053.9000000000001</v>
      </c>
      <c r="E106" s="69">
        <f>E109+E108+E110+E112</f>
        <v>1053.9000000000001</v>
      </c>
      <c r="F106" s="69">
        <v>0</v>
      </c>
      <c r="G106" s="69">
        <v>0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69">
        <v>0</v>
      </c>
      <c r="W106" s="69">
        <v>0</v>
      </c>
    </row>
    <row r="107" spans="1:23" ht="35.25" customHeight="1" x14ac:dyDescent="0.2">
      <c r="A107" s="139"/>
      <c r="B107" s="153"/>
      <c r="C107" s="74" t="s">
        <v>79</v>
      </c>
      <c r="D107" s="69">
        <f t="shared" si="50"/>
        <v>1053.9000000000001</v>
      </c>
      <c r="E107" s="71">
        <f>E111</f>
        <v>1053.9000000000001</v>
      </c>
      <c r="F107" s="71">
        <v>0</v>
      </c>
      <c r="G107" s="71">
        <v>0</v>
      </c>
      <c r="H107" s="71">
        <v>0</v>
      </c>
      <c r="I107" s="71">
        <v>0</v>
      </c>
      <c r="J107" s="71">
        <v>0</v>
      </c>
      <c r="K107" s="71">
        <v>0</v>
      </c>
      <c r="L107" s="71">
        <v>0</v>
      </c>
      <c r="M107" s="71">
        <v>0</v>
      </c>
      <c r="N107" s="71">
        <v>0</v>
      </c>
      <c r="O107" s="71">
        <v>0</v>
      </c>
      <c r="W107" s="71">
        <v>0</v>
      </c>
    </row>
    <row r="108" spans="1:23" ht="15.75" x14ac:dyDescent="0.2">
      <c r="A108" s="159"/>
      <c r="B108" s="153"/>
      <c r="C108" s="101" t="s">
        <v>10</v>
      </c>
      <c r="D108" s="69">
        <f t="shared" ref="D108:D171" si="65">E108+F108+G108+H108+I108+J108+K108+L108+M108+N108+O108+W108</f>
        <v>0</v>
      </c>
      <c r="E108" s="69">
        <v>0</v>
      </c>
      <c r="F108" s="69">
        <v>0</v>
      </c>
      <c r="G108" s="69">
        <v>0</v>
      </c>
      <c r="H108" s="69">
        <v>0</v>
      </c>
      <c r="I108" s="69">
        <v>0</v>
      </c>
      <c r="J108" s="69">
        <v>0</v>
      </c>
      <c r="K108" s="69">
        <v>0</v>
      </c>
      <c r="L108" s="69">
        <v>0</v>
      </c>
      <c r="M108" s="69">
        <v>0</v>
      </c>
      <c r="N108" s="69">
        <v>0</v>
      </c>
      <c r="O108" s="69">
        <v>0</v>
      </c>
      <c r="W108" s="69">
        <v>0</v>
      </c>
    </row>
    <row r="109" spans="1:23" ht="15.75" x14ac:dyDescent="0.2">
      <c r="A109" s="159"/>
      <c r="B109" s="153"/>
      <c r="C109" s="101" t="s">
        <v>11</v>
      </c>
      <c r="D109" s="69">
        <f t="shared" si="65"/>
        <v>0</v>
      </c>
      <c r="E109" s="69">
        <v>0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  <c r="L109" s="69">
        <v>0</v>
      </c>
      <c r="M109" s="69">
        <v>0</v>
      </c>
      <c r="N109" s="69">
        <v>0</v>
      </c>
      <c r="O109" s="69">
        <v>0</v>
      </c>
      <c r="W109" s="69">
        <v>0</v>
      </c>
    </row>
    <row r="110" spans="1:23" ht="31.5" x14ac:dyDescent="0.2">
      <c r="A110" s="159"/>
      <c r="B110" s="153"/>
      <c r="C110" s="101" t="s">
        <v>65</v>
      </c>
      <c r="D110" s="69">
        <f t="shared" si="65"/>
        <v>1053.9000000000001</v>
      </c>
      <c r="E110" s="69">
        <f>E111</f>
        <v>1053.9000000000001</v>
      </c>
      <c r="F110" s="69">
        <v>0</v>
      </c>
      <c r="G110" s="69">
        <v>0</v>
      </c>
      <c r="H110" s="69">
        <v>0</v>
      </c>
      <c r="I110" s="69">
        <v>0</v>
      </c>
      <c r="J110" s="69">
        <v>0</v>
      </c>
      <c r="K110" s="69">
        <v>0</v>
      </c>
      <c r="L110" s="69">
        <v>0</v>
      </c>
      <c r="M110" s="69">
        <v>0</v>
      </c>
      <c r="N110" s="69">
        <v>0</v>
      </c>
      <c r="O110" s="69">
        <v>0</v>
      </c>
      <c r="W110" s="69">
        <v>0</v>
      </c>
    </row>
    <row r="111" spans="1:23" ht="31.5" customHeight="1" x14ac:dyDescent="0.2">
      <c r="A111" s="159"/>
      <c r="B111" s="153"/>
      <c r="C111" s="74" t="s">
        <v>79</v>
      </c>
      <c r="D111" s="69">
        <f t="shared" si="65"/>
        <v>1053.9000000000001</v>
      </c>
      <c r="E111" s="71">
        <v>1053.9000000000001</v>
      </c>
      <c r="F111" s="71">
        <v>0</v>
      </c>
      <c r="G111" s="71">
        <v>0</v>
      </c>
      <c r="H111" s="71">
        <v>0</v>
      </c>
      <c r="I111" s="71">
        <v>0</v>
      </c>
      <c r="J111" s="71">
        <v>0</v>
      </c>
      <c r="K111" s="69">
        <v>0</v>
      </c>
      <c r="L111" s="71">
        <v>0</v>
      </c>
      <c r="M111" s="71">
        <v>0</v>
      </c>
      <c r="N111" s="71">
        <v>0</v>
      </c>
      <c r="O111" s="69">
        <v>0</v>
      </c>
      <c r="W111" s="69">
        <v>0</v>
      </c>
    </row>
    <row r="112" spans="1:23" ht="33" customHeight="1" x14ac:dyDescent="0.2">
      <c r="A112" s="160"/>
      <c r="B112" s="154"/>
      <c r="C112" s="101" t="s">
        <v>13</v>
      </c>
      <c r="D112" s="69">
        <f t="shared" si="65"/>
        <v>0</v>
      </c>
      <c r="E112" s="69">
        <v>0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  <c r="L112" s="69">
        <v>0</v>
      </c>
      <c r="M112" s="69">
        <v>0</v>
      </c>
      <c r="N112" s="69">
        <v>0</v>
      </c>
      <c r="O112" s="69">
        <v>0</v>
      </c>
      <c r="W112" s="69">
        <v>0</v>
      </c>
    </row>
    <row r="113" spans="1:23" ht="15.75" x14ac:dyDescent="0.2">
      <c r="A113" s="137" t="s">
        <v>105</v>
      </c>
      <c r="B113" s="138" t="s">
        <v>72</v>
      </c>
      <c r="C113" s="101" t="s">
        <v>7</v>
      </c>
      <c r="D113" s="69">
        <f t="shared" si="65"/>
        <v>92.2</v>
      </c>
      <c r="E113" s="69">
        <f t="shared" ref="E113:O113" si="66">E114</f>
        <v>92.2</v>
      </c>
      <c r="F113" s="69">
        <f t="shared" si="66"/>
        <v>0</v>
      </c>
      <c r="G113" s="69">
        <f t="shared" si="66"/>
        <v>0</v>
      </c>
      <c r="H113" s="69">
        <f t="shared" si="66"/>
        <v>0</v>
      </c>
      <c r="I113" s="69">
        <f t="shared" si="66"/>
        <v>0</v>
      </c>
      <c r="J113" s="69">
        <f t="shared" si="66"/>
        <v>0</v>
      </c>
      <c r="K113" s="69">
        <f t="shared" si="66"/>
        <v>0</v>
      </c>
      <c r="L113" s="69">
        <f t="shared" si="66"/>
        <v>0</v>
      </c>
      <c r="M113" s="69">
        <f t="shared" si="66"/>
        <v>0</v>
      </c>
      <c r="N113" s="69">
        <f t="shared" si="66"/>
        <v>0</v>
      </c>
      <c r="O113" s="69">
        <f t="shared" si="66"/>
        <v>0</v>
      </c>
      <c r="W113" s="69">
        <f t="shared" ref="W113" si="67">W114</f>
        <v>0</v>
      </c>
    </row>
    <row r="114" spans="1:23" ht="31.5" customHeight="1" x14ac:dyDescent="0.2">
      <c r="A114" s="137"/>
      <c r="B114" s="139"/>
      <c r="C114" s="74" t="s">
        <v>79</v>
      </c>
      <c r="D114" s="69">
        <f t="shared" si="65"/>
        <v>92.2</v>
      </c>
      <c r="E114" s="71">
        <f t="shared" ref="E114:K114" si="68">E118</f>
        <v>92.2</v>
      </c>
      <c r="F114" s="71">
        <f t="shared" si="68"/>
        <v>0</v>
      </c>
      <c r="G114" s="71">
        <f t="shared" si="68"/>
        <v>0</v>
      </c>
      <c r="H114" s="71">
        <f t="shared" si="68"/>
        <v>0</v>
      </c>
      <c r="I114" s="71">
        <f t="shared" si="68"/>
        <v>0</v>
      </c>
      <c r="J114" s="71">
        <f t="shared" si="68"/>
        <v>0</v>
      </c>
      <c r="K114" s="71">
        <f t="shared" si="68"/>
        <v>0</v>
      </c>
      <c r="L114" s="71">
        <f>L118</f>
        <v>0</v>
      </c>
      <c r="M114" s="71">
        <f>M118</f>
        <v>0</v>
      </c>
      <c r="N114" s="71">
        <f>N118</f>
        <v>0</v>
      </c>
      <c r="O114" s="71">
        <f>O118</f>
        <v>0</v>
      </c>
      <c r="W114" s="71">
        <f>W118</f>
        <v>0</v>
      </c>
    </row>
    <row r="115" spans="1:23" ht="15.75" x14ac:dyDescent="0.2">
      <c r="A115" s="144"/>
      <c r="B115" s="139"/>
      <c r="C115" s="101" t="s">
        <v>10</v>
      </c>
      <c r="D115" s="69">
        <f t="shared" si="65"/>
        <v>0</v>
      </c>
      <c r="E115" s="69">
        <v>0</v>
      </c>
      <c r="F115" s="69">
        <v>0</v>
      </c>
      <c r="G115" s="69">
        <v>0</v>
      </c>
      <c r="H115" s="69">
        <v>0</v>
      </c>
      <c r="I115" s="69">
        <v>0</v>
      </c>
      <c r="J115" s="69">
        <v>0</v>
      </c>
      <c r="K115" s="69">
        <v>0</v>
      </c>
      <c r="L115" s="69">
        <v>0</v>
      </c>
      <c r="M115" s="69">
        <v>0</v>
      </c>
      <c r="N115" s="69">
        <v>0</v>
      </c>
      <c r="O115" s="69">
        <v>0</v>
      </c>
      <c r="W115" s="69">
        <v>0</v>
      </c>
    </row>
    <row r="116" spans="1:23" ht="15.75" x14ac:dyDescent="0.2">
      <c r="A116" s="144"/>
      <c r="B116" s="139"/>
      <c r="C116" s="101" t="s">
        <v>11</v>
      </c>
      <c r="D116" s="69">
        <f t="shared" si="65"/>
        <v>0</v>
      </c>
      <c r="E116" s="69">
        <v>0</v>
      </c>
      <c r="F116" s="69">
        <v>0</v>
      </c>
      <c r="G116" s="69">
        <v>0</v>
      </c>
      <c r="H116" s="69">
        <v>0</v>
      </c>
      <c r="I116" s="69">
        <v>0</v>
      </c>
      <c r="J116" s="69">
        <v>0</v>
      </c>
      <c r="K116" s="69">
        <v>0</v>
      </c>
      <c r="L116" s="69">
        <v>0</v>
      </c>
      <c r="M116" s="69">
        <v>0</v>
      </c>
      <c r="N116" s="69">
        <v>0</v>
      </c>
      <c r="O116" s="69">
        <v>0</v>
      </c>
      <c r="W116" s="69">
        <v>0</v>
      </c>
    </row>
    <row r="117" spans="1:23" ht="31.5" x14ac:dyDescent="0.2">
      <c r="A117" s="144"/>
      <c r="B117" s="139"/>
      <c r="C117" s="101" t="s">
        <v>65</v>
      </c>
      <c r="D117" s="69">
        <f t="shared" si="65"/>
        <v>92.2</v>
      </c>
      <c r="E117" s="69">
        <f>E118</f>
        <v>92.2</v>
      </c>
      <c r="F117" s="69">
        <v>0</v>
      </c>
      <c r="G117" s="69">
        <v>0</v>
      </c>
      <c r="H117" s="69">
        <v>0</v>
      </c>
      <c r="I117" s="69">
        <v>0</v>
      </c>
      <c r="J117" s="69">
        <v>0</v>
      </c>
      <c r="K117" s="69">
        <v>0</v>
      </c>
      <c r="L117" s="69">
        <v>0</v>
      </c>
      <c r="M117" s="69">
        <v>0</v>
      </c>
      <c r="N117" s="69">
        <v>0</v>
      </c>
      <c r="O117" s="69">
        <v>0</v>
      </c>
      <c r="W117" s="69">
        <v>0</v>
      </c>
    </row>
    <row r="118" spans="1:23" ht="31.5" customHeight="1" x14ac:dyDescent="0.2">
      <c r="A118" s="144"/>
      <c r="B118" s="139"/>
      <c r="C118" s="74" t="s">
        <v>79</v>
      </c>
      <c r="D118" s="69">
        <f t="shared" si="65"/>
        <v>92.2</v>
      </c>
      <c r="E118" s="71">
        <v>92.2</v>
      </c>
      <c r="F118" s="71">
        <v>0</v>
      </c>
      <c r="G118" s="71">
        <v>0</v>
      </c>
      <c r="H118" s="71">
        <v>0</v>
      </c>
      <c r="I118" s="71">
        <v>0</v>
      </c>
      <c r="J118" s="71">
        <v>0</v>
      </c>
      <c r="K118" s="69">
        <v>0</v>
      </c>
      <c r="L118" s="71">
        <v>0</v>
      </c>
      <c r="M118" s="71">
        <v>0</v>
      </c>
      <c r="N118" s="71">
        <v>0</v>
      </c>
      <c r="O118" s="69">
        <v>0</v>
      </c>
      <c r="W118" s="69">
        <v>0</v>
      </c>
    </row>
    <row r="119" spans="1:23" ht="42" customHeight="1" x14ac:dyDescent="0.2">
      <c r="A119" s="144"/>
      <c r="B119" s="140"/>
      <c r="C119" s="101" t="s">
        <v>13</v>
      </c>
      <c r="D119" s="69">
        <f t="shared" si="65"/>
        <v>0</v>
      </c>
      <c r="E119" s="69">
        <v>0</v>
      </c>
      <c r="F119" s="69">
        <v>0</v>
      </c>
      <c r="G119" s="69">
        <v>0</v>
      </c>
      <c r="H119" s="69">
        <v>0</v>
      </c>
      <c r="I119" s="69">
        <v>0</v>
      </c>
      <c r="J119" s="69">
        <v>0</v>
      </c>
      <c r="K119" s="69">
        <v>0</v>
      </c>
      <c r="L119" s="69">
        <v>0</v>
      </c>
      <c r="M119" s="69">
        <v>0</v>
      </c>
      <c r="N119" s="69">
        <v>0</v>
      </c>
      <c r="O119" s="69">
        <v>0</v>
      </c>
      <c r="W119" s="69">
        <v>0</v>
      </c>
    </row>
    <row r="120" spans="1:23" ht="15.75" x14ac:dyDescent="0.2">
      <c r="A120" s="137" t="s">
        <v>106</v>
      </c>
      <c r="B120" s="137" t="s">
        <v>77</v>
      </c>
      <c r="C120" s="101" t="s">
        <v>7</v>
      </c>
      <c r="D120" s="69">
        <f t="shared" si="65"/>
        <v>1186.7</v>
      </c>
      <c r="E120" s="69">
        <f t="shared" ref="E120:O120" si="69">E121</f>
        <v>1186.7</v>
      </c>
      <c r="F120" s="69">
        <f t="shared" si="69"/>
        <v>0</v>
      </c>
      <c r="G120" s="69">
        <f t="shared" si="69"/>
        <v>0</v>
      </c>
      <c r="H120" s="69">
        <f t="shared" si="69"/>
        <v>0</v>
      </c>
      <c r="I120" s="69">
        <f t="shared" si="69"/>
        <v>0</v>
      </c>
      <c r="J120" s="69">
        <f t="shared" si="69"/>
        <v>0</v>
      </c>
      <c r="K120" s="69">
        <f t="shared" si="69"/>
        <v>0</v>
      </c>
      <c r="L120" s="69">
        <f t="shared" si="69"/>
        <v>0</v>
      </c>
      <c r="M120" s="69">
        <f t="shared" si="69"/>
        <v>0</v>
      </c>
      <c r="N120" s="69">
        <f t="shared" si="69"/>
        <v>0</v>
      </c>
      <c r="O120" s="69">
        <f t="shared" si="69"/>
        <v>0</v>
      </c>
      <c r="W120" s="69">
        <f t="shared" ref="W120" si="70">W121</f>
        <v>0</v>
      </c>
    </row>
    <row r="121" spans="1:23" ht="31.5" x14ac:dyDescent="0.2">
      <c r="A121" s="137"/>
      <c r="B121" s="137"/>
      <c r="C121" s="74" t="s">
        <v>79</v>
      </c>
      <c r="D121" s="69">
        <f t="shared" si="65"/>
        <v>1186.7</v>
      </c>
      <c r="E121" s="71">
        <f t="shared" ref="E121:K121" si="71">E124+E126</f>
        <v>1186.7</v>
      </c>
      <c r="F121" s="71">
        <f t="shared" si="71"/>
        <v>0</v>
      </c>
      <c r="G121" s="71">
        <f t="shared" si="71"/>
        <v>0</v>
      </c>
      <c r="H121" s="71">
        <f t="shared" si="71"/>
        <v>0</v>
      </c>
      <c r="I121" s="71">
        <f t="shared" si="71"/>
        <v>0</v>
      </c>
      <c r="J121" s="71">
        <f t="shared" si="71"/>
        <v>0</v>
      </c>
      <c r="K121" s="71">
        <f t="shared" si="71"/>
        <v>0</v>
      </c>
      <c r="L121" s="71">
        <f>L124+L126</f>
        <v>0</v>
      </c>
      <c r="M121" s="71">
        <f>M124+M126</f>
        <v>0</v>
      </c>
      <c r="N121" s="71">
        <f>N124+N126</f>
        <v>0</v>
      </c>
      <c r="O121" s="71">
        <f>O124+O126</f>
        <v>0</v>
      </c>
      <c r="W121" s="71">
        <f>W124+W126</f>
        <v>0</v>
      </c>
    </row>
    <row r="122" spans="1:23" ht="15.75" x14ac:dyDescent="0.2">
      <c r="A122" s="144"/>
      <c r="B122" s="137"/>
      <c r="C122" s="101" t="s">
        <v>10</v>
      </c>
      <c r="D122" s="69">
        <f t="shared" si="65"/>
        <v>0</v>
      </c>
      <c r="E122" s="69">
        <v>0</v>
      </c>
      <c r="F122" s="69">
        <v>0</v>
      </c>
      <c r="G122" s="69">
        <v>0</v>
      </c>
      <c r="H122" s="69">
        <v>0</v>
      </c>
      <c r="I122" s="69">
        <v>0</v>
      </c>
      <c r="J122" s="69">
        <v>0</v>
      </c>
      <c r="K122" s="69">
        <v>0</v>
      </c>
      <c r="L122" s="69">
        <v>0</v>
      </c>
      <c r="M122" s="69">
        <v>0</v>
      </c>
      <c r="N122" s="69">
        <v>0</v>
      </c>
      <c r="O122" s="69">
        <v>0</v>
      </c>
      <c r="W122" s="69">
        <v>0</v>
      </c>
    </row>
    <row r="123" spans="1:23" ht="31.5" x14ac:dyDescent="0.2">
      <c r="A123" s="144"/>
      <c r="B123" s="137"/>
      <c r="C123" s="101" t="s">
        <v>69</v>
      </c>
      <c r="D123" s="69">
        <f t="shared" si="65"/>
        <v>619.70000000000005</v>
      </c>
      <c r="E123" s="69">
        <f t="shared" ref="E123:N123" si="72">E124</f>
        <v>619.70000000000005</v>
      </c>
      <c r="F123" s="69">
        <f t="shared" si="72"/>
        <v>0</v>
      </c>
      <c r="G123" s="69">
        <f t="shared" si="72"/>
        <v>0</v>
      </c>
      <c r="H123" s="69">
        <f t="shared" si="72"/>
        <v>0</v>
      </c>
      <c r="I123" s="69">
        <f t="shared" si="72"/>
        <v>0</v>
      </c>
      <c r="J123" s="69">
        <f t="shared" si="72"/>
        <v>0</v>
      </c>
      <c r="K123" s="69">
        <v>0</v>
      </c>
      <c r="L123" s="69">
        <f t="shared" si="72"/>
        <v>0</v>
      </c>
      <c r="M123" s="69">
        <f t="shared" si="72"/>
        <v>0</v>
      </c>
      <c r="N123" s="69">
        <f t="shared" si="72"/>
        <v>0</v>
      </c>
      <c r="O123" s="69">
        <v>0</v>
      </c>
      <c r="W123" s="69">
        <v>0</v>
      </c>
    </row>
    <row r="124" spans="1:23" ht="31.5" x14ac:dyDescent="0.2">
      <c r="A124" s="144"/>
      <c r="B124" s="137"/>
      <c r="C124" s="74" t="s">
        <v>79</v>
      </c>
      <c r="D124" s="69">
        <f t="shared" si="65"/>
        <v>619.70000000000005</v>
      </c>
      <c r="E124" s="71">
        <v>619.70000000000005</v>
      </c>
      <c r="F124" s="71">
        <v>0</v>
      </c>
      <c r="G124" s="71">
        <v>0</v>
      </c>
      <c r="H124" s="71">
        <v>0</v>
      </c>
      <c r="I124" s="71">
        <v>0</v>
      </c>
      <c r="J124" s="71">
        <v>0</v>
      </c>
      <c r="K124" s="69">
        <v>0</v>
      </c>
      <c r="L124" s="71">
        <v>0</v>
      </c>
      <c r="M124" s="71">
        <v>0</v>
      </c>
      <c r="N124" s="71">
        <v>0</v>
      </c>
      <c r="O124" s="69">
        <v>0</v>
      </c>
      <c r="W124" s="69">
        <v>0</v>
      </c>
    </row>
    <row r="125" spans="1:23" ht="31.5" x14ac:dyDescent="0.2">
      <c r="A125" s="144"/>
      <c r="B125" s="137"/>
      <c r="C125" s="101" t="s">
        <v>65</v>
      </c>
      <c r="D125" s="69">
        <f t="shared" si="65"/>
        <v>567</v>
      </c>
      <c r="E125" s="69">
        <v>567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  <c r="L125" s="69">
        <v>0</v>
      </c>
      <c r="M125" s="69">
        <v>0</v>
      </c>
      <c r="N125" s="69">
        <v>0</v>
      </c>
      <c r="O125" s="69">
        <v>0</v>
      </c>
      <c r="W125" s="69">
        <v>0</v>
      </c>
    </row>
    <row r="126" spans="1:23" ht="31.5" x14ac:dyDescent="0.2">
      <c r="A126" s="144"/>
      <c r="B126" s="137"/>
      <c r="C126" s="74" t="s">
        <v>79</v>
      </c>
      <c r="D126" s="69">
        <f t="shared" si="65"/>
        <v>567</v>
      </c>
      <c r="E126" s="71">
        <v>567</v>
      </c>
      <c r="F126" s="71">
        <v>0</v>
      </c>
      <c r="G126" s="71">
        <v>0</v>
      </c>
      <c r="H126" s="71">
        <v>0</v>
      </c>
      <c r="I126" s="71">
        <v>0</v>
      </c>
      <c r="J126" s="71">
        <v>0</v>
      </c>
      <c r="K126" s="69">
        <v>0</v>
      </c>
      <c r="L126" s="71">
        <v>0</v>
      </c>
      <c r="M126" s="71">
        <v>0</v>
      </c>
      <c r="N126" s="71">
        <v>0</v>
      </c>
      <c r="O126" s="69">
        <v>0</v>
      </c>
      <c r="W126" s="69">
        <v>0</v>
      </c>
    </row>
    <row r="127" spans="1:23" ht="30" customHeight="1" x14ac:dyDescent="0.2">
      <c r="A127" s="144"/>
      <c r="B127" s="137"/>
      <c r="C127" s="101" t="s">
        <v>13</v>
      </c>
      <c r="D127" s="69">
        <f t="shared" si="65"/>
        <v>0</v>
      </c>
      <c r="E127" s="69">
        <v>0</v>
      </c>
      <c r="F127" s="69">
        <v>0</v>
      </c>
      <c r="G127" s="69">
        <v>0</v>
      </c>
      <c r="H127" s="69">
        <v>0</v>
      </c>
      <c r="I127" s="69">
        <v>0</v>
      </c>
      <c r="J127" s="69">
        <v>0</v>
      </c>
      <c r="K127" s="69">
        <v>0</v>
      </c>
      <c r="L127" s="69">
        <v>0</v>
      </c>
      <c r="M127" s="69">
        <v>0</v>
      </c>
      <c r="N127" s="69">
        <v>0</v>
      </c>
      <c r="O127" s="69">
        <v>0</v>
      </c>
      <c r="W127" s="69">
        <v>0</v>
      </c>
    </row>
    <row r="128" spans="1:23" ht="15.75" x14ac:dyDescent="0.2">
      <c r="A128" s="138" t="s">
        <v>107</v>
      </c>
      <c r="B128" s="149" t="s">
        <v>140</v>
      </c>
      <c r="C128" s="101" t="s">
        <v>7</v>
      </c>
      <c r="D128" s="69">
        <f t="shared" si="65"/>
        <v>25000</v>
      </c>
      <c r="E128" s="69">
        <f>E130+E131+E134+E136</f>
        <v>25000</v>
      </c>
      <c r="F128" s="69">
        <f t="shared" ref="F128:K128" si="73">F130+F131+F134+F136</f>
        <v>0</v>
      </c>
      <c r="G128" s="69">
        <f t="shared" si="73"/>
        <v>0</v>
      </c>
      <c r="H128" s="69">
        <f t="shared" si="73"/>
        <v>0</v>
      </c>
      <c r="I128" s="69">
        <f t="shared" si="73"/>
        <v>0</v>
      </c>
      <c r="J128" s="69">
        <f t="shared" si="73"/>
        <v>0</v>
      </c>
      <c r="K128" s="69">
        <f t="shared" si="73"/>
        <v>0</v>
      </c>
      <c r="L128" s="69">
        <f>L130+L131+L134+L136</f>
        <v>0</v>
      </c>
      <c r="M128" s="69">
        <f>M130+M131+M134+M136</f>
        <v>0</v>
      </c>
      <c r="N128" s="69">
        <f>N130+N131+N134+N136</f>
        <v>0</v>
      </c>
      <c r="O128" s="69">
        <f>O130+O131+O134+O136</f>
        <v>0</v>
      </c>
      <c r="W128" s="69">
        <f>W130+W131+W134+W136</f>
        <v>0</v>
      </c>
    </row>
    <row r="129" spans="1:23" ht="31.5" x14ac:dyDescent="0.2">
      <c r="A129" s="139"/>
      <c r="B129" s="149"/>
      <c r="C129" s="74" t="s">
        <v>79</v>
      </c>
      <c r="D129" s="69">
        <f t="shared" si="65"/>
        <v>15579.7</v>
      </c>
      <c r="E129" s="71">
        <f>E133+E135</f>
        <v>15579.7</v>
      </c>
      <c r="F129" s="71">
        <f t="shared" ref="F129:K129" si="74">F133+F135</f>
        <v>0</v>
      </c>
      <c r="G129" s="71">
        <f t="shared" si="74"/>
        <v>0</v>
      </c>
      <c r="H129" s="71">
        <f t="shared" si="74"/>
        <v>0</v>
      </c>
      <c r="I129" s="71">
        <f t="shared" si="74"/>
        <v>0</v>
      </c>
      <c r="J129" s="71">
        <f t="shared" si="74"/>
        <v>0</v>
      </c>
      <c r="K129" s="71">
        <f t="shared" si="74"/>
        <v>0</v>
      </c>
      <c r="L129" s="71">
        <f>L133+L135</f>
        <v>0</v>
      </c>
      <c r="M129" s="71">
        <f>M133+M135</f>
        <v>0</v>
      </c>
      <c r="N129" s="71">
        <f>N133+N135</f>
        <v>0</v>
      </c>
      <c r="O129" s="71">
        <f>O133+O135</f>
        <v>0</v>
      </c>
      <c r="W129" s="71">
        <f>W133+W135</f>
        <v>0</v>
      </c>
    </row>
    <row r="130" spans="1:23" ht="15.75" x14ac:dyDescent="0.2">
      <c r="A130" s="159"/>
      <c r="B130" s="149"/>
      <c r="C130" s="101" t="s">
        <v>10</v>
      </c>
      <c r="D130" s="69">
        <f t="shared" si="65"/>
        <v>0</v>
      </c>
      <c r="E130" s="69">
        <v>0</v>
      </c>
      <c r="F130" s="69">
        <v>0</v>
      </c>
      <c r="G130" s="69">
        <v>0</v>
      </c>
      <c r="H130" s="69">
        <v>0</v>
      </c>
      <c r="I130" s="69">
        <v>0</v>
      </c>
      <c r="J130" s="69">
        <v>0</v>
      </c>
      <c r="K130" s="69">
        <v>0</v>
      </c>
      <c r="L130" s="69">
        <v>0</v>
      </c>
      <c r="M130" s="69">
        <v>0</v>
      </c>
      <c r="N130" s="69">
        <v>0</v>
      </c>
      <c r="O130" s="69">
        <v>0</v>
      </c>
      <c r="W130" s="69">
        <v>0</v>
      </c>
    </row>
    <row r="131" spans="1:23" ht="31.5" x14ac:dyDescent="0.2">
      <c r="A131" s="159"/>
      <c r="B131" s="149"/>
      <c r="C131" s="101" t="s">
        <v>69</v>
      </c>
      <c r="D131" s="69">
        <f t="shared" si="65"/>
        <v>23141.4</v>
      </c>
      <c r="E131" s="69">
        <f>E133+8045.7</f>
        <v>23141.4</v>
      </c>
      <c r="F131" s="69">
        <f>F133</f>
        <v>0</v>
      </c>
      <c r="G131" s="69">
        <f>G133</f>
        <v>0</v>
      </c>
      <c r="H131" s="69">
        <f>H133</f>
        <v>0</v>
      </c>
      <c r="I131" s="69">
        <f>I133</f>
        <v>0</v>
      </c>
      <c r="J131" s="69">
        <f>J133</f>
        <v>0</v>
      </c>
      <c r="K131" s="69">
        <v>0</v>
      </c>
      <c r="L131" s="69">
        <f>L133</f>
        <v>0</v>
      </c>
      <c r="M131" s="69">
        <f>M133</f>
        <v>0</v>
      </c>
      <c r="N131" s="69">
        <f>N133</f>
        <v>0</v>
      </c>
      <c r="O131" s="69">
        <v>0</v>
      </c>
      <c r="W131" s="69">
        <v>0</v>
      </c>
    </row>
    <row r="132" spans="1:23" ht="31.5" x14ac:dyDescent="0.2">
      <c r="A132" s="159"/>
      <c r="B132" s="149"/>
      <c r="C132" s="74" t="s">
        <v>81</v>
      </c>
      <c r="D132" s="69">
        <f t="shared" si="65"/>
        <v>8045.7</v>
      </c>
      <c r="E132" s="71">
        <v>8045.7</v>
      </c>
      <c r="F132" s="71">
        <v>0</v>
      </c>
      <c r="G132" s="71">
        <v>0</v>
      </c>
      <c r="H132" s="71">
        <v>0</v>
      </c>
      <c r="I132" s="71">
        <v>0</v>
      </c>
      <c r="J132" s="71">
        <v>0</v>
      </c>
      <c r="K132" s="69">
        <v>0</v>
      </c>
      <c r="L132" s="71">
        <v>0</v>
      </c>
      <c r="M132" s="71">
        <v>0</v>
      </c>
      <c r="N132" s="71">
        <v>0</v>
      </c>
      <c r="O132" s="69">
        <v>0</v>
      </c>
      <c r="W132" s="69">
        <v>0</v>
      </c>
    </row>
    <row r="133" spans="1:23" ht="32.25" customHeight="1" x14ac:dyDescent="0.2">
      <c r="A133" s="159"/>
      <c r="B133" s="149"/>
      <c r="C133" s="74" t="s">
        <v>79</v>
      </c>
      <c r="D133" s="69">
        <f t="shared" si="65"/>
        <v>15095.7</v>
      </c>
      <c r="E133" s="71">
        <v>15095.7</v>
      </c>
      <c r="F133" s="71">
        <v>0</v>
      </c>
      <c r="G133" s="71">
        <v>0</v>
      </c>
      <c r="H133" s="71">
        <v>0</v>
      </c>
      <c r="I133" s="71">
        <v>0</v>
      </c>
      <c r="J133" s="71">
        <v>0</v>
      </c>
      <c r="K133" s="69">
        <v>0</v>
      </c>
      <c r="L133" s="71">
        <v>0</v>
      </c>
      <c r="M133" s="71">
        <v>0</v>
      </c>
      <c r="N133" s="71">
        <v>0</v>
      </c>
      <c r="O133" s="69">
        <v>0</v>
      </c>
      <c r="W133" s="69">
        <v>0</v>
      </c>
    </row>
    <row r="134" spans="1:23" ht="31.5" x14ac:dyDescent="0.2">
      <c r="A134" s="159"/>
      <c r="B134" s="149"/>
      <c r="C134" s="101" t="s">
        <v>65</v>
      </c>
      <c r="D134" s="69">
        <f t="shared" si="65"/>
        <v>1858.6</v>
      </c>
      <c r="E134" s="69">
        <f>484+1374.6</f>
        <v>1858.6</v>
      </c>
      <c r="F134" s="69">
        <v>0</v>
      </c>
      <c r="G134" s="69">
        <v>0</v>
      </c>
      <c r="H134" s="69">
        <v>0</v>
      </c>
      <c r="I134" s="69">
        <v>0</v>
      </c>
      <c r="J134" s="69">
        <v>0</v>
      </c>
      <c r="K134" s="69">
        <v>0</v>
      </c>
      <c r="L134" s="69">
        <v>0</v>
      </c>
      <c r="M134" s="69">
        <v>0</v>
      </c>
      <c r="N134" s="69">
        <v>0</v>
      </c>
      <c r="O134" s="69">
        <v>0</v>
      </c>
      <c r="W134" s="69">
        <v>0</v>
      </c>
    </row>
    <row r="135" spans="1:23" ht="31.5" x14ac:dyDescent="0.2">
      <c r="A135" s="159"/>
      <c r="B135" s="149"/>
      <c r="C135" s="74" t="s">
        <v>79</v>
      </c>
      <c r="D135" s="69">
        <f t="shared" si="65"/>
        <v>484</v>
      </c>
      <c r="E135" s="71">
        <v>484</v>
      </c>
      <c r="F135" s="71">
        <v>0</v>
      </c>
      <c r="G135" s="71">
        <v>0</v>
      </c>
      <c r="H135" s="71">
        <v>0</v>
      </c>
      <c r="I135" s="71">
        <v>0</v>
      </c>
      <c r="J135" s="71">
        <v>0</v>
      </c>
      <c r="K135" s="69">
        <v>0</v>
      </c>
      <c r="L135" s="71">
        <v>0</v>
      </c>
      <c r="M135" s="71">
        <v>0</v>
      </c>
      <c r="N135" s="71">
        <v>0</v>
      </c>
      <c r="O135" s="69">
        <v>0</v>
      </c>
      <c r="W135" s="69">
        <v>0</v>
      </c>
    </row>
    <row r="136" spans="1:23" ht="24" customHeight="1" x14ac:dyDescent="0.2">
      <c r="A136" s="160"/>
      <c r="B136" s="149"/>
      <c r="C136" s="101" t="s">
        <v>13</v>
      </c>
      <c r="D136" s="69">
        <f t="shared" si="65"/>
        <v>0</v>
      </c>
      <c r="E136" s="69">
        <v>0</v>
      </c>
      <c r="F136" s="69">
        <v>0</v>
      </c>
      <c r="G136" s="69">
        <v>0</v>
      </c>
      <c r="H136" s="69">
        <v>0</v>
      </c>
      <c r="I136" s="69">
        <v>0</v>
      </c>
      <c r="J136" s="69">
        <v>0</v>
      </c>
      <c r="K136" s="69">
        <v>0</v>
      </c>
      <c r="L136" s="69">
        <v>0</v>
      </c>
      <c r="M136" s="69">
        <v>0</v>
      </c>
      <c r="N136" s="69">
        <v>0</v>
      </c>
      <c r="O136" s="69">
        <v>0</v>
      </c>
      <c r="W136" s="69">
        <v>0</v>
      </c>
    </row>
    <row r="137" spans="1:23" ht="15.75" x14ac:dyDescent="0.2">
      <c r="A137" s="137" t="s">
        <v>108</v>
      </c>
      <c r="B137" s="149" t="s">
        <v>74</v>
      </c>
      <c r="C137" s="101" t="s">
        <v>7</v>
      </c>
      <c r="D137" s="69">
        <f t="shared" si="65"/>
        <v>155</v>
      </c>
      <c r="E137" s="69">
        <f>E139+E140+E141+E143</f>
        <v>155</v>
      </c>
      <c r="F137" s="69">
        <f t="shared" ref="F137:K137" si="75">F139+F140+F141+F143</f>
        <v>0</v>
      </c>
      <c r="G137" s="69">
        <f t="shared" si="75"/>
        <v>0</v>
      </c>
      <c r="H137" s="69">
        <f t="shared" si="75"/>
        <v>0</v>
      </c>
      <c r="I137" s="69">
        <f t="shared" si="75"/>
        <v>0</v>
      </c>
      <c r="J137" s="69">
        <f t="shared" si="75"/>
        <v>0</v>
      </c>
      <c r="K137" s="69">
        <f t="shared" si="75"/>
        <v>0</v>
      </c>
      <c r="L137" s="69">
        <f>L139+L140+L141+L143</f>
        <v>0</v>
      </c>
      <c r="M137" s="69">
        <f>M139+M140+M141+M143</f>
        <v>0</v>
      </c>
      <c r="N137" s="69">
        <f>N139+N140+N141+N143</f>
        <v>0</v>
      </c>
      <c r="O137" s="69">
        <f>O139+O140+O141+O143</f>
        <v>0</v>
      </c>
      <c r="W137" s="69">
        <f>W139+W140+W141+W143</f>
        <v>0</v>
      </c>
    </row>
    <row r="138" spans="1:23" ht="31.5" x14ac:dyDescent="0.2">
      <c r="A138" s="137"/>
      <c r="B138" s="149"/>
      <c r="C138" s="74" t="s">
        <v>79</v>
      </c>
      <c r="D138" s="69">
        <f t="shared" si="65"/>
        <v>155</v>
      </c>
      <c r="E138" s="71">
        <f t="shared" ref="E138:K138" si="76">E142</f>
        <v>155</v>
      </c>
      <c r="F138" s="71">
        <f t="shared" si="76"/>
        <v>0</v>
      </c>
      <c r="G138" s="71">
        <f t="shared" si="76"/>
        <v>0</v>
      </c>
      <c r="H138" s="71">
        <f t="shared" si="76"/>
        <v>0</v>
      </c>
      <c r="I138" s="71">
        <f t="shared" si="76"/>
        <v>0</v>
      </c>
      <c r="J138" s="71">
        <f t="shared" si="76"/>
        <v>0</v>
      </c>
      <c r="K138" s="71">
        <f t="shared" si="76"/>
        <v>0</v>
      </c>
      <c r="L138" s="71">
        <f>L142</f>
        <v>0</v>
      </c>
      <c r="M138" s="71">
        <f>M142</f>
        <v>0</v>
      </c>
      <c r="N138" s="71">
        <f>N142</f>
        <v>0</v>
      </c>
      <c r="O138" s="71">
        <f>O142</f>
        <v>0</v>
      </c>
      <c r="W138" s="71">
        <f>W142</f>
        <v>0</v>
      </c>
    </row>
    <row r="139" spans="1:23" ht="18" customHeight="1" x14ac:dyDescent="0.2">
      <c r="A139" s="144"/>
      <c r="B139" s="149"/>
      <c r="C139" s="101" t="s">
        <v>10</v>
      </c>
      <c r="D139" s="69">
        <f t="shared" si="65"/>
        <v>0</v>
      </c>
      <c r="E139" s="69">
        <v>0</v>
      </c>
      <c r="F139" s="69">
        <v>0</v>
      </c>
      <c r="G139" s="69">
        <v>0</v>
      </c>
      <c r="H139" s="69">
        <v>0</v>
      </c>
      <c r="I139" s="69">
        <v>0</v>
      </c>
      <c r="J139" s="69">
        <v>0</v>
      </c>
      <c r="K139" s="69">
        <v>0</v>
      </c>
      <c r="L139" s="69">
        <v>0</v>
      </c>
      <c r="M139" s="69">
        <v>0</v>
      </c>
      <c r="N139" s="69">
        <v>0</v>
      </c>
      <c r="O139" s="69">
        <v>0</v>
      </c>
      <c r="W139" s="69">
        <v>0</v>
      </c>
    </row>
    <row r="140" spans="1:23" ht="15.75" x14ac:dyDescent="0.2">
      <c r="A140" s="144"/>
      <c r="B140" s="149"/>
      <c r="C140" s="101" t="s">
        <v>11</v>
      </c>
      <c r="D140" s="69">
        <f t="shared" si="65"/>
        <v>0</v>
      </c>
      <c r="E140" s="69">
        <v>0</v>
      </c>
      <c r="F140" s="69">
        <v>0</v>
      </c>
      <c r="G140" s="69">
        <v>0</v>
      </c>
      <c r="H140" s="69">
        <v>0</v>
      </c>
      <c r="I140" s="69">
        <v>0</v>
      </c>
      <c r="J140" s="69">
        <v>0</v>
      </c>
      <c r="K140" s="69">
        <v>0</v>
      </c>
      <c r="L140" s="69">
        <v>0</v>
      </c>
      <c r="M140" s="69">
        <v>0</v>
      </c>
      <c r="N140" s="69">
        <v>0</v>
      </c>
      <c r="O140" s="69">
        <v>0</v>
      </c>
      <c r="W140" s="69">
        <v>0</v>
      </c>
    </row>
    <row r="141" spans="1:23" ht="31.5" x14ac:dyDescent="0.2">
      <c r="A141" s="144"/>
      <c r="B141" s="149"/>
      <c r="C141" s="101" t="s">
        <v>65</v>
      </c>
      <c r="D141" s="69">
        <f t="shared" si="65"/>
        <v>155</v>
      </c>
      <c r="E141" s="69">
        <f>E142</f>
        <v>155</v>
      </c>
      <c r="F141" s="69">
        <v>0</v>
      </c>
      <c r="G141" s="69">
        <v>0</v>
      </c>
      <c r="H141" s="69">
        <v>0</v>
      </c>
      <c r="I141" s="69">
        <v>0</v>
      </c>
      <c r="J141" s="69">
        <v>0</v>
      </c>
      <c r="K141" s="69">
        <v>0</v>
      </c>
      <c r="L141" s="69">
        <v>0</v>
      </c>
      <c r="M141" s="69">
        <v>0</v>
      </c>
      <c r="N141" s="69">
        <v>0</v>
      </c>
      <c r="O141" s="69">
        <v>0</v>
      </c>
      <c r="W141" s="69">
        <v>0</v>
      </c>
    </row>
    <row r="142" spans="1:23" ht="32.25" customHeight="1" x14ac:dyDescent="0.2">
      <c r="A142" s="144"/>
      <c r="B142" s="149"/>
      <c r="C142" s="74" t="s">
        <v>79</v>
      </c>
      <c r="D142" s="69">
        <f t="shared" si="65"/>
        <v>155</v>
      </c>
      <c r="E142" s="71">
        <v>155</v>
      </c>
      <c r="F142" s="71">
        <v>0</v>
      </c>
      <c r="G142" s="71">
        <v>0</v>
      </c>
      <c r="H142" s="71">
        <v>0</v>
      </c>
      <c r="I142" s="71">
        <v>0</v>
      </c>
      <c r="J142" s="71">
        <v>0</v>
      </c>
      <c r="K142" s="69">
        <v>0</v>
      </c>
      <c r="L142" s="71">
        <v>0</v>
      </c>
      <c r="M142" s="71">
        <v>0</v>
      </c>
      <c r="N142" s="71">
        <v>0</v>
      </c>
      <c r="O142" s="69">
        <v>0</v>
      </c>
      <c r="W142" s="69">
        <v>0</v>
      </c>
    </row>
    <row r="143" spans="1:23" ht="36" customHeight="1" x14ac:dyDescent="0.2">
      <c r="A143" s="144"/>
      <c r="B143" s="149"/>
      <c r="C143" s="101" t="s">
        <v>13</v>
      </c>
      <c r="D143" s="69">
        <f t="shared" si="65"/>
        <v>0</v>
      </c>
      <c r="E143" s="69">
        <v>0</v>
      </c>
      <c r="F143" s="69">
        <v>0</v>
      </c>
      <c r="G143" s="69">
        <v>0</v>
      </c>
      <c r="H143" s="69">
        <v>0</v>
      </c>
      <c r="I143" s="69">
        <v>0</v>
      </c>
      <c r="J143" s="69">
        <v>0</v>
      </c>
      <c r="K143" s="69">
        <v>0</v>
      </c>
      <c r="L143" s="69">
        <v>0</v>
      </c>
      <c r="M143" s="69">
        <v>0</v>
      </c>
      <c r="N143" s="69">
        <v>0</v>
      </c>
      <c r="O143" s="69">
        <v>0</v>
      </c>
      <c r="W143" s="69">
        <v>0</v>
      </c>
    </row>
    <row r="144" spans="1:23" ht="15.75" x14ac:dyDescent="0.2">
      <c r="A144" s="178" t="s">
        <v>109</v>
      </c>
      <c r="B144" s="182" t="s">
        <v>73</v>
      </c>
      <c r="C144" s="101" t="s">
        <v>7</v>
      </c>
      <c r="D144" s="69">
        <f t="shared" si="65"/>
        <v>9590.7999999999993</v>
      </c>
      <c r="E144" s="69">
        <f>E146+E147+E149+E151</f>
        <v>9590.7999999999993</v>
      </c>
      <c r="F144" s="69">
        <f t="shared" ref="F144:K144" si="77">F146+F147+F149+F151</f>
        <v>0</v>
      </c>
      <c r="G144" s="69">
        <f t="shared" si="77"/>
        <v>0</v>
      </c>
      <c r="H144" s="69">
        <f t="shared" si="77"/>
        <v>0</v>
      </c>
      <c r="I144" s="69">
        <f t="shared" si="77"/>
        <v>0</v>
      </c>
      <c r="J144" s="69">
        <f t="shared" si="77"/>
        <v>0</v>
      </c>
      <c r="K144" s="69">
        <f t="shared" si="77"/>
        <v>0</v>
      </c>
      <c r="L144" s="69">
        <f>L146+L147+L149+L151</f>
        <v>0</v>
      </c>
      <c r="M144" s="69">
        <f>M146+M147+M149+M151</f>
        <v>0</v>
      </c>
      <c r="N144" s="69">
        <f>N146+N147+N149+N151</f>
        <v>0</v>
      </c>
      <c r="O144" s="69">
        <f>O146+O147+O149+O151</f>
        <v>0</v>
      </c>
      <c r="W144" s="69">
        <f>W146+W147+W149+W151</f>
        <v>0</v>
      </c>
    </row>
    <row r="145" spans="1:23" ht="31.5" x14ac:dyDescent="0.2">
      <c r="A145" s="178"/>
      <c r="B145" s="182"/>
      <c r="C145" s="74" t="s">
        <v>79</v>
      </c>
      <c r="D145" s="69">
        <f t="shared" si="65"/>
        <v>9590.7999999999993</v>
      </c>
      <c r="E145" s="71">
        <f t="shared" ref="E145:K145" si="78">E148+E150</f>
        <v>9590.7999999999993</v>
      </c>
      <c r="F145" s="71">
        <f t="shared" si="78"/>
        <v>0</v>
      </c>
      <c r="G145" s="71">
        <f t="shared" si="78"/>
        <v>0</v>
      </c>
      <c r="H145" s="71">
        <f t="shared" si="78"/>
        <v>0</v>
      </c>
      <c r="I145" s="71">
        <f t="shared" si="78"/>
        <v>0</v>
      </c>
      <c r="J145" s="71">
        <f t="shared" si="78"/>
        <v>0</v>
      </c>
      <c r="K145" s="71">
        <f t="shared" si="78"/>
        <v>0</v>
      </c>
      <c r="L145" s="71">
        <f>L148+L150</f>
        <v>0</v>
      </c>
      <c r="M145" s="71">
        <f>M148+M150</f>
        <v>0</v>
      </c>
      <c r="N145" s="71">
        <f>N148+N150</f>
        <v>0</v>
      </c>
      <c r="O145" s="71">
        <f>O148+O150</f>
        <v>0</v>
      </c>
      <c r="W145" s="71">
        <f>W148+W150</f>
        <v>0</v>
      </c>
    </row>
    <row r="146" spans="1:23" ht="16.5" customHeight="1" x14ac:dyDescent="0.2">
      <c r="A146" s="179"/>
      <c r="B146" s="182"/>
      <c r="C146" s="101" t="s">
        <v>10</v>
      </c>
      <c r="D146" s="69">
        <f t="shared" si="65"/>
        <v>0</v>
      </c>
      <c r="E146" s="69">
        <v>0</v>
      </c>
      <c r="F146" s="69">
        <v>0</v>
      </c>
      <c r="G146" s="69">
        <v>0</v>
      </c>
      <c r="H146" s="69">
        <v>0</v>
      </c>
      <c r="I146" s="69">
        <v>0</v>
      </c>
      <c r="J146" s="69">
        <v>0</v>
      </c>
      <c r="K146" s="69">
        <v>0</v>
      </c>
      <c r="L146" s="69">
        <v>0</v>
      </c>
      <c r="M146" s="69">
        <v>0</v>
      </c>
      <c r="N146" s="69">
        <v>0</v>
      </c>
      <c r="O146" s="69">
        <v>0</v>
      </c>
      <c r="W146" s="69">
        <v>0</v>
      </c>
    </row>
    <row r="147" spans="1:23" ht="30.75" customHeight="1" x14ac:dyDescent="0.2">
      <c r="A147" s="179"/>
      <c r="B147" s="182"/>
      <c r="C147" s="101" t="s">
        <v>69</v>
      </c>
      <c r="D147" s="69">
        <f t="shared" si="65"/>
        <v>9111.2999999999993</v>
      </c>
      <c r="E147" s="69">
        <f t="shared" ref="E147:N147" si="79">E148</f>
        <v>9111.2999999999993</v>
      </c>
      <c r="F147" s="69">
        <f t="shared" si="79"/>
        <v>0</v>
      </c>
      <c r="G147" s="69">
        <f t="shared" si="79"/>
        <v>0</v>
      </c>
      <c r="H147" s="69">
        <f t="shared" si="79"/>
        <v>0</v>
      </c>
      <c r="I147" s="69">
        <f t="shared" si="79"/>
        <v>0</v>
      </c>
      <c r="J147" s="69">
        <f t="shared" si="79"/>
        <v>0</v>
      </c>
      <c r="K147" s="69">
        <v>0</v>
      </c>
      <c r="L147" s="69">
        <f t="shared" si="79"/>
        <v>0</v>
      </c>
      <c r="M147" s="69">
        <f t="shared" si="79"/>
        <v>0</v>
      </c>
      <c r="N147" s="69">
        <f t="shared" si="79"/>
        <v>0</v>
      </c>
      <c r="O147" s="69">
        <v>0</v>
      </c>
      <c r="W147" s="69">
        <v>0</v>
      </c>
    </row>
    <row r="148" spans="1:23" ht="31.5" x14ac:dyDescent="0.2">
      <c r="A148" s="179"/>
      <c r="B148" s="182"/>
      <c r="C148" s="74" t="s">
        <v>79</v>
      </c>
      <c r="D148" s="69">
        <f t="shared" si="65"/>
        <v>9111.2999999999993</v>
      </c>
      <c r="E148" s="71">
        <v>9111.2999999999993</v>
      </c>
      <c r="F148" s="71">
        <v>0</v>
      </c>
      <c r="G148" s="71">
        <v>0</v>
      </c>
      <c r="H148" s="71">
        <v>0</v>
      </c>
      <c r="I148" s="71">
        <v>0</v>
      </c>
      <c r="J148" s="71">
        <v>0</v>
      </c>
      <c r="K148" s="69">
        <v>0</v>
      </c>
      <c r="L148" s="71">
        <v>0</v>
      </c>
      <c r="M148" s="71">
        <v>0</v>
      </c>
      <c r="N148" s="71">
        <v>0</v>
      </c>
      <c r="O148" s="69">
        <v>0</v>
      </c>
      <c r="W148" s="69">
        <v>0</v>
      </c>
    </row>
    <row r="149" spans="1:23" ht="31.5" x14ac:dyDescent="0.2">
      <c r="A149" s="179"/>
      <c r="B149" s="182"/>
      <c r="C149" s="101" t="s">
        <v>65</v>
      </c>
      <c r="D149" s="69">
        <f t="shared" si="65"/>
        <v>479.5</v>
      </c>
      <c r="E149" s="69">
        <f>E150</f>
        <v>479.5</v>
      </c>
      <c r="F149" s="69">
        <v>0</v>
      </c>
      <c r="G149" s="69">
        <v>0</v>
      </c>
      <c r="H149" s="69">
        <v>0</v>
      </c>
      <c r="I149" s="69">
        <v>0</v>
      </c>
      <c r="J149" s="69">
        <v>0</v>
      </c>
      <c r="K149" s="69">
        <v>0</v>
      </c>
      <c r="L149" s="69">
        <v>0</v>
      </c>
      <c r="M149" s="69">
        <v>0</v>
      </c>
      <c r="N149" s="69">
        <v>0</v>
      </c>
      <c r="O149" s="69">
        <v>0</v>
      </c>
      <c r="W149" s="69">
        <v>0</v>
      </c>
    </row>
    <row r="150" spans="1:23" ht="30.75" customHeight="1" x14ac:dyDescent="0.2">
      <c r="A150" s="179"/>
      <c r="B150" s="182"/>
      <c r="C150" s="74" t="s">
        <v>79</v>
      </c>
      <c r="D150" s="69">
        <f t="shared" si="65"/>
        <v>479.5</v>
      </c>
      <c r="E150" s="71">
        <v>479.5</v>
      </c>
      <c r="F150" s="71">
        <v>0</v>
      </c>
      <c r="G150" s="71">
        <v>0</v>
      </c>
      <c r="H150" s="71">
        <v>0</v>
      </c>
      <c r="I150" s="71">
        <v>0</v>
      </c>
      <c r="J150" s="71">
        <v>0</v>
      </c>
      <c r="K150" s="69">
        <v>0</v>
      </c>
      <c r="L150" s="71">
        <v>0</v>
      </c>
      <c r="M150" s="71">
        <v>0</v>
      </c>
      <c r="N150" s="71">
        <v>0</v>
      </c>
      <c r="O150" s="69">
        <v>0</v>
      </c>
      <c r="W150" s="69">
        <v>0</v>
      </c>
    </row>
    <row r="151" spans="1:23" ht="15.75" x14ac:dyDescent="0.2">
      <c r="A151" s="179"/>
      <c r="B151" s="182"/>
      <c r="C151" s="101" t="s">
        <v>13</v>
      </c>
      <c r="D151" s="69">
        <f t="shared" si="65"/>
        <v>0</v>
      </c>
      <c r="E151" s="69">
        <v>0</v>
      </c>
      <c r="F151" s="69">
        <v>0</v>
      </c>
      <c r="G151" s="69">
        <v>0</v>
      </c>
      <c r="H151" s="69">
        <v>0</v>
      </c>
      <c r="I151" s="69">
        <v>0</v>
      </c>
      <c r="J151" s="69">
        <v>0</v>
      </c>
      <c r="K151" s="69">
        <v>0</v>
      </c>
      <c r="L151" s="69">
        <v>0</v>
      </c>
      <c r="M151" s="69">
        <v>0</v>
      </c>
      <c r="N151" s="69">
        <v>0</v>
      </c>
      <c r="O151" s="69">
        <v>0</v>
      </c>
      <c r="W151" s="69">
        <v>0</v>
      </c>
    </row>
    <row r="152" spans="1:23" ht="15.75" x14ac:dyDescent="0.2">
      <c r="A152" s="137" t="s">
        <v>110</v>
      </c>
      <c r="B152" s="152" t="s">
        <v>67</v>
      </c>
      <c r="C152" s="101" t="s">
        <v>7</v>
      </c>
      <c r="D152" s="69">
        <f t="shared" si="65"/>
        <v>1600.3</v>
      </c>
      <c r="E152" s="69">
        <f t="shared" ref="E152:K152" si="80">E153+E154+E155+E157</f>
        <v>1600.3</v>
      </c>
      <c r="F152" s="69">
        <f t="shared" si="80"/>
        <v>0</v>
      </c>
      <c r="G152" s="69">
        <f t="shared" si="80"/>
        <v>0</v>
      </c>
      <c r="H152" s="69">
        <f t="shared" si="80"/>
        <v>0</v>
      </c>
      <c r="I152" s="69">
        <f t="shared" si="80"/>
        <v>0</v>
      </c>
      <c r="J152" s="69">
        <f t="shared" si="80"/>
        <v>0</v>
      </c>
      <c r="K152" s="69">
        <f t="shared" si="80"/>
        <v>0</v>
      </c>
      <c r="L152" s="69">
        <f>L153+L154+L155+L157</f>
        <v>0</v>
      </c>
      <c r="M152" s="69">
        <f>M153+M154+M155+M157</f>
        <v>0</v>
      </c>
      <c r="N152" s="69">
        <f>N153+N154+N155+N157</f>
        <v>0</v>
      </c>
      <c r="O152" s="69">
        <f>O153+O154+O155+O157</f>
        <v>0</v>
      </c>
      <c r="W152" s="69">
        <f>W153+W154+W155+W157</f>
        <v>0</v>
      </c>
    </row>
    <row r="153" spans="1:23" ht="15.75" x14ac:dyDescent="0.2">
      <c r="A153" s="144"/>
      <c r="B153" s="153"/>
      <c r="C153" s="101" t="s">
        <v>10</v>
      </c>
      <c r="D153" s="69">
        <f t="shared" si="65"/>
        <v>0</v>
      </c>
      <c r="E153" s="69">
        <v>0</v>
      </c>
      <c r="F153" s="69">
        <v>0</v>
      </c>
      <c r="G153" s="69">
        <v>0</v>
      </c>
      <c r="H153" s="69">
        <v>0</v>
      </c>
      <c r="I153" s="69">
        <v>0</v>
      </c>
      <c r="J153" s="69">
        <v>0</v>
      </c>
      <c r="K153" s="69">
        <v>0</v>
      </c>
      <c r="L153" s="69">
        <v>0</v>
      </c>
      <c r="M153" s="69">
        <v>0</v>
      </c>
      <c r="N153" s="69">
        <v>0</v>
      </c>
      <c r="O153" s="69">
        <v>0</v>
      </c>
      <c r="W153" s="69">
        <v>0</v>
      </c>
    </row>
    <row r="154" spans="1:23" ht="15.75" x14ac:dyDescent="0.2">
      <c r="A154" s="144"/>
      <c r="B154" s="153"/>
      <c r="C154" s="101" t="s">
        <v>11</v>
      </c>
      <c r="D154" s="69">
        <f t="shared" si="65"/>
        <v>0</v>
      </c>
      <c r="E154" s="69">
        <v>0</v>
      </c>
      <c r="F154" s="69">
        <v>0</v>
      </c>
      <c r="G154" s="69">
        <v>0</v>
      </c>
      <c r="H154" s="69">
        <v>0</v>
      </c>
      <c r="I154" s="69">
        <v>0</v>
      </c>
      <c r="J154" s="69">
        <v>0</v>
      </c>
      <c r="K154" s="69">
        <v>0</v>
      </c>
      <c r="L154" s="69">
        <v>0</v>
      </c>
      <c r="M154" s="69">
        <v>0</v>
      </c>
      <c r="N154" s="69">
        <v>0</v>
      </c>
      <c r="O154" s="69">
        <v>0</v>
      </c>
      <c r="W154" s="69">
        <v>0</v>
      </c>
    </row>
    <row r="155" spans="1:23" ht="31.5" x14ac:dyDescent="0.2">
      <c r="A155" s="144"/>
      <c r="B155" s="153"/>
      <c r="C155" s="101" t="s">
        <v>65</v>
      </c>
      <c r="D155" s="69">
        <f t="shared" si="65"/>
        <v>1600.3</v>
      </c>
      <c r="E155" s="69">
        <v>1600.3</v>
      </c>
      <c r="F155" s="69">
        <v>0</v>
      </c>
      <c r="G155" s="69">
        <v>0</v>
      </c>
      <c r="H155" s="69">
        <v>0</v>
      </c>
      <c r="I155" s="69">
        <v>0</v>
      </c>
      <c r="J155" s="69">
        <v>0</v>
      </c>
      <c r="K155" s="69">
        <v>0</v>
      </c>
      <c r="L155" s="69">
        <v>0</v>
      </c>
      <c r="M155" s="69">
        <v>0</v>
      </c>
      <c r="N155" s="69">
        <v>0</v>
      </c>
      <c r="O155" s="69">
        <v>0</v>
      </c>
      <c r="W155" s="69">
        <v>0</v>
      </c>
    </row>
    <row r="156" spans="1:23" ht="31.5" x14ac:dyDescent="0.2">
      <c r="A156" s="144"/>
      <c r="B156" s="153"/>
      <c r="C156" s="74" t="s">
        <v>79</v>
      </c>
      <c r="D156" s="69">
        <f t="shared" si="65"/>
        <v>1600.3</v>
      </c>
      <c r="E156" s="71">
        <v>1600.3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69">
        <v>0</v>
      </c>
      <c r="L156" s="71">
        <v>0</v>
      </c>
      <c r="M156" s="71">
        <v>0</v>
      </c>
      <c r="N156" s="71">
        <v>0</v>
      </c>
      <c r="O156" s="69">
        <v>0</v>
      </c>
      <c r="W156" s="69">
        <v>0</v>
      </c>
    </row>
    <row r="157" spans="1:23" ht="21.75" customHeight="1" x14ac:dyDescent="0.2">
      <c r="A157" s="144"/>
      <c r="B157" s="154"/>
      <c r="C157" s="101" t="s">
        <v>13</v>
      </c>
      <c r="D157" s="69">
        <f t="shared" si="65"/>
        <v>0</v>
      </c>
      <c r="E157" s="69">
        <v>0</v>
      </c>
      <c r="F157" s="69">
        <v>0</v>
      </c>
      <c r="G157" s="69">
        <v>0</v>
      </c>
      <c r="H157" s="69">
        <v>0</v>
      </c>
      <c r="I157" s="69">
        <v>0</v>
      </c>
      <c r="J157" s="69">
        <v>0</v>
      </c>
      <c r="K157" s="69">
        <v>0</v>
      </c>
      <c r="L157" s="69">
        <v>0</v>
      </c>
      <c r="M157" s="69">
        <v>0</v>
      </c>
      <c r="N157" s="69">
        <v>0</v>
      </c>
      <c r="O157" s="69">
        <v>0</v>
      </c>
      <c r="W157" s="69">
        <v>0</v>
      </c>
    </row>
    <row r="158" spans="1:23" ht="18" customHeight="1" x14ac:dyDescent="0.2">
      <c r="A158" s="137" t="s">
        <v>111</v>
      </c>
      <c r="B158" s="149" t="s">
        <v>141</v>
      </c>
      <c r="C158" s="101" t="s">
        <v>7</v>
      </c>
      <c r="D158" s="69">
        <f t="shared" si="65"/>
        <v>3488.1</v>
      </c>
      <c r="E158" s="69">
        <f t="shared" ref="E158:K158" si="81">E159+E160+E162+E163</f>
        <v>3088.1</v>
      </c>
      <c r="F158" s="69">
        <f t="shared" si="81"/>
        <v>0</v>
      </c>
      <c r="G158" s="69">
        <f t="shared" si="81"/>
        <v>0</v>
      </c>
      <c r="H158" s="69">
        <f t="shared" si="81"/>
        <v>400</v>
      </c>
      <c r="I158" s="69">
        <f t="shared" si="81"/>
        <v>0</v>
      </c>
      <c r="J158" s="69">
        <f t="shared" si="81"/>
        <v>0</v>
      </c>
      <c r="K158" s="69">
        <f t="shared" si="81"/>
        <v>0</v>
      </c>
      <c r="L158" s="69">
        <f>L159+L160+L162+L163</f>
        <v>0</v>
      </c>
      <c r="M158" s="69">
        <f>M159+M160+M162+M163</f>
        <v>0</v>
      </c>
      <c r="N158" s="69">
        <f>N159+N160+N162+N163</f>
        <v>0</v>
      </c>
      <c r="O158" s="69">
        <f>O159+O160+O162+O163</f>
        <v>0</v>
      </c>
      <c r="W158" s="69">
        <f>W159+W160+W162+W163</f>
        <v>0</v>
      </c>
    </row>
    <row r="159" spans="1:23" ht="15.75" x14ac:dyDescent="0.2">
      <c r="A159" s="144"/>
      <c r="B159" s="149"/>
      <c r="C159" s="101" t="s">
        <v>10</v>
      </c>
      <c r="D159" s="69">
        <f t="shared" si="65"/>
        <v>0</v>
      </c>
      <c r="E159" s="69">
        <v>0</v>
      </c>
      <c r="F159" s="69">
        <v>0</v>
      </c>
      <c r="G159" s="69">
        <v>0</v>
      </c>
      <c r="H159" s="69">
        <v>0</v>
      </c>
      <c r="I159" s="69">
        <v>0</v>
      </c>
      <c r="J159" s="69">
        <v>0</v>
      </c>
      <c r="K159" s="69">
        <v>0</v>
      </c>
      <c r="L159" s="69">
        <v>0</v>
      </c>
      <c r="M159" s="69">
        <v>0</v>
      </c>
      <c r="N159" s="69">
        <v>0</v>
      </c>
      <c r="O159" s="69">
        <v>0</v>
      </c>
      <c r="W159" s="69">
        <v>0</v>
      </c>
    </row>
    <row r="160" spans="1:23" ht="30.75" customHeight="1" x14ac:dyDescent="0.2">
      <c r="A160" s="144"/>
      <c r="B160" s="149"/>
      <c r="C160" s="101" t="s">
        <v>69</v>
      </c>
      <c r="D160" s="69">
        <f t="shared" si="65"/>
        <v>2692</v>
      </c>
      <c r="E160" s="69">
        <f t="shared" ref="E160:M160" si="82">E161</f>
        <v>2692</v>
      </c>
      <c r="F160" s="69">
        <f t="shared" si="82"/>
        <v>0</v>
      </c>
      <c r="G160" s="69">
        <f t="shared" si="82"/>
        <v>0</v>
      </c>
      <c r="H160" s="69">
        <f t="shared" si="82"/>
        <v>0</v>
      </c>
      <c r="I160" s="69">
        <f t="shared" si="82"/>
        <v>0</v>
      </c>
      <c r="J160" s="69">
        <f t="shared" si="82"/>
        <v>0</v>
      </c>
      <c r="K160" s="69">
        <v>0</v>
      </c>
      <c r="L160" s="69">
        <f t="shared" si="82"/>
        <v>0</v>
      </c>
      <c r="M160" s="69">
        <f t="shared" si="82"/>
        <v>0</v>
      </c>
      <c r="N160" s="69">
        <v>0</v>
      </c>
      <c r="O160" s="69">
        <v>0</v>
      </c>
      <c r="W160" s="69">
        <v>0</v>
      </c>
    </row>
    <row r="161" spans="1:23" ht="31.5" x14ac:dyDescent="0.2">
      <c r="A161" s="144"/>
      <c r="B161" s="149"/>
      <c r="C161" s="74" t="s">
        <v>81</v>
      </c>
      <c r="D161" s="69">
        <f t="shared" si="65"/>
        <v>2692</v>
      </c>
      <c r="E161" s="71">
        <v>2692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69">
        <v>0</v>
      </c>
      <c r="L161" s="71">
        <v>0</v>
      </c>
      <c r="M161" s="71">
        <v>0</v>
      </c>
      <c r="N161" s="69">
        <v>0</v>
      </c>
      <c r="O161" s="69">
        <v>0</v>
      </c>
      <c r="W161" s="69">
        <v>0</v>
      </c>
    </row>
    <row r="162" spans="1:23" ht="15.75" x14ac:dyDescent="0.2">
      <c r="A162" s="144"/>
      <c r="B162" s="149"/>
      <c r="C162" s="101" t="s">
        <v>12</v>
      </c>
      <c r="D162" s="69">
        <f t="shared" si="65"/>
        <v>796.1</v>
      </c>
      <c r="E162" s="69">
        <v>396.1</v>
      </c>
      <c r="F162" s="69">
        <v>0</v>
      </c>
      <c r="G162" s="69">
        <v>0</v>
      </c>
      <c r="H162" s="69">
        <v>400</v>
      </c>
      <c r="I162" s="69">
        <v>0</v>
      </c>
      <c r="J162" s="69">
        <v>0</v>
      </c>
      <c r="K162" s="69">
        <v>0</v>
      </c>
      <c r="L162" s="69">
        <v>0</v>
      </c>
      <c r="M162" s="69">
        <v>0</v>
      </c>
      <c r="N162" s="69">
        <v>0</v>
      </c>
      <c r="O162" s="69">
        <v>0</v>
      </c>
      <c r="W162" s="69">
        <v>0</v>
      </c>
    </row>
    <row r="163" spans="1:23" ht="15.75" x14ac:dyDescent="0.2">
      <c r="A163" s="144"/>
      <c r="B163" s="149"/>
      <c r="C163" s="101" t="s">
        <v>13</v>
      </c>
      <c r="D163" s="69">
        <f t="shared" si="65"/>
        <v>0</v>
      </c>
      <c r="E163" s="69">
        <v>0</v>
      </c>
      <c r="F163" s="69">
        <v>0</v>
      </c>
      <c r="G163" s="69">
        <v>0</v>
      </c>
      <c r="H163" s="69">
        <v>0</v>
      </c>
      <c r="I163" s="69">
        <v>0</v>
      </c>
      <c r="J163" s="69">
        <v>0</v>
      </c>
      <c r="K163" s="69">
        <v>0</v>
      </c>
      <c r="L163" s="69">
        <v>0</v>
      </c>
      <c r="M163" s="69">
        <v>0</v>
      </c>
      <c r="N163" s="69">
        <v>0</v>
      </c>
      <c r="O163" s="69">
        <v>0</v>
      </c>
      <c r="W163" s="69">
        <v>0</v>
      </c>
    </row>
    <row r="164" spans="1:23" ht="15.75" x14ac:dyDescent="0.2">
      <c r="A164" s="137" t="s">
        <v>112</v>
      </c>
      <c r="B164" s="152" t="s">
        <v>75</v>
      </c>
      <c r="C164" s="96" t="s">
        <v>7</v>
      </c>
      <c r="D164" s="69">
        <f t="shared" si="65"/>
        <v>123.9</v>
      </c>
      <c r="E164" s="69">
        <f t="shared" ref="E164:O164" si="83">E166+E167+E168+E170</f>
        <v>123.9</v>
      </c>
      <c r="F164" s="69">
        <f t="shared" si="83"/>
        <v>0</v>
      </c>
      <c r="G164" s="69">
        <f t="shared" si="83"/>
        <v>0</v>
      </c>
      <c r="H164" s="69">
        <f t="shared" si="83"/>
        <v>0</v>
      </c>
      <c r="I164" s="69">
        <f t="shared" si="83"/>
        <v>0</v>
      </c>
      <c r="J164" s="69">
        <f t="shared" si="83"/>
        <v>0</v>
      </c>
      <c r="K164" s="69">
        <f t="shared" si="83"/>
        <v>0</v>
      </c>
      <c r="L164" s="69">
        <f t="shared" si="83"/>
        <v>0</v>
      </c>
      <c r="M164" s="69">
        <f t="shared" si="83"/>
        <v>0</v>
      </c>
      <c r="N164" s="69">
        <f t="shared" si="83"/>
        <v>0</v>
      </c>
      <c r="O164" s="69">
        <f t="shared" si="83"/>
        <v>0</v>
      </c>
      <c r="W164" s="69">
        <f t="shared" ref="W164" si="84">W166+W167+W168+W170</f>
        <v>0</v>
      </c>
    </row>
    <row r="165" spans="1:23" ht="31.5" x14ac:dyDescent="0.2">
      <c r="A165" s="137"/>
      <c r="B165" s="153"/>
      <c r="C165" s="72" t="s">
        <v>79</v>
      </c>
      <c r="D165" s="69">
        <f t="shared" si="65"/>
        <v>123.9</v>
      </c>
      <c r="E165" s="71">
        <f t="shared" ref="E165:O165" si="85">E169</f>
        <v>123.9</v>
      </c>
      <c r="F165" s="71">
        <f t="shared" si="85"/>
        <v>0</v>
      </c>
      <c r="G165" s="71">
        <f t="shared" si="85"/>
        <v>0</v>
      </c>
      <c r="H165" s="71">
        <f t="shared" si="85"/>
        <v>0</v>
      </c>
      <c r="I165" s="71">
        <f t="shared" si="85"/>
        <v>0</v>
      </c>
      <c r="J165" s="71">
        <f t="shared" si="85"/>
        <v>0</v>
      </c>
      <c r="K165" s="71">
        <f t="shared" si="85"/>
        <v>0</v>
      </c>
      <c r="L165" s="71">
        <f t="shared" si="85"/>
        <v>0</v>
      </c>
      <c r="M165" s="71">
        <f t="shared" si="85"/>
        <v>0</v>
      </c>
      <c r="N165" s="71">
        <f t="shared" si="85"/>
        <v>0</v>
      </c>
      <c r="O165" s="71">
        <f t="shared" si="85"/>
        <v>0</v>
      </c>
      <c r="W165" s="71">
        <f t="shared" ref="W165" si="86">W169</f>
        <v>0</v>
      </c>
    </row>
    <row r="166" spans="1:23" ht="15.75" x14ac:dyDescent="0.2">
      <c r="A166" s="137"/>
      <c r="B166" s="153"/>
      <c r="C166" s="96" t="s">
        <v>10</v>
      </c>
      <c r="D166" s="69">
        <f t="shared" si="65"/>
        <v>0</v>
      </c>
      <c r="E166" s="69">
        <v>0</v>
      </c>
      <c r="F166" s="69">
        <v>0</v>
      </c>
      <c r="G166" s="69">
        <v>0</v>
      </c>
      <c r="H166" s="69">
        <v>0</v>
      </c>
      <c r="I166" s="69">
        <v>0</v>
      </c>
      <c r="J166" s="69">
        <v>0</v>
      </c>
      <c r="K166" s="69">
        <v>0</v>
      </c>
      <c r="L166" s="69">
        <v>0</v>
      </c>
      <c r="M166" s="69">
        <v>0</v>
      </c>
      <c r="N166" s="69">
        <v>0</v>
      </c>
      <c r="O166" s="69">
        <v>0</v>
      </c>
      <c r="W166" s="69">
        <v>0</v>
      </c>
    </row>
    <row r="167" spans="1:23" ht="15.75" x14ac:dyDescent="0.2">
      <c r="A167" s="137"/>
      <c r="B167" s="153"/>
      <c r="C167" s="96" t="s">
        <v>11</v>
      </c>
      <c r="D167" s="69">
        <f t="shared" si="65"/>
        <v>0</v>
      </c>
      <c r="E167" s="69">
        <v>0</v>
      </c>
      <c r="F167" s="69">
        <v>0</v>
      </c>
      <c r="G167" s="69">
        <v>0</v>
      </c>
      <c r="H167" s="69">
        <v>0</v>
      </c>
      <c r="I167" s="69">
        <v>0</v>
      </c>
      <c r="J167" s="69">
        <v>0</v>
      </c>
      <c r="K167" s="69">
        <v>0</v>
      </c>
      <c r="L167" s="69">
        <v>0</v>
      </c>
      <c r="M167" s="69">
        <v>0</v>
      </c>
      <c r="N167" s="69">
        <v>0</v>
      </c>
      <c r="O167" s="69">
        <v>0</v>
      </c>
      <c r="W167" s="69">
        <v>0</v>
      </c>
    </row>
    <row r="168" spans="1:23" ht="31.5" x14ac:dyDescent="0.2">
      <c r="A168" s="137"/>
      <c r="B168" s="153"/>
      <c r="C168" s="101" t="s">
        <v>65</v>
      </c>
      <c r="D168" s="69">
        <f t="shared" si="65"/>
        <v>123.9</v>
      </c>
      <c r="E168" s="69">
        <f>E169</f>
        <v>123.9</v>
      </c>
      <c r="F168" s="69">
        <f>F169</f>
        <v>0</v>
      </c>
      <c r="G168" s="69">
        <f>G169</f>
        <v>0</v>
      </c>
      <c r="H168" s="69">
        <f>H169</f>
        <v>0</v>
      </c>
      <c r="I168" s="69">
        <f>I169</f>
        <v>0</v>
      </c>
      <c r="J168" s="69">
        <v>0</v>
      </c>
      <c r="K168" s="69">
        <v>0</v>
      </c>
      <c r="L168" s="69">
        <v>0</v>
      </c>
      <c r="M168" s="69">
        <v>0</v>
      </c>
      <c r="N168" s="69">
        <v>0</v>
      </c>
      <c r="O168" s="69">
        <v>0</v>
      </c>
      <c r="W168" s="69">
        <v>0</v>
      </c>
    </row>
    <row r="169" spans="1:23" ht="31.5" x14ac:dyDescent="0.2">
      <c r="A169" s="137"/>
      <c r="B169" s="153"/>
      <c r="C169" s="72" t="s">
        <v>79</v>
      </c>
      <c r="D169" s="69">
        <f t="shared" si="65"/>
        <v>123.9</v>
      </c>
      <c r="E169" s="71">
        <v>123.9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64"/>
      <c r="Q169" s="64"/>
      <c r="R169" s="64"/>
      <c r="W169" s="71">
        <v>0</v>
      </c>
    </row>
    <row r="170" spans="1:23" ht="38.25" customHeight="1" x14ac:dyDescent="0.2">
      <c r="A170" s="137"/>
      <c r="B170" s="154"/>
      <c r="C170" s="96" t="s">
        <v>13</v>
      </c>
      <c r="D170" s="69">
        <f t="shared" si="65"/>
        <v>0</v>
      </c>
      <c r="E170" s="69">
        <v>0</v>
      </c>
      <c r="F170" s="69">
        <v>0</v>
      </c>
      <c r="G170" s="69">
        <v>0</v>
      </c>
      <c r="H170" s="69">
        <v>0</v>
      </c>
      <c r="I170" s="69">
        <v>0</v>
      </c>
      <c r="J170" s="69">
        <v>0</v>
      </c>
      <c r="K170" s="69">
        <v>0</v>
      </c>
      <c r="L170" s="69">
        <v>0</v>
      </c>
      <c r="M170" s="69">
        <v>0</v>
      </c>
      <c r="N170" s="69">
        <v>0</v>
      </c>
      <c r="O170" s="69">
        <v>0</v>
      </c>
      <c r="P170" s="64"/>
      <c r="Q170" s="64"/>
      <c r="R170" s="64"/>
      <c r="W170" s="69">
        <v>0</v>
      </c>
    </row>
    <row r="171" spans="1:23" ht="17.25" customHeight="1" x14ac:dyDescent="0.2">
      <c r="A171" s="137" t="s">
        <v>113</v>
      </c>
      <c r="B171" s="149" t="s">
        <v>78</v>
      </c>
      <c r="C171" s="101" t="s">
        <v>7</v>
      </c>
      <c r="D171" s="69">
        <f t="shared" si="65"/>
        <v>1187</v>
      </c>
      <c r="E171" s="69">
        <f t="shared" ref="E171:K171" si="87">E173+E174+E175+E177</f>
        <v>1187</v>
      </c>
      <c r="F171" s="69">
        <f t="shared" si="87"/>
        <v>0</v>
      </c>
      <c r="G171" s="69">
        <f t="shared" si="87"/>
        <v>0</v>
      </c>
      <c r="H171" s="69">
        <f t="shared" si="87"/>
        <v>0</v>
      </c>
      <c r="I171" s="69">
        <f t="shared" si="87"/>
        <v>0</v>
      </c>
      <c r="J171" s="69">
        <f t="shared" si="87"/>
        <v>0</v>
      </c>
      <c r="K171" s="69">
        <f t="shared" si="87"/>
        <v>0</v>
      </c>
      <c r="L171" s="69">
        <f>L173+L174+L175+L177</f>
        <v>0</v>
      </c>
      <c r="M171" s="69">
        <f>M173+M174+M175+M177</f>
        <v>0</v>
      </c>
      <c r="N171" s="69">
        <f>N173+N174+N175+N177</f>
        <v>0</v>
      </c>
      <c r="O171" s="69">
        <f>O173+O174+O175+O177</f>
        <v>0</v>
      </c>
      <c r="P171" s="75"/>
      <c r="Q171" s="75"/>
      <c r="R171" s="64"/>
      <c r="W171" s="69">
        <f>W173+W174+W175+W177</f>
        <v>0</v>
      </c>
    </row>
    <row r="172" spans="1:23" ht="31.5" x14ac:dyDescent="0.2">
      <c r="A172" s="144"/>
      <c r="B172" s="155"/>
      <c r="C172" s="74" t="s">
        <v>79</v>
      </c>
      <c r="D172" s="69">
        <f t="shared" ref="D172:D236" si="88">E172+F172+G172+H172+I172+J172+K172+L172+M172+N172+O172+W172</f>
        <v>1187</v>
      </c>
      <c r="E172" s="71">
        <f t="shared" ref="E172:K172" si="89">E176</f>
        <v>1187</v>
      </c>
      <c r="F172" s="71">
        <f t="shared" si="89"/>
        <v>0</v>
      </c>
      <c r="G172" s="71">
        <f t="shared" si="89"/>
        <v>0</v>
      </c>
      <c r="H172" s="71">
        <f t="shared" si="89"/>
        <v>0</v>
      </c>
      <c r="I172" s="71">
        <f t="shared" si="89"/>
        <v>0</v>
      </c>
      <c r="J172" s="71">
        <f t="shared" si="89"/>
        <v>0</v>
      </c>
      <c r="K172" s="71">
        <f t="shared" si="89"/>
        <v>0</v>
      </c>
      <c r="L172" s="71">
        <f>L176</f>
        <v>0</v>
      </c>
      <c r="M172" s="71">
        <f>M176</f>
        <v>0</v>
      </c>
      <c r="N172" s="71">
        <f>N176</f>
        <v>0</v>
      </c>
      <c r="O172" s="71">
        <f>O176</f>
        <v>0</v>
      </c>
      <c r="P172" s="76"/>
      <c r="Q172" s="76"/>
      <c r="R172" s="64"/>
      <c r="W172" s="71">
        <f>W176</f>
        <v>0</v>
      </c>
    </row>
    <row r="173" spans="1:23" ht="15.75" x14ac:dyDescent="0.2">
      <c r="A173" s="144"/>
      <c r="B173" s="155"/>
      <c r="C173" s="101" t="s">
        <v>10</v>
      </c>
      <c r="D173" s="69">
        <f t="shared" si="88"/>
        <v>0</v>
      </c>
      <c r="E173" s="69">
        <v>0</v>
      </c>
      <c r="F173" s="69">
        <v>0</v>
      </c>
      <c r="G173" s="69">
        <v>0</v>
      </c>
      <c r="H173" s="69">
        <v>0</v>
      </c>
      <c r="I173" s="69">
        <v>0</v>
      </c>
      <c r="J173" s="69">
        <v>0</v>
      </c>
      <c r="K173" s="69">
        <v>0</v>
      </c>
      <c r="L173" s="69">
        <v>0</v>
      </c>
      <c r="M173" s="69">
        <v>0</v>
      </c>
      <c r="N173" s="69">
        <v>0</v>
      </c>
      <c r="O173" s="69">
        <v>0</v>
      </c>
      <c r="P173" s="75"/>
      <c r="Q173" s="75"/>
      <c r="R173" s="64"/>
      <c r="W173" s="69">
        <v>0</v>
      </c>
    </row>
    <row r="174" spans="1:23" ht="15.75" x14ac:dyDescent="0.2">
      <c r="A174" s="144"/>
      <c r="B174" s="155"/>
      <c r="C174" s="101" t="s">
        <v>11</v>
      </c>
      <c r="D174" s="69">
        <f t="shared" si="88"/>
        <v>0</v>
      </c>
      <c r="E174" s="69">
        <v>0</v>
      </c>
      <c r="F174" s="69">
        <v>0</v>
      </c>
      <c r="G174" s="69">
        <v>0</v>
      </c>
      <c r="H174" s="69">
        <v>0</v>
      </c>
      <c r="I174" s="69">
        <v>0</v>
      </c>
      <c r="J174" s="69">
        <v>0</v>
      </c>
      <c r="K174" s="69">
        <v>0</v>
      </c>
      <c r="L174" s="69">
        <v>0</v>
      </c>
      <c r="M174" s="69">
        <v>0</v>
      </c>
      <c r="N174" s="69">
        <v>0</v>
      </c>
      <c r="O174" s="69">
        <v>0</v>
      </c>
      <c r="P174" s="75"/>
      <c r="Q174" s="75"/>
      <c r="R174" s="64"/>
      <c r="W174" s="69">
        <v>0</v>
      </c>
    </row>
    <row r="175" spans="1:23" ht="32.25" customHeight="1" x14ac:dyDescent="0.2">
      <c r="A175" s="144"/>
      <c r="B175" s="155"/>
      <c r="C175" s="101" t="s">
        <v>65</v>
      </c>
      <c r="D175" s="69">
        <f t="shared" si="88"/>
        <v>1187</v>
      </c>
      <c r="E175" s="69">
        <f t="shared" ref="E175:O175" si="90">E176</f>
        <v>1187</v>
      </c>
      <c r="F175" s="69">
        <f t="shared" si="90"/>
        <v>0</v>
      </c>
      <c r="G175" s="69">
        <f t="shared" si="90"/>
        <v>0</v>
      </c>
      <c r="H175" s="69">
        <f t="shared" si="90"/>
        <v>0</v>
      </c>
      <c r="I175" s="69">
        <f t="shared" si="90"/>
        <v>0</v>
      </c>
      <c r="J175" s="69">
        <f t="shared" si="90"/>
        <v>0</v>
      </c>
      <c r="K175" s="69">
        <v>0</v>
      </c>
      <c r="L175" s="69">
        <f t="shared" si="90"/>
        <v>0</v>
      </c>
      <c r="M175" s="69">
        <f t="shared" si="90"/>
        <v>0</v>
      </c>
      <c r="N175" s="69">
        <f t="shared" si="90"/>
        <v>0</v>
      </c>
      <c r="O175" s="69">
        <f t="shared" si="90"/>
        <v>0</v>
      </c>
      <c r="P175" s="75"/>
      <c r="Q175" s="75"/>
      <c r="R175" s="64"/>
      <c r="W175" s="69">
        <f t="shared" ref="W175" si="91">W176</f>
        <v>0</v>
      </c>
    </row>
    <row r="176" spans="1:23" ht="32.25" customHeight="1" x14ac:dyDescent="0.2">
      <c r="A176" s="144"/>
      <c r="B176" s="155"/>
      <c r="C176" s="74" t="s">
        <v>79</v>
      </c>
      <c r="D176" s="69">
        <f t="shared" si="88"/>
        <v>1187</v>
      </c>
      <c r="E176" s="71">
        <v>1187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69">
        <v>0</v>
      </c>
      <c r="L176" s="71">
        <v>0</v>
      </c>
      <c r="M176" s="71">
        <v>0</v>
      </c>
      <c r="N176" s="71">
        <v>0</v>
      </c>
      <c r="O176" s="71">
        <v>0</v>
      </c>
      <c r="P176" s="75"/>
      <c r="Q176" s="75"/>
      <c r="R176" s="64"/>
      <c r="W176" s="71">
        <v>0</v>
      </c>
    </row>
    <row r="177" spans="1:23" ht="18" customHeight="1" x14ac:dyDescent="0.2">
      <c r="A177" s="144"/>
      <c r="B177" s="155"/>
      <c r="C177" s="101" t="s">
        <v>13</v>
      </c>
      <c r="D177" s="69">
        <f t="shared" si="88"/>
        <v>0</v>
      </c>
      <c r="E177" s="69">
        <v>0</v>
      </c>
      <c r="F177" s="69">
        <v>0</v>
      </c>
      <c r="G177" s="69">
        <v>0</v>
      </c>
      <c r="H177" s="69">
        <v>0</v>
      </c>
      <c r="I177" s="69">
        <v>0</v>
      </c>
      <c r="J177" s="69">
        <v>0</v>
      </c>
      <c r="K177" s="69">
        <v>0</v>
      </c>
      <c r="L177" s="69">
        <v>0</v>
      </c>
      <c r="M177" s="69">
        <v>0</v>
      </c>
      <c r="N177" s="69">
        <v>0</v>
      </c>
      <c r="O177" s="69">
        <v>0</v>
      </c>
      <c r="P177" s="75"/>
      <c r="Q177" s="75"/>
      <c r="R177" s="64"/>
      <c r="W177" s="69">
        <v>0</v>
      </c>
    </row>
    <row r="178" spans="1:23" ht="15.75" x14ac:dyDescent="0.2">
      <c r="A178" s="137" t="s">
        <v>114</v>
      </c>
      <c r="B178" s="137" t="s">
        <v>213</v>
      </c>
      <c r="C178" s="101" t="s">
        <v>7</v>
      </c>
      <c r="D178" s="69">
        <f t="shared" si="88"/>
        <v>3590.6</v>
      </c>
      <c r="E178" s="69">
        <f>E179+E180+E181+E183</f>
        <v>2639.6</v>
      </c>
      <c r="F178" s="69">
        <f t="shared" ref="F178:K178" si="92">F179+F180+F181+F183</f>
        <v>951</v>
      </c>
      <c r="G178" s="69">
        <f t="shared" si="92"/>
        <v>0</v>
      </c>
      <c r="H178" s="69">
        <f t="shared" si="92"/>
        <v>0</v>
      </c>
      <c r="I178" s="69">
        <f t="shared" si="92"/>
        <v>0</v>
      </c>
      <c r="J178" s="69">
        <f t="shared" si="92"/>
        <v>0</v>
      </c>
      <c r="K178" s="69">
        <f t="shared" si="92"/>
        <v>0</v>
      </c>
      <c r="L178" s="69">
        <f>L179+L180+L181+L183</f>
        <v>0</v>
      </c>
      <c r="M178" s="69">
        <f>M179+M180+M181+M183</f>
        <v>0</v>
      </c>
      <c r="N178" s="69">
        <f>N179+N180+N181+N183</f>
        <v>0</v>
      </c>
      <c r="O178" s="69">
        <f>O179+O180+O181+O183</f>
        <v>0</v>
      </c>
      <c r="P178" s="64"/>
      <c r="Q178" s="64"/>
      <c r="R178" s="64"/>
      <c r="W178" s="69">
        <f>W179+W180+W181+W183</f>
        <v>0</v>
      </c>
    </row>
    <row r="179" spans="1:23" ht="15.75" x14ac:dyDescent="0.2">
      <c r="A179" s="144"/>
      <c r="B179" s="137"/>
      <c r="C179" s="101" t="s">
        <v>10</v>
      </c>
      <c r="D179" s="69">
        <f t="shared" si="88"/>
        <v>0</v>
      </c>
      <c r="E179" s="69">
        <v>0</v>
      </c>
      <c r="F179" s="69">
        <v>0</v>
      </c>
      <c r="G179" s="69">
        <v>0</v>
      </c>
      <c r="H179" s="69">
        <v>0</v>
      </c>
      <c r="I179" s="69">
        <v>0</v>
      </c>
      <c r="J179" s="69">
        <v>0</v>
      </c>
      <c r="K179" s="69">
        <v>0</v>
      </c>
      <c r="L179" s="69">
        <v>0</v>
      </c>
      <c r="M179" s="69">
        <v>0</v>
      </c>
      <c r="N179" s="69">
        <v>0</v>
      </c>
      <c r="O179" s="69">
        <v>0</v>
      </c>
      <c r="W179" s="69">
        <v>0</v>
      </c>
    </row>
    <row r="180" spans="1:23" ht="15.75" x14ac:dyDescent="0.2">
      <c r="A180" s="144"/>
      <c r="B180" s="137"/>
      <c r="C180" s="101" t="s">
        <v>11</v>
      </c>
      <c r="D180" s="69">
        <f t="shared" si="88"/>
        <v>0</v>
      </c>
      <c r="E180" s="69">
        <v>0</v>
      </c>
      <c r="F180" s="69">
        <v>0</v>
      </c>
      <c r="G180" s="69">
        <v>0</v>
      </c>
      <c r="H180" s="69">
        <v>0</v>
      </c>
      <c r="I180" s="69">
        <v>0</v>
      </c>
      <c r="J180" s="69">
        <v>0</v>
      </c>
      <c r="K180" s="69">
        <v>0</v>
      </c>
      <c r="L180" s="69">
        <v>0</v>
      </c>
      <c r="M180" s="69">
        <v>0</v>
      </c>
      <c r="N180" s="69">
        <v>0</v>
      </c>
      <c r="O180" s="69">
        <v>0</v>
      </c>
      <c r="W180" s="69">
        <v>0</v>
      </c>
    </row>
    <row r="181" spans="1:23" ht="31.5" x14ac:dyDescent="0.2">
      <c r="A181" s="144"/>
      <c r="B181" s="137"/>
      <c r="C181" s="101" t="s">
        <v>65</v>
      </c>
      <c r="D181" s="69">
        <f t="shared" si="88"/>
        <v>3590.6</v>
      </c>
      <c r="E181" s="69">
        <v>2639.6</v>
      </c>
      <c r="F181" s="69">
        <v>951</v>
      </c>
      <c r="G181" s="69">
        <v>0</v>
      </c>
      <c r="H181" s="69">
        <v>0</v>
      </c>
      <c r="I181" s="69">
        <v>0</v>
      </c>
      <c r="J181" s="69">
        <v>0</v>
      </c>
      <c r="K181" s="69">
        <v>0</v>
      </c>
      <c r="L181" s="69">
        <v>0</v>
      </c>
      <c r="M181" s="69">
        <v>0</v>
      </c>
      <c r="N181" s="69">
        <v>0</v>
      </c>
      <c r="O181" s="69">
        <v>0</v>
      </c>
      <c r="W181" s="69">
        <v>0</v>
      </c>
    </row>
    <row r="182" spans="1:23" ht="31.5" x14ac:dyDescent="0.2">
      <c r="A182" s="144"/>
      <c r="B182" s="137"/>
      <c r="C182" s="74" t="s">
        <v>79</v>
      </c>
      <c r="D182" s="69">
        <f t="shared" si="88"/>
        <v>3590.6</v>
      </c>
      <c r="E182" s="71">
        <f>E181</f>
        <v>2639.6</v>
      </c>
      <c r="F182" s="71">
        <v>951</v>
      </c>
      <c r="G182" s="71">
        <v>0</v>
      </c>
      <c r="H182" s="71">
        <v>0</v>
      </c>
      <c r="I182" s="71">
        <v>0</v>
      </c>
      <c r="J182" s="71">
        <v>0</v>
      </c>
      <c r="K182" s="69">
        <v>0</v>
      </c>
      <c r="L182" s="71">
        <v>0</v>
      </c>
      <c r="M182" s="71">
        <v>0</v>
      </c>
      <c r="N182" s="71">
        <v>0</v>
      </c>
      <c r="O182" s="69">
        <v>0</v>
      </c>
      <c r="W182" s="69">
        <v>0</v>
      </c>
    </row>
    <row r="183" spans="1:23" ht="21" customHeight="1" x14ac:dyDescent="0.2">
      <c r="A183" s="144"/>
      <c r="B183" s="137"/>
      <c r="C183" s="101" t="s">
        <v>13</v>
      </c>
      <c r="D183" s="69">
        <f t="shared" si="88"/>
        <v>0</v>
      </c>
      <c r="E183" s="69">
        <v>0</v>
      </c>
      <c r="F183" s="69">
        <v>0</v>
      </c>
      <c r="G183" s="69">
        <v>0</v>
      </c>
      <c r="H183" s="69">
        <v>0</v>
      </c>
      <c r="I183" s="69">
        <v>0</v>
      </c>
      <c r="J183" s="69">
        <v>0</v>
      </c>
      <c r="K183" s="69">
        <v>0</v>
      </c>
      <c r="L183" s="69">
        <v>0</v>
      </c>
      <c r="M183" s="69">
        <v>0</v>
      </c>
      <c r="N183" s="69">
        <v>0</v>
      </c>
      <c r="O183" s="69">
        <v>0</v>
      </c>
      <c r="W183" s="69">
        <v>0</v>
      </c>
    </row>
    <row r="184" spans="1:23" ht="15.75" x14ac:dyDescent="0.2">
      <c r="A184" s="137" t="s">
        <v>115</v>
      </c>
      <c r="B184" s="137" t="s">
        <v>217</v>
      </c>
      <c r="C184" s="101" t="s">
        <v>7</v>
      </c>
      <c r="D184" s="69">
        <f t="shared" si="88"/>
        <v>2617.1</v>
      </c>
      <c r="E184" s="69">
        <f t="shared" ref="E184:O184" si="93">E185+E186+E187+E188</f>
        <v>0</v>
      </c>
      <c r="F184" s="69">
        <f t="shared" si="93"/>
        <v>0</v>
      </c>
      <c r="G184" s="69">
        <f t="shared" si="93"/>
        <v>332.6</v>
      </c>
      <c r="H184" s="69">
        <f>H185+H186+H187+H188</f>
        <v>984.5</v>
      </c>
      <c r="I184" s="69">
        <f t="shared" si="93"/>
        <v>690</v>
      </c>
      <c r="J184" s="69">
        <f t="shared" si="93"/>
        <v>160</v>
      </c>
      <c r="K184" s="69">
        <f t="shared" si="93"/>
        <v>450</v>
      </c>
      <c r="L184" s="69">
        <f t="shared" si="93"/>
        <v>0</v>
      </c>
      <c r="M184" s="69">
        <f t="shared" si="93"/>
        <v>0</v>
      </c>
      <c r="N184" s="69">
        <f t="shared" si="93"/>
        <v>0</v>
      </c>
      <c r="O184" s="69">
        <f t="shared" si="93"/>
        <v>0</v>
      </c>
      <c r="W184" s="69">
        <f t="shared" ref="W184" si="94">W185+W186+W187+W188</f>
        <v>0</v>
      </c>
    </row>
    <row r="185" spans="1:23" ht="15.75" x14ac:dyDescent="0.2">
      <c r="A185" s="144"/>
      <c r="B185" s="137"/>
      <c r="C185" s="101" t="s">
        <v>10</v>
      </c>
      <c r="D185" s="69">
        <f t="shared" si="88"/>
        <v>0</v>
      </c>
      <c r="E185" s="69">
        <v>0</v>
      </c>
      <c r="F185" s="69">
        <v>0</v>
      </c>
      <c r="G185" s="69">
        <v>0</v>
      </c>
      <c r="H185" s="69">
        <v>0</v>
      </c>
      <c r="I185" s="69">
        <v>0</v>
      </c>
      <c r="J185" s="69">
        <v>0</v>
      </c>
      <c r="K185" s="69">
        <v>0</v>
      </c>
      <c r="L185" s="69">
        <v>0</v>
      </c>
      <c r="M185" s="69">
        <v>0</v>
      </c>
      <c r="N185" s="69">
        <v>0</v>
      </c>
      <c r="O185" s="69">
        <v>0</v>
      </c>
      <c r="W185" s="69">
        <v>0</v>
      </c>
    </row>
    <row r="186" spans="1:23" ht="15.75" x14ac:dyDescent="0.2">
      <c r="A186" s="144"/>
      <c r="B186" s="137"/>
      <c r="C186" s="101" t="s">
        <v>11</v>
      </c>
      <c r="D186" s="69">
        <f t="shared" si="88"/>
        <v>0</v>
      </c>
      <c r="E186" s="69">
        <v>0</v>
      </c>
      <c r="F186" s="69">
        <v>0</v>
      </c>
      <c r="G186" s="69">
        <v>0</v>
      </c>
      <c r="H186" s="69">
        <v>0</v>
      </c>
      <c r="I186" s="69">
        <v>0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  <c r="W186" s="69">
        <v>0</v>
      </c>
    </row>
    <row r="187" spans="1:23" ht="15.75" x14ac:dyDescent="0.2">
      <c r="A187" s="144"/>
      <c r="B187" s="137"/>
      <c r="C187" s="101" t="s">
        <v>12</v>
      </c>
      <c r="D187" s="69">
        <f t="shared" si="88"/>
        <v>2617.1</v>
      </c>
      <c r="E187" s="69">
        <v>0</v>
      </c>
      <c r="F187" s="69">
        <v>0</v>
      </c>
      <c r="G187" s="69">
        <v>332.6</v>
      </c>
      <c r="H187" s="69">
        <v>984.5</v>
      </c>
      <c r="I187" s="69">
        <v>690</v>
      </c>
      <c r="J187" s="69">
        <f>2000-1800-40</f>
        <v>160</v>
      </c>
      <c r="K187" s="69">
        <f>2000-1550</f>
        <v>450</v>
      </c>
      <c r="L187" s="69">
        <v>0</v>
      </c>
      <c r="M187" s="69">
        <v>0</v>
      </c>
      <c r="N187" s="69">
        <v>0</v>
      </c>
      <c r="O187" s="69">
        <f>2433.3-2433.3</f>
        <v>0</v>
      </c>
      <c r="W187" s="69">
        <f>2433.3-2433.3</f>
        <v>0</v>
      </c>
    </row>
    <row r="188" spans="1:23" ht="43.5" customHeight="1" x14ac:dyDescent="0.2">
      <c r="A188" s="144"/>
      <c r="B188" s="137"/>
      <c r="C188" s="101" t="s">
        <v>13</v>
      </c>
      <c r="D188" s="69">
        <f t="shared" si="88"/>
        <v>0</v>
      </c>
      <c r="E188" s="69">
        <v>0</v>
      </c>
      <c r="F188" s="69">
        <v>0</v>
      </c>
      <c r="G188" s="69">
        <v>0</v>
      </c>
      <c r="H188" s="69">
        <v>0</v>
      </c>
      <c r="I188" s="69">
        <v>0</v>
      </c>
      <c r="J188" s="69">
        <v>0</v>
      </c>
      <c r="K188" s="69">
        <v>0</v>
      </c>
      <c r="L188" s="69">
        <v>0</v>
      </c>
      <c r="M188" s="69">
        <v>0</v>
      </c>
      <c r="N188" s="69">
        <v>0</v>
      </c>
      <c r="O188" s="69">
        <v>0</v>
      </c>
      <c r="W188" s="69">
        <v>0</v>
      </c>
    </row>
    <row r="189" spans="1:23" ht="15.75" x14ac:dyDescent="0.2">
      <c r="A189" s="137" t="s">
        <v>116</v>
      </c>
      <c r="B189" s="137" t="s">
        <v>224</v>
      </c>
      <c r="C189" s="101" t="s">
        <v>7</v>
      </c>
      <c r="D189" s="69">
        <f t="shared" si="88"/>
        <v>11968.3</v>
      </c>
      <c r="E189" s="69">
        <f t="shared" ref="E189:J189" si="95">E190+E191+E192+E193</f>
        <v>0</v>
      </c>
      <c r="F189" s="69">
        <f t="shared" si="95"/>
        <v>0</v>
      </c>
      <c r="G189" s="69">
        <f t="shared" si="95"/>
        <v>0</v>
      </c>
      <c r="H189" s="69">
        <f t="shared" si="95"/>
        <v>3968.3</v>
      </c>
      <c r="I189" s="69">
        <f t="shared" si="95"/>
        <v>0</v>
      </c>
      <c r="J189" s="69">
        <f t="shared" si="95"/>
        <v>0</v>
      </c>
      <c r="K189" s="69">
        <v>0</v>
      </c>
      <c r="L189" s="69">
        <f>L190+L191+L192+L193</f>
        <v>0</v>
      </c>
      <c r="M189" s="69">
        <f>M190+M191+M192+M193</f>
        <v>0</v>
      </c>
      <c r="N189" s="69">
        <f>N190+N191+N192+N193</f>
        <v>8000</v>
      </c>
      <c r="O189" s="69">
        <f>O190+O191+O192+O193</f>
        <v>0</v>
      </c>
      <c r="W189" s="69">
        <f>W190+W191+W192+W193</f>
        <v>0</v>
      </c>
    </row>
    <row r="190" spans="1:23" ht="15.75" x14ac:dyDescent="0.2">
      <c r="A190" s="144"/>
      <c r="B190" s="137"/>
      <c r="C190" s="101" t="s">
        <v>10</v>
      </c>
      <c r="D190" s="69">
        <f t="shared" si="88"/>
        <v>0</v>
      </c>
      <c r="E190" s="69">
        <v>0</v>
      </c>
      <c r="F190" s="69">
        <v>0</v>
      </c>
      <c r="G190" s="69">
        <v>0</v>
      </c>
      <c r="H190" s="69">
        <v>0</v>
      </c>
      <c r="I190" s="69">
        <v>0</v>
      </c>
      <c r="J190" s="69">
        <v>0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  <c r="W190" s="69">
        <v>0</v>
      </c>
    </row>
    <row r="191" spans="1:23" ht="15.75" x14ac:dyDescent="0.2">
      <c r="A191" s="144"/>
      <c r="B191" s="137"/>
      <c r="C191" s="101" t="s">
        <v>11</v>
      </c>
      <c r="D191" s="69">
        <f t="shared" si="88"/>
        <v>0</v>
      </c>
      <c r="E191" s="69">
        <v>0</v>
      </c>
      <c r="F191" s="69">
        <v>0</v>
      </c>
      <c r="G191" s="69">
        <v>0</v>
      </c>
      <c r="H191" s="69">
        <v>0</v>
      </c>
      <c r="I191" s="69">
        <v>0</v>
      </c>
      <c r="J191" s="69">
        <v>0</v>
      </c>
      <c r="K191" s="69">
        <v>0</v>
      </c>
      <c r="L191" s="69">
        <v>0</v>
      </c>
      <c r="M191" s="69">
        <v>0</v>
      </c>
      <c r="N191" s="69">
        <v>0</v>
      </c>
      <c r="O191" s="69">
        <v>0</v>
      </c>
      <c r="W191" s="69">
        <v>0</v>
      </c>
    </row>
    <row r="192" spans="1:23" ht="15.75" x14ac:dyDescent="0.2">
      <c r="A192" s="144"/>
      <c r="B192" s="137"/>
      <c r="C192" s="101" t="s">
        <v>12</v>
      </c>
      <c r="D192" s="69">
        <f t="shared" si="88"/>
        <v>11968.3</v>
      </c>
      <c r="E192" s="69">
        <v>0</v>
      </c>
      <c r="F192" s="69">
        <v>0</v>
      </c>
      <c r="G192" s="69">
        <v>0</v>
      </c>
      <c r="H192" s="69">
        <v>3968.3</v>
      </c>
      <c r="I192" s="69">
        <v>0</v>
      </c>
      <c r="J192" s="69">
        <v>0</v>
      </c>
      <c r="K192" s="69">
        <v>0</v>
      </c>
      <c r="L192" s="69">
        <v>0</v>
      </c>
      <c r="M192" s="69">
        <v>0</v>
      </c>
      <c r="N192" s="69">
        <f>8000-336.7+336.7</f>
        <v>8000</v>
      </c>
      <c r="O192" s="69">
        <v>0</v>
      </c>
      <c r="W192" s="69">
        <v>0</v>
      </c>
    </row>
    <row r="193" spans="1:25" ht="44.25" customHeight="1" x14ac:dyDescent="0.2">
      <c r="A193" s="144"/>
      <c r="B193" s="137"/>
      <c r="C193" s="101" t="s">
        <v>13</v>
      </c>
      <c r="D193" s="69">
        <f t="shared" si="88"/>
        <v>0</v>
      </c>
      <c r="E193" s="69">
        <v>0</v>
      </c>
      <c r="F193" s="69">
        <v>0</v>
      </c>
      <c r="G193" s="69">
        <v>0</v>
      </c>
      <c r="H193" s="69">
        <v>0</v>
      </c>
      <c r="I193" s="69">
        <v>0</v>
      </c>
      <c r="J193" s="69">
        <v>0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  <c r="W193" s="69">
        <v>0</v>
      </c>
    </row>
    <row r="194" spans="1:25" ht="15.75" x14ac:dyDescent="0.2">
      <c r="A194" s="137" t="s">
        <v>117</v>
      </c>
      <c r="B194" s="137" t="s">
        <v>225</v>
      </c>
      <c r="C194" s="101" t="s">
        <v>7</v>
      </c>
      <c r="D194" s="69">
        <f t="shared" si="88"/>
        <v>15790</v>
      </c>
      <c r="E194" s="69">
        <f t="shared" ref="E194:K194" si="96">E195+E196+E197+E198</f>
        <v>0</v>
      </c>
      <c r="F194" s="69">
        <f t="shared" si="96"/>
        <v>15790</v>
      </c>
      <c r="G194" s="69">
        <f t="shared" si="96"/>
        <v>0</v>
      </c>
      <c r="H194" s="69">
        <f t="shared" si="96"/>
        <v>0</v>
      </c>
      <c r="I194" s="69">
        <f t="shared" si="96"/>
        <v>0</v>
      </c>
      <c r="J194" s="69">
        <f t="shared" si="96"/>
        <v>0</v>
      </c>
      <c r="K194" s="69">
        <f t="shared" si="96"/>
        <v>0</v>
      </c>
      <c r="L194" s="69">
        <f>L195+L196+L197+L198</f>
        <v>0</v>
      </c>
      <c r="M194" s="69">
        <f>M195+M196+M197+M198</f>
        <v>0</v>
      </c>
      <c r="N194" s="69">
        <f>N195+N196+N197+N198</f>
        <v>0</v>
      </c>
      <c r="O194" s="69">
        <f>O195+O196+O197+O198</f>
        <v>0</v>
      </c>
      <c r="W194" s="69">
        <f>W195+W196+W197+W198</f>
        <v>0</v>
      </c>
    </row>
    <row r="195" spans="1:25" ht="18" customHeight="1" x14ac:dyDescent="0.2">
      <c r="A195" s="144"/>
      <c r="B195" s="137"/>
      <c r="C195" s="96" t="s">
        <v>10</v>
      </c>
      <c r="D195" s="69">
        <f t="shared" si="88"/>
        <v>0</v>
      </c>
      <c r="E195" s="69">
        <v>0</v>
      </c>
      <c r="F195" s="69">
        <v>0</v>
      </c>
      <c r="G195" s="69">
        <v>0</v>
      </c>
      <c r="H195" s="69">
        <v>0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W195" s="69">
        <v>0</v>
      </c>
    </row>
    <row r="196" spans="1:25" ht="18" customHeight="1" x14ac:dyDescent="0.2">
      <c r="A196" s="144"/>
      <c r="B196" s="137"/>
      <c r="C196" s="96" t="s">
        <v>11</v>
      </c>
      <c r="D196" s="69">
        <f t="shared" si="88"/>
        <v>15000</v>
      </c>
      <c r="E196" s="69">
        <v>0</v>
      </c>
      <c r="F196" s="69">
        <v>15000</v>
      </c>
      <c r="G196" s="69">
        <v>0</v>
      </c>
      <c r="H196" s="69">
        <v>0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  <c r="W196" s="69">
        <v>0</v>
      </c>
    </row>
    <row r="197" spans="1:25" ht="15.75" x14ac:dyDescent="0.2">
      <c r="A197" s="144"/>
      <c r="B197" s="137"/>
      <c r="C197" s="96" t="s">
        <v>12</v>
      </c>
      <c r="D197" s="69">
        <f t="shared" si="88"/>
        <v>790</v>
      </c>
      <c r="E197" s="69">
        <v>0</v>
      </c>
      <c r="F197" s="69">
        <v>790</v>
      </c>
      <c r="G197" s="69">
        <v>0</v>
      </c>
      <c r="H197" s="69">
        <v>0</v>
      </c>
      <c r="I197" s="69">
        <v>0</v>
      </c>
      <c r="J197" s="69">
        <v>0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  <c r="W197" s="69">
        <v>0</v>
      </c>
    </row>
    <row r="198" spans="1:25" ht="36.75" customHeight="1" x14ac:dyDescent="0.2">
      <c r="A198" s="144"/>
      <c r="B198" s="137"/>
      <c r="C198" s="96" t="s">
        <v>13</v>
      </c>
      <c r="D198" s="69">
        <f t="shared" si="88"/>
        <v>0</v>
      </c>
      <c r="E198" s="69">
        <v>0</v>
      </c>
      <c r="F198" s="69">
        <v>0</v>
      </c>
      <c r="G198" s="69">
        <v>0</v>
      </c>
      <c r="H198" s="69">
        <v>0</v>
      </c>
      <c r="I198" s="69">
        <v>0</v>
      </c>
      <c r="J198" s="69">
        <v>0</v>
      </c>
      <c r="K198" s="69">
        <v>0</v>
      </c>
      <c r="L198" s="69">
        <v>0</v>
      </c>
      <c r="M198" s="69">
        <v>0</v>
      </c>
      <c r="N198" s="69">
        <v>0</v>
      </c>
      <c r="O198" s="69">
        <v>0</v>
      </c>
      <c r="W198" s="69">
        <v>0</v>
      </c>
    </row>
    <row r="199" spans="1:25" ht="15.75" x14ac:dyDescent="0.2">
      <c r="A199" s="137" t="s">
        <v>118</v>
      </c>
      <c r="B199" s="137" t="s">
        <v>378</v>
      </c>
      <c r="C199" s="101" t="s">
        <v>7</v>
      </c>
      <c r="D199" s="69">
        <f t="shared" si="88"/>
        <v>3010244.1</v>
      </c>
      <c r="E199" s="69">
        <f t="shared" ref="E199:M199" si="97">E200+E201+E203+E205</f>
        <v>0</v>
      </c>
      <c r="F199" s="69">
        <f t="shared" si="97"/>
        <v>0</v>
      </c>
      <c r="G199" s="69">
        <f t="shared" si="97"/>
        <v>27664</v>
      </c>
      <c r="H199" s="69">
        <f t="shared" si="97"/>
        <v>50456.399999999994</v>
      </c>
      <c r="I199" s="69">
        <f t="shared" si="97"/>
        <v>17092.099999999999</v>
      </c>
      <c r="J199" s="69">
        <f t="shared" si="97"/>
        <v>373247.1</v>
      </c>
      <c r="K199" s="69">
        <f t="shared" si="97"/>
        <v>886803.5</v>
      </c>
      <c r="L199" s="69">
        <f t="shared" si="97"/>
        <v>611320</v>
      </c>
      <c r="M199" s="69">
        <f t="shared" si="97"/>
        <v>194157.5</v>
      </c>
      <c r="N199" s="69">
        <f>N200+N201+N203+N205</f>
        <v>479993.5</v>
      </c>
      <c r="O199" s="69">
        <f>O200+O201+O203+O205</f>
        <v>333691.2</v>
      </c>
      <c r="P199" s="58"/>
      <c r="Q199" s="67"/>
      <c r="R199" s="77"/>
      <c r="T199" s="78"/>
      <c r="W199" s="69">
        <f>W200+W201+W203+W205</f>
        <v>35818.799999999996</v>
      </c>
      <c r="X199" s="63"/>
      <c r="Y199" s="63"/>
    </row>
    <row r="200" spans="1:25" ht="15.75" x14ac:dyDescent="0.2">
      <c r="A200" s="144"/>
      <c r="B200" s="137"/>
      <c r="C200" s="96" t="s">
        <v>10</v>
      </c>
      <c r="D200" s="69">
        <f t="shared" si="88"/>
        <v>0</v>
      </c>
      <c r="E200" s="69">
        <v>0</v>
      </c>
      <c r="F200" s="69">
        <v>0</v>
      </c>
      <c r="G200" s="69">
        <v>0</v>
      </c>
      <c r="H200" s="69">
        <v>0</v>
      </c>
      <c r="I200" s="69">
        <v>0</v>
      </c>
      <c r="J200" s="69">
        <v>0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  <c r="W200" s="69">
        <v>0</v>
      </c>
    </row>
    <row r="201" spans="1:25" ht="31.5" x14ac:dyDescent="0.2">
      <c r="A201" s="144"/>
      <c r="B201" s="137"/>
      <c r="C201" s="96" t="s">
        <v>69</v>
      </c>
      <c r="D201" s="69">
        <f t="shared" si="88"/>
        <v>2800922.6</v>
      </c>
      <c r="E201" s="69">
        <v>0</v>
      </c>
      <c r="F201" s="69">
        <v>0</v>
      </c>
      <c r="G201" s="69">
        <v>26276.799999999999</v>
      </c>
      <c r="H201" s="69">
        <v>47416.2</v>
      </c>
      <c r="I201" s="69">
        <v>16128.9</v>
      </c>
      <c r="J201" s="69">
        <v>350852.3</v>
      </c>
      <c r="K201" s="69">
        <v>827090.5</v>
      </c>
      <c r="L201" s="69">
        <f>90675.1+341780.4+162261.4-10000-10076.1</f>
        <v>574640.80000000005</v>
      </c>
      <c r="M201" s="69">
        <f>221840-840+3039.3-55669.4+14000</f>
        <v>182369.9</v>
      </c>
      <c r="N201" s="57">
        <f>304617+103671.2+20519.6</f>
        <v>428807.8</v>
      </c>
      <c r="O201" s="69">
        <f>350000-36330.3</f>
        <v>313669.7</v>
      </c>
      <c r="P201" s="79"/>
      <c r="Q201" s="64"/>
      <c r="W201" s="69">
        <v>33669.699999999997</v>
      </c>
    </row>
    <row r="202" spans="1:25" ht="31.5" x14ac:dyDescent="0.2">
      <c r="A202" s="144"/>
      <c r="B202" s="137"/>
      <c r="C202" s="72" t="s">
        <v>81</v>
      </c>
      <c r="D202" s="69">
        <f t="shared" si="88"/>
        <v>114001.8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10330.6</v>
      </c>
      <c r="N202" s="71">
        <v>103671.2</v>
      </c>
      <c r="O202" s="71">
        <v>0</v>
      </c>
      <c r="P202" s="79"/>
      <c r="Q202" s="64"/>
      <c r="W202" s="71">
        <v>0</v>
      </c>
    </row>
    <row r="203" spans="1:25" ht="31.5" x14ac:dyDescent="0.2">
      <c r="A203" s="144"/>
      <c r="B203" s="137"/>
      <c r="C203" s="96" t="s">
        <v>65</v>
      </c>
      <c r="D203" s="69">
        <f t="shared" si="88"/>
        <v>209321.49999999997</v>
      </c>
      <c r="E203" s="69">
        <v>0</v>
      </c>
      <c r="F203" s="69">
        <v>0</v>
      </c>
      <c r="G203" s="69">
        <v>1387.2</v>
      </c>
      <c r="H203" s="69">
        <v>3040.2</v>
      </c>
      <c r="I203" s="69">
        <v>963.2</v>
      </c>
      <c r="J203" s="69">
        <v>22394.799999999999</v>
      </c>
      <c r="K203" s="69">
        <v>59713</v>
      </c>
      <c r="L203" s="69">
        <f>24355.9+3247.6+10357.2-0.1-638.3-643.2+0.1</f>
        <v>36679.199999999997</v>
      </c>
      <c r="M203" s="69">
        <f>14160-53.6+194+659.4+146.9-3319.1</f>
        <v>11787.599999999999</v>
      </c>
      <c r="N203" s="57">
        <f>19443.6+21829.3+3295.5+7500+6617.3-7500</f>
        <v>51185.7</v>
      </c>
      <c r="O203" s="69">
        <f>22340.4-2318.9</f>
        <v>20021.5</v>
      </c>
      <c r="P203" s="79"/>
      <c r="Q203" s="64"/>
      <c r="W203" s="69">
        <v>2149.1</v>
      </c>
      <c r="X203" s="60"/>
    </row>
    <row r="204" spans="1:25" ht="31.5" x14ac:dyDescent="0.2">
      <c r="A204" s="144"/>
      <c r="B204" s="137"/>
      <c r="C204" s="72" t="s">
        <v>448</v>
      </c>
      <c r="D204" s="69">
        <f t="shared" si="88"/>
        <v>7276.7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659.4</v>
      </c>
      <c r="N204" s="71">
        <v>6617.3</v>
      </c>
      <c r="O204" s="71">
        <v>0</v>
      </c>
      <c r="P204" s="75"/>
      <c r="Q204" s="64"/>
      <c r="W204" s="71">
        <v>0</v>
      </c>
    </row>
    <row r="205" spans="1:25" ht="28.5" customHeight="1" x14ac:dyDescent="0.2">
      <c r="A205" s="144"/>
      <c r="B205" s="137"/>
      <c r="C205" s="96" t="s">
        <v>13</v>
      </c>
      <c r="D205" s="69">
        <f t="shared" si="88"/>
        <v>0</v>
      </c>
      <c r="E205" s="69">
        <v>0</v>
      </c>
      <c r="F205" s="69">
        <v>0</v>
      </c>
      <c r="G205" s="69">
        <v>0</v>
      </c>
      <c r="H205" s="69">
        <v>0</v>
      </c>
      <c r="I205" s="69">
        <v>0</v>
      </c>
      <c r="J205" s="69">
        <v>0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0"/>
      <c r="Q205" s="60"/>
      <c r="W205" s="69">
        <v>0</v>
      </c>
    </row>
    <row r="206" spans="1:25" ht="15.75" x14ac:dyDescent="0.2">
      <c r="A206" s="137" t="s">
        <v>212</v>
      </c>
      <c r="B206" s="137" t="s">
        <v>298</v>
      </c>
      <c r="C206" s="101" t="s">
        <v>7</v>
      </c>
      <c r="D206" s="69">
        <f t="shared" si="88"/>
        <v>22347.4</v>
      </c>
      <c r="E206" s="69">
        <f t="shared" ref="E206:K206" si="98">E207+E208+E209+E211</f>
        <v>0</v>
      </c>
      <c r="F206" s="69">
        <f t="shared" si="98"/>
        <v>0</v>
      </c>
      <c r="G206" s="69">
        <f t="shared" si="98"/>
        <v>0</v>
      </c>
      <c r="H206" s="69">
        <f t="shared" si="98"/>
        <v>0</v>
      </c>
      <c r="I206" s="69">
        <f t="shared" si="98"/>
        <v>1845.8</v>
      </c>
      <c r="J206" s="69">
        <f t="shared" si="98"/>
        <v>4535.2</v>
      </c>
      <c r="K206" s="69">
        <f t="shared" si="98"/>
        <v>599.90000000000146</v>
      </c>
      <c r="L206" s="69">
        <f>L207+L208+L209+L211</f>
        <v>4131.6000000000004</v>
      </c>
      <c r="M206" s="69">
        <f>M207+M208+M209+M211</f>
        <v>7103.3</v>
      </c>
      <c r="N206" s="69">
        <f>N207+N208+N209+N211</f>
        <v>4131.6000000000004</v>
      </c>
      <c r="O206" s="69">
        <f>O207+O208+O209+O211</f>
        <v>0</v>
      </c>
      <c r="P206" s="58" t="s">
        <v>354</v>
      </c>
      <c r="Q206" s="67"/>
      <c r="T206" s="78"/>
      <c r="W206" s="69">
        <f>W207+W208+W209+W211</f>
        <v>0</v>
      </c>
    </row>
    <row r="207" spans="1:25" ht="15.75" x14ac:dyDescent="0.2">
      <c r="A207" s="144"/>
      <c r="B207" s="144"/>
      <c r="C207" s="101" t="s">
        <v>10</v>
      </c>
      <c r="D207" s="69">
        <f t="shared" si="88"/>
        <v>0</v>
      </c>
      <c r="E207" s="69">
        <v>0</v>
      </c>
      <c r="F207" s="69">
        <v>0</v>
      </c>
      <c r="G207" s="69">
        <v>0</v>
      </c>
      <c r="H207" s="69">
        <v>0</v>
      </c>
      <c r="I207" s="69">
        <v>0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  <c r="W207" s="69">
        <v>0</v>
      </c>
    </row>
    <row r="208" spans="1:25" ht="15.75" x14ac:dyDescent="0.2">
      <c r="A208" s="144"/>
      <c r="B208" s="144"/>
      <c r="C208" s="101" t="s">
        <v>11</v>
      </c>
      <c r="D208" s="69">
        <f t="shared" si="88"/>
        <v>0</v>
      </c>
      <c r="E208" s="69">
        <v>0</v>
      </c>
      <c r="F208" s="69">
        <v>0</v>
      </c>
      <c r="G208" s="69">
        <v>0</v>
      </c>
      <c r="H208" s="69">
        <v>0</v>
      </c>
      <c r="I208" s="69">
        <v>0</v>
      </c>
      <c r="J208" s="69">
        <v>0</v>
      </c>
      <c r="K208" s="69">
        <v>0</v>
      </c>
      <c r="L208" s="69">
        <v>0</v>
      </c>
      <c r="M208" s="69">
        <v>0</v>
      </c>
      <c r="N208" s="69">
        <v>0</v>
      </c>
      <c r="O208" s="69">
        <v>0</v>
      </c>
      <c r="P208" s="60"/>
      <c r="Q208" s="60"/>
      <c r="W208" s="69">
        <v>0</v>
      </c>
    </row>
    <row r="209" spans="1:23" ht="31.5" x14ac:dyDescent="0.2">
      <c r="A209" s="144"/>
      <c r="B209" s="144"/>
      <c r="C209" s="96" t="s">
        <v>65</v>
      </c>
      <c r="D209" s="69">
        <f t="shared" si="88"/>
        <v>22347.4</v>
      </c>
      <c r="E209" s="69">
        <v>0</v>
      </c>
      <c r="F209" s="69">
        <v>0</v>
      </c>
      <c r="G209" s="69">
        <v>0</v>
      </c>
      <c r="H209" s="69">
        <v>0</v>
      </c>
      <c r="I209" s="69">
        <v>1845.8</v>
      </c>
      <c r="J209" s="69">
        <f>4243-69.6+361.8</f>
        <v>4535.2</v>
      </c>
      <c r="K209" s="69">
        <f>14535.2-13935.3</f>
        <v>599.90000000000146</v>
      </c>
      <c r="L209" s="69">
        <v>4131.6000000000004</v>
      </c>
      <c r="M209" s="69">
        <f>4131.6+3311.5-339.8</f>
        <v>7103.3</v>
      </c>
      <c r="N209" s="69">
        <v>4131.6000000000004</v>
      </c>
      <c r="O209" s="69">
        <v>0</v>
      </c>
      <c r="W209" s="69">
        <v>0</v>
      </c>
    </row>
    <row r="210" spans="1:23" ht="42.75" customHeight="1" x14ac:dyDescent="0.2">
      <c r="A210" s="144"/>
      <c r="B210" s="144"/>
      <c r="C210" s="96" t="s">
        <v>448</v>
      </c>
      <c r="D210" s="71">
        <f t="shared" si="88"/>
        <v>4131.6000000000004</v>
      </c>
      <c r="E210" s="71">
        <v>0</v>
      </c>
      <c r="F210" s="71">
        <v>0</v>
      </c>
      <c r="G210" s="71">
        <v>0</v>
      </c>
      <c r="H210" s="71">
        <v>0</v>
      </c>
      <c r="I210" s="71">
        <v>0</v>
      </c>
      <c r="J210" s="71">
        <v>0</v>
      </c>
      <c r="K210" s="71">
        <v>0</v>
      </c>
      <c r="L210" s="71">
        <v>0</v>
      </c>
      <c r="M210" s="71">
        <v>0</v>
      </c>
      <c r="N210" s="71">
        <v>4131.6000000000004</v>
      </c>
      <c r="O210" s="71">
        <v>0</v>
      </c>
      <c r="P210" s="85"/>
      <c r="Q210" s="85"/>
      <c r="R210" s="85"/>
      <c r="S210" s="85"/>
      <c r="T210" s="85"/>
      <c r="U210" s="85"/>
      <c r="V210" s="85"/>
      <c r="W210" s="71">
        <v>0</v>
      </c>
    </row>
    <row r="211" spans="1:23" ht="35.25" customHeight="1" x14ac:dyDescent="0.2">
      <c r="A211" s="144"/>
      <c r="B211" s="144"/>
      <c r="C211" s="101" t="s">
        <v>13</v>
      </c>
      <c r="D211" s="69">
        <f t="shared" si="88"/>
        <v>0</v>
      </c>
      <c r="E211" s="69">
        <v>0</v>
      </c>
      <c r="F211" s="69">
        <v>0</v>
      </c>
      <c r="G211" s="69">
        <v>0</v>
      </c>
      <c r="H211" s="69">
        <v>0</v>
      </c>
      <c r="I211" s="69">
        <v>0</v>
      </c>
      <c r="J211" s="69">
        <v>0</v>
      </c>
      <c r="K211" s="69">
        <v>0</v>
      </c>
      <c r="L211" s="69">
        <v>0</v>
      </c>
      <c r="M211" s="69">
        <v>0</v>
      </c>
      <c r="N211" s="69">
        <v>0</v>
      </c>
      <c r="O211" s="69">
        <v>0</v>
      </c>
      <c r="W211" s="69">
        <v>0</v>
      </c>
    </row>
    <row r="212" spans="1:23" ht="15.75" x14ac:dyDescent="0.2">
      <c r="A212" s="137" t="s">
        <v>252</v>
      </c>
      <c r="B212" s="137" t="s">
        <v>256</v>
      </c>
      <c r="C212" s="101" t="s">
        <v>7</v>
      </c>
      <c r="D212" s="69">
        <f t="shared" si="88"/>
        <v>379.3</v>
      </c>
      <c r="E212" s="69">
        <f t="shared" ref="E212:J212" si="99">E213+E214+E215+E216</f>
        <v>0</v>
      </c>
      <c r="F212" s="69">
        <f t="shared" si="99"/>
        <v>0</v>
      </c>
      <c r="G212" s="69">
        <f t="shared" si="99"/>
        <v>0</v>
      </c>
      <c r="H212" s="69">
        <f t="shared" si="99"/>
        <v>0</v>
      </c>
      <c r="I212" s="69">
        <f t="shared" si="99"/>
        <v>10.3</v>
      </c>
      <c r="J212" s="69">
        <f t="shared" si="99"/>
        <v>0</v>
      </c>
      <c r="K212" s="69">
        <f>K213+K214+K215+K216</f>
        <v>369</v>
      </c>
      <c r="L212" s="69">
        <f>L213+L214+L215+L216</f>
        <v>0</v>
      </c>
      <c r="M212" s="69">
        <f>M213+M214+M215+M216</f>
        <v>0</v>
      </c>
      <c r="N212" s="69">
        <f>N213+N214+N215+N216</f>
        <v>0</v>
      </c>
      <c r="O212" s="69">
        <f>O213+O214+O215+O216</f>
        <v>0</v>
      </c>
      <c r="P212" s="62" t="s">
        <v>354</v>
      </c>
      <c r="W212" s="69">
        <f>W213+W214+W215+W216</f>
        <v>0</v>
      </c>
    </row>
    <row r="213" spans="1:23" ht="15.75" x14ac:dyDescent="0.2">
      <c r="A213" s="144"/>
      <c r="B213" s="144"/>
      <c r="C213" s="101" t="s">
        <v>10</v>
      </c>
      <c r="D213" s="69">
        <f t="shared" si="88"/>
        <v>0</v>
      </c>
      <c r="E213" s="69">
        <v>0</v>
      </c>
      <c r="F213" s="69">
        <v>0</v>
      </c>
      <c r="G213" s="69">
        <v>0</v>
      </c>
      <c r="H213" s="69">
        <v>0</v>
      </c>
      <c r="I213" s="69">
        <v>0</v>
      </c>
      <c r="J213" s="69">
        <v>0</v>
      </c>
      <c r="K213" s="69">
        <v>0</v>
      </c>
      <c r="L213" s="69">
        <v>0</v>
      </c>
      <c r="M213" s="69">
        <v>0</v>
      </c>
      <c r="N213" s="69">
        <v>0</v>
      </c>
      <c r="O213" s="69">
        <v>0</v>
      </c>
      <c r="W213" s="69">
        <v>0</v>
      </c>
    </row>
    <row r="214" spans="1:23" ht="15.75" x14ac:dyDescent="0.2">
      <c r="A214" s="144"/>
      <c r="B214" s="144"/>
      <c r="C214" s="101" t="s">
        <v>11</v>
      </c>
      <c r="D214" s="69">
        <f t="shared" si="88"/>
        <v>0</v>
      </c>
      <c r="E214" s="69">
        <v>0</v>
      </c>
      <c r="F214" s="69">
        <v>0</v>
      </c>
      <c r="G214" s="69">
        <v>0</v>
      </c>
      <c r="H214" s="69">
        <v>0</v>
      </c>
      <c r="I214" s="69">
        <v>0</v>
      </c>
      <c r="J214" s="69">
        <v>0</v>
      </c>
      <c r="K214" s="69">
        <v>0</v>
      </c>
      <c r="L214" s="69">
        <v>0</v>
      </c>
      <c r="M214" s="69">
        <v>0</v>
      </c>
      <c r="N214" s="69">
        <v>0</v>
      </c>
      <c r="O214" s="69">
        <v>0</v>
      </c>
      <c r="W214" s="69">
        <v>0</v>
      </c>
    </row>
    <row r="215" spans="1:23" ht="15.75" x14ac:dyDescent="0.2">
      <c r="A215" s="144"/>
      <c r="B215" s="144"/>
      <c r="C215" s="101" t="s">
        <v>12</v>
      </c>
      <c r="D215" s="69">
        <f t="shared" si="88"/>
        <v>379.3</v>
      </c>
      <c r="E215" s="69">
        <v>0</v>
      </c>
      <c r="F215" s="69">
        <v>0</v>
      </c>
      <c r="G215" s="69">
        <v>0</v>
      </c>
      <c r="H215" s="69">
        <v>0</v>
      </c>
      <c r="I215" s="69">
        <v>10.3</v>
      </c>
      <c r="J215" s="69">
        <f>10000-10000</f>
        <v>0</v>
      </c>
      <c r="K215" s="69">
        <f>10000-1800-110-137.5-7583.5</f>
        <v>369</v>
      </c>
      <c r="L215" s="69">
        <v>0</v>
      </c>
      <c r="M215" s="69">
        <v>0</v>
      </c>
      <c r="N215" s="69">
        <v>0</v>
      </c>
      <c r="O215" s="69">
        <v>0</v>
      </c>
      <c r="W215" s="69">
        <v>0</v>
      </c>
    </row>
    <row r="216" spans="1:23" ht="36.75" customHeight="1" x14ac:dyDescent="0.2">
      <c r="A216" s="144"/>
      <c r="B216" s="144"/>
      <c r="C216" s="96" t="s">
        <v>13</v>
      </c>
      <c r="D216" s="69">
        <f t="shared" si="88"/>
        <v>0</v>
      </c>
      <c r="E216" s="69">
        <v>0</v>
      </c>
      <c r="F216" s="69">
        <v>0</v>
      </c>
      <c r="G216" s="69">
        <v>0</v>
      </c>
      <c r="H216" s="69">
        <v>0</v>
      </c>
      <c r="I216" s="69">
        <v>0</v>
      </c>
      <c r="J216" s="69">
        <v>0</v>
      </c>
      <c r="K216" s="69">
        <v>0</v>
      </c>
      <c r="L216" s="69">
        <v>0</v>
      </c>
      <c r="M216" s="69">
        <v>0</v>
      </c>
      <c r="N216" s="69">
        <v>0</v>
      </c>
      <c r="O216" s="69">
        <v>0</v>
      </c>
      <c r="W216" s="69">
        <v>0</v>
      </c>
    </row>
    <row r="217" spans="1:23" ht="15.75" x14ac:dyDescent="0.2">
      <c r="A217" s="137" t="s">
        <v>253</v>
      </c>
      <c r="B217" s="137" t="s">
        <v>292</v>
      </c>
      <c r="C217" s="101" t="s">
        <v>7</v>
      </c>
      <c r="D217" s="69">
        <f t="shared" si="88"/>
        <v>5482.5</v>
      </c>
      <c r="E217" s="69">
        <f t="shared" ref="E217:J217" si="100">E218+E219+E220+E221</f>
        <v>0</v>
      </c>
      <c r="F217" s="69">
        <f t="shared" si="100"/>
        <v>0</v>
      </c>
      <c r="G217" s="69">
        <f t="shared" si="100"/>
        <v>0</v>
      </c>
      <c r="H217" s="69">
        <f t="shared" si="100"/>
        <v>0</v>
      </c>
      <c r="I217" s="69">
        <f t="shared" si="100"/>
        <v>0</v>
      </c>
      <c r="J217" s="69">
        <f t="shared" si="100"/>
        <v>2736.5</v>
      </c>
      <c r="K217" s="69">
        <f>K218+K219+K220+K221</f>
        <v>2746</v>
      </c>
      <c r="L217" s="69">
        <f>L218+L219+L220+L221</f>
        <v>0</v>
      </c>
      <c r="M217" s="69">
        <f>M218+M219+M220+M221</f>
        <v>0</v>
      </c>
      <c r="N217" s="69">
        <f>N218+N219+N220+N221</f>
        <v>0</v>
      </c>
      <c r="O217" s="69">
        <f>O218+O219+O220+O221</f>
        <v>0</v>
      </c>
      <c r="P217" s="62" t="s">
        <v>354</v>
      </c>
      <c r="W217" s="69">
        <f>W218+W219+W220+W221</f>
        <v>0</v>
      </c>
    </row>
    <row r="218" spans="1:23" ht="15.75" x14ac:dyDescent="0.2">
      <c r="A218" s="144"/>
      <c r="B218" s="144"/>
      <c r="C218" s="101" t="s">
        <v>10</v>
      </c>
      <c r="D218" s="69">
        <f t="shared" si="88"/>
        <v>0</v>
      </c>
      <c r="E218" s="69">
        <v>0</v>
      </c>
      <c r="F218" s="69">
        <v>0</v>
      </c>
      <c r="G218" s="69">
        <v>0</v>
      </c>
      <c r="H218" s="69">
        <v>0</v>
      </c>
      <c r="I218" s="69">
        <v>0</v>
      </c>
      <c r="J218" s="69">
        <v>0</v>
      </c>
      <c r="K218" s="69">
        <v>0</v>
      </c>
      <c r="L218" s="69">
        <v>0</v>
      </c>
      <c r="M218" s="69">
        <v>0</v>
      </c>
      <c r="N218" s="69">
        <v>0</v>
      </c>
      <c r="O218" s="69">
        <v>0</v>
      </c>
      <c r="W218" s="69">
        <v>0</v>
      </c>
    </row>
    <row r="219" spans="1:23" ht="15.75" x14ac:dyDescent="0.2">
      <c r="A219" s="144"/>
      <c r="B219" s="144"/>
      <c r="C219" s="101" t="s">
        <v>11</v>
      </c>
      <c r="D219" s="69">
        <f t="shared" si="88"/>
        <v>0</v>
      </c>
      <c r="E219" s="69">
        <v>0</v>
      </c>
      <c r="F219" s="69">
        <v>0</v>
      </c>
      <c r="G219" s="69">
        <v>0</v>
      </c>
      <c r="H219" s="69">
        <v>0</v>
      </c>
      <c r="I219" s="69">
        <v>0</v>
      </c>
      <c r="J219" s="69">
        <v>0</v>
      </c>
      <c r="K219" s="69">
        <v>0</v>
      </c>
      <c r="L219" s="69">
        <v>0</v>
      </c>
      <c r="M219" s="69">
        <v>0</v>
      </c>
      <c r="N219" s="69">
        <v>0</v>
      </c>
      <c r="O219" s="69">
        <v>0</v>
      </c>
      <c r="W219" s="69">
        <v>0</v>
      </c>
    </row>
    <row r="220" spans="1:23" ht="15.75" x14ac:dyDescent="0.2">
      <c r="A220" s="144"/>
      <c r="B220" s="144"/>
      <c r="C220" s="101" t="s">
        <v>12</v>
      </c>
      <c r="D220" s="69">
        <f t="shared" si="88"/>
        <v>5482.5</v>
      </c>
      <c r="E220" s="69">
        <v>0</v>
      </c>
      <c r="F220" s="69">
        <v>0</v>
      </c>
      <c r="G220" s="69">
        <v>0</v>
      </c>
      <c r="H220" s="69">
        <v>0</v>
      </c>
      <c r="I220" s="69">
        <v>0</v>
      </c>
      <c r="J220" s="69">
        <f>2800-63.5</f>
        <v>2736.5</v>
      </c>
      <c r="K220" s="69">
        <v>2746</v>
      </c>
      <c r="L220" s="69">
        <v>0</v>
      </c>
      <c r="M220" s="69">
        <v>0</v>
      </c>
      <c r="N220" s="69">
        <v>0</v>
      </c>
      <c r="O220" s="69">
        <v>0</v>
      </c>
      <c r="W220" s="69">
        <v>0</v>
      </c>
    </row>
    <row r="221" spans="1:23" ht="32.25" customHeight="1" x14ac:dyDescent="0.2">
      <c r="A221" s="144"/>
      <c r="B221" s="144"/>
      <c r="C221" s="96" t="s">
        <v>13</v>
      </c>
      <c r="D221" s="69">
        <f t="shared" si="88"/>
        <v>0</v>
      </c>
      <c r="E221" s="69">
        <v>0</v>
      </c>
      <c r="F221" s="69">
        <v>0</v>
      </c>
      <c r="G221" s="69">
        <v>0</v>
      </c>
      <c r="H221" s="69">
        <v>0</v>
      </c>
      <c r="I221" s="69">
        <v>0</v>
      </c>
      <c r="J221" s="69">
        <v>0</v>
      </c>
      <c r="K221" s="69">
        <v>0</v>
      </c>
      <c r="L221" s="69">
        <v>0</v>
      </c>
      <c r="M221" s="69">
        <v>0</v>
      </c>
      <c r="N221" s="69">
        <v>0</v>
      </c>
      <c r="O221" s="69">
        <v>0</v>
      </c>
      <c r="W221" s="69">
        <v>0</v>
      </c>
    </row>
    <row r="222" spans="1:23" ht="15.75" x14ac:dyDescent="0.2">
      <c r="A222" s="137" t="s">
        <v>254</v>
      </c>
      <c r="B222" s="137" t="s">
        <v>412</v>
      </c>
      <c r="C222" s="101" t="s">
        <v>7</v>
      </c>
      <c r="D222" s="69">
        <f t="shared" si="88"/>
        <v>241</v>
      </c>
      <c r="E222" s="69">
        <f t="shared" ref="E222:J222" si="101">E223+E224+E225+E226</f>
        <v>0</v>
      </c>
      <c r="F222" s="69">
        <f t="shared" si="101"/>
        <v>0</v>
      </c>
      <c r="G222" s="69">
        <f t="shared" si="101"/>
        <v>0</v>
      </c>
      <c r="H222" s="69">
        <f t="shared" si="101"/>
        <v>0</v>
      </c>
      <c r="I222" s="69">
        <f t="shared" si="101"/>
        <v>0</v>
      </c>
      <c r="J222" s="69">
        <f t="shared" si="101"/>
        <v>230</v>
      </c>
      <c r="K222" s="69">
        <f>K223+K224+K225+K226</f>
        <v>0</v>
      </c>
      <c r="L222" s="69">
        <f>L223+L224+L225+L226</f>
        <v>11</v>
      </c>
      <c r="M222" s="69">
        <f>M223+M224+M225+M226</f>
        <v>0</v>
      </c>
      <c r="N222" s="69">
        <f>N223+N224+N225+N226</f>
        <v>0</v>
      </c>
      <c r="O222" s="69">
        <f>O223+O224+O225+O226</f>
        <v>0</v>
      </c>
      <c r="W222" s="69">
        <f>W223+W224+W225+W226</f>
        <v>0</v>
      </c>
    </row>
    <row r="223" spans="1:23" ht="15.75" x14ac:dyDescent="0.2">
      <c r="A223" s="144"/>
      <c r="B223" s="144"/>
      <c r="C223" s="101" t="s">
        <v>10</v>
      </c>
      <c r="D223" s="69">
        <f t="shared" si="88"/>
        <v>0</v>
      </c>
      <c r="E223" s="69">
        <v>0</v>
      </c>
      <c r="F223" s="69">
        <v>0</v>
      </c>
      <c r="G223" s="69">
        <v>0</v>
      </c>
      <c r="H223" s="69">
        <v>0</v>
      </c>
      <c r="I223" s="69">
        <v>0</v>
      </c>
      <c r="J223" s="69">
        <v>0</v>
      </c>
      <c r="K223" s="69">
        <v>0</v>
      </c>
      <c r="L223" s="69">
        <v>0</v>
      </c>
      <c r="M223" s="69">
        <v>0</v>
      </c>
      <c r="N223" s="69">
        <v>0</v>
      </c>
      <c r="O223" s="69">
        <v>0</v>
      </c>
      <c r="W223" s="69">
        <v>0</v>
      </c>
    </row>
    <row r="224" spans="1:23" ht="15.75" x14ac:dyDescent="0.2">
      <c r="A224" s="144"/>
      <c r="B224" s="144"/>
      <c r="C224" s="101" t="s">
        <v>11</v>
      </c>
      <c r="D224" s="69">
        <f t="shared" si="88"/>
        <v>0</v>
      </c>
      <c r="E224" s="69">
        <v>0</v>
      </c>
      <c r="F224" s="69">
        <v>0</v>
      </c>
      <c r="G224" s="69">
        <v>0</v>
      </c>
      <c r="H224" s="69">
        <v>0</v>
      </c>
      <c r="I224" s="69">
        <v>0</v>
      </c>
      <c r="J224" s="69">
        <v>0</v>
      </c>
      <c r="K224" s="69">
        <v>0</v>
      </c>
      <c r="L224" s="69">
        <v>0</v>
      </c>
      <c r="M224" s="69">
        <v>0</v>
      </c>
      <c r="N224" s="69">
        <v>0</v>
      </c>
      <c r="O224" s="69">
        <v>0</v>
      </c>
      <c r="W224" s="69">
        <v>0</v>
      </c>
    </row>
    <row r="225" spans="1:23" ht="15.75" x14ac:dyDescent="0.2">
      <c r="A225" s="144"/>
      <c r="B225" s="144"/>
      <c r="C225" s="101" t="s">
        <v>12</v>
      </c>
      <c r="D225" s="69">
        <f t="shared" si="88"/>
        <v>241</v>
      </c>
      <c r="E225" s="69">
        <v>0</v>
      </c>
      <c r="F225" s="69">
        <v>0</v>
      </c>
      <c r="G225" s="69">
        <v>0</v>
      </c>
      <c r="H225" s="69">
        <v>0</v>
      </c>
      <c r="I225" s="69">
        <v>0</v>
      </c>
      <c r="J225" s="69">
        <f>8500-8500+300-65.1-4.9</f>
        <v>230</v>
      </c>
      <c r="K225" s="69">
        <v>0</v>
      </c>
      <c r="L225" s="69">
        <v>11</v>
      </c>
      <c r="M225" s="69">
        <v>0</v>
      </c>
      <c r="N225" s="69">
        <v>0</v>
      </c>
      <c r="O225" s="69">
        <v>0</v>
      </c>
      <c r="W225" s="69">
        <v>0</v>
      </c>
    </row>
    <row r="226" spans="1:23" ht="17.25" customHeight="1" x14ac:dyDescent="0.2">
      <c r="A226" s="144"/>
      <c r="B226" s="144"/>
      <c r="C226" s="101" t="s">
        <v>13</v>
      </c>
      <c r="D226" s="69">
        <f t="shared" si="88"/>
        <v>0</v>
      </c>
      <c r="E226" s="69">
        <v>0</v>
      </c>
      <c r="F226" s="69">
        <v>0</v>
      </c>
      <c r="G226" s="69">
        <v>0</v>
      </c>
      <c r="H226" s="69">
        <v>0</v>
      </c>
      <c r="I226" s="69">
        <v>0</v>
      </c>
      <c r="J226" s="69">
        <v>0</v>
      </c>
      <c r="K226" s="69">
        <v>0</v>
      </c>
      <c r="L226" s="69">
        <v>0</v>
      </c>
      <c r="M226" s="69">
        <v>0</v>
      </c>
      <c r="N226" s="69">
        <v>0</v>
      </c>
      <c r="O226" s="69">
        <v>0</v>
      </c>
      <c r="W226" s="69">
        <v>0</v>
      </c>
    </row>
    <row r="227" spans="1:23" ht="15.75" x14ac:dyDescent="0.2">
      <c r="A227" s="137" t="s">
        <v>255</v>
      </c>
      <c r="B227" s="137" t="s">
        <v>257</v>
      </c>
      <c r="C227" s="101" t="s">
        <v>7</v>
      </c>
      <c r="D227" s="69">
        <f t="shared" si="88"/>
        <v>159.99999999999997</v>
      </c>
      <c r="E227" s="69">
        <f t="shared" ref="E227:J227" si="102">E228+E229+E230+E231</f>
        <v>0</v>
      </c>
      <c r="F227" s="69">
        <f t="shared" si="102"/>
        <v>0</v>
      </c>
      <c r="G227" s="69">
        <f t="shared" si="102"/>
        <v>0</v>
      </c>
      <c r="H227" s="69">
        <f t="shared" si="102"/>
        <v>0</v>
      </c>
      <c r="I227" s="69">
        <f t="shared" si="102"/>
        <v>160</v>
      </c>
      <c r="J227" s="69">
        <f t="shared" si="102"/>
        <v>0</v>
      </c>
      <c r="K227" s="69">
        <f>K228+K229+K230+K231</f>
        <v>-2.2648549702353193E-14</v>
      </c>
      <c r="L227" s="69">
        <f>L228+L229+L230+L231</f>
        <v>0</v>
      </c>
      <c r="M227" s="69">
        <f>M228+M229+M230+M231</f>
        <v>0</v>
      </c>
      <c r="N227" s="69">
        <f>N228+N229+N230+N231</f>
        <v>0</v>
      </c>
      <c r="O227" s="69">
        <f>O228+O229+O230+O231</f>
        <v>0</v>
      </c>
      <c r="W227" s="69">
        <f>W228+W229+W230+W231</f>
        <v>0</v>
      </c>
    </row>
    <row r="228" spans="1:23" ht="15.75" x14ac:dyDescent="0.2">
      <c r="A228" s="144"/>
      <c r="B228" s="144"/>
      <c r="C228" s="101" t="s">
        <v>10</v>
      </c>
      <c r="D228" s="69">
        <f t="shared" si="88"/>
        <v>0</v>
      </c>
      <c r="E228" s="69">
        <v>0</v>
      </c>
      <c r="F228" s="69">
        <v>0</v>
      </c>
      <c r="G228" s="69">
        <v>0</v>
      </c>
      <c r="H228" s="69">
        <v>0</v>
      </c>
      <c r="I228" s="69">
        <v>0</v>
      </c>
      <c r="J228" s="69">
        <v>0</v>
      </c>
      <c r="K228" s="69">
        <v>0</v>
      </c>
      <c r="L228" s="69">
        <v>0</v>
      </c>
      <c r="M228" s="69">
        <v>0</v>
      </c>
      <c r="N228" s="69">
        <v>0</v>
      </c>
      <c r="O228" s="69">
        <v>0</v>
      </c>
      <c r="W228" s="69">
        <v>0</v>
      </c>
    </row>
    <row r="229" spans="1:23" ht="15.75" x14ac:dyDescent="0.2">
      <c r="A229" s="144"/>
      <c r="B229" s="144"/>
      <c r="C229" s="101" t="s">
        <v>11</v>
      </c>
      <c r="D229" s="69">
        <f t="shared" si="88"/>
        <v>0</v>
      </c>
      <c r="E229" s="69">
        <v>0</v>
      </c>
      <c r="F229" s="69">
        <v>0</v>
      </c>
      <c r="G229" s="69">
        <v>0</v>
      </c>
      <c r="H229" s="69">
        <v>0</v>
      </c>
      <c r="I229" s="69">
        <v>0</v>
      </c>
      <c r="J229" s="69">
        <v>0</v>
      </c>
      <c r="K229" s="69">
        <v>0</v>
      </c>
      <c r="L229" s="69">
        <v>0</v>
      </c>
      <c r="M229" s="69">
        <v>0</v>
      </c>
      <c r="N229" s="69">
        <v>0</v>
      </c>
      <c r="O229" s="69">
        <v>0</v>
      </c>
      <c r="W229" s="69">
        <v>0</v>
      </c>
    </row>
    <row r="230" spans="1:23" ht="15.75" x14ac:dyDescent="0.2">
      <c r="A230" s="144"/>
      <c r="B230" s="144"/>
      <c r="C230" s="101" t="s">
        <v>12</v>
      </c>
      <c r="D230" s="69">
        <f t="shared" si="88"/>
        <v>159.99999999999997</v>
      </c>
      <c r="E230" s="69">
        <v>0</v>
      </c>
      <c r="F230" s="69">
        <v>0</v>
      </c>
      <c r="G230" s="69">
        <v>0</v>
      </c>
      <c r="H230" s="69">
        <v>0</v>
      </c>
      <c r="I230" s="69">
        <v>160</v>
      </c>
      <c r="J230" s="69">
        <f>2000-600-1400</f>
        <v>0</v>
      </c>
      <c r="K230" s="69">
        <f>454.9-451-3.9</f>
        <v>-2.2648549702353193E-14</v>
      </c>
      <c r="L230" s="69">
        <v>0</v>
      </c>
      <c r="M230" s="69">
        <v>0</v>
      </c>
      <c r="N230" s="69">
        <v>0</v>
      </c>
      <c r="O230" s="69">
        <v>0</v>
      </c>
      <c r="W230" s="69">
        <v>0</v>
      </c>
    </row>
    <row r="231" spans="1:23" ht="36" customHeight="1" x14ac:dyDescent="0.2">
      <c r="A231" s="144"/>
      <c r="B231" s="144"/>
      <c r="C231" s="96" t="s">
        <v>13</v>
      </c>
      <c r="D231" s="69">
        <f t="shared" si="88"/>
        <v>0</v>
      </c>
      <c r="E231" s="69">
        <v>0</v>
      </c>
      <c r="F231" s="69">
        <v>0</v>
      </c>
      <c r="G231" s="69">
        <v>0</v>
      </c>
      <c r="H231" s="69">
        <v>0</v>
      </c>
      <c r="I231" s="69">
        <v>0</v>
      </c>
      <c r="J231" s="69">
        <v>0</v>
      </c>
      <c r="K231" s="69">
        <v>0</v>
      </c>
      <c r="L231" s="69">
        <v>0</v>
      </c>
      <c r="M231" s="69">
        <v>0</v>
      </c>
      <c r="N231" s="69">
        <v>0</v>
      </c>
      <c r="O231" s="69">
        <v>0</v>
      </c>
      <c r="W231" s="69">
        <v>0</v>
      </c>
    </row>
    <row r="232" spans="1:23" ht="15.75" x14ac:dyDescent="0.2">
      <c r="A232" s="137" t="s">
        <v>271</v>
      </c>
      <c r="B232" s="138" t="s">
        <v>272</v>
      </c>
      <c r="C232" s="101" t="s">
        <v>7</v>
      </c>
      <c r="D232" s="69">
        <f t="shared" si="88"/>
        <v>1402.5</v>
      </c>
      <c r="E232" s="69">
        <f t="shared" ref="E232:J232" si="103">E233+E234+E235+E236</f>
        <v>0</v>
      </c>
      <c r="F232" s="69">
        <f t="shared" si="103"/>
        <v>0</v>
      </c>
      <c r="G232" s="69">
        <f t="shared" si="103"/>
        <v>0</v>
      </c>
      <c r="H232" s="69">
        <f t="shared" si="103"/>
        <v>0</v>
      </c>
      <c r="I232" s="69">
        <f t="shared" si="103"/>
        <v>1402.5</v>
      </c>
      <c r="J232" s="69">
        <f t="shared" si="103"/>
        <v>0</v>
      </c>
      <c r="K232" s="69">
        <f>K233+K234+K235+K236</f>
        <v>0</v>
      </c>
      <c r="L232" s="69">
        <f>L233+L234+L235+L236</f>
        <v>0</v>
      </c>
      <c r="M232" s="69">
        <f>M233+M234+M235+M236</f>
        <v>0</v>
      </c>
      <c r="N232" s="69">
        <f>N233+N234+N235+N236</f>
        <v>0</v>
      </c>
      <c r="O232" s="69">
        <f>O233+O234+O235+O236</f>
        <v>0</v>
      </c>
      <c r="W232" s="69">
        <f>W233+W234+W235+W236</f>
        <v>0</v>
      </c>
    </row>
    <row r="233" spans="1:23" ht="15.75" x14ac:dyDescent="0.2">
      <c r="A233" s="144"/>
      <c r="B233" s="159"/>
      <c r="C233" s="101" t="s">
        <v>10</v>
      </c>
      <c r="D233" s="69">
        <f t="shared" si="88"/>
        <v>0</v>
      </c>
      <c r="E233" s="69">
        <v>0</v>
      </c>
      <c r="F233" s="69"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0</v>
      </c>
      <c r="L233" s="69">
        <v>0</v>
      </c>
      <c r="M233" s="69">
        <v>0</v>
      </c>
      <c r="N233" s="69">
        <v>0</v>
      </c>
      <c r="O233" s="69">
        <v>0</v>
      </c>
      <c r="W233" s="69">
        <v>0</v>
      </c>
    </row>
    <row r="234" spans="1:23" ht="15.75" x14ac:dyDescent="0.2">
      <c r="A234" s="144"/>
      <c r="B234" s="159"/>
      <c r="C234" s="101" t="s">
        <v>11</v>
      </c>
      <c r="D234" s="69">
        <f t="shared" si="88"/>
        <v>0</v>
      </c>
      <c r="E234" s="69">
        <v>0</v>
      </c>
      <c r="F234" s="69">
        <v>0</v>
      </c>
      <c r="G234" s="69">
        <v>0</v>
      </c>
      <c r="H234" s="69">
        <v>0</v>
      </c>
      <c r="I234" s="69">
        <v>0</v>
      </c>
      <c r="J234" s="69">
        <v>0</v>
      </c>
      <c r="K234" s="69">
        <v>0</v>
      </c>
      <c r="L234" s="69">
        <v>0</v>
      </c>
      <c r="M234" s="69">
        <v>0</v>
      </c>
      <c r="N234" s="69">
        <v>0</v>
      </c>
      <c r="O234" s="69">
        <v>0</v>
      </c>
      <c r="W234" s="69">
        <v>0</v>
      </c>
    </row>
    <row r="235" spans="1:23" ht="15.75" x14ac:dyDescent="0.2">
      <c r="A235" s="144"/>
      <c r="B235" s="159"/>
      <c r="C235" s="101" t="s">
        <v>12</v>
      </c>
      <c r="D235" s="69">
        <f t="shared" si="88"/>
        <v>1402.5</v>
      </c>
      <c r="E235" s="69">
        <v>0</v>
      </c>
      <c r="F235" s="69">
        <v>0</v>
      </c>
      <c r="G235" s="69">
        <v>0</v>
      </c>
      <c r="H235" s="69">
        <v>0</v>
      </c>
      <c r="I235" s="69">
        <v>1402.5</v>
      </c>
      <c r="J235" s="69">
        <v>0</v>
      </c>
      <c r="K235" s="69">
        <v>0</v>
      </c>
      <c r="L235" s="69">
        <v>0</v>
      </c>
      <c r="M235" s="69">
        <v>0</v>
      </c>
      <c r="N235" s="69">
        <v>0</v>
      </c>
      <c r="O235" s="69">
        <v>0</v>
      </c>
      <c r="W235" s="69">
        <v>0</v>
      </c>
    </row>
    <row r="236" spans="1:23" ht="39.75" customHeight="1" x14ac:dyDescent="0.2">
      <c r="A236" s="144"/>
      <c r="B236" s="160"/>
      <c r="C236" s="96" t="s">
        <v>13</v>
      </c>
      <c r="D236" s="69">
        <f t="shared" si="88"/>
        <v>0</v>
      </c>
      <c r="E236" s="69">
        <v>0</v>
      </c>
      <c r="F236" s="69">
        <v>0</v>
      </c>
      <c r="G236" s="69">
        <v>0</v>
      </c>
      <c r="H236" s="69">
        <v>0</v>
      </c>
      <c r="I236" s="69">
        <v>0</v>
      </c>
      <c r="J236" s="69">
        <v>0</v>
      </c>
      <c r="K236" s="69">
        <v>0</v>
      </c>
      <c r="L236" s="69">
        <v>0</v>
      </c>
      <c r="M236" s="69">
        <v>0</v>
      </c>
      <c r="N236" s="69">
        <v>0</v>
      </c>
      <c r="O236" s="69">
        <v>0</v>
      </c>
      <c r="W236" s="69">
        <v>0</v>
      </c>
    </row>
    <row r="237" spans="1:23" ht="15.75" x14ac:dyDescent="0.2">
      <c r="A237" s="137" t="s">
        <v>279</v>
      </c>
      <c r="B237" s="138" t="s">
        <v>280</v>
      </c>
      <c r="C237" s="101" t="s">
        <v>7</v>
      </c>
      <c r="D237" s="69">
        <f t="shared" ref="D237:D300" si="104">E237+F237+G237+H237+I237+J237+K237+L237+M237+N237+O237+W237</f>
        <v>4280.7</v>
      </c>
      <c r="E237" s="69">
        <f t="shared" ref="E237:J237" si="105">E238+E239+E240+E241</f>
        <v>0</v>
      </c>
      <c r="F237" s="69">
        <f t="shared" si="105"/>
        <v>0</v>
      </c>
      <c r="G237" s="69">
        <f t="shared" si="105"/>
        <v>0</v>
      </c>
      <c r="H237" s="69">
        <f t="shared" si="105"/>
        <v>0</v>
      </c>
      <c r="I237" s="69">
        <f t="shared" si="105"/>
        <v>4280.7</v>
      </c>
      <c r="J237" s="69">
        <f t="shared" si="105"/>
        <v>0</v>
      </c>
      <c r="K237" s="69">
        <f>K238+K239+K240+K241</f>
        <v>0</v>
      </c>
      <c r="L237" s="69">
        <f>L238+L239+L240+L241</f>
        <v>0</v>
      </c>
      <c r="M237" s="69">
        <f>M238+M239+M240+M241</f>
        <v>0</v>
      </c>
      <c r="N237" s="69">
        <f>N238+N239+N240+N241</f>
        <v>0</v>
      </c>
      <c r="O237" s="69">
        <f>O238+O239+O240+O241</f>
        <v>0</v>
      </c>
      <c r="W237" s="69">
        <f>W238+W239+W240+W241</f>
        <v>0</v>
      </c>
    </row>
    <row r="238" spans="1:23" ht="15.75" x14ac:dyDescent="0.2">
      <c r="A238" s="144"/>
      <c r="B238" s="159"/>
      <c r="C238" s="101" t="s">
        <v>10</v>
      </c>
      <c r="D238" s="69">
        <f t="shared" si="104"/>
        <v>0</v>
      </c>
      <c r="E238" s="69">
        <v>0</v>
      </c>
      <c r="F238" s="69">
        <v>0</v>
      </c>
      <c r="G238" s="69">
        <v>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0</v>
      </c>
      <c r="W238" s="69">
        <v>0</v>
      </c>
    </row>
    <row r="239" spans="1:23" ht="15.75" x14ac:dyDescent="0.2">
      <c r="A239" s="144"/>
      <c r="B239" s="159"/>
      <c r="C239" s="101" t="s">
        <v>11</v>
      </c>
      <c r="D239" s="69">
        <f t="shared" si="104"/>
        <v>0</v>
      </c>
      <c r="E239" s="69">
        <v>0</v>
      </c>
      <c r="F239" s="69">
        <v>0</v>
      </c>
      <c r="G239" s="69">
        <v>0</v>
      </c>
      <c r="H239" s="69">
        <v>0</v>
      </c>
      <c r="I239" s="69">
        <v>0</v>
      </c>
      <c r="J239" s="69">
        <v>0</v>
      </c>
      <c r="K239" s="69">
        <v>0</v>
      </c>
      <c r="L239" s="69">
        <v>0</v>
      </c>
      <c r="M239" s="69">
        <v>0</v>
      </c>
      <c r="N239" s="69">
        <v>0</v>
      </c>
      <c r="O239" s="69">
        <v>0</v>
      </c>
      <c r="W239" s="69">
        <v>0</v>
      </c>
    </row>
    <row r="240" spans="1:23" ht="15.75" x14ac:dyDescent="0.2">
      <c r="A240" s="144"/>
      <c r="B240" s="159"/>
      <c r="C240" s="101" t="s">
        <v>12</v>
      </c>
      <c r="D240" s="69">
        <f t="shared" si="104"/>
        <v>4280.7</v>
      </c>
      <c r="E240" s="69">
        <v>0</v>
      </c>
      <c r="F240" s="69">
        <v>0</v>
      </c>
      <c r="G240" s="69">
        <v>0</v>
      </c>
      <c r="H240" s="69">
        <v>0</v>
      </c>
      <c r="I240" s="69">
        <v>4280.7</v>
      </c>
      <c r="J240" s="69">
        <v>0</v>
      </c>
      <c r="K240" s="69">
        <v>0</v>
      </c>
      <c r="L240" s="69">
        <v>0</v>
      </c>
      <c r="M240" s="69">
        <v>0</v>
      </c>
      <c r="N240" s="69">
        <v>0</v>
      </c>
      <c r="O240" s="69">
        <v>0</v>
      </c>
      <c r="W240" s="69">
        <v>0</v>
      </c>
    </row>
    <row r="241" spans="1:24" ht="23.25" customHeight="1" x14ac:dyDescent="0.2">
      <c r="A241" s="144"/>
      <c r="B241" s="160"/>
      <c r="C241" s="101" t="s">
        <v>13</v>
      </c>
      <c r="D241" s="69">
        <f t="shared" si="104"/>
        <v>0</v>
      </c>
      <c r="E241" s="69">
        <v>0</v>
      </c>
      <c r="F241" s="69">
        <v>0</v>
      </c>
      <c r="G241" s="69">
        <v>0</v>
      </c>
      <c r="H241" s="69">
        <v>0</v>
      </c>
      <c r="I241" s="69">
        <v>0</v>
      </c>
      <c r="J241" s="69">
        <v>0</v>
      </c>
      <c r="K241" s="69">
        <v>0</v>
      </c>
      <c r="L241" s="69">
        <v>0</v>
      </c>
      <c r="M241" s="69">
        <v>0</v>
      </c>
      <c r="N241" s="69">
        <v>0</v>
      </c>
      <c r="O241" s="69">
        <v>0</v>
      </c>
      <c r="W241" s="69">
        <v>0</v>
      </c>
    </row>
    <row r="242" spans="1:24" ht="15.75" x14ac:dyDescent="0.2">
      <c r="A242" s="137" t="s">
        <v>293</v>
      </c>
      <c r="B242" s="138" t="s">
        <v>367</v>
      </c>
      <c r="C242" s="101" t="s">
        <v>43</v>
      </c>
      <c r="D242" s="69">
        <f t="shared" si="104"/>
        <v>307198.09999999998</v>
      </c>
      <c r="E242" s="69">
        <f t="shared" ref="E242:J242" si="106">E243+E244+E245+E246</f>
        <v>0</v>
      </c>
      <c r="F242" s="69">
        <f t="shared" si="106"/>
        <v>0</v>
      </c>
      <c r="G242" s="69">
        <f t="shared" si="106"/>
        <v>0</v>
      </c>
      <c r="H242" s="69">
        <f t="shared" si="106"/>
        <v>0</v>
      </c>
      <c r="I242" s="69">
        <f t="shared" si="106"/>
        <v>0</v>
      </c>
      <c r="J242" s="69">
        <f t="shared" si="106"/>
        <v>159665.60000000001</v>
      </c>
      <c r="K242" s="69">
        <f>K243+K244+K245+K246</f>
        <v>120030.5</v>
      </c>
      <c r="L242" s="69">
        <f>L243+L244+L245+L246</f>
        <v>27502</v>
      </c>
      <c r="M242" s="69">
        <f>M243+M244+M245+M246</f>
        <v>0</v>
      </c>
      <c r="N242" s="69">
        <f>N243+N244+N245+N246</f>
        <v>0</v>
      </c>
      <c r="O242" s="69">
        <f>O243+O244+O245+O246</f>
        <v>0</v>
      </c>
      <c r="W242" s="69">
        <f>W243+W244+W245+W246</f>
        <v>0</v>
      </c>
      <c r="X242" s="60"/>
    </row>
    <row r="243" spans="1:24" ht="15.75" x14ac:dyDescent="0.2">
      <c r="A243" s="144"/>
      <c r="B243" s="159"/>
      <c r="C243" s="101" t="s">
        <v>10</v>
      </c>
      <c r="D243" s="69">
        <f t="shared" si="104"/>
        <v>0</v>
      </c>
      <c r="E243" s="69">
        <v>0</v>
      </c>
      <c r="F243" s="69">
        <v>0</v>
      </c>
      <c r="G243" s="69">
        <v>0</v>
      </c>
      <c r="H243" s="69">
        <v>0</v>
      </c>
      <c r="I243" s="69">
        <v>0</v>
      </c>
      <c r="J243" s="69">
        <v>0</v>
      </c>
      <c r="K243" s="69">
        <v>0</v>
      </c>
      <c r="L243" s="69">
        <v>0</v>
      </c>
      <c r="M243" s="69">
        <v>0</v>
      </c>
      <c r="N243" s="69">
        <v>0</v>
      </c>
      <c r="O243" s="69">
        <v>0</v>
      </c>
      <c r="W243" s="69">
        <v>0</v>
      </c>
    </row>
    <row r="244" spans="1:24" ht="15.75" x14ac:dyDescent="0.2">
      <c r="A244" s="144"/>
      <c r="B244" s="159"/>
      <c r="C244" s="101" t="s">
        <v>11</v>
      </c>
      <c r="D244" s="69">
        <f t="shared" si="104"/>
        <v>307198.09999999998</v>
      </c>
      <c r="E244" s="69">
        <v>0</v>
      </c>
      <c r="F244" s="69">
        <v>0</v>
      </c>
      <c r="G244" s="69">
        <v>0</v>
      </c>
      <c r="H244" s="69">
        <v>0</v>
      </c>
      <c r="I244" s="69">
        <v>0</v>
      </c>
      <c r="J244" s="69">
        <v>159665.60000000001</v>
      </c>
      <c r="K244" s="69">
        <f>173506.2-22060.2-31415.5</f>
        <v>120030.5</v>
      </c>
      <c r="L244" s="69">
        <f>151446-151446+27502</f>
        <v>27502</v>
      </c>
      <c r="M244" s="69">
        <f t="shared" ref="M244:N244" si="107">151446-151446</f>
        <v>0</v>
      </c>
      <c r="N244" s="69">
        <f t="shared" si="107"/>
        <v>0</v>
      </c>
      <c r="O244" s="69">
        <v>0</v>
      </c>
      <c r="W244" s="69">
        <v>0</v>
      </c>
    </row>
    <row r="245" spans="1:24" ht="15.75" x14ac:dyDescent="0.2">
      <c r="A245" s="144"/>
      <c r="B245" s="159"/>
      <c r="C245" s="101" t="s">
        <v>12</v>
      </c>
      <c r="D245" s="69">
        <f t="shared" si="104"/>
        <v>0</v>
      </c>
      <c r="E245" s="69">
        <v>0</v>
      </c>
      <c r="F245" s="69">
        <v>0</v>
      </c>
      <c r="G245" s="69">
        <v>0</v>
      </c>
      <c r="H245" s="69">
        <v>0</v>
      </c>
      <c r="I245" s="69">
        <v>0</v>
      </c>
      <c r="J245" s="69">
        <v>0</v>
      </c>
      <c r="K245" s="69">
        <v>0</v>
      </c>
      <c r="L245" s="69">
        <v>0</v>
      </c>
      <c r="M245" s="69">
        <v>0</v>
      </c>
      <c r="N245" s="69">
        <v>0</v>
      </c>
      <c r="O245" s="69">
        <v>0</v>
      </c>
      <c r="W245" s="69">
        <v>0</v>
      </c>
    </row>
    <row r="246" spans="1:24" ht="40.5" customHeight="1" x14ac:dyDescent="0.2">
      <c r="A246" s="144"/>
      <c r="B246" s="160"/>
      <c r="C246" s="96" t="s">
        <v>13</v>
      </c>
      <c r="D246" s="69">
        <f t="shared" si="104"/>
        <v>0</v>
      </c>
      <c r="E246" s="69">
        <v>0</v>
      </c>
      <c r="F246" s="69">
        <v>0</v>
      </c>
      <c r="G246" s="69">
        <v>0</v>
      </c>
      <c r="H246" s="69">
        <v>0</v>
      </c>
      <c r="I246" s="69">
        <v>0</v>
      </c>
      <c r="J246" s="69">
        <v>0</v>
      </c>
      <c r="K246" s="69">
        <v>0</v>
      </c>
      <c r="L246" s="69">
        <v>0</v>
      </c>
      <c r="M246" s="69">
        <v>0</v>
      </c>
      <c r="N246" s="69">
        <v>0</v>
      </c>
      <c r="O246" s="69">
        <v>0</v>
      </c>
      <c r="W246" s="69">
        <v>0</v>
      </c>
    </row>
    <row r="247" spans="1:24" ht="15.75" x14ac:dyDescent="0.2">
      <c r="A247" s="137" t="s">
        <v>299</v>
      </c>
      <c r="B247" s="137" t="s">
        <v>305</v>
      </c>
      <c r="C247" s="101" t="s">
        <v>7</v>
      </c>
      <c r="D247" s="69">
        <f t="shared" si="104"/>
        <v>1528</v>
      </c>
      <c r="E247" s="69">
        <f t="shared" ref="E247:J247" si="108">E248+E249+E250+E251</f>
        <v>0</v>
      </c>
      <c r="F247" s="69">
        <f t="shared" si="108"/>
        <v>0</v>
      </c>
      <c r="G247" s="69">
        <f t="shared" si="108"/>
        <v>0</v>
      </c>
      <c r="H247" s="69">
        <f t="shared" si="108"/>
        <v>0</v>
      </c>
      <c r="I247" s="69">
        <f t="shared" si="108"/>
        <v>1528</v>
      </c>
      <c r="J247" s="69">
        <f t="shared" si="108"/>
        <v>0</v>
      </c>
      <c r="K247" s="69">
        <f>K248+K249+K250+K251</f>
        <v>0</v>
      </c>
      <c r="L247" s="69">
        <f>L248+L249+L250+L251</f>
        <v>0</v>
      </c>
      <c r="M247" s="69">
        <f>M248+M249+M250+M251</f>
        <v>0</v>
      </c>
      <c r="N247" s="69">
        <f>N248+N249+N250+N251</f>
        <v>0</v>
      </c>
      <c r="O247" s="69">
        <f>O248+O249+O250+O251</f>
        <v>0</v>
      </c>
      <c r="W247" s="69">
        <f>W248+W249+W250+W251</f>
        <v>0</v>
      </c>
    </row>
    <row r="248" spans="1:24" ht="15.75" x14ac:dyDescent="0.2">
      <c r="A248" s="144"/>
      <c r="B248" s="144"/>
      <c r="C248" s="101" t="s">
        <v>10</v>
      </c>
      <c r="D248" s="69">
        <f t="shared" si="104"/>
        <v>0</v>
      </c>
      <c r="E248" s="69">
        <v>0</v>
      </c>
      <c r="F248" s="69">
        <v>0</v>
      </c>
      <c r="G248" s="69">
        <v>0</v>
      </c>
      <c r="H248" s="69">
        <v>0</v>
      </c>
      <c r="I248" s="69">
        <v>0</v>
      </c>
      <c r="J248" s="69">
        <v>0</v>
      </c>
      <c r="K248" s="69">
        <v>0</v>
      </c>
      <c r="L248" s="69">
        <v>0</v>
      </c>
      <c r="M248" s="69">
        <v>0</v>
      </c>
      <c r="N248" s="69">
        <v>0</v>
      </c>
      <c r="O248" s="69">
        <v>0</v>
      </c>
      <c r="W248" s="69">
        <v>0</v>
      </c>
    </row>
    <row r="249" spans="1:24" ht="15.75" x14ac:dyDescent="0.2">
      <c r="A249" s="144"/>
      <c r="B249" s="144"/>
      <c r="C249" s="101" t="s">
        <v>11</v>
      </c>
      <c r="D249" s="69">
        <f t="shared" si="104"/>
        <v>0</v>
      </c>
      <c r="E249" s="69">
        <v>0</v>
      </c>
      <c r="F249" s="69">
        <v>0</v>
      </c>
      <c r="G249" s="69">
        <v>0</v>
      </c>
      <c r="H249" s="69">
        <v>0</v>
      </c>
      <c r="I249" s="69">
        <v>0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69">
        <v>0</v>
      </c>
      <c r="W249" s="69">
        <v>0</v>
      </c>
    </row>
    <row r="250" spans="1:24" ht="15.75" x14ac:dyDescent="0.2">
      <c r="A250" s="144"/>
      <c r="B250" s="144"/>
      <c r="C250" s="101" t="s">
        <v>12</v>
      </c>
      <c r="D250" s="69">
        <f t="shared" si="104"/>
        <v>1528</v>
      </c>
      <c r="E250" s="69">
        <v>0</v>
      </c>
      <c r="F250" s="69">
        <v>0</v>
      </c>
      <c r="G250" s="69">
        <v>0</v>
      </c>
      <c r="H250" s="69">
        <v>0</v>
      </c>
      <c r="I250" s="69">
        <v>1528</v>
      </c>
      <c r="J250" s="69">
        <v>0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  <c r="W250" s="69">
        <v>0</v>
      </c>
    </row>
    <row r="251" spans="1:24" ht="43.5" customHeight="1" x14ac:dyDescent="0.2">
      <c r="A251" s="144"/>
      <c r="B251" s="144"/>
      <c r="C251" s="96" t="s">
        <v>13</v>
      </c>
      <c r="D251" s="69">
        <f t="shared" si="104"/>
        <v>0</v>
      </c>
      <c r="E251" s="69">
        <v>0</v>
      </c>
      <c r="F251" s="69">
        <v>0</v>
      </c>
      <c r="G251" s="69">
        <v>0</v>
      </c>
      <c r="H251" s="69">
        <v>0</v>
      </c>
      <c r="I251" s="69">
        <v>0</v>
      </c>
      <c r="J251" s="69">
        <v>0</v>
      </c>
      <c r="K251" s="69">
        <v>0</v>
      </c>
      <c r="L251" s="69">
        <v>0</v>
      </c>
      <c r="M251" s="69">
        <v>0</v>
      </c>
      <c r="N251" s="69">
        <v>0</v>
      </c>
      <c r="O251" s="69">
        <v>0</v>
      </c>
      <c r="W251" s="69">
        <v>0</v>
      </c>
    </row>
    <row r="252" spans="1:24" ht="42" customHeight="1" x14ac:dyDescent="0.2">
      <c r="A252" s="137" t="s">
        <v>301</v>
      </c>
      <c r="B252" s="137" t="s">
        <v>372</v>
      </c>
      <c r="C252" s="101" t="s">
        <v>7</v>
      </c>
      <c r="D252" s="69">
        <f t="shared" si="104"/>
        <v>50891.799999999996</v>
      </c>
      <c r="E252" s="69">
        <f t="shared" ref="E252:J252" si="109">E253+E254+E255+E256</f>
        <v>0</v>
      </c>
      <c r="F252" s="69">
        <f t="shared" si="109"/>
        <v>0</v>
      </c>
      <c r="G252" s="69">
        <f t="shared" si="109"/>
        <v>0</v>
      </c>
      <c r="H252" s="69">
        <f t="shared" si="109"/>
        <v>0</v>
      </c>
      <c r="I252" s="69">
        <f t="shared" si="109"/>
        <v>0</v>
      </c>
      <c r="J252" s="69">
        <f t="shared" si="109"/>
        <v>50891.799999999996</v>
      </c>
      <c r="K252" s="69">
        <f>K253+K254+K255+K256</f>
        <v>0</v>
      </c>
      <c r="L252" s="69">
        <f>L253+L254+L255+L256</f>
        <v>0</v>
      </c>
      <c r="M252" s="69">
        <f>M253+M254+M255+M256</f>
        <v>0</v>
      </c>
      <c r="N252" s="69">
        <f>N253+N254+N255+N256</f>
        <v>0</v>
      </c>
      <c r="O252" s="69">
        <f>O253+O254+O255+O256</f>
        <v>0</v>
      </c>
      <c r="W252" s="69">
        <f>W253+W254+W255+W256</f>
        <v>0</v>
      </c>
    </row>
    <row r="253" spans="1:24" ht="19.5" customHeight="1" x14ac:dyDescent="0.2">
      <c r="A253" s="144"/>
      <c r="B253" s="144"/>
      <c r="C253" s="101" t="s">
        <v>10</v>
      </c>
      <c r="D253" s="69">
        <f t="shared" si="104"/>
        <v>0</v>
      </c>
      <c r="E253" s="69">
        <v>0</v>
      </c>
      <c r="F253" s="69">
        <v>0</v>
      </c>
      <c r="G253" s="69">
        <v>0</v>
      </c>
      <c r="H253" s="69">
        <v>0</v>
      </c>
      <c r="I253" s="69">
        <v>0</v>
      </c>
      <c r="J253" s="69">
        <v>0</v>
      </c>
      <c r="K253" s="69">
        <v>0</v>
      </c>
      <c r="L253" s="69">
        <v>0</v>
      </c>
      <c r="M253" s="69">
        <v>0</v>
      </c>
      <c r="N253" s="69">
        <v>0</v>
      </c>
      <c r="O253" s="69">
        <v>0</v>
      </c>
      <c r="W253" s="69">
        <v>0</v>
      </c>
    </row>
    <row r="254" spans="1:24" ht="15.75" x14ac:dyDescent="0.2">
      <c r="A254" s="144"/>
      <c r="B254" s="144"/>
      <c r="C254" s="101" t="s">
        <v>11</v>
      </c>
      <c r="D254" s="69">
        <f t="shared" si="104"/>
        <v>0</v>
      </c>
      <c r="E254" s="69">
        <v>0</v>
      </c>
      <c r="F254" s="69">
        <v>0</v>
      </c>
      <c r="G254" s="69">
        <v>0</v>
      </c>
      <c r="H254" s="69">
        <v>0</v>
      </c>
      <c r="I254" s="69">
        <v>0</v>
      </c>
      <c r="J254" s="69">
        <v>0</v>
      </c>
      <c r="K254" s="69">
        <v>0</v>
      </c>
      <c r="L254" s="69">
        <v>0</v>
      </c>
      <c r="M254" s="69">
        <v>0</v>
      </c>
      <c r="N254" s="69">
        <v>0</v>
      </c>
      <c r="O254" s="69">
        <v>0</v>
      </c>
      <c r="W254" s="69">
        <v>0</v>
      </c>
    </row>
    <row r="255" spans="1:24" ht="15.75" x14ac:dyDescent="0.2">
      <c r="A255" s="144"/>
      <c r="B255" s="144"/>
      <c r="C255" s="101" t="s">
        <v>12</v>
      </c>
      <c r="D255" s="69">
        <f t="shared" si="104"/>
        <v>50891.799999999996</v>
      </c>
      <c r="E255" s="69">
        <v>0</v>
      </c>
      <c r="F255" s="69">
        <v>0</v>
      </c>
      <c r="G255" s="69">
        <v>0</v>
      </c>
      <c r="H255" s="69">
        <v>0</v>
      </c>
      <c r="I255" s="69">
        <v>0</v>
      </c>
      <c r="J255" s="69">
        <f>58078.1-10000+10000-9132.4+146.1+1800</f>
        <v>50891.799999999996</v>
      </c>
      <c r="K255" s="69">
        <v>0</v>
      </c>
      <c r="L255" s="69">
        <v>0</v>
      </c>
      <c r="M255" s="69">
        <v>0</v>
      </c>
      <c r="N255" s="69">
        <v>0</v>
      </c>
      <c r="O255" s="69">
        <v>0</v>
      </c>
      <c r="W255" s="69">
        <v>0</v>
      </c>
    </row>
    <row r="256" spans="1:24" ht="29.25" customHeight="1" x14ac:dyDescent="0.2">
      <c r="A256" s="144"/>
      <c r="B256" s="144"/>
      <c r="C256" s="96" t="s">
        <v>13</v>
      </c>
      <c r="D256" s="69">
        <f t="shared" si="104"/>
        <v>0</v>
      </c>
      <c r="E256" s="69">
        <v>0</v>
      </c>
      <c r="F256" s="69">
        <v>0</v>
      </c>
      <c r="G256" s="69">
        <v>0</v>
      </c>
      <c r="H256" s="69">
        <v>0</v>
      </c>
      <c r="I256" s="69">
        <v>0</v>
      </c>
      <c r="J256" s="69">
        <v>0</v>
      </c>
      <c r="K256" s="69">
        <v>0</v>
      </c>
      <c r="L256" s="69">
        <v>0</v>
      </c>
      <c r="M256" s="69">
        <v>0</v>
      </c>
      <c r="N256" s="69">
        <v>0</v>
      </c>
      <c r="O256" s="69">
        <v>0</v>
      </c>
      <c r="W256" s="69">
        <v>0</v>
      </c>
    </row>
    <row r="257" spans="1:23" ht="15.75" hidden="1" x14ac:dyDescent="0.2">
      <c r="A257" s="137"/>
      <c r="B257" s="138" t="s">
        <v>320</v>
      </c>
      <c r="C257" s="101" t="s">
        <v>7</v>
      </c>
      <c r="D257" s="69">
        <f t="shared" si="104"/>
        <v>0</v>
      </c>
      <c r="E257" s="69">
        <f t="shared" ref="E257:J257" si="110">E258+E259+E260+E261</f>
        <v>0</v>
      </c>
      <c r="F257" s="69">
        <f t="shared" si="110"/>
        <v>0</v>
      </c>
      <c r="G257" s="69">
        <f t="shared" si="110"/>
        <v>0</v>
      </c>
      <c r="H257" s="69">
        <f t="shared" si="110"/>
        <v>0</v>
      </c>
      <c r="I257" s="69">
        <f t="shared" si="110"/>
        <v>0</v>
      </c>
      <c r="J257" s="69">
        <f t="shared" si="110"/>
        <v>0</v>
      </c>
      <c r="K257" s="69">
        <f>K258+K259+K260+K261</f>
        <v>0</v>
      </c>
      <c r="L257" s="69">
        <f>L258+L259+L260+L261</f>
        <v>0</v>
      </c>
      <c r="M257" s="69">
        <f>M258+M259+M260+M261</f>
        <v>0</v>
      </c>
      <c r="N257" s="69">
        <f>N258+N259+N260+N261</f>
        <v>0</v>
      </c>
      <c r="O257" s="69">
        <f>O258+O259+O260+O261</f>
        <v>0</v>
      </c>
      <c r="W257" s="69">
        <f>W258+W259+W260+W261</f>
        <v>0</v>
      </c>
    </row>
    <row r="258" spans="1:23" ht="15.75" hidden="1" x14ac:dyDescent="0.2">
      <c r="A258" s="144"/>
      <c r="B258" s="159"/>
      <c r="C258" s="101" t="s">
        <v>10</v>
      </c>
      <c r="D258" s="69">
        <f t="shared" si="104"/>
        <v>0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  <c r="W258" s="69">
        <v>0</v>
      </c>
    </row>
    <row r="259" spans="1:23" ht="15.75" hidden="1" x14ac:dyDescent="0.2">
      <c r="A259" s="144"/>
      <c r="B259" s="159"/>
      <c r="C259" s="101" t="s">
        <v>11</v>
      </c>
      <c r="D259" s="69">
        <f t="shared" si="104"/>
        <v>0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  <c r="W259" s="69">
        <v>0</v>
      </c>
    </row>
    <row r="260" spans="1:23" ht="15.75" hidden="1" x14ac:dyDescent="0.2">
      <c r="A260" s="144"/>
      <c r="B260" s="159"/>
      <c r="C260" s="101" t="s">
        <v>12</v>
      </c>
      <c r="D260" s="69">
        <f t="shared" si="104"/>
        <v>0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  <c r="W260" s="69">
        <v>0</v>
      </c>
    </row>
    <row r="261" spans="1:23" ht="21.75" hidden="1" customHeight="1" x14ac:dyDescent="0.2">
      <c r="A261" s="144"/>
      <c r="B261" s="160"/>
      <c r="C261" s="96" t="s">
        <v>13</v>
      </c>
      <c r="D261" s="69">
        <f t="shared" si="104"/>
        <v>0</v>
      </c>
      <c r="E261" s="69">
        <v>0</v>
      </c>
      <c r="F261" s="69">
        <v>0</v>
      </c>
      <c r="G261" s="69">
        <v>0</v>
      </c>
      <c r="H261" s="69">
        <v>0</v>
      </c>
      <c r="I261" s="69">
        <v>0</v>
      </c>
      <c r="J261" s="69">
        <v>0</v>
      </c>
      <c r="K261" s="69">
        <v>0</v>
      </c>
      <c r="L261" s="69">
        <v>0</v>
      </c>
      <c r="M261" s="69">
        <v>0</v>
      </c>
      <c r="N261" s="69">
        <v>0</v>
      </c>
      <c r="O261" s="69">
        <v>0</v>
      </c>
      <c r="W261" s="69">
        <v>0</v>
      </c>
    </row>
    <row r="262" spans="1:23" ht="15.75" x14ac:dyDescent="0.2">
      <c r="A262" s="137" t="s">
        <v>304</v>
      </c>
      <c r="B262" s="138" t="s">
        <v>323</v>
      </c>
      <c r="C262" s="96" t="s">
        <v>7</v>
      </c>
      <c r="D262" s="69">
        <f t="shared" si="104"/>
        <v>1919</v>
      </c>
      <c r="E262" s="69">
        <f t="shared" ref="E262:J262" si="111">E263+E264+E265+E266</f>
        <v>0</v>
      </c>
      <c r="F262" s="69">
        <f t="shared" si="111"/>
        <v>0</v>
      </c>
      <c r="G262" s="69">
        <f t="shared" si="111"/>
        <v>0</v>
      </c>
      <c r="H262" s="69">
        <f t="shared" si="111"/>
        <v>0</v>
      </c>
      <c r="I262" s="69">
        <f t="shared" si="111"/>
        <v>0</v>
      </c>
      <c r="J262" s="69">
        <f t="shared" si="111"/>
        <v>1919</v>
      </c>
      <c r="K262" s="69">
        <f>K263+K264+K265+K266</f>
        <v>0</v>
      </c>
      <c r="L262" s="69">
        <f>L263+L264+L265+L266</f>
        <v>0</v>
      </c>
      <c r="M262" s="69">
        <f>M263+M264+M265+M266</f>
        <v>0</v>
      </c>
      <c r="N262" s="69">
        <f>N263+N264+N265+N266</f>
        <v>0</v>
      </c>
      <c r="O262" s="69">
        <f>O263+O264+O265+O266</f>
        <v>0</v>
      </c>
      <c r="W262" s="69">
        <f>W263+W264+W265+W266</f>
        <v>0</v>
      </c>
    </row>
    <row r="263" spans="1:23" ht="15.75" x14ac:dyDescent="0.2">
      <c r="A263" s="144"/>
      <c r="B263" s="159"/>
      <c r="C263" s="96" t="s">
        <v>10</v>
      </c>
      <c r="D263" s="69">
        <f t="shared" si="104"/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0</v>
      </c>
      <c r="W263" s="69">
        <v>0</v>
      </c>
    </row>
    <row r="264" spans="1:23" ht="15.75" x14ac:dyDescent="0.2">
      <c r="A264" s="144"/>
      <c r="B264" s="159"/>
      <c r="C264" s="96" t="s">
        <v>11</v>
      </c>
      <c r="D264" s="69">
        <f t="shared" si="104"/>
        <v>0</v>
      </c>
      <c r="E264" s="69">
        <v>0</v>
      </c>
      <c r="F264" s="69">
        <v>0</v>
      </c>
      <c r="G264" s="69">
        <v>0</v>
      </c>
      <c r="H264" s="69">
        <v>0</v>
      </c>
      <c r="I264" s="69">
        <v>0</v>
      </c>
      <c r="J264" s="69">
        <v>0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  <c r="W264" s="69">
        <v>0</v>
      </c>
    </row>
    <row r="265" spans="1:23" ht="15.75" x14ac:dyDescent="0.2">
      <c r="A265" s="144"/>
      <c r="B265" s="159"/>
      <c r="C265" s="96" t="s">
        <v>12</v>
      </c>
      <c r="D265" s="69">
        <f t="shared" si="104"/>
        <v>1919</v>
      </c>
      <c r="E265" s="69">
        <v>0</v>
      </c>
      <c r="F265" s="69">
        <v>0</v>
      </c>
      <c r="G265" s="69">
        <v>0</v>
      </c>
      <c r="H265" s="69">
        <v>0</v>
      </c>
      <c r="I265" s="69">
        <v>0</v>
      </c>
      <c r="J265" s="69">
        <f>2000-81</f>
        <v>1919</v>
      </c>
      <c r="K265" s="69">
        <v>0</v>
      </c>
      <c r="L265" s="69">
        <v>0</v>
      </c>
      <c r="M265" s="69">
        <v>0</v>
      </c>
      <c r="N265" s="69">
        <v>0</v>
      </c>
      <c r="O265" s="69">
        <v>0</v>
      </c>
      <c r="W265" s="69">
        <v>0</v>
      </c>
    </row>
    <row r="266" spans="1:23" ht="35.25" customHeight="1" x14ac:dyDescent="0.2">
      <c r="A266" s="144"/>
      <c r="B266" s="160"/>
      <c r="C266" s="96" t="s">
        <v>13</v>
      </c>
      <c r="D266" s="69">
        <f t="shared" si="104"/>
        <v>0</v>
      </c>
      <c r="E266" s="69">
        <v>0</v>
      </c>
      <c r="F266" s="69">
        <v>0</v>
      </c>
      <c r="G266" s="69">
        <v>0</v>
      </c>
      <c r="H266" s="69">
        <v>0</v>
      </c>
      <c r="I266" s="69">
        <v>0</v>
      </c>
      <c r="J266" s="69">
        <v>0</v>
      </c>
      <c r="K266" s="69">
        <v>0</v>
      </c>
      <c r="L266" s="69">
        <v>0</v>
      </c>
      <c r="M266" s="69">
        <v>0</v>
      </c>
      <c r="N266" s="69">
        <v>0</v>
      </c>
      <c r="O266" s="69">
        <v>0</v>
      </c>
      <c r="W266" s="69">
        <v>0</v>
      </c>
    </row>
    <row r="267" spans="1:23" ht="15.75" x14ac:dyDescent="0.2">
      <c r="A267" s="137" t="s">
        <v>319</v>
      </c>
      <c r="B267" s="138" t="s">
        <v>324</v>
      </c>
      <c r="C267" s="96" t="s">
        <v>7</v>
      </c>
      <c r="D267" s="69">
        <f t="shared" si="104"/>
        <v>15546.3</v>
      </c>
      <c r="E267" s="69">
        <f t="shared" ref="E267:J267" si="112">E268+E269+E270+E271</f>
        <v>0</v>
      </c>
      <c r="F267" s="69">
        <f t="shared" si="112"/>
        <v>0</v>
      </c>
      <c r="G267" s="69">
        <f t="shared" si="112"/>
        <v>0</v>
      </c>
      <c r="H267" s="69">
        <f t="shared" si="112"/>
        <v>0</v>
      </c>
      <c r="I267" s="69">
        <f t="shared" si="112"/>
        <v>0</v>
      </c>
      <c r="J267" s="69">
        <f t="shared" si="112"/>
        <v>7794.2999999999993</v>
      </c>
      <c r="K267" s="69">
        <f>K268+K269+K270+K271</f>
        <v>7752</v>
      </c>
      <c r="L267" s="69">
        <f>L268+L269+L270+L271</f>
        <v>0</v>
      </c>
      <c r="M267" s="69">
        <f>M268+M269+M270+M271</f>
        <v>0</v>
      </c>
      <c r="N267" s="69">
        <f>N268+N269+N270+N271</f>
        <v>0</v>
      </c>
      <c r="O267" s="69">
        <f>O268+O269+O270+O271</f>
        <v>0</v>
      </c>
      <c r="W267" s="69">
        <f>W268+W269+W270+W271</f>
        <v>0</v>
      </c>
    </row>
    <row r="268" spans="1:23" ht="16.5" customHeight="1" x14ac:dyDescent="0.2">
      <c r="A268" s="144"/>
      <c r="B268" s="159"/>
      <c r="C268" s="101" t="s">
        <v>10</v>
      </c>
      <c r="D268" s="69">
        <f t="shared" si="104"/>
        <v>0</v>
      </c>
      <c r="E268" s="69">
        <v>0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0</v>
      </c>
      <c r="L268" s="69">
        <v>0</v>
      </c>
      <c r="M268" s="69">
        <v>0</v>
      </c>
      <c r="N268" s="69">
        <v>0</v>
      </c>
      <c r="O268" s="69">
        <v>0</v>
      </c>
      <c r="W268" s="69">
        <v>0</v>
      </c>
    </row>
    <row r="269" spans="1:23" ht="16.5" customHeight="1" x14ac:dyDescent="0.2">
      <c r="A269" s="144"/>
      <c r="B269" s="159"/>
      <c r="C269" s="101" t="s">
        <v>11</v>
      </c>
      <c r="D269" s="69">
        <f t="shared" si="104"/>
        <v>0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v>0</v>
      </c>
      <c r="K269" s="69">
        <v>0</v>
      </c>
      <c r="L269" s="69">
        <v>0</v>
      </c>
      <c r="M269" s="69">
        <v>0</v>
      </c>
      <c r="N269" s="69">
        <v>0</v>
      </c>
      <c r="O269" s="69">
        <v>0</v>
      </c>
      <c r="W269" s="69">
        <v>0</v>
      </c>
    </row>
    <row r="270" spans="1:23" ht="16.5" customHeight="1" x14ac:dyDescent="0.2">
      <c r="A270" s="144"/>
      <c r="B270" s="159"/>
      <c r="C270" s="101" t="s">
        <v>12</v>
      </c>
      <c r="D270" s="69">
        <f t="shared" si="104"/>
        <v>15546.3</v>
      </c>
      <c r="E270" s="69">
        <v>0</v>
      </c>
      <c r="F270" s="69">
        <v>0</v>
      </c>
      <c r="G270" s="69">
        <v>0</v>
      </c>
      <c r="H270" s="69">
        <v>0</v>
      </c>
      <c r="I270" s="69">
        <v>0</v>
      </c>
      <c r="J270" s="69">
        <f>8000-205.6-0.1</f>
        <v>7794.2999999999993</v>
      </c>
      <c r="K270" s="69">
        <f>8000-300+52</f>
        <v>7752</v>
      </c>
      <c r="L270" s="69">
        <v>0</v>
      </c>
      <c r="M270" s="69">
        <v>0</v>
      </c>
      <c r="N270" s="69">
        <v>0</v>
      </c>
      <c r="O270" s="69">
        <v>0</v>
      </c>
      <c r="W270" s="69">
        <v>0</v>
      </c>
    </row>
    <row r="271" spans="1:23" ht="27.75" customHeight="1" x14ac:dyDescent="0.2">
      <c r="A271" s="144"/>
      <c r="B271" s="160"/>
      <c r="C271" s="96" t="s">
        <v>13</v>
      </c>
      <c r="D271" s="69">
        <f t="shared" si="104"/>
        <v>0</v>
      </c>
      <c r="E271" s="69">
        <v>0</v>
      </c>
      <c r="F271" s="69">
        <v>0</v>
      </c>
      <c r="G271" s="69">
        <v>0</v>
      </c>
      <c r="H271" s="69">
        <v>0</v>
      </c>
      <c r="I271" s="69">
        <v>0</v>
      </c>
      <c r="J271" s="69">
        <v>0</v>
      </c>
      <c r="K271" s="69">
        <v>0</v>
      </c>
      <c r="L271" s="69">
        <v>0</v>
      </c>
      <c r="M271" s="69">
        <v>0</v>
      </c>
      <c r="N271" s="69">
        <v>0</v>
      </c>
      <c r="O271" s="69">
        <v>0</v>
      </c>
      <c r="W271" s="69">
        <v>0</v>
      </c>
    </row>
    <row r="272" spans="1:23" ht="15.75" x14ac:dyDescent="0.2">
      <c r="A272" s="137" t="s">
        <v>321</v>
      </c>
      <c r="B272" s="137" t="s">
        <v>339</v>
      </c>
      <c r="C272" s="96" t="s">
        <v>7</v>
      </c>
      <c r="D272" s="69">
        <f t="shared" si="104"/>
        <v>9202</v>
      </c>
      <c r="E272" s="69">
        <f t="shared" ref="E272:J272" si="113">E273+E274+E275+E276</f>
        <v>0</v>
      </c>
      <c r="F272" s="69">
        <f t="shared" si="113"/>
        <v>0</v>
      </c>
      <c r="G272" s="69">
        <f t="shared" si="113"/>
        <v>0</v>
      </c>
      <c r="H272" s="69">
        <f t="shared" si="113"/>
        <v>0</v>
      </c>
      <c r="I272" s="69">
        <f t="shared" si="113"/>
        <v>0</v>
      </c>
      <c r="J272" s="69">
        <f t="shared" si="113"/>
        <v>9202</v>
      </c>
      <c r="K272" s="69">
        <f>K273+K274+K275+K276</f>
        <v>0</v>
      </c>
      <c r="L272" s="69">
        <f>L273+L274+L275+L276</f>
        <v>0</v>
      </c>
      <c r="M272" s="69">
        <f>M273+M274+M275+M276</f>
        <v>0</v>
      </c>
      <c r="N272" s="69">
        <f>N273+N274+N275+N276</f>
        <v>0</v>
      </c>
      <c r="O272" s="69">
        <f>O273+O274+O275+O276</f>
        <v>0</v>
      </c>
      <c r="W272" s="69">
        <f>W273+W274+W275+W276</f>
        <v>0</v>
      </c>
    </row>
    <row r="273" spans="1:24" ht="16.5" customHeight="1" x14ac:dyDescent="0.2">
      <c r="A273" s="144"/>
      <c r="B273" s="144"/>
      <c r="C273" s="101" t="s">
        <v>10</v>
      </c>
      <c r="D273" s="69">
        <f t="shared" si="104"/>
        <v>0</v>
      </c>
      <c r="E273" s="69">
        <v>0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</v>
      </c>
      <c r="L273" s="69">
        <v>0</v>
      </c>
      <c r="M273" s="69">
        <v>0</v>
      </c>
      <c r="N273" s="69">
        <v>0</v>
      </c>
      <c r="O273" s="69">
        <v>0</v>
      </c>
      <c r="W273" s="69">
        <v>0</v>
      </c>
    </row>
    <row r="274" spans="1:24" ht="16.5" customHeight="1" x14ac:dyDescent="0.2">
      <c r="A274" s="144"/>
      <c r="B274" s="144"/>
      <c r="C274" s="101" t="s">
        <v>11</v>
      </c>
      <c r="D274" s="69">
        <f t="shared" si="104"/>
        <v>0</v>
      </c>
      <c r="E274" s="69">
        <v>0</v>
      </c>
      <c r="F274" s="69">
        <v>0</v>
      </c>
      <c r="G274" s="69">
        <v>0</v>
      </c>
      <c r="H274" s="69">
        <v>0</v>
      </c>
      <c r="I274" s="69">
        <v>0</v>
      </c>
      <c r="J274" s="69">
        <v>0</v>
      </c>
      <c r="K274" s="69">
        <v>0</v>
      </c>
      <c r="L274" s="69">
        <v>0</v>
      </c>
      <c r="M274" s="69">
        <v>0</v>
      </c>
      <c r="N274" s="69">
        <v>0</v>
      </c>
      <c r="O274" s="69">
        <v>0</v>
      </c>
      <c r="W274" s="69">
        <v>0</v>
      </c>
    </row>
    <row r="275" spans="1:24" ht="16.5" customHeight="1" x14ac:dyDescent="0.2">
      <c r="A275" s="144"/>
      <c r="B275" s="144"/>
      <c r="C275" s="101" t="s">
        <v>12</v>
      </c>
      <c r="D275" s="69">
        <f t="shared" si="104"/>
        <v>9202</v>
      </c>
      <c r="E275" s="69">
        <v>0</v>
      </c>
      <c r="F275" s="69">
        <v>0</v>
      </c>
      <c r="G275" s="69">
        <v>0</v>
      </c>
      <c r="H275" s="69">
        <v>0</v>
      </c>
      <c r="I275" s="69">
        <v>0</v>
      </c>
      <c r="J275" s="69">
        <f>10000-798</f>
        <v>9202</v>
      </c>
      <c r="K275" s="69">
        <v>0</v>
      </c>
      <c r="L275" s="69">
        <v>0</v>
      </c>
      <c r="M275" s="69">
        <v>0</v>
      </c>
      <c r="N275" s="69">
        <v>0</v>
      </c>
      <c r="O275" s="69">
        <v>0</v>
      </c>
      <c r="W275" s="69">
        <v>0</v>
      </c>
    </row>
    <row r="276" spans="1:24" ht="36" customHeight="1" x14ac:dyDescent="0.2">
      <c r="A276" s="144"/>
      <c r="B276" s="144"/>
      <c r="C276" s="96" t="s">
        <v>13</v>
      </c>
      <c r="D276" s="69">
        <f t="shared" si="104"/>
        <v>0</v>
      </c>
      <c r="E276" s="69">
        <v>0</v>
      </c>
      <c r="F276" s="69">
        <v>0</v>
      </c>
      <c r="G276" s="69">
        <v>0</v>
      </c>
      <c r="H276" s="69">
        <v>0</v>
      </c>
      <c r="I276" s="69">
        <v>0</v>
      </c>
      <c r="J276" s="69">
        <v>0</v>
      </c>
      <c r="K276" s="69">
        <v>0</v>
      </c>
      <c r="L276" s="69">
        <v>0</v>
      </c>
      <c r="M276" s="69">
        <v>0</v>
      </c>
      <c r="N276" s="69">
        <v>0</v>
      </c>
      <c r="O276" s="69">
        <v>0</v>
      </c>
      <c r="W276" s="69">
        <v>0</v>
      </c>
    </row>
    <row r="277" spans="1:24" ht="41.25" customHeight="1" x14ac:dyDescent="0.2">
      <c r="A277" s="137" t="s">
        <v>322</v>
      </c>
      <c r="B277" s="137" t="s">
        <v>373</v>
      </c>
      <c r="C277" s="96" t="s">
        <v>7</v>
      </c>
      <c r="D277" s="69">
        <f t="shared" si="104"/>
        <v>8744.6</v>
      </c>
      <c r="E277" s="69">
        <f t="shared" ref="E277:J277" si="114">E278+E279+E280+E281</f>
        <v>0</v>
      </c>
      <c r="F277" s="69">
        <f t="shared" si="114"/>
        <v>0</v>
      </c>
      <c r="G277" s="69">
        <f t="shared" si="114"/>
        <v>0</v>
      </c>
      <c r="H277" s="69">
        <f>H278+H279+H280+H281</f>
        <v>0</v>
      </c>
      <c r="I277" s="69">
        <f t="shared" si="114"/>
        <v>0</v>
      </c>
      <c r="J277" s="69">
        <f t="shared" si="114"/>
        <v>8679.5</v>
      </c>
      <c r="K277" s="69">
        <f>K278+K279+K280+K281</f>
        <v>65.099999999999994</v>
      </c>
      <c r="L277" s="69">
        <f>L278+L279+L280+L281</f>
        <v>0</v>
      </c>
      <c r="M277" s="69">
        <f>M278+M279+M280+M281</f>
        <v>0</v>
      </c>
      <c r="N277" s="69">
        <f>N278+N279+N280+N281</f>
        <v>0</v>
      </c>
      <c r="O277" s="69">
        <f>O278+O279+O280+O281</f>
        <v>0</v>
      </c>
      <c r="P277" s="62" t="s">
        <v>348</v>
      </c>
      <c r="W277" s="69">
        <f>W278+W279+W280+W281</f>
        <v>0</v>
      </c>
    </row>
    <row r="278" spans="1:24" ht="16.5" customHeight="1" x14ac:dyDescent="0.2">
      <c r="A278" s="144"/>
      <c r="B278" s="144"/>
      <c r="C278" s="101" t="s">
        <v>10</v>
      </c>
      <c r="D278" s="69">
        <f t="shared" si="104"/>
        <v>0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0</v>
      </c>
      <c r="K278" s="69">
        <v>0</v>
      </c>
      <c r="L278" s="69">
        <v>0</v>
      </c>
      <c r="M278" s="69">
        <v>0</v>
      </c>
      <c r="N278" s="69">
        <v>0</v>
      </c>
      <c r="O278" s="69">
        <v>0</v>
      </c>
      <c r="W278" s="69">
        <v>0</v>
      </c>
    </row>
    <row r="279" spans="1:24" ht="16.5" customHeight="1" x14ac:dyDescent="0.2">
      <c r="A279" s="144"/>
      <c r="B279" s="144"/>
      <c r="C279" s="101" t="s">
        <v>11</v>
      </c>
      <c r="D279" s="69">
        <f t="shared" si="104"/>
        <v>0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v>0</v>
      </c>
      <c r="K279" s="69">
        <v>0</v>
      </c>
      <c r="L279" s="69">
        <v>0</v>
      </c>
      <c r="M279" s="69">
        <v>0</v>
      </c>
      <c r="N279" s="69">
        <v>0</v>
      </c>
      <c r="O279" s="69">
        <v>0</v>
      </c>
      <c r="W279" s="69">
        <v>0</v>
      </c>
    </row>
    <row r="280" spans="1:24" ht="16.5" customHeight="1" x14ac:dyDescent="0.2">
      <c r="A280" s="144"/>
      <c r="B280" s="144"/>
      <c r="C280" s="101" t="s">
        <v>12</v>
      </c>
      <c r="D280" s="69">
        <f t="shared" si="104"/>
        <v>8744.6</v>
      </c>
      <c r="E280" s="69">
        <v>0</v>
      </c>
      <c r="F280" s="69">
        <v>0</v>
      </c>
      <c r="G280" s="69">
        <v>0</v>
      </c>
      <c r="H280" s="69">
        <v>0</v>
      </c>
      <c r="I280" s="69">
        <v>0</v>
      </c>
      <c r="J280" s="69">
        <f>8846.9-23.4-144</f>
        <v>8679.5</v>
      </c>
      <c r="K280" s="69">
        <f>0+65.1</f>
        <v>65.099999999999994</v>
      </c>
      <c r="L280" s="69">
        <v>0</v>
      </c>
      <c r="M280" s="69">
        <v>0</v>
      </c>
      <c r="N280" s="69">
        <v>0</v>
      </c>
      <c r="O280" s="69">
        <v>0</v>
      </c>
      <c r="W280" s="69">
        <v>0</v>
      </c>
    </row>
    <row r="281" spans="1:24" ht="16.5" customHeight="1" x14ac:dyDescent="0.2">
      <c r="A281" s="144"/>
      <c r="B281" s="144"/>
      <c r="C281" s="96" t="s">
        <v>13</v>
      </c>
      <c r="D281" s="69">
        <f t="shared" si="104"/>
        <v>0</v>
      </c>
      <c r="E281" s="69">
        <v>0</v>
      </c>
      <c r="F281" s="69">
        <v>0</v>
      </c>
      <c r="G281" s="69">
        <v>0</v>
      </c>
      <c r="H281" s="69">
        <v>0</v>
      </c>
      <c r="I281" s="69">
        <v>0</v>
      </c>
      <c r="J281" s="69">
        <v>0</v>
      </c>
      <c r="K281" s="69">
        <v>0</v>
      </c>
      <c r="L281" s="69">
        <v>0</v>
      </c>
      <c r="M281" s="69">
        <v>0</v>
      </c>
      <c r="N281" s="69">
        <v>0</v>
      </c>
      <c r="O281" s="69">
        <v>0</v>
      </c>
      <c r="W281" s="69">
        <v>0</v>
      </c>
    </row>
    <row r="282" spans="1:24" ht="42" hidden="1" customHeight="1" x14ac:dyDescent="0.2">
      <c r="A282" s="137" t="s">
        <v>424</v>
      </c>
      <c r="B282" s="137" t="s">
        <v>377</v>
      </c>
      <c r="C282" s="96" t="s">
        <v>7</v>
      </c>
      <c r="D282" s="69">
        <f t="shared" si="104"/>
        <v>0</v>
      </c>
      <c r="E282" s="69">
        <f t="shared" ref="E282:O282" si="115">E283+E284+E285+E286</f>
        <v>0</v>
      </c>
      <c r="F282" s="69">
        <f t="shared" si="115"/>
        <v>0</v>
      </c>
      <c r="G282" s="69">
        <f t="shared" si="115"/>
        <v>0</v>
      </c>
      <c r="H282" s="69">
        <f t="shared" si="115"/>
        <v>0</v>
      </c>
      <c r="I282" s="69">
        <f t="shared" si="115"/>
        <v>0</v>
      </c>
      <c r="J282" s="69">
        <f t="shared" si="115"/>
        <v>0</v>
      </c>
      <c r="K282" s="69">
        <f t="shared" si="115"/>
        <v>0</v>
      </c>
      <c r="L282" s="69">
        <f t="shared" si="115"/>
        <v>0</v>
      </c>
      <c r="M282" s="69">
        <f t="shared" si="115"/>
        <v>0</v>
      </c>
      <c r="N282" s="69">
        <f t="shared" si="115"/>
        <v>0</v>
      </c>
      <c r="O282" s="69">
        <f t="shared" si="115"/>
        <v>0</v>
      </c>
      <c r="W282" s="69">
        <f t="shared" ref="W282" si="116">W283+W284+W285+W286</f>
        <v>0</v>
      </c>
    </row>
    <row r="283" spans="1:24" ht="16.5" hidden="1" customHeight="1" x14ac:dyDescent="0.2">
      <c r="A283" s="144"/>
      <c r="B283" s="144"/>
      <c r="C283" s="101" t="s">
        <v>10</v>
      </c>
      <c r="D283" s="69">
        <f t="shared" si="104"/>
        <v>0</v>
      </c>
      <c r="E283" s="69">
        <v>0</v>
      </c>
      <c r="F283" s="69">
        <v>0</v>
      </c>
      <c r="G283" s="69">
        <v>0</v>
      </c>
      <c r="H283" s="69">
        <v>0</v>
      </c>
      <c r="I283" s="69">
        <v>0</v>
      </c>
      <c r="J283" s="69">
        <v>0</v>
      </c>
      <c r="K283" s="69">
        <v>0</v>
      </c>
      <c r="L283" s="69">
        <v>0</v>
      </c>
      <c r="M283" s="69">
        <v>0</v>
      </c>
      <c r="N283" s="69">
        <v>0</v>
      </c>
      <c r="O283" s="69">
        <v>0</v>
      </c>
      <c r="W283" s="69">
        <v>0</v>
      </c>
    </row>
    <row r="284" spans="1:24" ht="16.5" hidden="1" customHeight="1" x14ac:dyDescent="0.2">
      <c r="A284" s="144"/>
      <c r="B284" s="144"/>
      <c r="C284" s="101" t="s">
        <v>11</v>
      </c>
      <c r="D284" s="69">
        <f t="shared" si="104"/>
        <v>0</v>
      </c>
      <c r="E284" s="69">
        <v>0</v>
      </c>
      <c r="F284" s="69">
        <v>0</v>
      </c>
      <c r="G284" s="69">
        <v>0</v>
      </c>
      <c r="H284" s="69">
        <v>0</v>
      </c>
      <c r="I284" s="69">
        <v>0</v>
      </c>
      <c r="J284" s="69">
        <v>0</v>
      </c>
      <c r="K284" s="69">
        <v>0</v>
      </c>
      <c r="L284" s="69">
        <f>23500-23500</f>
        <v>0</v>
      </c>
      <c r="M284" s="69">
        <v>0</v>
      </c>
      <c r="N284" s="69">
        <v>0</v>
      </c>
      <c r="O284" s="69">
        <v>0</v>
      </c>
      <c r="W284" s="69">
        <v>0</v>
      </c>
      <c r="X284" s="62" t="s">
        <v>423</v>
      </c>
    </row>
    <row r="285" spans="1:24" ht="16.5" hidden="1" customHeight="1" x14ac:dyDescent="0.2">
      <c r="A285" s="144"/>
      <c r="B285" s="144"/>
      <c r="C285" s="101" t="s">
        <v>12</v>
      </c>
      <c r="D285" s="69">
        <f t="shared" si="104"/>
        <v>0</v>
      </c>
      <c r="E285" s="69">
        <v>0</v>
      </c>
      <c r="F285" s="69">
        <v>0</v>
      </c>
      <c r="G285" s="69">
        <v>0</v>
      </c>
      <c r="H285" s="69">
        <v>0</v>
      </c>
      <c r="I285" s="69">
        <v>0</v>
      </c>
      <c r="J285" s="69">
        <v>0</v>
      </c>
      <c r="K285" s="69">
        <v>0</v>
      </c>
      <c r="L285" s="69">
        <f>1500-1500</f>
        <v>0</v>
      </c>
      <c r="M285" s="69">
        <v>0</v>
      </c>
      <c r="N285" s="69">
        <v>0</v>
      </c>
      <c r="O285" s="69">
        <v>0</v>
      </c>
      <c r="W285" s="69">
        <v>0</v>
      </c>
    </row>
    <row r="286" spans="1:24" ht="23.25" hidden="1" customHeight="1" x14ac:dyDescent="0.2">
      <c r="A286" s="144"/>
      <c r="B286" s="144"/>
      <c r="C286" s="96" t="s">
        <v>13</v>
      </c>
      <c r="D286" s="69">
        <f t="shared" si="104"/>
        <v>0</v>
      </c>
      <c r="E286" s="69">
        <v>0</v>
      </c>
      <c r="F286" s="69">
        <v>0</v>
      </c>
      <c r="G286" s="69">
        <v>0</v>
      </c>
      <c r="H286" s="69">
        <v>0</v>
      </c>
      <c r="I286" s="69">
        <v>0</v>
      </c>
      <c r="J286" s="69">
        <v>0</v>
      </c>
      <c r="K286" s="69">
        <v>0</v>
      </c>
      <c r="L286" s="69">
        <v>0</v>
      </c>
      <c r="M286" s="69">
        <v>0</v>
      </c>
      <c r="N286" s="69">
        <v>0</v>
      </c>
      <c r="O286" s="69">
        <v>0</v>
      </c>
      <c r="W286" s="69">
        <v>0</v>
      </c>
    </row>
    <row r="287" spans="1:24" ht="15.75" x14ac:dyDescent="0.2">
      <c r="A287" s="137" t="s">
        <v>336</v>
      </c>
      <c r="B287" s="137" t="s">
        <v>366</v>
      </c>
      <c r="C287" s="96" t="s">
        <v>7</v>
      </c>
      <c r="D287" s="69">
        <f t="shared" si="104"/>
        <v>589.1</v>
      </c>
      <c r="E287" s="69">
        <f t="shared" ref="E287:O287" si="117">E288+E289+E290+E291</f>
        <v>0</v>
      </c>
      <c r="F287" s="69">
        <f t="shared" si="117"/>
        <v>0</v>
      </c>
      <c r="G287" s="69">
        <f t="shared" si="117"/>
        <v>0</v>
      </c>
      <c r="H287" s="69">
        <f t="shared" si="117"/>
        <v>0</v>
      </c>
      <c r="I287" s="69">
        <f t="shared" si="117"/>
        <v>0</v>
      </c>
      <c r="J287" s="69">
        <f t="shared" si="117"/>
        <v>0</v>
      </c>
      <c r="K287" s="69">
        <f t="shared" si="117"/>
        <v>589.1</v>
      </c>
      <c r="L287" s="69">
        <f t="shared" si="117"/>
        <v>0</v>
      </c>
      <c r="M287" s="69">
        <f t="shared" si="117"/>
        <v>0</v>
      </c>
      <c r="N287" s="69">
        <f t="shared" si="117"/>
        <v>0</v>
      </c>
      <c r="O287" s="69">
        <f t="shared" si="117"/>
        <v>0</v>
      </c>
      <c r="W287" s="69">
        <f t="shared" ref="W287" si="118">W288+W289+W290+W291</f>
        <v>0</v>
      </c>
    </row>
    <row r="288" spans="1:24" ht="16.5" customHeight="1" x14ac:dyDescent="0.2">
      <c r="A288" s="144"/>
      <c r="B288" s="144"/>
      <c r="C288" s="101" t="s">
        <v>10</v>
      </c>
      <c r="D288" s="69">
        <f t="shared" si="104"/>
        <v>0</v>
      </c>
      <c r="E288" s="69">
        <v>0</v>
      </c>
      <c r="F288" s="69">
        <v>0</v>
      </c>
      <c r="G288" s="69">
        <v>0</v>
      </c>
      <c r="H288" s="69">
        <v>0</v>
      </c>
      <c r="I288" s="69">
        <v>0</v>
      </c>
      <c r="J288" s="69">
        <v>0</v>
      </c>
      <c r="K288" s="69">
        <v>0</v>
      </c>
      <c r="L288" s="69">
        <v>0</v>
      </c>
      <c r="M288" s="69">
        <v>0</v>
      </c>
      <c r="N288" s="69">
        <v>0</v>
      </c>
      <c r="O288" s="69">
        <v>0</v>
      </c>
      <c r="W288" s="69">
        <v>0</v>
      </c>
    </row>
    <row r="289" spans="1:24" ht="16.5" customHeight="1" x14ac:dyDescent="0.2">
      <c r="A289" s="144"/>
      <c r="B289" s="144"/>
      <c r="C289" s="101" t="s">
        <v>11</v>
      </c>
      <c r="D289" s="69">
        <f t="shared" si="104"/>
        <v>0</v>
      </c>
      <c r="E289" s="69">
        <v>0</v>
      </c>
      <c r="F289" s="69">
        <v>0</v>
      </c>
      <c r="G289" s="69">
        <v>0</v>
      </c>
      <c r="H289" s="69">
        <v>0</v>
      </c>
      <c r="I289" s="69">
        <v>0</v>
      </c>
      <c r="J289" s="69">
        <v>0</v>
      </c>
      <c r="K289" s="69">
        <v>0</v>
      </c>
      <c r="L289" s="69">
        <v>0</v>
      </c>
      <c r="M289" s="69">
        <v>0</v>
      </c>
      <c r="N289" s="69">
        <v>0</v>
      </c>
      <c r="O289" s="69">
        <v>0</v>
      </c>
      <c r="W289" s="69">
        <v>0</v>
      </c>
    </row>
    <row r="290" spans="1:24" ht="16.5" customHeight="1" x14ac:dyDescent="0.2">
      <c r="A290" s="144"/>
      <c r="B290" s="144"/>
      <c r="C290" s="101" t="s">
        <v>12</v>
      </c>
      <c r="D290" s="69">
        <f t="shared" si="104"/>
        <v>589.1</v>
      </c>
      <c r="E290" s="69">
        <v>0</v>
      </c>
      <c r="F290" s="69">
        <v>0</v>
      </c>
      <c r="G290" s="69">
        <v>0</v>
      </c>
      <c r="H290" s="69">
        <v>0</v>
      </c>
      <c r="I290" s="69">
        <v>0</v>
      </c>
      <c r="J290" s="69">
        <v>0</v>
      </c>
      <c r="K290" s="69">
        <f>2000-65.1-1345.7-0.1</f>
        <v>589.1</v>
      </c>
      <c r="L290" s="69">
        <v>0</v>
      </c>
      <c r="M290" s="69">
        <v>0</v>
      </c>
      <c r="N290" s="69">
        <v>0</v>
      </c>
      <c r="O290" s="69">
        <v>0</v>
      </c>
      <c r="W290" s="69">
        <v>0</v>
      </c>
    </row>
    <row r="291" spans="1:24" ht="24" customHeight="1" x14ac:dyDescent="0.2">
      <c r="A291" s="144"/>
      <c r="B291" s="144"/>
      <c r="C291" s="96" t="s">
        <v>13</v>
      </c>
      <c r="D291" s="69">
        <f t="shared" si="104"/>
        <v>0</v>
      </c>
      <c r="E291" s="69">
        <v>0</v>
      </c>
      <c r="F291" s="69">
        <v>0</v>
      </c>
      <c r="G291" s="69">
        <v>0</v>
      </c>
      <c r="H291" s="69">
        <v>0</v>
      </c>
      <c r="I291" s="69">
        <v>0</v>
      </c>
      <c r="J291" s="69">
        <v>0</v>
      </c>
      <c r="K291" s="69">
        <v>0</v>
      </c>
      <c r="L291" s="69">
        <v>0</v>
      </c>
      <c r="M291" s="69">
        <v>0</v>
      </c>
      <c r="N291" s="69">
        <v>0</v>
      </c>
      <c r="O291" s="69">
        <v>0</v>
      </c>
      <c r="W291" s="69">
        <v>0</v>
      </c>
    </row>
    <row r="292" spans="1:24" ht="15.75" hidden="1" x14ac:dyDescent="0.2">
      <c r="A292" s="137"/>
      <c r="B292" s="137" t="s">
        <v>387</v>
      </c>
      <c r="C292" s="96" t="s">
        <v>7</v>
      </c>
      <c r="D292" s="69">
        <f t="shared" si="104"/>
        <v>0</v>
      </c>
      <c r="E292" s="69">
        <f t="shared" ref="E292:O293" si="119">E293+E294+E295+E296</f>
        <v>0</v>
      </c>
      <c r="F292" s="69">
        <f t="shared" si="119"/>
        <v>0</v>
      </c>
      <c r="G292" s="69">
        <f t="shared" si="119"/>
        <v>0</v>
      </c>
      <c r="H292" s="69">
        <f t="shared" si="119"/>
        <v>0</v>
      </c>
      <c r="I292" s="69">
        <f t="shared" si="119"/>
        <v>0</v>
      </c>
      <c r="J292" s="69">
        <f t="shared" si="119"/>
        <v>0</v>
      </c>
      <c r="K292" s="69">
        <f t="shared" si="119"/>
        <v>0</v>
      </c>
      <c r="L292" s="69">
        <f t="shared" si="119"/>
        <v>0</v>
      </c>
      <c r="M292" s="69">
        <f t="shared" si="119"/>
        <v>0</v>
      </c>
      <c r="N292" s="69">
        <f t="shared" si="119"/>
        <v>0</v>
      </c>
      <c r="O292" s="69">
        <f t="shared" si="119"/>
        <v>0</v>
      </c>
      <c r="W292" s="69">
        <f t="shared" ref="W292" si="120">W293+W294+W295+W296</f>
        <v>0</v>
      </c>
    </row>
    <row r="293" spans="1:24" ht="16.5" hidden="1" customHeight="1" x14ac:dyDescent="0.2">
      <c r="A293" s="144"/>
      <c r="B293" s="144"/>
      <c r="C293" s="101" t="s">
        <v>10</v>
      </c>
      <c r="D293" s="69">
        <f t="shared" si="104"/>
        <v>0</v>
      </c>
      <c r="E293" s="69">
        <f t="shared" si="119"/>
        <v>0</v>
      </c>
      <c r="F293" s="69">
        <v>0</v>
      </c>
      <c r="G293" s="69">
        <v>0</v>
      </c>
      <c r="H293" s="69">
        <v>0</v>
      </c>
      <c r="I293" s="69">
        <v>0</v>
      </c>
      <c r="J293" s="69">
        <v>0</v>
      </c>
      <c r="K293" s="69">
        <v>0</v>
      </c>
      <c r="L293" s="69">
        <v>0</v>
      </c>
      <c r="M293" s="69">
        <v>0</v>
      </c>
      <c r="N293" s="69">
        <v>0</v>
      </c>
      <c r="O293" s="69">
        <v>0</v>
      </c>
      <c r="W293" s="69">
        <v>0</v>
      </c>
    </row>
    <row r="294" spans="1:24" ht="16.5" hidden="1" customHeight="1" x14ac:dyDescent="0.2">
      <c r="A294" s="144"/>
      <c r="B294" s="144"/>
      <c r="C294" s="101" t="s">
        <v>11</v>
      </c>
      <c r="D294" s="69">
        <f t="shared" si="104"/>
        <v>0</v>
      </c>
      <c r="E294" s="69">
        <v>0</v>
      </c>
      <c r="F294" s="69">
        <v>0</v>
      </c>
      <c r="G294" s="69">
        <v>0</v>
      </c>
      <c r="H294" s="69">
        <v>0</v>
      </c>
      <c r="I294" s="69">
        <v>0</v>
      </c>
      <c r="J294" s="69">
        <v>0</v>
      </c>
      <c r="K294" s="69">
        <v>0</v>
      </c>
      <c r="L294" s="69">
        <v>0</v>
      </c>
      <c r="M294" s="69">
        <v>0</v>
      </c>
      <c r="N294" s="69">
        <v>0</v>
      </c>
      <c r="O294" s="69">
        <v>0</v>
      </c>
      <c r="W294" s="69">
        <v>0</v>
      </c>
    </row>
    <row r="295" spans="1:24" ht="16.5" hidden="1" customHeight="1" x14ac:dyDescent="0.2">
      <c r="A295" s="144"/>
      <c r="B295" s="144"/>
      <c r="C295" s="101" t="s">
        <v>12</v>
      </c>
      <c r="D295" s="69">
        <f t="shared" si="104"/>
        <v>0</v>
      </c>
      <c r="E295" s="69">
        <v>0</v>
      </c>
      <c r="F295" s="69">
        <v>0</v>
      </c>
      <c r="G295" s="69">
        <v>0</v>
      </c>
      <c r="H295" s="69">
        <v>0</v>
      </c>
      <c r="I295" s="69">
        <v>0</v>
      </c>
      <c r="J295" s="69">
        <v>0</v>
      </c>
      <c r="K295" s="69">
        <v>0</v>
      </c>
      <c r="L295" s="69">
        <v>0</v>
      </c>
      <c r="M295" s="69">
        <v>0</v>
      </c>
      <c r="N295" s="69">
        <v>0</v>
      </c>
      <c r="O295" s="69">
        <v>0</v>
      </c>
      <c r="W295" s="69">
        <v>0</v>
      </c>
    </row>
    <row r="296" spans="1:24" ht="21.75" hidden="1" customHeight="1" x14ac:dyDescent="0.2">
      <c r="A296" s="144"/>
      <c r="B296" s="144"/>
      <c r="C296" s="96" t="s">
        <v>13</v>
      </c>
      <c r="D296" s="69">
        <f t="shared" si="104"/>
        <v>0</v>
      </c>
      <c r="E296" s="69">
        <v>0</v>
      </c>
      <c r="F296" s="69">
        <v>0</v>
      </c>
      <c r="G296" s="69">
        <v>0</v>
      </c>
      <c r="H296" s="69">
        <v>0</v>
      </c>
      <c r="I296" s="69">
        <v>0</v>
      </c>
      <c r="J296" s="69">
        <v>0</v>
      </c>
      <c r="K296" s="69">
        <v>0</v>
      </c>
      <c r="L296" s="69">
        <v>0</v>
      </c>
      <c r="M296" s="69">
        <v>0</v>
      </c>
      <c r="N296" s="69">
        <v>0</v>
      </c>
      <c r="O296" s="69">
        <v>0</v>
      </c>
      <c r="W296" s="69">
        <v>0</v>
      </c>
    </row>
    <row r="297" spans="1:24" ht="15.75" hidden="1" x14ac:dyDescent="0.2">
      <c r="A297" s="137"/>
      <c r="B297" s="137" t="s">
        <v>300</v>
      </c>
      <c r="C297" s="96" t="s">
        <v>7</v>
      </c>
      <c r="D297" s="69">
        <f t="shared" si="104"/>
        <v>0</v>
      </c>
      <c r="E297" s="69">
        <f t="shared" ref="E297:O297" si="121">E298+E299+E300+E301</f>
        <v>0</v>
      </c>
      <c r="F297" s="69">
        <f t="shared" si="121"/>
        <v>0</v>
      </c>
      <c r="G297" s="69">
        <f t="shared" si="121"/>
        <v>0</v>
      </c>
      <c r="H297" s="69">
        <f t="shared" si="121"/>
        <v>0</v>
      </c>
      <c r="I297" s="69">
        <f t="shared" si="121"/>
        <v>0</v>
      </c>
      <c r="J297" s="69">
        <f t="shared" si="121"/>
        <v>0</v>
      </c>
      <c r="K297" s="69">
        <f t="shared" si="121"/>
        <v>0</v>
      </c>
      <c r="L297" s="69">
        <f t="shared" si="121"/>
        <v>0</v>
      </c>
      <c r="M297" s="69">
        <f t="shared" si="121"/>
        <v>0</v>
      </c>
      <c r="N297" s="69">
        <f t="shared" si="121"/>
        <v>0</v>
      </c>
      <c r="O297" s="69">
        <f t="shared" si="121"/>
        <v>0</v>
      </c>
      <c r="W297" s="69">
        <f t="shared" ref="W297" si="122">W298+W299+W300+W301</f>
        <v>0</v>
      </c>
    </row>
    <row r="298" spans="1:24" ht="16.5" hidden="1" customHeight="1" x14ac:dyDescent="0.2">
      <c r="A298" s="144"/>
      <c r="B298" s="144"/>
      <c r="C298" s="101" t="s">
        <v>10</v>
      </c>
      <c r="D298" s="69">
        <f t="shared" si="104"/>
        <v>0</v>
      </c>
      <c r="E298" s="69">
        <v>0</v>
      </c>
      <c r="F298" s="69">
        <v>0</v>
      </c>
      <c r="G298" s="69">
        <v>0</v>
      </c>
      <c r="H298" s="69">
        <v>0</v>
      </c>
      <c r="I298" s="69">
        <v>0</v>
      </c>
      <c r="J298" s="69">
        <v>0</v>
      </c>
      <c r="K298" s="69">
        <v>0</v>
      </c>
      <c r="L298" s="69">
        <v>0</v>
      </c>
      <c r="M298" s="69">
        <v>0</v>
      </c>
      <c r="N298" s="69">
        <v>0</v>
      </c>
      <c r="O298" s="69">
        <v>0</v>
      </c>
      <c r="W298" s="69">
        <v>0</v>
      </c>
    </row>
    <row r="299" spans="1:24" ht="16.5" hidden="1" customHeight="1" x14ac:dyDescent="0.2">
      <c r="A299" s="144"/>
      <c r="B299" s="144"/>
      <c r="C299" s="101" t="s">
        <v>11</v>
      </c>
      <c r="D299" s="69">
        <f t="shared" si="104"/>
        <v>0</v>
      </c>
      <c r="E299" s="69">
        <v>0</v>
      </c>
      <c r="F299" s="69">
        <v>0</v>
      </c>
      <c r="G299" s="69">
        <v>0</v>
      </c>
      <c r="H299" s="69">
        <v>0</v>
      </c>
      <c r="I299" s="69">
        <v>0</v>
      </c>
      <c r="J299" s="69">
        <v>0</v>
      </c>
      <c r="K299" s="69">
        <v>0</v>
      </c>
      <c r="L299" s="69">
        <v>0</v>
      </c>
      <c r="M299" s="69">
        <v>0</v>
      </c>
      <c r="N299" s="69">
        <v>0</v>
      </c>
      <c r="O299" s="69">
        <v>0</v>
      </c>
      <c r="W299" s="69">
        <v>0</v>
      </c>
    </row>
    <row r="300" spans="1:24" ht="16.5" hidden="1" customHeight="1" x14ac:dyDescent="0.2">
      <c r="A300" s="144"/>
      <c r="B300" s="144"/>
      <c r="C300" s="101" t="s">
        <v>12</v>
      </c>
      <c r="D300" s="69">
        <f t="shared" si="104"/>
        <v>0</v>
      </c>
      <c r="E300" s="69">
        <v>0</v>
      </c>
      <c r="F300" s="69">
        <v>0</v>
      </c>
      <c r="G300" s="69">
        <v>0</v>
      </c>
      <c r="H300" s="69">
        <v>0</v>
      </c>
      <c r="I300" s="69">
        <v>0</v>
      </c>
      <c r="J300" s="69">
        <v>0</v>
      </c>
      <c r="K300" s="69">
        <f>4000-4000</f>
        <v>0</v>
      </c>
      <c r="L300" s="69">
        <v>0</v>
      </c>
      <c r="M300" s="69">
        <v>0</v>
      </c>
      <c r="N300" s="69">
        <v>0</v>
      </c>
      <c r="O300" s="69">
        <v>0</v>
      </c>
      <c r="W300" s="69">
        <v>0</v>
      </c>
    </row>
    <row r="301" spans="1:24" ht="24" hidden="1" customHeight="1" x14ac:dyDescent="0.2">
      <c r="A301" s="144"/>
      <c r="B301" s="144"/>
      <c r="C301" s="96" t="s">
        <v>13</v>
      </c>
      <c r="D301" s="69">
        <f t="shared" ref="D301:D365" si="123">E301+F301+G301+H301+I301+J301+K301+L301+M301+N301+O301+W301</f>
        <v>0</v>
      </c>
      <c r="E301" s="69">
        <v>0</v>
      </c>
      <c r="F301" s="69">
        <v>0</v>
      </c>
      <c r="G301" s="69">
        <v>0</v>
      </c>
      <c r="H301" s="69">
        <v>0</v>
      </c>
      <c r="I301" s="69">
        <v>0</v>
      </c>
      <c r="J301" s="69">
        <v>0</v>
      </c>
      <c r="K301" s="69">
        <v>0</v>
      </c>
      <c r="L301" s="69">
        <v>0</v>
      </c>
      <c r="M301" s="69">
        <v>0</v>
      </c>
      <c r="N301" s="69">
        <v>0</v>
      </c>
      <c r="O301" s="69">
        <v>0</v>
      </c>
      <c r="W301" s="69">
        <v>0</v>
      </c>
    </row>
    <row r="302" spans="1:24" s="80" customFormat="1" ht="24.75" customHeight="1" x14ac:dyDescent="0.2">
      <c r="A302" s="138" t="s">
        <v>338</v>
      </c>
      <c r="B302" s="138" t="s">
        <v>374</v>
      </c>
      <c r="C302" s="96" t="s">
        <v>7</v>
      </c>
      <c r="D302" s="69">
        <f t="shared" si="123"/>
        <v>75259.7</v>
      </c>
      <c r="E302" s="69">
        <f>E303+E304+E305+E306</f>
        <v>0</v>
      </c>
      <c r="F302" s="69">
        <f t="shared" ref="F302:O302" si="124">F303+F304+F305+F306</f>
        <v>0</v>
      </c>
      <c r="G302" s="69">
        <f t="shared" si="124"/>
        <v>0</v>
      </c>
      <c r="H302" s="69">
        <f t="shared" si="124"/>
        <v>0</v>
      </c>
      <c r="I302" s="69">
        <f t="shared" si="124"/>
        <v>0</v>
      </c>
      <c r="J302" s="69">
        <f t="shared" si="124"/>
        <v>0</v>
      </c>
      <c r="K302" s="69">
        <f t="shared" si="124"/>
        <v>75259.7</v>
      </c>
      <c r="L302" s="69">
        <f t="shared" si="124"/>
        <v>0</v>
      </c>
      <c r="M302" s="69">
        <f t="shared" si="124"/>
        <v>0</v>
      </c>
      <c r="N302" s="69">
        <f t="shared" si="124"/>
        <v>0</v>
      </c>
      <c r="O302" s="69">
        <f t="shared" si="124"/>
        <v>0</v>
      </c>
      <c r="W302" s="69">
        <f t="shared" ref="W302" si="125">W303+W304+W305+W306</f>
        <v>0</v>
      </c>
    </row>
    <row r="303" spans="1:24" s="80" customFormat="1" ht="24.75" customHeight="1" x14ac:dyDescent="0.2">
      <c r="A303" s="139"/>
      <c r="B303" s="139"/>
      <c r="C303" s="101" t="s">
        <v>10</v>
      </c>
      <c r="D303" s="69">
        <f t="shared" si="123"/>
        <v>0</v>
      </c>
      <c r="E303" s="69">
        <v>0</v>
      </c>
      <c r="F303" s="69">
        <v>0</v>
      </c>
      <c r="G303" s="69">
        <v>0</v>
      </c>
      <c r="H303" s="69">
        <v>0</v>
      </c>
      <c r="I303" s="69">
        <v>0</v>
      </c>
      <c r="J303" s="69">
        <v>0</v>
      </c>
      <c r="K303" s="69">
        <v>0</v>
      </c>
      <c r="L303" s="69">
        <v>0</v>
      </c>
      <c r="M303" s="69">
        <v>0</v>
      </c>
      <c r="N303" s="69">
        <v>0</v>
      </c>
      <c r="O303" s="69">
        <v>0</v>
      </c>
      <c r="W303" s="69">
        <v>0</v>
      </c>
    </row>
    <row r="304" spans="1:24" s="80" customFormat="1" ht="24.75" customHeight="1" x14ac:dyDescent="0.2">
      <c r="A304" s="139"/>
      <c r="B304" s="139"/>
      <c r="C304" s="101" t="s">
        <v>11</v>
      </c>
      <c r="D304" s="69">
        <f t="shared" si="123"/>
        <v>75259.7</v>
      </c>
      <c r="E304" s="69">
        <v>0</v>
      </c>
      <c r="F304" s="69">
        <v>0</v>
      </c>
      <c r="G304" s="69">
        <v>0</v>
      </c>
      <c r="H304" s="69">
        <v>0</v>
      </c>
      <c r="I304" s="69">
        <v>0</v>
      </c>
      <c r="J304" s="69">
        <v>0</v>
      </c>
      <c r="K304" s="69">
        <f>139260-42274.5-21725.8</f>
        <v>75259.7</v>
      </c>
      <c r="L304" s="69">
        <f>44738.1-44738.1</f>
        <v>0</v>
      </c>
      <c r="M304" s="69">
        <f t="shared" ref="M304:N304" si="126">44738.1-44738.1</f>
        <v>0</v>
      </c>
      <c r="N304" s="69">
        <f t="shared" si="126"/>
        <v>0</v>
      </c>
      <c r="O304" s="69">
        <v>0</v>
      </c>
      <c r="W304" s="69">
        <v>0</v>
      </c>
      <c r="X304" s="81"/>
    </row>
    <row r="305" spans="1:23" s="80" customFormat="1" ht="24.75" customHeight="1" x14ac:dyDescent="0.2">
      <c r="A305" s="139"/>
      <c r="B305" s="139"/>
      <c r="C305" s="101" t="s">
        <v>12</v>
      </c>
      <c r="D305" s="69">
        <f t="shared" si="123"/>
        <v>0</v>
      </c>
      <c r="E305" s="69">
        <v>0</v>
      </c>
      <c r="F305" s="69">
        <v>0</v>
      </c>
      <c r="G305" s="69">
        <v>0</v>
      </c>
      <c r="H305" s="69">
        <v>0</v>
      </c>
      <c r="I305" s="69">
        <v>0</v>
      </c>
      <c r="J305" s="69">
        <v>0</v>
      </c>
      <c r="K305" s="69">
        <v>0</v>
      </c>
      <c r="L305" s="69">
        <v>0</v>
      </c>
      <c r="M305" s="69">
        <v>0</v>
      </c>
      <c r="N305" s="69">
        <v>0</v>
      </c>
      <c r="O305" s="69">
        <v>0</v>
      </c>
      <c r="W305" s="69">
        <v>0</v>
      </c>
    </row>
    <row r="306" spans="1:23" s="80" customFormat="1" ht="38.25" customHeight="1" x14ac:dyDescent="0.2">
      <c r="A306" s="140"/>
      <c r="B306" s="140"/>
      <c r="C306" s="96" t="s">
        <v>13</v>
      </c>
      <c r="D306" s="69">
        <f t="shared" si="123"/>
        <v>0</v>
      </c>
      <c r="E306" s="69">
        <v>0</v>
      </c>
      <c r="F306" s="69">
        <v>0</v>
      </c>
      <c r="G306" s="69">
        <v>0</v>
      </c>
      <c r="H306" s="69">
        <v>0</v>
      </c>
      <c r="I306" s="69">
        <v>0</v>
      </c>
      <c r="J306" s="69">
        <v>0</v>
      </c>
      <c r="K306" s="69">
        <v>0</v>
      </c>
      <c r="L306" s="69">
        <v>0</v>
      </c>
      <c r="M306" s="69">
        <v>0</v>
      </c>
      <c r="N306" s="69">
        <v>0</v>
      </c>
      <c r="O306" s="69">
        <v>0</v>
      </c>
      <c r="W306" s="69">
        <v>0</v>
      </c>
    </row>
    <row r="307" spans="1:23" s="80" customFormat="1" ht="22.5" customHeight="1" x14ac:dyDescent="0.2">
      <c r="A307" s="137" t="s">
        <v>345</v>
      </c>
      <c r="B307" s="137" t="s">
        <v>456</v>
      </c>
      <c r="C307" s="101" t="s">
        <v>7</v>
      </c>
      <c r="D307" s="69">
        <f t="shared" si="123"/>
        <v>553.4</v>
      </c>
      <c r="E307" s="69">
        <f>E308+E309+E310+E311</f>
        <v>0</v>
      </c>
      <c r="F307" s="69">
        <f t="shared" ref="F307:L307" si="127">F308+F309+F310+F311</f>
        <v>0</v>
      </c>
      <c r="G307" s="69">
        <f t="shared" si="127"/>
        <v>0</v>
      </c>
      <c r="H307" s="69">
        <f t="shared" si="127"/>
        <v>0</v>
      </c>
      <c r="I307" s="69">
        <f t="shared" si="127"/>
        <v>0</v>
      </c>
      <c r="J307" s="69">
        <f t="shared" si="127"/>
        <v>0</v>
      </c>
      <c r="K307" s="69">
        <f t="shared" si="127"/>
        <v>553.4</v>
      </c>
      <c r="L307" s="69">
        <f t="shared" si="127"/>
        <v>0</v>
      </c>
      <c r="M307" s="69">
        <f t="shared" ref="M307" si="128">M308+M309+M310+M311</f>
        <v>0</v>
      </c>
      <c r="N307" s="69">
        <f t="shared" ref="N307" si="129">N308+N309+N310+N311</f>
        <v>0</v>
      </c>
      <c r="O307" s="69">
        <f t="shared" ref="O307" si="130">O308+O309+O310+O311</f>
        <v>0</v>
      </c>
      <c r="W307" s="69">
        <f t="shared" ref="W307" si="131">W308+W309+W310+W311</f>
        <v>0</v>
      </c>
    </row>
    <row r="308" spans="1:23" s="80" customFormat="1" ht="22.5" customHeight="1" x14ac:dyDescent="0.2">
      <c r="A308" s="144"/>
      <c r="B308" s="137"/>
      <c r="C308" s="96" t="s">
        <v>10</v>
      </c>
      <c r="D308" s="69">
        <f t="shared" si="123"/>
        <v>0</v>
      </c>
      <c r="E308" s="69">
        <v>0</v>
      </c>
      <c r="F308" s="69">
        <v>0</v>
      </c>
      <c r="G308" s="69">
        <v>0</v>
      </c>
      <c r="H308" s="69">
        <v>0</v>
      </c>
      <c r="I308" s="69">
        <v>0</v>
      </c>
      <c r="J308" s="69">
        <v>0</v>
      </c>
      <c r="K308" s="69">
        <v>0</v>
      </c>
      <c r="L308" s="69">
        <v>0</v>
      </c>
      <c r="M308" s="69">
        <v>0</v>
      </c>
      <c r="N308" s="69">
        <v>0</v>
      </c>
      <c r="O308" s="69">
        <v>0</v>
      </c>
      <c r="W308" s="69">
        <v>0</v>
      </c>
    </row>
    <row r="309" spans="1:23" s="80" customFormat="1" ht="22.5" customHeight="1" x14ac:dyDescent="0.2">
      <c r="A309" s="144"/>
      <c r="B309" s="137"/>
      <c r="C309" s="96" t="s">
        <v>11</v>
      </c>
      <c r="D309" s="69">
        <f t="shared" si="123"/>
        <v>0</v>
      </c>
      <c r="E309" s="69">
        <v>0</v>
      </c>
      <c r="F309" s="69">
        <v>0</v>
      </c>
      <c r="G309" s="69">
        <v>0</v>
      </c>
      <c r="H309" s="69">
        <v>0</v>
      </c>
      <c r="I309" s="69">
        <v>0</v>
      </c>
      <c r="J309" s="69">
        <v>0</v>
      </c>
      <c r="K309" s="69">
        <v>0</v>
      </c>
      <c r="L309" s="69">
        <v>0</v>
      </c>
      <c r="M309" s="69">
        <v>0</v>
      </c>
      <c r="N309" s="69">
        <v>0</v>
      </c>
      <c r="O309" s="69">
        <v>0</v>
      </c>
      <c r="W309" s="69">
        <v>0</v>
      </c>
    </row>
    <row r="310" spans="1:23" s="80" customFormat="1" ht="22.5" customHeight="1" x14ac:dyDescent="0.2">
      <c r="A310" s="144"/>
      <c r="B310" s="137"/>
      <c r="C310" s="96" t="s">
        <v>12</v>
      </c>
      <c r="D310" s="69">
        <f t="shared" si="123"/>
        <v>553.4</v>
      </c>
      <c r="E310" s="69">
        <v>0</v>
      </c>
      <c r="F310" s="69">
        <v>0</v>
      </c>
      <c r="G310" s="69">
        <v>0</v>
      </c>
      <c r="H310" s="69">
        <v>0</v>
      </c>
      <c r="I310" s="69">
        <v>0</v>
      </c>
      <c r="J310" s="69">
        <v>0</v>
      </c>
      <c r="K310" s="69">
        <v>553.4</v>
      </c>
      <c r="L310" s="69">
        <v>0</v>
      </c>
      <c r="M310" s="69">
        <f>1574.3-269.9-1304.4</f>
        <v>0</v>
      </c>
      <c r="N310" s="69">
        <v>0</v>
      </c>
      <c r="O310" s="69">
        <v>0</v>
      </c>
      <c r="W310" s="69">
        <v>0</v>
      </c>
    </row>
    <row r="311" spans="1:23" s="80" customFormat="1" ht="33.75" customHeight="1" x14ac:dyDescent="0.2">
      <c r="A311" s="144"/>
      <c r="B311" s="137"/>
      <c r="C311" s="96" t="s">
        <v>13</v>
      </c>
      <c r="D311" s="69">
        <f t="shared" si="123"/>
        <v>0</v>
      </c>
      <c r="E311" s="69">
        <v>0</v>
      </c>
      <c r="F311" s="69">
        <v>0</v>
      </c>
      <c r="G311" s="69">
        <v>0</v>
      </c>
      <c r="H311" s="69">
        <v>0</v>
      </c>
      <c r="I311" s="69">
        <v>0</v>
      </c>
      <c r="J311" s="69">
        <v>0</v>
      </c>
      <c r="K311" s="69">
        <v>0</v>
      </c>
      <c r="L311" s="69">
        <v>0</v>
      </c>
      <c r="M311" s="69">
        <v>0</v>
      </c>
      <c r="N311" s="69">
        <v>0</v>
      </c>
      <c r="O311" s="69">
        <v>0</v>
      </c>
      <c r="W311" s="69">
        <v>0</v>
      </c>
    </row>
    <row r="312" spans="1:23" s="80" customFormat="1" ht="18.75" customHeight="1" x14ac:dyDescent="0.2">
      <c r="A312" s="137" t="s">
        <v>347</v>
      </c>
      <c r="B312" s="137" t="s">
        <v>382</v>
      </c>
      <c r="C312" s="101" t="s">
        <v>7</v>
      </c>
      <c r="D312" s="69">
        <f t="shared" si="123"/>
        <v>54593.799999999996</v>
      </c>
      <c r="E312" s="69">
        <f>E313+E314+E315+E317</f>
        <v>0</v>
      </c>
      <c r="F312" s="69">
        <f t="shared" ref="F312:O312" si="132">F313+F314+F315+F317</f>
        <v>0</v>
      </c>
      <c r="G312" s="69">
        <f t="shared" si="132"/>
        <v>0</v>
      </c>
      <c r="H312" s="69">
        <f t="shared" si="132"/>
        <v>0</v>
      </c>
      <c r="I312" s="69">
        <f t="shared" si="132"/>
        <v>0</v>
      </c>
      <c r="J312" s="69">
        <f t="shared" si="132"/>
        <v>0</v>
      </c>
      <c r="K312" s="69">
        <f t="shared" si="132"/>
        <v>2648</v>
      </c>
      <c r="L312" s="69">
        <f t="shared" si="132"/>
        <v>1101.0999999999999</v>
      </c>
      <c r="M312" s="69">
        <f t="shared" si="132"/>
        <v>30659.699999999993</v>
      </c>
      <c r="N312" s="69">
        <f t="shared" si="132"/>
        <v>20185</v>
      </c>
      <c r="O312" s="69">
        <f t="shared" si="132"/>
        <v>0</v>
      </c>
      <c r="W312" s="69">
        <f t="shared" ref="W312" si="133">W313+W314+W315+W317</f>
        <v>0</v>
      </c>
    </row>
    <row r="313" spans="1:23" s="80" customFormat="1" ht="18.75" customHeight="1" x14ac:dyDescent="0.2">
      <c r="A313" s="144"/>
      <c r="B313" s="137"/>
      <c r="C313" s="96" t="s">
        <v>10</v>
      </c>
      <c r="D313" s="69">
        <f t="shared" si="123"/>
        <v>0</v>
      </c>
      <c r="E313" s="69">
        <v>0</v>
      </c>
      <c r="F313" s="69">
        <v>0</v>
      </c>
      <c r="G313" s="69">
        <v>0</v>
      </c>
      <c r="H313" s="69">
        <v>0</v>
      </c>
      <c r="I313" s="69">
        <v>0</v>
      </c>
      <c r="J313" s="69">
        <v>0</v>
      </c>
      <c r="K313" s="69">
        <v>0</v>
      </c>
      <c r="L313" s="69">
        <v>0</v>
      </c>
      <c r="M313" s="69">
        <v>0</v>
      </c>
      <c r="N313" s="69">
        <v>0</v>
      </c>
      <c r="O313" s="69">
        <v>0</v>
      </c>
      <c r="W313" s="69">
        <v>0</v>
      </c>
    </row>
    <row r="314" spans="1:23" s="80" customFormat="1" ht="18.75" customHeight="1" x14ac:dyDescent="0.2">
      <c r="A314" s="144"/>
      <c r="B314" s="137"/>
      <c r="C314" s="96" t="s">
        <v>11</v>
      </c>
      <c r="D314" s="69">
        <f t="shared" si="123"/>
        <v>0</v>
      </c>
      <c r="E314" s="69">
        <v>0</v>
      </c>
      <c r="F314" s="69">
        <v>0</v>
      </c>
      <c r="G314" s="69">
        <v>0</v>
      </c>
      <c r="H314" s="69">
        <v>0</v>
      </c>
      <c r="I314" s="69">
        <v>0</v>
      </c>
      <c r="J314" s="69">
        <v>0</v>
      </c>
      <c r="K314" s="69">
        <v>0</v>
      </c>
      <c r="L314" s="69">
        <v>0</v>
      </c>
      <c r="M314" s="69">
        <v>0</v>
      </c>
      <c r="N314" s="69">
        <v>0</v>
      </c>
      <c r="O314" s="69">
        <v>0</v>
      </c>
      <c r="W314" s="69">
        <v>0</v>
      </c>
    </row>
    <row r="315" spans="1:23" s="80" customFormat="1" ht="39" customHeight="1" x14ac:dyDescent="0.2">
      <c r="A315" s="144"/>
      <c r="B315" s="137"/>
      <c r="C315" s="96" t="s">
        <v>65</v>
      </c>
      <c r="D315" s="69">
        <f t="shared" si="123"/>
        <v>54593.799999999996</v>
      </c>
      <c r="E315" s="69">
        <v>0</v>
      </c>
      <c r="F315" s="69">
        <v>0</v>
      </c>
      <c r="G315" s="69">
        <v>0</v>
      </c>
      <c r="H315" s="69">
        <v>0</v>
      </c>
      <c r="I315" s="69">
        <v>0</v>
      </c>
      <c r="J315" s="69">
        <v>0</v>
      </c>
      <c r="K315" s="69">
        <v>2648</v>
      </c>
      <c r="L315" s="69">
        <f>1668.6-567.5</f>
        <v>1101.0999999999999</v>
      </c>
      <c r="M315" s="69">
        <f>416+38300-2760.9-599-146.9-1574.3-2975.2</f>
        <v>30659.699999999993</v>
      </c>
      <c r="N315" s="69">
        <v>20185</v>
      </c>
      <c r="O315" s="69">
        <v>0</v>
      </c>
      <c r="W315" s="69">
        <v>0</v>
      </c>
    </row>
    <row r="316" spans="1:23" s="80" customFormat="1" ht="40.5" customHeight="1" x14ac:dyDescent="0.2">
      <c r="A316" s="144"/>
      <c r="B316" s="137"/>
      <c r="C316" s="96" t="s">
        <v>448</v>
      </c>
      <c r="D316" s="71">
        <f t="shared" si="123"/>
        <v>20185</v>
      </c>
      <c r="E316" s="71">
        <v>0</v>
      </c>
      <c r="F316" s="71">
        <v>0</v>
      </c>
      <c r="G316" s="71">
        <v>0</v>
      </c>
      <c r="H316" s="71">
        <v>0</v>
      </c>
      <c r="I316" s="71">
        <v>0</v>
      </c>
      <c r="J316" s="71">
        <v>0</v>
      </c>
      <c r="K316" s="71">
        <v>0</v>
      </c>
      <c r="L316" s="71">
        <v>0</v>
      </c>
      <c r="M316" s="71">
        <v>0</v>
      </c>
      <c r="N316" s="71">
        <v>20185</v>
      </c>
      <c r="O316" s="71">
        <v>0</v>
      </c>
      <c r="P316" s="95"/>
      <c r="Q316" s="95"/>
      <c r="R316" s="95"/>
      <c r="S316" s="95"/>
      <c r="T316" s="95"/>
      <c r="U316" s="95"/>
      <c r="V316" s="95"/>
      <c r="W316" s="71">
        <v>0</v>
      </c>
    </row>
    <row r="317" spans="1:23" s="80" customFormat="1" ht="33.75" customHeight="1" x14ac:dyDescent="0.2">
      <c r="A317" s="144"/>
      <c r="B317" s="137"/>
      <c r="C317" s="96" t="s">
        <v>13</v>
      </c>
      <c r="D317" s="69">
        <f t="shared" si="123"/>
        <v>0</v>
      </c>
      <c r="E317" s="69">
        <v>0</v>
      </c>
      <c r="F317" s="69">
        <v>0</v>
      </c>
      <c r="G317" s="69">
        <v>0</v>
      </c>
      <c r="H317" s="69">
        <v>0</v>
      </c>
      <c r="I317" s="69">
        <v>0</v>
      </c>
      <c r="J317" s="69">
        <v>0</v>
      </c>
      <c r="K317" s="69">
        <v>0</v>
      </c>
      <c r="L317" s="69">
        <v>0</v>
      </c>
      <c r="M317" s="69">
        <v>0</v>
      </c>
      <c r="N317" s="69">
        <v>0</v>
      </c>
      <c r="O317" s="69">
        <v>0</v>
      </c>
      <c r="W317" s="69">
        <v>0</v>
      </c>
    </row>
    <row r="318" spans="1:23" s="80" customFormat="1" ht="18.75" customHeight="1" x14ac:dyDescent="0.2">
      <c r="A318" s="138" t="s">
        <v>407</v>
      </c>
      <c r="B318" s="138" t="s">
        <v>388</v>
      </c>
      <c r="C318" s="101" t="s">
        <v>7</v>
      </c>
      <c r="D318" s="69">
        <f t="shared" si="123"/>
        <v>251.1</v>
      </c>
      <c r="E318" s="69">
        <f t="shared" ref="E318:J318" si="134">SUM(E319:E322)</f>
        <v>0</v>
      </c>
      <c r="F318" s="69">
        <f t="shared" si="134"/>
        <v>0</v>
      </c>
      <c r="G318" s="69">
        <f t="shared" si="134"/>
        <v>0</v>
      </c>
      <c r="H318" s="69">
        <f t="shared" si="134"/>
        <v>0</v>
      </c>
      <c r="I318" s="69">
        <f t="shared" si="134"/>
        <v>0</v>
      </c>
      <c r="J318" s="69">
        <f t="shared" si="134"/>
        <v>0</v>
      </c>
      <c r="K318" s="69">
        <f>SUM(K319:K322)</f>
        <v>251.1</v>
      </c>
      <c r="L318" s="69">
        <v>0</v>
      </c>
      <c r="M318" s="69">
        <v>0</v>
      </c>
      <c r="N318" s="69">
        <v>0</v>
      </c>
      <c r="O318" s="69">
        <v>0</v>
      </c>
      <c r="W318" s="69">
        <v>0</v>
      </c>
    </row>
    <row r="319" spans="1:23" s="80" customFormat="1" ht="18.75" customHeight="1" x14ac:dyDescent="0.2">
      <c r="A319" s="139"/>
      <c r="B319" s="139"/>
      <c r="C319" s="96" t="s">
        <v>10</v>
      </c>
      <c r="D319" s="69">
        <f t="shared" si="123"/>
        <v>0</v>
      </c>
      <c r="E319" s="69">
        <v>0</v>
      </c>
      <c r="F319" s="69">
        <v>0</v>
      </c>
      <c r="G319" s="69">
        <v>0</v>
      </c>
      <c r="H319" s="69">
        <v>0</v>
      </c>
      <c r="I319" s="69">
        <v>0</v>
      </c>
      <c r="J319" s="69">
        <v>0</v>
      </c>
      <c r="K319" s="69">
        <v>0</v>
      </c>
      <c r="L319" s="69">
        <v>0</v>
      </c>
      <c r="M319" s="69">
        <v>0</v>
      </c>
      <c r="N319" s="69">
        <v>0</v>
      </c>
      <c r="O319" s="69">
        <v>0</v>
      </c>
      <c r="W319" s="69">
        <v>0</v>
      </c>
    </row>
    <row r="320" spans="1:23" s="80" customFormat="1" ht="18.75" customHeight="1" x14ac:dyDescent="0.2">
      <c r="A320" s="139"/>
      <c r="B320" s="139"/>
      <c r="C320" s="96" t="s">
        <v>11</v>
      </c>
      <c r="D320" s="69">
        <f t="shared" si="123"/>
        <v>0</v>
      </c>
      <c r="E320" s="69">
        <v>0</v>
      </c>
      <c r="F320" s="69">
        <v>0</v>
      </c>
      <c r="G320" s="69">
        <v>0</v>
      </c>
      <c r="H320" s="69">
        <v>0</v>
      </c>
      <c r="I320" s="69">
        <v>0</v>
      </c>
      <c r="J320" s="69">
        <v>0</v>
      </c>
      <c r="K320" s="69">
        <v>0</v>
      </c>
      <c r="L320" s="69">
        <v>0</v>
      </c>
      <c r="M320" s="69">
        <v>0</v>
      </c>
      <c r="N320" s="69">
        <v>0</v>
      </c>
      <c r="O320" s="69">
        <v>0</v>
      </c>
      <c r="W320" s="69">
        <v>0</v>
      </c>
    </row>
    <row r="321" spans="1:23" s="80" customFormat="1" ht="18.75" customHeight="1" x14ac:dyDescent="0.2">
      <c r="A321" s="139"/>
      <c r="B321" s="139"/>
      <c r="C321" s="96" t="s">
        <v>12</v>
      </c>
      <c r="D321" s="69">
        <f t="shared" si="123"/>
        <v>251.1</v>
      </c>
      <c r="E321" s="69">
        <v>0</v>
      </c>
      <c r="F321" s="69">
        <v>0</v>
      </c>
      <c r="G321" s="69">
        <v>0</v>
      </c>
      <c r="H321" s="69">
        <v>0</v>
      </c>
      <c r="I321" s="69">
        <v>0</v>
      </c>
      <c r="J321" s="69">
        <v>0</v>
      </c>
      <c r="K321" s="69">
        <f>451-199.9</f>
        <v>251.1</v>
      </c>
      <c r="L321" s="69">
        <v>0</v>
      </c>
      <c r="M321" s="69">
        <v>0</v>
      </c>
      <c r="N321" s="69">
        <v>0</v>
      </c>
      <c r="O321" s="69">
        <v>0</v>
      </c>
      <c r="W321" s="69">
        <v>0</v>
      </c>
    </row>
    <row r="322" spans="1:23" s="80" customFormat="1" ht="35.25" customHeight="1" x14ac:dyDescent="0.2">
      <c r="A322" s="140"/>
      <c r="B322" s="140"/>
      <c r="C322" s="96" t="s">
        <v>13</v>
      </c>
      <c r="D322" s="69">
        <f t="shared" si="123"/>
        <v>0</v>
      </c>
      <c r="E322" s="69">
        <v>0</v>
      </c>
      <c r="F322" s="69">
        <v>0</v>
      </c>
      <c r="G322" s="69">
        <v>0</v>
      </c>
      <c r="H322" s="69">
        <v>0</v>
      </c>
      <c r="I322" s="69">
        <v>0</v>
      </c>
      <c r="J322" s="69">
        <v>0</v>
      </c>
      <c r="K322" s="69">
        <v>0</v>
      </c>
      <c r="L322" s="69">
        <v>0</v>
      </c>
      <c r="M322" s="69">
        <v>0</v>
      </c>
      <c r="N322" s="69">
        <v>0</v>
      </c>
      <c r="O322" s="69">
        <v>0</v>
      </c>
      <c r="W322" s="69">
        <v>0</v>
      </c>
    </row>
    <row r="323" spans="1:23" s="80" customFormat="1" ht="18.75" hidden="1" customHeight="1" x14ac:dyDescent="0.2">
      <c r="A323" s="138"/>
      <c r="B323" s="138" t="s">
        <v>400</v>
      </c>
      <c r="C323" s="101" t="s">
        <v>7</v>
      </c>
      <c r="D323" s="69">
        <f t="shared" si="123"/>
        <v>0</v>
      </c>
      <c r="E323" s="69">
        <f t="shared" ref="E323:J323" si="135">SUM(E324:E327)</f>
        <v>0</v>
      </c>
      <c r="F323" s="69">
        <f t="shared" si="135"/>
        <v>0</v>
      </c>
      <c r="G323" s="69">
        <f t="shared" si="135"/>
        <v>0</v>
      </c>
      <c r="H323" s="69">
        <f t="shared" si="135"/>
        <v>0</v>
      </c>
      <c r="I323" s="69">
        <f t="shared" si="135"/>
        <v>0</v>
      </c>
      <c r="J323" s="69">
        <f t="shared" si="135"/>
        <v>0</v>
      </c>
      <c r="K323" s="69">
        <f>SUM(K324:K327)</f>
        <v>0</v>
      </c>
      <c r="L323" s="69">
        <v>0</v>
      </c>
      <c r="M323" s="69">
        <v>0</v>
      </c>
      <c r="N323" s="69">
        <v>0</v>
      </c>
      <c r="O323" s="69">
        <v>0</v>
      </c>
      <c r="W323" s="69">
        <v>0</v>
      </c>
    </row>
    <row r="324" spans="1:23" s="80" customFormat="1" ht="18.75" hidden="1" customHeight="1" x14ac:dyDescent="0.2">
      <c r="A324" s="139"/>
      <c r="B324" s="139"/>
      <c r="C324" s="96" t="s">
        <v>10</v>
      </c>
      <c r="D324" s="69">
        <f t="shared" si="123"/>
        <v>0</v>
      </c>
      <c r="E324" s="69">
        <v>0</v>
      </c>
      <c r="F324" s="69">
        <v>0</v>
      </c>
      <c r="G324" s="69">
        <v>0</v>
      </c>
      <c r="H324" s="69">
        <v>0</v>
      </c>
      <c r="I324" s="69">
        <v>0</v>
      </c>
      <c r="J324" s="69">
        <v>0</v>
      </c>
      <c r="K324" s="69">
        <v>0</v>
      </c>
      <c r="L324" s="69">
        <v>0</v>
      </c>
      <c r="M324" s="69">
        <v>0</v>
      </c>
      <c r="N324" s="69">
        <v>0</v>
      </c>
      <c r="O324" s="69">
        <v>0</v>
      </c>
      <c r="W324" s="69">
        <v>0</v>
      </c>
    </row>
    <row r="325" spans="1:23" s="80" customFormat="1" ht="18.75" hidden="1" customHeight="1" x14ac:dyDescent="0.2">
      <c r="A325" s="139"/>
      <c r="B325" s="139"/>
      <c r="C325" s="96" t="s">
        <v>11</v>
      </c>
      <c r="D325" s="69">
        <f t="shared" si="123"/>
        <v>0</v>
      </c>
      <c r="E325" s="69">
        <v>0</v>
      </c>
      <c r="F325" s="69">
        <v>0</v>
      </c>
      <c r="G325" s="69">
        <v>0</v>
      </c>
      <c r="H325" s="69">
        <v>0</v>
      </c>
      <c r="I325" s="69">
        <v>0</v>
      </c>
      <c r="J325" s="69">
        <v>0</v>
      </c>
      <c r="K325" s="69">
        <v>0</v>
      </c>
      <c r="L325" s="69">
        <v>0</v>
      </c>
      <c r="M325" s="69">
        <v>0</v>
      </c>
      <c r="N325" s="69">
        <v>0</v>
      </c>
      <c r="O325" s="69">
        <v>0</v>
      </c>
      <c r="W325" s="69">
        <v>0</v>
      </c>
    </row>
    <row r="326" spans="1:23" s="80" customFormat="1" ht="18.75" hidden="1" customHeight="1" x14ac:dyDescent="0.2">
      <c r="A326" s="139"/>
      <c r="B326" s="139"/>
      <c r="C326" s="96" t="s">
        <v>12</v>
      </c>
      <c r="D326" s="69">
        <f t="shared" si="123"/>
        <v>0</v>
      </c>
      <c r="E326" s="69">
        <v>0</v>
      </c>
      <c r="F326" s="69">
        <v>0</v>
      </c>
      <c r="G326" s="69">
        <v>0</v>
      </c>
      <c r="H326" s="69">
        <v>0</v>
      </c>
      <c r="I326" s="69">
        <v>0</v>
      </c>
      <c r="J326" s="69">
        <v>0</v>
      </c>
      <c r="K326" s="69">
        <f>3553.2-3553.2</f>
        <v>0</v>
      </c>
      <c r="L326" s="69">
        <v>0</v>
      </c>
      <c r="M326" s="69">
        <v>0</v>
      </c>
      <c r="N326" s="69">
        <v>0</v>
      </c>
      <c r="O326" s="69">
        <v>0</v>
      </c>
      <c r="W326" s="69">
        <v>0</v>
      </c>
    </row>
    <row r="327" spans="1:23" s="80" customFormat="1" ht="18.75" hidden="1" customHeight="1" x14ac:dyDescent="0.2">
      <c r="A327" s="140"/>
      <c r="B327" s="140"/>
      <c r="C327" s="96" t="s">
        <v>13</v>
      </c>
      <c r="D327" s="69">
        <f t="shared" si="123"/>
        <v>0</v>
      </c>
      <c r="E327" s="69">
        <v>0</v>
      </c>
      <c r="F327" s="69">
        <v>0</v>
      </c>
      <c r="G327" s="69">
        <v>0</v>
      </c>
      <c r="H327" s="69">
        <v>0</v>
      </c>
      <c r="I327" s="69">
        <v>0</v>
      </c>
      <c r="J327" s="69">
        <v>0</v>
      </c>
      <c r="K327" s="69">
        <v>0</v>
      </c>
      <c r="L327" s="69">
        <v>0</v>
      </c>
      <c r="M327" s="69">
        <v>0</v>
      </c>
      <c r="N327" s="69">
        <v>0</v>
      </c>
      <c r="O327" s="69">
        <v>0</v>
      </c>
      <c r="W327" s="69">
        <v>0</v>
      </c>
    </row>
    <row r="328" spans="1:23" s="80" customFormat="1" ht="18.75" customHeight="1" x14ac:dyDescent="0.2">
      <c r="A328" s="138" t="s">
        <v>405</v>
      </c>
      <c r="B328" s="138" t="s">
        <v>406</v>
      </c>
      <c r="C328" s="101" t="s">
        <v>7</v>
      </c>
      <c r="D328" s="69">
        <f t="shared" si="123"/>
        <v>994.1</v>
      </c>
      <c r="E328" s="69">
        <f t="shared" ref="E328:J328" si="136">SUM(E329:E332)</f>
        <v>0</v>
      </c>
      <c r="F328" s="69">
        <f t="shared" si="136"/>
        <v>0</v>
      </c>
      <c r="G328" s="69">
        <f t="shared" si="136"/>
        <v>0</v>
      </c>
      <c r="H328" s="69">
        <f t="shared" si="136"/>
        <v>0</v>
      </c>
      <c r="I328" s="69">
        <f t="shared" si="136"/>
        <v>0</v>
      </c>
      <c r="J328" s="69">
        <f t="shared" si="136"/>
        <v>0</v>
      </c>
      <c r="K328" s="69">
        <f>SUM(K329:K332)</f>
        <v>994.1</v>
      </c>
      <c r="L328" s="69">
        <v>0</v>
      </c>
      <c r="M328" s="69">
        <v>0</v>
      </c>
      <c r="N328" s="69">
        <v>0</v>
      </c>
      <c r="O328" s="69">
        <v>0</v>
      </c>
      <c r="W328" s="69">
        <v>0</v>
      </c>
    </row>
    <row r="329" spans="1:23" s="80" customFormat="1" ht="18.75" customHeight="1" x14ac:dyDescent="0.2">
      <c r="A329" s="139"/>
      <c r="B329" s="139"/>
      <c r="C329" s="96" t="s">
        <v>10</v>
      </c>
      <c r="D329" s="69">
        <f t="shared" si="123"/>
        <v>0</v>
      </c>
      <c r="E329" s="69">
        <v>0</v>
      </c>
      <c r="F329" s="69">
        <v>0</v>
      </c>
      <c r="G329" s="69">
        <v>0</v>
      </c>
      <c r="H329" s="69">
        <v>0</v>
      </c>
      <c r="I329" s="69">
        <v>0</v>
      </c>
      <c r="J329" s="69">
        <v>0</v>
      </c>
      <c r="K329" s="69">
        <v>0</v>
      </c>
      <c r="L329" s="69">
        <v>0</v>
      </c>
      <c r="M329" s="69">
        <v>0</v>
      </c>
      <c r="N329" s="69">
        <v>0</v>
      </c>
      <c r="O329" s="69">
        <v>0</v>
      </c>
      <c r="P329" s="69">
        <v>0</v>
      </c>
      <c r="Q329" s="69">
        <v>0</v>
      </c>
      <c r="R329" s="69">
        <v>0</v>
      </c>
      <c r="S329" s="69">
        <v>0</v>
      </c>
      <c r="T329" s="69">
        <v>0</v>
      </c>
      <c r="U329" s="69">
        <v>0</v>
      </c>
      <c r="V329" s="69">
        <v>0</v>
      </c>
      <c r="W329" s="69">
        <v>0</v>
      </c>
    </row>
    <row r="330" spans="1:23" s="80" customFormat="1" ht="18.75" customHeight="1" x14ac:dyDescent="0.2">
      <c r="A330" s="139"/>
      <c r="B330" s="139"/>
      <c r="C330" s="96" t="s">
        <v>11</v>
      </c>
      <c r="D330" s="69">
        <f t="shared" si="123"/>
        <v>0</v>
      </c>
      <c r="E330" s="69">
        <v>0</v>
      </c>
      <c r="F330" s="69">
        <v>0</v>
      </c>
      <c r="G330" s="69">
        <v>0</v>
      </c>
      <c r="H330" s="69">
        <v>0</v>
      </c>
      <c r="I330" s="69">
        <v>0</v>
      </c>
      <c r="J330" s="69">
        <v>0</v>
      </c>
      <c r="K330" s="69">
        <v>0</v>
      </c>
      <c r="L330" s="69">
        <v>0</v>
      </c>
      <c r="M330" s="69">
        <v>0</v>
      </c>
      <c r="N330" s="69">
        <v>0</v>
      </c>
      <c r="O330" s="69">
        <v>0</v>
      </c>
      <c r="P330" s="69">
        <v>0</v>
      </c>
      <c r="Q330" s="69">
        <v>0</v>
      </c>
      <c r="R330" s="69">
        <v>0</v>
      </c>
      <c r="S330" s="69">
        <v>0</v>
      </c>
      <c r="T330" s="69">
        <v>0</v>
      </c>
      <c r="U330" s="69">
        <v>0</v>
      </c>
      <c r="V330" s="69">
        <v>0</v>
      </c>
      <c r="W330" s="69">
        <v>0</v>
      </c>
    </row>
    <row r="331" spans="1:23" s="80" customFormat="1" ht="18.75" customHeight="1" x14ac:dyDescent="0.2">
      <c r="A331" s="139"/>
      <c r="B331" s="139"/>
      <c r="C331" s="96" t="s">
        <v>12</v>
      </c>
      <c r="D331" s="69">
        <f t="shared" si="123"/>
        <v>994.1</v>
      </c>
      <c r="E331" s="69">
        <v>0</v>
      </c>
      <c r="F331" s="69">
        <v>0</v>
      </c>
      <c r="G331" s="69">
        <v>0</v>
      </c>
      <c r="H331" s="69">
        <v>0</v>
      </c>
      <c r="I331" s="69">
        <v>0</v>
      </c>
      <c r="J331" s="69">
        <v>0</v>
      </c>
      <c r="K331" s="69">
        <v>994.1</v>
      </c>
      <c r="L331" s="69">
        <v>0</v>
      </c>
      <c r="M331" s="69">
        <v>0</v>
      </c>
      <c r="N331" s="69">
        <v>0</v>
      </c>
      <c r="O331" s="69">
        <v>0</v>
      </c>
      <c r="P331" s="69">
        <v>0</v>
      </c>
      <c r="Q331" s="69">
        <v>0</v>
      </c>
      <c r="R331" s="69">
        <v>0</v>
      </c>
      <c r="S331" s="69">
        <v>0</v>
      </c>
      <c r="T331" s="69">
        <v>0</v>
      </c>
      <c r="U331" s="69">
        <v>0</v>
      </c>
      <c r="V331" s="69">
        <v>0</v>
      </c>
      <c r="W331" s="69">
        <v>0</v>
      </c>
    </row>
    <row r="332" spans="1:23" s="80" customFormat="1" ht="33.75" customHeight="1" x14ac:dyDescent="0.2">
      <c r="A332" s="140"/>
      <c r="B332" s="140"/>
      <c r="C332" s="96" t="s">
        <v>13</v>
      </c>
      <c r="D332" s="69">
        <f t="shared" si="123"/>
        <v>0</v>
      </c>
      <c r="E332" s="69">
        <v>0</v>
      </c>
      <c r="F332" s="69">
        <v>0</v>
      </c>
      <c r="G332" s="69">
        <v>0</v>
      </c>
      <c r="H332" s="69">
        <v>0</v>
      </c>
      <c r="I332" s="69">
        <v>0</v>
      </c>
      <c r="J332" s="69">
        <v>0</v>
      </c>
      <c r="K332" s="69">
        <v>0</v>
      </c>
      <c r="L332" s="69">
        <v>0</v>
      </c>
      <c r="M332" s="69">
        <v>0</v>
      </c>
      <c r="N332" s="69">
        <v>0</v>
      </c>
      <c r="O332" s="69">
        <v>0</v>
      </c>
      <c r="P332" s="69">
        <v>0</v>
      </c>
      <c r="Q332" s="69">
        <v>0</v>
      </c>
      <c r="R332" s="69">
        <v>0</v>
      </c>
      <c r="S332" s="69">
        <v>0</v>
      </c>
      <c r="T332" s="69">
        <v>0</v>
      </c>
      <c r="U332" s="69">
        <v>0</v>
      </c>
      <c r="V332" s="69">
        <v>0</v>
      </c>
      <c r="W332" s="69">
        <v>0</v>
      </c>
    </row>
    <row r="333" spans="1:23" s="80" customFormat="1" ht="18.75" customHeight="1" x14ac:dyDescent="0.2">
      <c r="A333" s="138" t="s">
        <v>380</v>
      </c>
      <c r="B333" s="138" t="s">
        <v>418</v>
      </c>
      <c r="C333" s="101" t="s">
        <v>7</v>
      </c>
      <c r="D333" s="69">
        <f t="shared" si="123"/>
        <v>1269013.2</v>
      </c>
      <c r="E333" s="69">
        <f t="shared" ref="E333:J333" si="137">SUM(E334:E337)</f>
        <v>0</v>
      </c>
      <c r="F333" s="69">
        <f t="shared" si="137"/>
        <v>0</v>
      </c>
      <c r="G333" s="69">
        <f t="shared" si="137"/>
        <v>0</v>
      </c>
      <c r="H333" s="69">
        <f t="shared" si="137"/>
        <v>0</v>
      </c>
      <c r="I333" s="69">
        <f t="shared" si="137"/>
        <v>0</v>
      </c>
      <c r="J333" s="69">
        <f t="shared" si="137"/>
        <v>0</v>
      </c>
      <c r="K333" s="69">
        <f>SUM(K334:K337)</f>
        <v>0</v>
      </c>
      <c r="L333" s="69">
        <f t="shared" ref="L333:O333" si="138">SUM(L334:L337)</f>
        <v>429013.19999999995</v>
      </c>
      <c r="M333" s="69">
        <f t="shared" si="138"/>
        <v>840000</v>
      </c>
      <c r="N333" s="69">
        <f t="shared" si="138"/>
        <v>0</v>
      </c>
      <c r="O333" s="69">
        <f t="shared" si="138"/>
        <v>0</v>
      </c>
      <c r="P333" s="75"/>
      <c r="Q333" s="75"/>
      <c r="R333" s="75"/>
      <c r="S333" s="75"/>
      <c r="T333" s="75"/>
      <c r="U333" s="75"/>
      <c r="V333" s="75"/>
      <c r="W333" s="69">
        <f t="shared" ref="W333" si="139">SUM(W334:W337)</f>
        <v>0</v>
      </c>
    </row>
    <row r="334" spans="1:23" s="80" customFormat="1" ht="18.75" customHeight="1" x14ac:dyDescent="0.2">
      <c r="A334" s="139"/>
      <c r="B334" s="139"/>
      <c r="C334" s="96" t="s">
        <v>10</v>
      </c>
      <c r="D334" s="69">
        <f t="shared" si="123"/>
        <v>0</v>
      </c>
      <c r="E334" s="69">
        <v>0</v>
      </c>
      <c r="F334" s="69">
        <v>0</v>
      </c>
      <c r="G334" s="69">
        <v>0</v>
      </c>
      <c r="H334" s="69">
        <v>0</v>
      </c>
      <c r="I334" s="69">
        <v>0</v>
      </c>
      <c r="J334" s="69">
        <v>0</v>
      </c>
      <c r="K334" s="69">
        <v>0</v>
      </c>
      <c r="L334" s="69">
        <v>0</v>
      </c>
      <c r="M334" s="69">
        <v>0</v>
      </c>
      <c r="N334" s="69">
        <v>0</v>
      </c>
      <c r="O334" s="69">
        <v>0</v>
      </c>
      <c r="P334" s="75"/>
      <c r="Q334" s="75"/>
      <c r="R334" s="75"/>
      <c r="S334" s="75"/>
      <c r="T334" s="75"/>
      <c r="U334" s="75"/>
      <c r="V334" s="75"/>
      <c r="W334" s="69">
        <v>0</v>
      </c>
    </row>
    <row r="335" spans="1:23" s="80" customFormat="1" ht="18.75" customHeight="1" x14ac:dyDescent="0.2">
      <c r="A335" s="139"/>
      <c r="B335" s="139"/>
      <c r="C335" s="96" t="s">
        <v>11</v>
      </c>
      <c r="D335" s="69">
        <f t="shared" si="123"/>
        <v>1256323.1000000001</v>
      </c>
      <c r="E335" s="69">
        <v>0</v>
      </c>
      <c r="F335" s="69">
        <v>0</v>
      </c>
      <c r="G335" s="69">
        <v>0</v>
      </c>
      <c r="H335" s="69">
        <v>0</v>
      </c>
      <c r="I335" s="69">
        <v>0</v>
      </c>
      <c r="J335" s="69">
        <v>0</v>
      </c>
      <c r="K335" s="69">
        <v>0</v>
      </c>
      <c r="L335" s="69">
        <f>L340+L345</f>
        <v>424723.1</v>
      </c>
      <c r="M335" s="69">
        <f t="shared" ref="M335:V335" si="140">M340+M345</f>
        <v>831600</v>
      </c>
      <c r="N335" s="69">
        <f t="shared" si="140"/>
        <v>0</v>
      </c>
      <c r="O335" s="69">
        <f t="shared" si="140"/>
        <v>0</v>
      </c>
      <c r="P335" s="69">
        <f t="shared" si="140"/>
        <v>0</v>
      </c>
      <c r="Q335" s="69">
        <f t="shared" si="140"/>
        <v>0</v>
      </c>
      <c r="R335" s="69">
        <f t="shared" si="140"/>
        <v>0</v>
      </c>
      <c r="S335" s="69">
        <f t="shared" si="140"/>
        <v>0</v>
      </c>
      <c r="T335" s="69">
        <f t="shared" si="140"/>
        <v>0</v>
      </c>
      <c r="U335" s="69">
        <f t="shared" si="140"/>
        <v>0</v>
      </c>
      <c r="V335" s="69">
        <f t="shared" si="140"/>
        <v>0</v>
      </c>
      <c r="W335" s="69">
        <f t="shared" ref="W335" si="141">W340+W345</f>
        <v>0</v>
      </c>
    </row>
    <row r="336" spans="1:23" s="80" customFormat="1" ht="18.75" customHeight="1" x14ac:dyDescent="0.2">
      <c r="A336" s="139"/>
      <c r="B336" s="139"/>
      <c r="C336" s="96" t="s">
        <v>12</v>
      </c>
      <c r="D336" s="69">
        <f t="shared" si="123"/>
        <v>12690.1</v>
      </c>
      <c r="E336" s="69">
        <v>0</v>
      </c>
      <c r="F336" s="69">
        <v>0</v>
      </c>
      <c r="G336" s="69">
        <v>0</v>
      </c>
      <c r="H336" s="69">
        <v>0</v>
      </c>
      <c r="I336" s="69">
        <v>0</v>
      </c>
      <c r="J336" s="69">
        <v>0</v>
      </c>
      <c r="K336" s="69">
        <v>0</v>
      </c>
      <c r="L336" s="69">
        <f>L341++L346</f>
        <v>4290.1000000000004</v>
      </c>
      <c r="M336" s="69">
        <f t="shared" ref="M336:O336" si="142">M341++M346</f>
        <v>8400</v>
      </c>
      <c r="N336" s="69">
        <f t="shared" si="142"/>
        <v>0</v>
      </c>
      <c r="O336" s="69">
        <f t="shared" si="142"/>
        <v>0</v>
      </c>
      <c r="P336" s="75"/>
      <c r="Q336" s="75"/>
      <c r="R336" s="75"/>
      <c r="S336" s="75"/>
      <c r="T336" s="75"/>
      <c r="U336" s="75"/>
      <c r="V336" s="75"/>
      <c r="W336" s="69">
        <f t="shared" ref="W336" si="143">W341++W346</f>
        <v>0</v>
      </c>
    </row>
    <row r="337" spans="1:23" s="80" customFormat="1" ht="36.75" customHeight="1" x14ac:dyDescent="0.2">
      <c r="A337" s="140"/>
      <c r="B337" s="140"/>
      <c r="C337" s="96" t="s">
        <v>13</v>
      </c>
      <c r="D337" s="69">
        <f t="shared" si="123"/>
        <v>0</v>
      </c>
      <c r="E337" s="69">
        <v>0</v>
      </c>
      <c r="F337" s="69">
        <v>0</v>
      </c>
      <c r="G337" s="69">
        <v>0</v>
      </c>
      <c r="H337" s="69">
        <v>0</v>
      </c>
      <c r="I337" s="69">
        <v>0</v>
      </c>
      <c r="J337" s="69">
        <v>0</v>
      </c>
      <c r="K337" s="69">
        <v>0</v>
      </c>
      <c r="L337" s="69">
        <v>0</v>
      </c>
      <c r="M337" s="69">
        <v>0</v>
      </c>
      <c r="N337" s="69">
        <v>0</v>
      </c>
      <c r="O337" s="69">
        <v>0</v>
      </c>
      <c r="P337" s="75"/>
      <c r="Q337" s="75"/>
      <c r="R337" s="75"/>
      <c r="S337" s="75"/>
      <c r="T337" s="75"/>
      <c r="U337" s="75"/>
      <c r="V337" s="75"/>
      <c r="W337" s="69">
        <v>0</v>
      </c>
    </row>
    <row r="338" spans="1:23" s="80" customFormat="1" ht="21" customHeight="1" x14ac:dyDescent="0.2">
      <c r="A338" s="138" t="s">
        <v>425</v>
      </c>
      <c r="B338" s="138" t="s">
        <v>417</v>
      </c>
      <c r="C338" s="101" t="s">
        <v>7</v>
      </c>
      <c r="D338" s="69">
        <f t="shared" si="123"/>
        <v>1200000</v>
      </c>
      <c r="E338" s="69">
        <f t="shared" ref="E338:J338" si="144">SUM(E339:E342)</f>
        <v>0</v>
      </c>
      <c r="F338" s="69">
        <f t="shared" si="144"/>
        <v>0</v>
      </c>
      <c r="G338" s="69">
        <f t="shared" si="144"/>
        <v>0</v>
      </c>
      <c r="H338" s="69">
        <f t="shared" si="144"/>
        <v>0</v>
      </c>
      <c r="I338" s="69">
        <f t="shared" si="144"/>
        <v>0</v>
      </c>
      <c r="J338" s="69">
        <f t="shared" si="144"/>
        <v>0</v>
      </c>
      <c r="K338" s="69">
        <f>SUM(K339:K342)</f>
        <v>0</v>
      </c>
      <c r="L338" s="69">
        <f t="shared" ref="L338:O338" si="145">SUM(L339:L342)</f>
        <v>360000</v>
      </c>
      <c r="M338" s="69">
        <f t="shared" si="145"/>
        <v>840000</v>
      </c>
      <c r="N338" s="69">
        <f t="shared" si="145"/>
        <v>0</v>
      </c>
      <c r="O338" s="69">
        <f t="shared" si="145"/>
        <v>0</v>
      </c>
      <c r="P338" s="75"/>
      <c r="Q338" s="75"/>
      <c r="R338" s="75"/>
      <c r="S338" s="75"/>
      <c r="T338" s="75"/>
      <c r="U338" s="75"/>
      <c r="V338" s="75"/>
      <c r="W338" s="69">
        <f t="shared" ref="W338" si="146">SUM(W339:W342)</f>
        <v>0</v>
      </c>
    </row>
    <row r="339" spans="1:23" s="80" customFormat="1" ht="21" customHeight="1" x14ac:dyDescent="0.2">
      <c r="A339" s="139"/>
      <c r="B339" s="139"/>
      <c r="C339" s="96" t="s">
        <v>10</v>
      </c>
      <c r="D339" s="69">
        <f t="shared" si="123"/>
        <v>0</v>
      </c>
      <c r="E339" s="69">
        <v>0</v>
      </c>
      <c r="F339" s="69">
        <v>0</v>
      </c>
      <c r="G339" s="69">
        <v>0</v>
      </c>
      <c r="H339" s="69">
        <v>0</v>
      </c>
      <c r="I339" s="69">
        <v>0</v>
      </c>
      <c r="J339" s="69">
        <v>0</v>
      </c>
      <c r="K339" s="69">
        <v>0</v>
      </c>
      <c r="L339" s="69">
        <v>0</v>
      </c>
      <c r="M339" s="69">
        <v>0</v>
      </c>
      <c r="N339" s="69">
        <v>0</v>
      </c>
      <c r="O339" s="69">
        <v>0</v>
      </c>
      <c r="P339" s="75"/>
      <c r="Q339" s="75"/>
      <c r="R339" s="75"/>
      <c r="S339" s="75"/>
      <c r="T339" s="75"/>
      <c r="U339" s="75"/>
      <c r="V339" s="75"/>
      <c r="W339" s="69">
        <v>0</v>
      </c>
    </row>
    <row r="340" spans="1:23" s="80" customFormat="1" ht="21" customHeight="1" x14ac:dyDescent="0.2">
      <c r="A340" s="139"/>
      <c r="B340" s="139"/>
      <c r="C340" s="96" t="s">
        <v>11</v>
      </c>
      <c r="D340" s="69">
        <f t="shared" si="123"/>
        <v>1188000</v>
      </c>
      <c r="E340" s="69">
        <v>0</v>
      </c>
      <c r="F340" s="69">
        <v>0</v>
      </c>
      <c r="G340" s="69">
        <v>0</v>
      </c>
      <c r="H340" s="69">
        <v>0</v>
      </c>
      <c r="I340" s="69">
        <v>0</v>
      </c>
      <c r="J340" s="69">
        <v>0</v>
      </c>
      <c r="K340" s="69">
        <v>0</v>
      </c>
      <c r="L340" s="69">
        <v>356400</v>
      </c>
      <c r="M340" s="69">
        <v>831600</v>
      </c>
      <c r="N340" s="69">
        <v>0</v>
      </c>
      <c r="O340" s="69">
        <v>0</v>
      </c>
      <c r="P340" s="75"/>
      <c r="Q340" s="75"/>
      <c r="R340" s="75"/>
      <c r="S340" s="75"/>
      <c r="T340" s="75"/>
      <c r="U340" s="75"/>
      <c r="V340" s="75"/>
      <c r="W340" s="69">
        <v>0</v>
      </c>
    </row>
    <row r="341" spans="1:23" s="80" customFormat="1" ht="21" customHeight="1" x14ac:dyDescent="0.2">
      <c r="A341" s="139"/>
      <c r="B341" s="139"/>
      <c r="C341" s="96" t="s">
        <v>12</v>
      </c>
      <c r="D341" s="69">
        <f t="shared" si="123"/>
        <v>12000</v>
      </c>
      <c r="E341" s="69">
        <v>0</v>
      </c>
      <c r="F341" s="69">
        <v>0</v>
      </c>
      <c r="G341" s="69">
        <v>0</v>
      </c>
      <c r="H341" s="69">
        <v>0</v>
      </c>
      <c r="I341" s="69">
        <v>0</v>
      </c>
      <c r="J341" s="69">
        <v>0</v>
      </c>
      <c r="K341" s="69">
        <v>0</v>
      </c>
      <c r="L341" s="69">
        <v>3600</v>
      </c>
      <c r="M341" s="69">
        <v>8400</v>
      </c>
      <c r="N341" s="69">
        <v>0</v>
      </c>
      <c r="O341" s="69">
        <v>0</v>
      </c>
      <c r="P341" s="75"/>
      <c r="Q341" s="75"/>
      <c r="R341" s="75"/>
      <c r="S341" s="75"/>
      <c r="T341" s="75"/>
      <c r="U341" s="75"/>
      <c r="V341" s="75"/>
      <c r="W341" s="69">
        <v>0</v>
      </c>
    </row>
    <row r="342" spans="1:23" s="80" customFormat="1" ht="30.75" customHeight="1" x14ac:dyDescent="0.2">
      <c r="A342" s="140"/>
      <c r="B342" s="140"/>
      <c r="C342" s="96" t="s">
        <v>13</v>
      </c>
      <c r="D342" s="69">
        <f t="shared" si="123"/>
        <v>0</v>
      </c>
      <c r="E342" s="69">
        <v>0</v>
      </c>
      <c r="F342" s="69">
        <v>0</v>
      </c>
      <c r="G342" s="69">
        <v>0</v>
      </c>
      <c r="H342" s="69">
        <v>0</v>
      </c>
      <c r="I342" s="69">
        <v>0</v>
      </c>
      <c r="J342" s="69">
        <v>0</v>
      </c>
      <c r="K342" s="69">
        <v>0</v>
      </c>
      <c r="L342" s="69">
        <v>0</v>
      </c>
      <c r="M342" s="69">
        <v>0</v>
      </c>
      <c r="N342" s="69">
        <v>0</v>
      </c>
      <c r="O342" s="69">
        <v>0</v>
      </c>
      <c r="P342" s="75"/>
      <c r="Q342" s="75"/>
      <c r="R342" s="75"/>
      <c r="S342" s="75"/>
      <c r="T342" s="75"/>
      <c r="U342" s="75"/>
      <c r="V342" s="75"/>
      <c r="W342" s="69">
        <v>0</v>
      </c>
    </row>
    <row r="343" spans="1:23" s="80" customFormat="1" ht="21" customHeight="1" x14ac:dyDescent="0.2">
      <c r="A343" s="138" t="s">
        <v>426</v>
      </c>
      <c r="B343" s="138" t="s">
        <v>414</v>
      </c>
      <c r="C343" s="101" t="s">
        <v>7</v>
      </c>
      <c r="D343" s="69">
        <f t="shared" si="123"/>
        <v>69013.200000000012</v>
      </c>
      <c r="E343" s="69">
        <f t="shared" ref="E343:J343" si="147">SUM(E344:E347)</f>
        <v>0</v>
      </c>
      <c r="F343" s="69">
        <f t="shared" si="147"/>
        <v>0</v>
      </c>
      <c r="G343" s="69">
        <f t="shared" si="147"/>
        <v>0</v>
      </c>
      <c r="H343" s="69">
        <f t="shared" si="147"/>
        <v>0</v>
      </c>
      <c r="I343" s="69">
        <f t="shared" si="147"/>
        <v>0</v>
      </c>
      <c r="J343" s="69">
        <f t="shared" si="147"/>
        <v>0</v>
      </c>
      <c r="K343" s="69">
        <f>SUM(K344:K347)</f>
        <v>0</v>
      </c>
      <c r="L343" s="69">
        <f t="shared" ref="L343:O343" si="148">SUM(L344:L347)</f>
        <v>69013.200000000012</v>
      </c>
      <c r="M343" s="69">
        <f t="shared" si="148"/>
        <v>0</v>
      </c>
      <c r="N343" s="69">
        <f t="shared" si="148"/>
        <v>0</v>
      </c>
      <c r="O343" s="69">
        <f t="shared" si="148"/>
        <v>0</v>
      </c>
      <c r="P343" s="75"/>
      <c r="Q343" s="75"/>
      <c r="R343" s="75"/>
      <c r="S343" s="75"/>
      <c r="T343" s="75"/>
      <c r="U343" s="75"/>
      <c r="V343" s="75"/>
      <c r="W343" s="69">
        <f t="shared" ref="W343" si="149">SUM(W344:W347)</f>
        <v>0</v>
      </c>
    </row>
    <row r="344" spans="1:23" s="80" customFormat="1" ht="21" customHeight="1" x14ac:dyDescent="0.2">
      <c r="A344" s="139"/>
      <c r="B344" s="139"/>
      <c r="C344" s="96" t="s">
        <v>10</v>
      </c>
      <c r="D344" s="69">
        <f t="shared" si="123"/>
        <v>0</v>
      </c>
      <c r="E344" s="69">
        <v>0</v>
      </c>
      <c r="F344" s="69">
        <v>0</v>
      </c>
      <c r="G344" s="69">
        <v>0</v>
      </c>
      <c r="H344" s="69">
        <v>0</v>
      </c>
      <c r="I344" s="69">
        <v>0</v>
      </c>
      <c r="J344" s="69">
        <v>0</v>
      </c>
      <c r="K344" s="69">
        <v>0</v>
      </c>
      <c r="L344" s="69">
        <v>0</v>
      </c>
      <c r="M344" s="69">
        <v>0</v>
      </c>
      <c r="N344" s="69">
        <v>0</v>
      </c>
      <c r="O344" s="69">
        <v>0</v>
      </c>
      <c r="P344" s="75"/>
      <c r="Q344" s="75"/>
      <c r="R344" s="75"/>
      <c r="S344" s="75"/>
      <c r="T344" s="75"/>
      <c r="U344" s="75"/>
      <c r="V344" s="75"/>
      <c r="W344" s="69">
        <v>0</v>
      </c>
    </row>
    <row r="345" spans="1:23" s="80" customFormat="1" ht="21" customHeight="1" x14ac:dyDescent="0.2">
      <c r="A345" s="139"/>
      <c r="B345" s="139"/>
      <c r="C345" s="96" t="s">
        <v>11</v>
      </c>
      <c r="D345" s="69">
        <f t="shared" si="123"/>
        <v>68323.100000000006</v>
      </c>
      <c r="E345" s="69">
        <v>0</v>
      </c>
      <c r="F345" s="69">
        <v>0</v>
      </c>
      <c r="G345" s="69">
        <v>0</v>
      </c>
      <c r="H345" s="69">
        <v>0</v>
      </c>
      <c r="I345" s="69">
        <v>0</v>
      </c>
      <c r="J345" s="69">
        <v>0</v>
      </c>
      <c r="K345" s="69">
        <v>0</v>
      </c>
      <c r="L345" s="69">
        <f>68322.8 - 1.7+2</f>
        <v>68323.100000000006</v>
      </c>
      <c r="M345" s="69">
        <v>0</v>
      </c>
      <c r="N345" s="69">
        <v>0</v>
      </c>
      <c r="O345" s="69">
        <v>0</v>
      </c>
      <c r="P345" s="75"/>
      <c r="Q345" s="75"/>
      <c r="R345" s="75"/>
      <c r="S345" s="75"/>
      <c r="T345" s="75"/>
      <c r="U345" s="75"/>
      <c r="V345" s="75"/>
      <c r="W345" s="69">
        <v>0</v>
      </c>
    </row>
    <row r="346" spans="1:23" s="80" customFormat="1" ht="21" customHeight="1" x14ac:dyDescent="0.2">
      <c r="A346" s="139"/>
      <c r="B346" s="139"/>
      <c r="C346" s="96" t="s">
        <v>12</v>
      </c>
      <c r="D346" s="69">
        <f t="shared" si="123"/>
        <v>690.1</v>
      </c>
      <c r="E346" s="69">
        <v>0</v>
      </c>
      <c r="F346" s="69">
        <v>0</v>
      </c>
      <c r="G346" s="69">
        <v>0</v>
      </c>
      <c r="H346" s="69">
        <v>0</v>
      </c>
      <c r="I346" s="69">
        <v>0</v>
      </c>
      <c r="J346" s="69">
        <v>0</v>
      </c>
      <c r="K346" s="69">
        <v>0</v>
      </c>
      <c r="L346" s="69">
        <v>690.1</v>
      </c>
      <c r="M346" s="69">
        <v>0</v>
      </c>
      <c r="N346" s="69">
        <v>0</v>
      </c>
      <c r="O346" s="69">
        <v>0</v>
      </c>
      <c r="P346" s="75"/>
      <c r="Q346" s="75"/>
      <c r="R346" s="75"/>
      <c r="S346" s="75"/>
      <c r="T346" s="75"/>
      <c r="U346" s="75"/>
      <c r="V346" s="75"/>
      <c r="W346" s="69">
        <v>0</v>
      </c>
    </row>
    <row r="347" spans="1:23" s="80" customFormat="1" ht="36" customHeight="1" x14ac:dyDescent="0.2">
      <c r="A347" s="140"/>
      <c r="B347" s="140"/>
      <c r="C347" s="96" t="s">
        <v>13</v>
      </c>
      <c r="D347" s="69">
        <f t="shared" si="123"/>
        <v>0</v>
      </c>
      <c r="E347" s="69">
        <v>0</v>
      </c>
      <c r="F347" s="69">
        <v>0</v>
      </c>
      <c r="G347" s="69">
        <v>0</v>
      </c>
      <c r="H347" s="69">
        <v>0</v>
      </c>
      <c r="I347" s="69">
        <v>0</v>
      </c>
      <c r="J347" s="69">
        <v>0</v>
      </c>
      <c r="K347" s="69">
        <v>0</v>
      </c>
      <c r="L347" s="69">
        <v>0</v>
      </c>
      <c r="M347" s="69">
        <v>0</v>
      </c>
      <c r="N347" s="69">
        <v>0</v>
      </c>
      <c r="O347" s="69">
        <v>0</v>
      </c>
      <c r="P347" s="75"/>
      <c r="Q347" s="75"/>
      <c r="R347" s="75"/>
      <c r="S347" s="75"/>
      <c r="T347" s="75"/>
      <c r="U347" s="75"/>
      <c r="V347" s="75"/>
      <c r="W347" s="69">
        <v>0</v>
      </c>
    </row>
    <row r="348" spans="1:23" s="80" customFormat="1" ht="18.75" customHeight="1" x14ac:dyDescent="0.2">
      <c r="A348" s="138" t="s">
        <v>381</v>
      </c>
      <c r="B348" s="138" t="s">
        <v>409</v>
      </c>
      <c r="C348" s="101" t="s">
        <v>7</v>
      </c>
      <c r="D348" s="69">
        <f t="shared" si="123"/>
        <v>573127.9</v>
      </c>
      <c r="E348" s="69">
        <f t="shared" ref="E348:J348" si="150">SUM(E349:E352)</f>
        <v>0</v>
      </c>
      <c r="F348" s="69">
        <f t="shared" si="150"/>
        <v>0</v>
      </c>
      <c r="G348" s="69">
        <f t="shared" si="150"/>
        <v>0</v>
      </c>
      <c r="H348" s="69">
        <f t="shared" si="150"/>
        <v>0</v>
      </c>
      <c r="I348" s="69">
        <f t="shared" si="150"/>
        <v>0</v>
      </c>
      <c r="J348" s="69">
        <f t="shared" si="150"/>
        <v>0</v>
      </c>
      <c r="K348" s="69">
        <f>SUM(K349:K352)</f>
        <v>0</v>
      </c>
      <c r="L348" s="69">
        <f t="shared" ref="L348:N348" si="151">SUM(L349:L352)</f>
        <v>152212.40000000002</v>
      </c>
      <c r="M348" s="69">
        <f>SUM(M349:M352)</f>
        <v>155597</v>
      </c>
      <c r="N348" s="69">
        <f t="shared" si="151"/>
        <v>80294.3</v>
      </c>
      <c r="O348" s="69">
        <f t="shared" ref="O348" si="152">SUM(O349:O352)</f>
        <v>170146.2</v>
      </c>
      <c r="P348" s="75"/>
      <c r="Q348" s="75"/>
      <c r="R348" s="75"/>
      <c r="S348" s="75"/>
      <c r="T348" s="75"/>
      <c r="U348" s="75"/>
      <c r="V348" s="75"/>
      <c r="W348" s="69">
        <f t="shared" ref="W348" si="153">SUM(W349:W352)</f>
        <v>14878</v>
      </c>
    </row>
    <row r="349" spans="1:23" s="80" customFormat="1" ht="18.75" customHeight="1" x14ac:dyDescent="0.2">
      <c r="A349" s="139"/>
      <c r="B349" s="139"/>
      <c r="C349" s="96" t="s">
        <v>10</v>
      </c>
      <c r="D349" s="69">
        <f t="shared" si="123"/>
        <v>0</v>
      </c>
      <c r="E349" s="69">
        <v>0</v>
      </c>
      <c r="F349" s="69">
        <v>0</v>
      </c>
      <c r="G349" s="69">
        <v>0</v>
      </c>
      <c r="H349" s="69">
        <v>0</v>
      </c>
      <c r="I349" s="69">
        <v>0</v>
      </c>
      <c r="J349" s="69">
        <v>0</v>
      </c>
      <c r="K349" s="69">
        <v>0</v>
      </c>
      <c r="L349" s="69">
        <v>0</v>
      </c>
      <c r="M349" s="69">
        <v>0</v>
      </c>
      <c r="N349" s="69">
        <v>0</v>
      </c>
      <c r="O349" s="69">
        <v>0</v>
      </c>
      <c r="P349" s="75"/>
      <c r="Q349" s="75"/>
      <c r="R349" s="75"/>
      <c r="S349" s="75"/>
      <c r="T349" s="75"/>
      <c r="U349" s="75"/>
      <c r="V349" s="75"/>
      <c r="W349" s="69">
        <v>0</v>
      </c>
    </row>
    <row r="350" spans="1:23" s="80" customFormat="1" ht="18.75" customHeight="1" x14ac:dyDescent="0.2">
      <c r="A350" s="139"/>
      <c r="B350" s="139"/>
      <c r="C350" s="96" t="s">
        <v>11</v>
      </c>
      <c r="D350" s="69">
        <f t="shared" si="123"/>
        <v>538740.20000000007</v>
      </c>
      <c r="E350" s="69">
        <v>0</v>
      </c>
      <c r="F350" s="69">
        <v>0</v>
      </c>
      <c r="G350" s="69">
        <v>0</v>
      </c>
      <c r="H350" s="69">
        <v>0</v>
      </c>
      <c r="I350" s="69">
        <v>0</v>
      </c>
      <c r="J350" s="69">
        <v>0</v>
      </c>
      <c r="K350" s="69">
        <v>0</v>
      </c>
      <c r="L350" s="69">
        <f>147166.6-4086.9</f>
        <v>143079.70000000001</v>
      </c>
      <c r="M350" s="69">
        <f>108572.1-34465.5+33498.5+28656.1+10000</f>
        <v>146261.20000000001</v>
      </c>
      <c r="N350" s="69">
        <f>114543.6-4523.5+6650.1-41193.6</f>
        <v>75476.600000000006</v>
      </c>
      <c r="O350" s="69">
        <f>114543.6+7473+37920.8</f>
        <v>159937.40000000002</v>
      </c>
      <c r="P350" s="75"/>
      <c r="Q350" s="75"/>
      <c r="R350" s="75"/>
      <c r="S350" s="75"/>
      <c r="T350" s="75"/>
      <c r="U350" s="75"/>
      <c r="V350" s="75"/>
      <c r="W350" s="69">
        <v>13985.3</v>
      </c>
    </row>
    <row r="351" spans="1:23" s="80" customFormat="1" ht="18.75" customHeight="1" x14ac:dyDescent="0.2">
      <c r="A351" s="139"/>
      <c r="B351" s="139"/>
      <c r="C351" s="96" t="s">
        <v>12</v>
      </c>
      <c r="D351" s="69">
        <f t="shared" si="123"/>
        <v>34387.699999999997</v>
      </c>
      <c r="E351" s="69">
        <v>0</v>
      </c>
      <c r="F351" s="69">
        <v>0</v>
      </c>
      <c r="G351" s="69">
        <v>0</v>
      </c>
      <c r="H351" s="69">
        <v>0</v>
      </c>
      <c r="I351" s="69">
        <v>0</v>
      </c>
      <c r="J351" s="69">
        <v>0</v>
      </c>
      <c r="K351" s="69">
        <v>0</v>
      </c>
      <c r="L351" s="69">
        <f>9393.6-260.9</f>
        <v>9132.7000000000007</v>
      </c>
      <c r="M351" s="69">
        <f>6656.4-1926.2-108+2246.2+448+1381.1+638.3</f>
        <v>9335.7999999999993</v>
      </c>
      <c r="N351" s="69">
        <f>7311.3-288.7+424.4-2629.3</f>
        <v>4817.7</v>
      </c>
      <c r="O351" s="69">
        <f>7311.3+477+2420.5</f>
        <v>10208.799999999999</v>
      </c>
      <c r="P351" s="75"/>
      <c r="Q351" s="75"/>
      <c r="R351" s="75"/>
      <c r="S351" s="75"/>
      <c r="T351" s="75"/>
      <c r="U351" s="75"/>
      <c r="V351" s="75"/>
      <c r="W351" s="69">
        <v>892.7</v>
      </c>
    </row>
    <row r="352" spans="1:23" s="80" customFormat="1" ht="33.75" customHeight="1" x14ac:dyDescent="0.2">
      <c r="A352" s="140"/>
      <c r="B352" s="140"/>
      <c r="C352" s="96" t="s">
        <v>13</v>
      </c>
      <c r="D352" s="69">
        <f t="shared" si="123"/>
        <v>0</v>
      </c>
      <c r="E352" s="69">
        <v>0</v>
      </c>
      <c r="F352" s="69">
        <v>0</v>
      </c>
      <c r="G352" s="69">
        <v>0</v>
      </c>
      <c r="H352" s="69">
        <v>0</v>
      </c>
      <c r="I352" s="69">
        <v>0</v>
      </c>
      <c r="J352" s="69">
        <v>0</v>
      </c>
      <c r="K352" s="69">
        <v>0</v>
      </c>
      <c r="L352" s="69">
        <v>0</v>
      </c>
      <c r="M352" s="69">
        <v>0</v>
      </c>
      <c r="N352" s="69">
        <v>0</v>
      </c>
      <c r="O352" s="69">
        <v>0</v>
      </c>
      <c r="P352" s="75"/>
      <c r="Q352" s="75"/>
      <c r="R352" s="75"/>
      <c r="S352" s="75"/>
      <c r="T352" s="75"/>
      <c r="U352" s="75"/>
      <c r="V352" s="75"/>
      <c r="W352" s="69">
        <v>0</v>
      </c>
    </row>
    <row r="353" spans="1:23" s="80" customFormat="1" ht="18.75" customHeight="1" x14ac:dyDescent="0.2">
      <c r="A353" s="138" t="s">
        <v>408</v>
      </c>
      <c r="B353" s="138" t="s">
        <v>411</v>
      </c>
      <c r="C353" s="101" t="s">
        <v>7</v>
      </c>
      <c r="D353" s="69">
        <f t="shared" si="123"/>
        <v>2577072.7000000002</v>
      </c>
      <c r="E353" s="69">
        <f t="shared" ref="E353:J353" si="154">SUM(E354:E357)</f>
        <v>0</v>
      </c>
      <c r="F353" s="69">
        <f t="shared" si="154"/>
        <v>0</v>
      </c>
      <c r="G353" s="69">
        <f t="shared" si="154"/>
        <v>0</v>
      </c>
      <c r="H353" s="69">
        <f t="shared" si="154"/>
        <v>0</v>
      </c>
      <c r="I353" s="69">
        <f t="shared" si="154"/>
        <v>0</v>
      </c>
      <c r="J353" s="69">
        <f t="shared" si="154"/>
        <v>0</v>
      </c>
      <c r="K353" s="69">
        <f>SUM(K354:K357)</f>
        <v>0</v>
      </c>
      <c r="L353" s="69">
        <f t="shared" ref="L353:O353" si="155">SUM(L354:L357)</f>
        <v>808080.8</v>
      </c>
      <c r="M353" s="69">
        <f t="shared" si="155"/>
        <v>1768991.9</v>
      </c>
      <c r="N353" s="69">
        <f t="shared" si="155"/>
        <v>0</v>
      </c>
      <c r="O353" s="69">
        <f t="shared" si="155"/>
        <v>0</v>
      </c>
      <c r="P353" s="75"/>
      <c r="Q353" s="75"/>
      <c r="R353" s="75"/>
      <c r="S353" s="75"/>
      <c r="T353" s="75"/>
      <c r="U353" s="75"/>
      <c r="V353" s="75"/>
      <c r="W353" s="69">
        <f t="shared" ref="W353" si="156">SUM(W354:W357)</f>
        <v>0</v>
      </c>
    </row>
    <row r="354" spans="1:23" s="80" customFormat="1" ht="18.75" customHeight="1" x14ac:dyDescent="0.2">
      <c r="A354" s="139"/>
      <c r="B354" s="139"/>
      <c r="C354" s="96" t="s">
        <v>10</v>
      </c>
      <c r="D354" s="69">
        <f t="shared" si="123"/>
        <v>0</v>
      </c>
      <c r="E354" s="69">
        <v>0</v>
      </c>
      <c r="F354" s="69">
        <v>0</v>
      </c>
      <c r="G354" s="69">
        <v>0</v>
      </c>
      <c r="H354" s="69">
        <v>0</v>
      </c>
      <c r="I354" s="69">
        <v>0</v>
      </c>
      <c r="J354" s="69">
        <v>0</v>
      </c>
      <c r="K354" s="69">
        <v>0</v>
      </c>
      <c r="L354" s="69">
        <v>0</v>
      </c>
      <c r="M354" s="69">
        <v>0</v>
      </c>
      <c r="N354" s="69">
        <v>0</v>
      </c>
      <c r="O354" s="69">
        <v>0</v>
      </c>
      <c r="P354" s="75"/>
      <c r="Q354" s="75"/>
      <c r="R354" s="75"/>
      <c r="S354" s="75"/>
      <c r="T354" s="75"/>
      <c r="U354" s="75"/>
      <c r="V354" s="75"/>
      <c r="W354" s="69">
        <v>0</v>
      </c>
    </row>
    <row r="355" spans="1:23" s="80" customFormat="1" ht="18.75" customHeight="1" x14ac:dyDescent="0.2">
      <c r="A355" s="139"/>
      <c r="B355" s="139"/>
      <c r="C355" s="96" t="s">
        <v>11</v>
      </c>
      <c r="D355" s="69">
        <f t="shared" si="123"/>
        <v>2551302</v>
      </c>
      <c r="E355" s="69">
        <v>0</v>
      </c>
      <c r="F355" s="69">
        <v>0</v>
      </c>
      <c r="G355" s="69">
        <v>0</v>
      </c>
      <c r="H355" s="69">
        <v>0</v>
      </c>
      <c r="I355" s="69">
        <v>0</v>
      </c>
      <c r="J355" s="69">
        <v>0</v>
      </c>
      <c r="K355" s="69">
        <v>0</v>
      </c>
      <c r="L355" s="69">
        <v>800000</v>
      </c>
      <c r="M355" s="69">
        <v>1751302</v>
      </c>
      <c r="N355" s="69">
        <v>0</v>
      </c>
      <c r="O355" s="69">
        <v>0</v>
      </c>
      <c r="P355" s="75"/>
      <c r="Q355" s="75"/>
      <c r="R355" s="75"/>
      <c r="S355" s="75"/>
      <c r="T355" s="75"/>
      <c r="U355" s="75"/>
      <c r="V355" s="75"/>
      <c r="W355" s="69">
        <v>0</v>
      </c>
    </row>
    <row r="356" spans="1:23" s="80" customFormat="1" ht="18.75" customHeight="1" x14ac:dyDescent="0.2">
      <c r="A356" s="139"/>
      <c r="B356" s="139"/>
      <c r="C356" s="96" t="s">
        <v>12</v>
      </c>
      <c r="D356" s="69">
        <f t="shared" si="123"/>
        <v>25770.7</v>
      </c>
      <c r="E356" s="69">
        <v>0</v>
      </c>
      <c r="F356" s="69">
        <v>0</v>
      </c>
      <c r="G356" s="69">
        <v>0</v>
      </c>
      <c r="H356" s="69">
        <v>0</v>
      </c>
      <c r="I356" s="69">
        <v>0</v>
      </c>
      <c r="J356" s="69">
        <v>0</v>
      </c>
      <c r="K356" s="69">
        <v>0</v>
      </c>
      <c r="L356" s="69">
        <v>8080.8</v>
      </c>
      <c r="M356" s="69">
        <f>17689.9</f>
        <v>17689.900000000001</v>
      </c>
      <c r="N356" s="69">
        <v>0</v>
      </c>
      <c r="O356" s="69">
        <v>0</v>
      </c>
      <c r="P356" s="75"/>
      <c r="Q356" s="75"/>
      <c r="R356" s="75"/>
      <c r="S356" s="75"/>
      <c r="T356" s="75"/>
      <c r="U356" s="75"/>
      <c r="V356" s="75"/>
      <c r="W356" s="69">
        <v>0</v>
      </c>
    </row>
    <row r="357" spans="1:23" s="80" customFormat="1" ht="37.5" customHeight="1" x14ac:dyDescent="0.2">
      <c r="A357" s="140"/>
      <c r="B357" s="140"/>
      <c r="C357" s="96" t="s">
        <v>13</v>
      </c>
      <c r="D357" s="69">
        <f t="shared" si="123"/>
        <v>0</v>
      </c>
      <c r="E357" s="69">
        <v>0</v>
      </c>
      <c r="F357" s="69">
        <v>0</v>
      </c>
      <c r="G357" s="69">
        <v>0</v>
      </c>
      <c r="H357" s="69">
        <v>0</v>
      </c>
      <c r="I357" s="69">
        <v>0</v>
      </c>
      <c r="J357" s="69">
        <v>0</v>
      </c>
      <c r="K357" s="69">
        <v>0</v>
      </c>
      <c r="L357" s="69">
        <v>0</v>
      </c>
      <c r="M357" s="69">
        <v>0</v>
      </c>
      <c r="N357" s="69">
        <v>0</v>
      </c>
      <c r="O357" s="69">
        <v>0</v>
      </c>
      <c r="P357" s="75"/>
      <c r="Q357" s="75"/>
      <c r="R357" s="75"/>
      <c r="S357" s="75"/>
      <c r="T357" s="75"/>
      <c r="U357" s="75"/>
      <c r="V357" s="75"/>
      <c r="W357" s="69">
        <v>0</v>
      </c>
    </row>
    <row r="358" spans="1:23" s="80" customFormat="1" ht="18.75" customHeight="1" x14ac:dyDescent="0.2">
      <c r="A358" s="145" t="s">
        <v>437</v>
      </c>
      <c r="B358" s="138" t="s">
        <v>438</v>
      </c>
      <c r="C358" s="101" t="s">
        <v>7</v>
      </c>
      <c r="D358" s="69">
        <f t="shared" si="123"/>
        <v>2577072.7000000002</v>
      </c>
      <c r="E358" s="69">
        <f t="shared" ref="E358:J358" si="157">SUM(E359:E362)</f>
        <v>0</v>
      </c>
      <c r="F358" s="69">
        <f t="shared" si="157"/>
        <v>0</v>
      </c>
      <c r="G358" s="69">
        <f t="shared" si="157"/>
        <v>0</v>
      </c>
      <c r="H358" s="69">
        <f t="shared" si="157"/>
        <v>0</v>
      </c>
      <c r="I358" s="69">
        <f t="shared" si="157"/>
        <v>0</v>
      </c>
      <c r="J358" s="69">
        <f t="shared" si="157"/>
        <v>0</v>
      </c>
      <c r="K358" s="69">
        <f>SUM(K359:K362)</f>
        <v>0</v>
      </c>
      <c r="L358" s="69">
        <f t="shared" ref="L358:O358" si="158">SUM(L359:L362)</f>
        <v>808080.8</v>
      </c>
      <c r="M358" s="69">
        <f t="shared" si="158"/>
        <v>1768991.9</v>
      </c>
      <c r="N358" s="69">
        <f t="shared" si="158"/>
        <v>0</v>
      </c>
      <c r="O358" s="69">
        <f t="shared" si="158"/>
        <v>0</v>
      </c>
      <c r="P358" s="75"/>
      <c r="Q358" s="75"/>
      <c r="R358" s="75"/>
      <c r="S358" s="75"/>
      <c r="T358" s="75"/>
      <c r="U358" s="75"/>
      <c r="V358" s="75"/>
      <c r="W358" s="69">
        <f t="shared" ref="W358" si="159">SUM(W359:W362)</f>
        <v>0</v>
      </c>
    </row>
    <row r="359" spans="1:23" s="80" customFormat="1" ht="18.75" customHeight="1" x14ac:dyDescent="0.2">
      <c r="A359" s="146"/>
      <c r="B359" s="139"/>
      <c r="C359" s="96" t="s">
        <v>10</v>
      </c>
      <c r="D359" s="69">
        <f t="shared" si="123"/>
        <v>0</v>
      </c>
      <c r="E359" s="69">
        <v>0</v>
      </c>
      <c r="F359" s="69">
        <v>0</v>
      </c>
      <c r="G359" s="69">
        <v>0</v>
      </c>
      <c r="H359" s="69">
        <v>0</v>
      </c>
      <c r="I359" s="69">
        <v>0</v>
      </c>
      <c r="J359" s="69">
        <v>0</v>
      </c>
      <c r="K359" s="69">
        <v>0</v>
      </c>
      <c r="L359" s="69">
        <v>0</v>
      </c>
      <c r="M359" s="69">
        <v>0</v>
      </c>
      <c r="N359" s="69">
        <v>0</v>
      </c>
      <c r="O359" s="69">
        <v>0</v>
      </c>
      <c r="P359" s="75"/>
      <c r="Q359" s="75"/>
      <c r="R359" s="75"/>
      <c r="S359" s="75"/>
      <c r="T359" s="75"/>
      <c r="U359" s="75"/>
      <c r="V359" s="75"/>
      <c r="W359" s="69">
        <v>0</v>
      </c>
    </row>
    <row r="360" spans="1:23" s="80" customFormat="1" ht="18.75" customHeight="1" x14ac:dyDescent="0.2">
      <c r="A360" s="146"/>
      <c r="B360" s="139"/>
      <c r="C360" s="96" t="s">
        <v>11</v>
      </c>
      <c r="D360" s="69">
        <f t="shared" si="123"/>
        <v>2551302</v>
      </c>
      <c r="E360" s="69">
        <v>0</v>
      </c>
      <c r="F360" s="69">
        <v>0</v>
      </c>
      <c r="G360" s="69">
        <v>0</v>
      </c>
      <c r="H360" s="69">
        <v>0</v>
      </c>
      <c r="I360" s="69">
        <v>0</v>
      </c>
      <c r="J360" s="69">
        <v>0</v>
      </c>
      <c r="K360" s="69">
        <v>0</v>
      </c>
      <c r="L360" s="69">
        <v>800000</v>
      </c>
      <c r="M360" s="69">
        <v>1751302</v>
      </c>
      <c r="N360" s="69">
        <v>0</v>
      </c>
      <c r="O360" s="69">
        <v>0</v>
      </c>
      <c r="P360" s="75"/>
      <c r="Q360" s="75"/>
      <c r="R360" s="75"/>
      <c r="S360" s="75"/>
      <c r="T360" s="75"/>
      <c r="U360" s="75"/>
      <c r="V360" s="75"/>
      <c r="W360" s="69">
        <v>0</v>
      </c>
    </row>
    <row r="361" spans="1:23" s="80" customFormat="1" ht="18.75" customHeight="1" x14ac:dyDescent="0.2">
      <c r="A361" s="146"/>
      <c r="B361" s="139"/>
      <c r="C361" s="96" t="s">
        <v>12</v>
      </c>
      <c r="D361" s="69">
        <f t="shared" si="123"/>
        <v>25770.7</v>
      </c>
      <c r="E361" s="69">
        <v>0</v>
      </c>
      <c r="F361" s="69">
        <v>0</v>
      </c>
      <c r="G361" s="69">
        <v>0</v>
      </c>
      <c r="H361" s="69">
        <v>0</v>
      </c>
      <c r="I361" s="69">
        <v>0</v>
      </c>
      <c r="J361" s="69">
        <v>0</v>
      </c>
      <c r="K361" s="69">
        <v>0</v>
      </c>
      <c r="L361" s="69">
        <v>8080.8</v>
      </c>
      <c r="M361" s="69">
        <v>17689.900000000001</v>
      </c>
      <c r="N361" s="69">
        <v>0</v>
      </c>
      <c r="O361" s="69">
        <v>0</v>
      </c>
      <c r="P361" s="75"/>
      <c r="Q361" s="75"/>
      <c r="R361" s="75"/>
      <c r="S361" s="75"/>
      <c r="T361" s="75"/>
      <c r="U361" s="75"/>
      <c r="V361" s="75"/>
      <c r="W361" s="69">
        <v>0</v>
      </c>
    </row>
    <row r="362" spans="1:23" s="80" customFormat="1" ht="33.75" customHeight="1" x14ac:dyDescent="0.2">
      <c r="A362" s="147"/>
      <c r="B362" s="140"/>
      <c r="C362" s="96" t="s">
        <v>13</v>
      </c>
      <c r="D362" s="69">
        <f t="shared" si="123"/>
        <v>0</v>
      </c>
      <c r="E362" s="69">
        <v>0</v>
      </c>
      <c r="F362" s="69">
        <v>0</v>
      </c>
      <c r="G362" s="69">
        <v>0</v>
      </c>
      <c r="H362" s="69">
        <v>0</v>
      </c>
      <c r="I362" s="69">
        <v>0</v>
      </c>
      <c r="J362" s="69">
        <v>0</v>
      </c>
      <c r="K362" s="69">
        <v>0</v>
      </c>
      <c r="L362" s="69">
        <v>0</v>
      </c>
      <c r="M362" s="69">
        <v>0</v>
      </c>
      <c r="N362" s="69">
        <v>0</v>
      </c>
      <c r="O362" s="69">
        <v>0</v>
      </c>
      <c r="P362" s="75"/>
      <c r="Q362" s="75"/>
      <c r="R362" s="75"/>
      <c r="S362" s="75"/>
      <c r="T362" s="75"/>
      <c r="U362" s="75"/>
      <c r="V362" s="75"/>
      <c r="W362" s="69">
        <v>0</v>
      </c>
    </row>
    <row r="363" spans="1:23" s="80" customFormat="1" ht="18.75" customHeight="1" x14ac:dyDescent="0.2">
      <c r="A363" s="138" t="s">
        <v>410</v>
      </c>
      <c r="B363" s="138" t="s">
        <v>422</v>
      </c>
      <c r="C363" s="101" t="s">
        <v>7</v>
      </c>
      <c r="D363" s="69">
        <f t="shared" si="123"/>
        <v>360.29999999999995</v>
      </c>
      <c r="E363" s="69">
        <f t="shared" ref="E363:J363" si="160">SUM(E364:E367)</f>
        <v>0</v>
      </c>
      <c r="F363" s="69">
        <f t="shared" si="160"/>
        <v>0</v>
      </c>
      <c r="G363" s="69">
        <f t="shared" si="160"/>
        <v>0</v>
      </c>
      <c r="H363" s="69">
        <f t="shared" si="160"/>
        <v>0</v>
      </c>
      <c r="I363" s="69">
        <f t="shared" si="160"/>
        <v>0</v>
      </c>
      <c r="J363" s="69">
        <f t="shared" si="160"/>
        <v>0</v>
      </c>
      <c r="K363" s="69">
        <f>SUM(K364:K367)</f>
        <v>0</v>
      </c>
      <c r="L363" s="69">
        <f t="shared" ref="L363:O363" si="161">SUM(L364:L367)</f>
        <v>258.29999999999995</v>
      </c>
      <c r="M363" s="69">
        <f t="shared" si="161"/>
        <v>102</v>
      </c>
      <c r="N363" s="69">
        <f t="shared" si="161"/>
        <v>0</v>
      </c>
      <c r="O363" s="69">
        <f t="shared" si="161"/>
        <v>0</v>
      </c>
      <c r="P363" s="75"/>
      <c r="Q363" s="75"/>
      <c r="R363" s="75"/>
      <c r="S363" s="75"/>
      <c r="T363" s="75"/>
      <c r="U363" s="75"/>
      <c r="V363" s="75"/>
      <c r="W363" s="69">
        <f t="shared" ref="W363" si="162">SUM(W364:W367)</f>
        <v>0</v>
      </c>
    </row>
    <row r="364" spans="1:23" s="80" customFormat="1" ht="18.75" customHeight="1" x14ac:dyDescent="0.2">
      <c r="A364" s="139"/>
      <c r="B364" s="139"/>
      <c r="C364" s="96" t="s">
        <v>10</v>
      </c>
      <c r="D364" s="69">
        <f t="shared" si="123"/>
        <v>0</v>
      </c>
      <c r="E364" s="69">
        <v>0</v>
      </c>
      <c r="F364" s="69">
        <v>0</v>
      </c>
      <c r="G364" s="69">
        <v>0</v>
      </c>
      <c r="H364" s="69">
        <v>0</v>
      </c>
      <c r="I364" s="69">
        <v>0</v>
      </c>
      <c r="J364" s="69">
        <v>0</v>
      </c>
      <c r="K364" s="69">
        <v>0</v>
      </c>
      <c r="L364" s="69">
        <v>0</v>
      </c>
      <c r="M364" s="69">
        <v>0</v>
      </c>
      <c r="N364" s="69">
        <v>0</v>
      </c>
      <c r="O364" s="69">
        <v>0</v>
      </c>
      <c r="P364" s="75"/>
      <c r="Q364" s="75"/>
      <c r="R364" s="75"/>
      <c r="S364" s="75"/>
      <c r="T364" s="75"/>
      <c r="U364" s="75"/>
      <c r="V364" s="75"/>
      <c r="W364" s="69">
        <v>0</v>
      </c>
    </row>
    <row r="365" spans="1:23" s="80" customFormat="1" ht="18.75" customHeight="1" x14ac:dyDescent="0.2">
      <c r="A365" s="139"/>
      <c r="B365" s="139"/>
      <c r="C365" s="96" t="s">
        <v>11</v>
      </c>
      <c r="D365" s="69">
        <f t="shared" si="123"/>
        <v>0</v>
      </c>
      <c r="E365" s="69">
        <v>0</v>
      </c>
      <c r="F365" s="69">
        <v>0</v>
      </c>
      <c r="G365" s="69">
        <v>0</v>
      </c>
      <c r="H365" s="69">
        <v>0</v>
      </c>
      <c r="I365" s="69">
        <v>0</v>
      </c>
      <c r="J365" s="69">
        <v>0</v>
      </c>
      <c r="K365" s="69">
        <v>0</v>
      </c>
      <c r="L365" s="69">
        <v>0</v>
      </c>
      <c r="M365" s="69">
        <v>0</v>
      </c>
      <c r="N365" s="69">
        <v>0</v>
      </c>
      <c r="O365" s="69">
        <v>0</v>
      </c>
      <c r="P365" s="75"/>
      <c r="Q365" s="75"/>
      <c r="R365" s="75"/>
      <c r="S365" s="75"/>
      <c r="T365" s="75"/>
      <c r="U365" s="75"/>
      <c r="V365" s="75"/>
      <c r="W365" s="69">
        <v>0</v>
      </c>
    </row>
    <row r="366" spans="1:23" s="80" customFormat="1" ht="18.75" customHeight="1" x14ac:dyDescent="0.2">
      <c r="A366" s="139"/>
      <c r="B366" s="139"/>
      <c r="C366" s="96" t="s">
        <v>12</v>
      </c>
      <c r="D366" s="69">
        <f t="shared" ref="D366:D430" si="163">E366+F366+G366+H366+I366+J366+K366+L366+M366+N366+O366+W366</f>
        <v>360.29999999999995</v>
      </c>
      <c r="E366" s="69">
        <v>0</v>
      </c>
      <c r="F366" s="69">
        <v>0</v>
      </c>
      <c r="G366" s="69">
        <v>0</v>
      </c>
      <c r="H366" s="69">
        <v>0</v>
      </c>
      <c r="I366" s="69">
        <v>0</v>
      </c>
      <c r="J366" s="69">
        <v>0</v>
      </c>
      <c r="K366" s="69">
        <v>0</v>
      </c>
      <c r="L366" s="69">
        <f>2.5+198.3+1493.4-1493.4+57.4+0.1</f>
        <v>258.29999999999995</v>
      </c>
      <c r="M366" s="69">
        <f>52+50-40.3+40.3</f>
        <v>102</v>
      </c>
      <c r="N366" s="69">
        <v>0</v>
      </c>
      <c r="O366" s="69">
        <v>0</v>
      </c>
      <c r="P366" s="75"/>
      <c r="Q366" s="75"/>
      <c r="R366" s="75"/>
      <c r="S366" s="75"/>
      <c r="T366" s="75"/>
      <c r="U366" s="75"/>
      <c r="V366" s="75"/>
      <c r="W366" s="69">
        <v>0</v>
      </c>
    </row>
    <row r="367" spans="1:23" s="80" customFormat="1" ht="39" customHeight="1" x14ac:dyDescent="0.2">
      <c r="A367" s="140"/>
      <c r="B367" s="140"/>
      <c r="C367" s="96" t="s">
        <v>13</v>
      </c>
      <c r="D367" s="69">
        <f t="shared" si="163"/>
        <v>0</v>
      </c>
      <c r="E367" s="69">
        <v>0</v>
      </c>
      <c r="F367" s="69">
        <v>0</v>
      </c>
      <c r="G367" s="69">
        <v>0</v>
      </c>
      <c r="H367" s="69">
        <v>0</v>
      </c>
      <c r="I367" s="69">
        <v>0</v>
      </c>
      <c r="J367" s="69">
        <v>0</v>
      </c>
      <c r="K367" s="69">
        <v>0</v>
      </c>
      <c r="L367" s="69">
        <v>0</v>
      </c>
      <c r="M367" s="69">
        <v>0</v>
      </c>
      <c r="N367" s="69">
        <v>0</v>
      </c>
      <c r="O367" s="69">
        <v>0</v>
      </c>
      <c r="P367" s="75"/>
      <c r="Q367" s="75"/>
      <c r="R367" s="75"/>
      <c r="S367" s="75"/>
      <c r="T367" s="75"/>
      <c r="U367" s="75"/>
      <c r="V367" s="75"/>
      <c r="W367" s="69">
        <v>0</v>
      </c>
    </row>
    <row r="368" spans="1:23" s="80" customFormat="1" ht="18.75" customHeight="1" x14ac:dyDescent="0.2">
      <c r="A368" s="138" t="s">
        <v>427</v>
      </c>
      <c r="B368" s="138" t="s">
        <v>430</v>
      </c>
      <c r="C368" s="101" t="s">
        <v>7</v>
      </c>
      <c r="D368" s="69">
        <f t="shared" si="163"/>
        <v>4394382.7</v>
      </c>
      <c r="E368" s="69">
        <f t="shared" ref="E368:J368" si="164">SUM(E369:E372)</f>
        <v>0</v>
      </c>
      <c r="F368" s="69">
        <f t="shared" si="164"/>
        <v>0</v>
      </c>
      <c r="G368" s="69">
        <f t="shared" si="164"/>
        <v>0</v>
      </c>
      <c r="H368" s="69">
        <f t="shared" si="164"/>
        <v>0</v>
      </c>
      <c r="I368" s="69">
        <f t="shared" si="164"/>
        <v>0</v>
      </c>
      <c r="J368" s="69">
        <f t="shared" si="164"/>
        <v>0</v>
      </c>
      <c r="K368" s="69">
        <f>SUM(K369:K372)</f>
        <v>0</v>
      </c>
      <c r="L368" s="69">
        <f t="shared" ref="L368:O368" si="165">SUM(L369:L372)</f>
        <v>1044585.9</v>
      </c>
      <c r="M368" s="69">
        <f t="shared" si="165"/>
        <v>804898.4</v>
      </c>
      <c r="N368" s="69">
        <f t="shared" si="165"/>
        <v>2544898.4</v>
      </c>
      <c r="O368" s="69">
        <f t="shared" si="165"/>
        <v>0</v>
      </c>
      <c r="P368" s="75"/>
      <c r="Q368" s="75"/>
      <c r="R368" s="75"/>
      <c r="S368" s="75"/>
      <c r="T368" s="75"/>
      <c r="U368" s="75"/>
      <c r="V368" s="75"/>
      <c r="W368" s="69">
        <f t="shared" ref="W368" si="166">SUM(W369:W372)</f>
        <v>0</v>
      </c>
    </row>
    <row r="369" spans="1:23" s="80" customFormat="1" ht="18.75" customHeight="1" x14ac:dyDescent="0.2">
      <c r="A369" s="139"/>
      <c r="B369" s="139"/>
      <c r="C369" s="96" t="s">
        <v>10</v>
      </c>
      <c r="D369" s="69">
        <f t="shared" si="163"/>
        <v>0</v>
      </c>
      <c r="E369" s="69">
        <v>0</v>
      </c>
      <c r="F369" s="69">
        <v>0</v>
      </c>
      <c r="G369" s="69">
        <v>0</v>
      </c>
      <c r="H369" s="69">
        <v>0</v>
      </c>
      <c r="I369" s="69">
        <v>0</v>
      </c>
      <c r="J369" s="69">
        <v>0</v>
      </c>
      <c r="K369" s="69">
        <v>0</v>
      </c>
      <c r="L369" s="69">
        <f>L374+L379</f>
        <v>0</v>
      </c>
      <c r="M369" s="69">
        <f t="shared" ref="M369:O369" si="167">M374+M379</f>
        <v>0</v>
      </c>
      <c r="N369" s="69">
        <f t="shared" si="167"/>
        <v>0</v>
      </c>
      <c r="O369" s="69">
        <f t="shared" si="167"/>
        <v>0</v>
      </c>
      <c r="P369" s="75"/>
      <c r="Q369" s="75"/>
      <c r="R369" s="75"/>
      <c r="S369" s="75"/>
      <c r="T369" s="75"/>
      <c r="U369" s="75"/>
      <c r="V369" s="75"/>
      <c r="W369" s="69">
        <f t="shared" ref="W369" si="168">W374+W379</f>
        <v>0</v>
      </c>
    </row>
    <row r="370" spans="1:23" s="80" customFormat="1" ht="18.75" customHeight="1" x14ac:dyDescent="0.2">
      <c r="A370" s="139"/>
      <c r="B370" s="139"/>
      <c r="C370" s="96" t="s">
        <v>11</v>
      </c>
      <c r="D370" s="69">
        <f t="shared" si="163"/>
        <v>4350438.8</v>
      </c>
      <c r="E370" s="69">
        <v>0</v>
      </c>
      <c r="F370" s="69">
        <v>0</v>
      </c>
      <c r="G370" s="69">
        <v>0</v>
      </c>
      <c r="H370" s="69">
        <v>0</v>
      </c>
      <c r="I370" s="69">
        <v>0</v>
      </c>
      <c r="J370" s="69">
        <v>0</v>
      </c>
      <c r="K370" s="69">
        <v>0</v>
      </c>
      <c r="L370" s="69">
        <f>L375+L380</f>
        <v>1034140</v>
      </c>
      <c r="M370" s="69">
        <f t="shared" ref="M370:O370" si="169">M375+M380</f>
        <v>796849.4</v>
      </c>
      <c r="N370" s="69">
        <f t="shared" si="169"/>
        <v>2519449.4</v>
      </c>
      <c r="O370" s="69">
        <f t="shared" si="169"/>
        <v>0</v>
      </c>
      <c r="P370" s="75"/>
      <c r="Q370" s="75"/>
      <c r="R370" s="75"/>
      <c r="S370" s="75"/>
      <c r="T370" s="75"/>
      <c r="U370" s="75"/>
      <c r="V370" s="75"/>
      <c r="W370" s="69">
        <f t="shared" ref="W370" si="170">W375+W380</f>
        <v>0</v>
      </c>
    </row>
    <row r="371" spans="1:23" s="80" customFormat="1" ht="18.75" customHeight="1" x14ac:dyDescent="0.2">
      <c r="A371" s="139"/>
      <c r="B371" s="139"/>
      <c r="C371" s="96" t="s">
        <v>12</v>
      </c>
      <c r="D371" s="69">
        <f t="shared" si="163"/>
        <v>43943.9</v>
      </c>
      <c r="E371" s="69">
        <v>0</v>
      </c>
      <c r="F371" s="69">
        <v>0</v>
      </c>
      <c r="G371" s="69">
        <v>0</v>
      </c>
      <c r="H371" s="69">
        <v>0</v>
      </c>
      <c r="I371" s="69">
        <v>0</v>
      </c>
      <c r="J371" s="69">
        <v>0</v>
      </c>
      <c r="K371" s="69">
        <v>0</v>
      </c>
      <c r="L371" s="69">
        <f>L381+L376</f>
        <v>10445.9</v>
      </c>
      <c r="M371" s="69">
        <f t="shared" ref="M371:V371" si="171">M381+M376</f>
        <v>8049</v>
      </c>
      <c r="N371" s="69">
        <f t="shared" si="171"/>
        <v>25449</v>
      </c>
      <c r="O371" s="69">
        <f t="shared" si="171"/>
        <v>0</v>
      </c>
      <c r="P371" s="69">
        <f t="shared" si="171"/>
        <v>0</v>
      </c>
      <c r="Q371" s="69">
        <f t="shared" si="171"/>
        <v>0</v>
      </c>
      <c r="R371" s="69">
        <f t="shared" si="171"/>
        <v>0</v>
      </c>
      <c r="S371" s="69">
        <f t="shared" si="171"/>
        <v>0</v>
      </c>
      <c r="T371" s="69">
        <f t="shared" si="171"/>
        <v>0</v>
      </c>
      <c r="U371" s="69">
        <f t="shared" si="171"/>
        <v>0</v>
      </c>
      <c r="V371" s="69">
        <f t="shared" si="171"/>
        <v>0</v>
      </c>
      <c r="W371" s="69">
        <f t="shared" ref="W371" si="172">W381+W376</f>
        <v>0</v>
      </c>
    </row>
    <row r="372" spans="1:23" s="80" customFormat="1" ht="38.25" customHeight="1" x14ac:dyDescent="0.2">
      <c r="A372" s="140"/>
      <c r="B372" s="140"/>
      <c r="C372" s="96" t="s">
        <v>13</v>
      </c>
      <c r="D372" s="69">
        <f t="shared" si="163"/>
        <v>0</v>
      </c>
      <c r="E372" s="69">
        <v>0</v>
      </c>
      <c r="F372" s="69">
        <v>0</v>
      </c>
      <c r="G372" s="69">
        <v>0</v>
      </c>
      <c r="H372" s="69">
        <v>0</v>
      </c>
      <c r="I372" s="69">
        <v>0</v>
      </c>
      <c r="J372" s="69">
        <v>0</v>
      </c>
      <c r="K372" s="69">
        <v>0</v>
      </c>
      <c r="L372" s="69">
        <f>L377+L382</f>
        <v>0</v>
      </c>
      <c r="M372" s="69">
        <f t="shared" ref="M372:O372" si="173">M377+M382</f>
        <v>0</v>
      </c>
      <c r="N372" s="69">
        <f t="shared" si="173"/>
        <v>0</v>
      </c>
      <c r="O372" s="69">
        <f t="shared" si="173"/>
        <v>0</v>
      </c>
      <c r="P372" s="75"/>
      <c r="Q372" s="75"/>
      <c r="R372" s="75"/>
      <c r="S372" s="75"/>
      <c r="T372" s="75"/>
      <c r="U372" s="75"/>
      <c r="V372" s="75"/>
      <c r="W372" s="69">
        <f t="shared" ref="W372" si="174">W377+W382</f>
        <v>0</v>
      </c>
    </row>
    <row r="373" spans="1:23" s="80" customFormat="1" ht="18.75" customHeight="1" x14ac:dyDescent="0.2">
      <c r="A373" s="138" t="s">
        <v>428</v>
      </c>
      <c r="B373" s="138" t="s">
        <v>413</v>
      </c>
      <c r="C373" s="101" t="s">
        <v>7</v>
      </c>
      <c r="D373" s="69">
        <f t="shared" si="163"/>
        <v>3140000</v>
      </c>
      <c r="E373" s="69">
        <f t="shared" ref="E373:J373" si="175">SUM(E374:E377)</f>
        <v>0</v>
      </c>
      <c r="F373" s="69">
        <f t="shared" si="175"/>
        <v>0</v>
      </c>
      <c r="G373" s="69">
        <f t="shared" si="175"/>
        <v>0</v>
      </c>
      <c r="H373" s="69">
        <f t="shared" si="175"/>
        <v>0</v>
      </c>
      <c r="I373" s="69">
        <f t="shared" si="175"/>
        <v>0</v>
      </c>
      <c r="J373" s="69">
        <f t="shared" si="175"/>
        <v>0</v>
      </c>
      <c r="K373" s="69">
        <f>SUM(K374:K377)</f>
        <v>0</v>
      </c>
      <c r="L373" s="69">
        <f t="shared" ref="L373:O373" si="176">SUM(L374:L377)</f>
        <v>1000000</v>
      </c>
      <c r="M373" s="69">
        <f t="shared" si="176"/>
        <v>200000</v>
      </c>
      <c r="N373" s="69">
        <f t="shared" si="176"/>
        <v>1940000</v>
      </c>
      <c r="O373" s="69">
        <f t="shared" si="176"/>
        <v>0</v>
      </c>
      <c r="P373" s="75"/>
      <c r="Q373" s="75"/>
      <c r="R373" s="75"/>
      <c r="S373" s="75"/>
      <c r="T373" s="75"/>
      <c r="U373" s="75"/>
      <c r="V373" s="75"/>
      <c r="W373" s="69">
        <f t="shared" ref="W373" si="177">SUM(W374:W377)</f>
        <v>0</v>
      </c>
    </row>
    <row r="374" spans="1:23" s="80" customFormat="1" ht="18.75" customHeight="1" x14ac:dyDescent="0.2">
      <c r="A374" s="139"/>
      <c r="B374" s="139"/>
      <c r="C374" s="96" t="s">
        <v>10</v>
      </c>
      <c r="D374" s="69">
        <f t="shared" si="163"/>
        <v>0</v>
      </c>
      <c r="E374" s="69">
        <v>0</v>
      </c>
      <c r="F374" s="69">
        <v>0</v>
      </c>
      <c r="G374" s="69">
        <v>0</v>
      </c>
      <c r="H374" s="69">
        <v>0</v>
      </c>
      <c r="I374" s="69">
        <v>0</v>
      </c>
      <c r="J374" s="69">
        <v>0</v>
      </c>
      <c r="K374" s="69">
        <v>0</v>
      </c>
      <c r="L374" s="69">
        <v>0</v>
      </c>
      <c r="M374" s="69">
        <v>0</v>
      </c>
      <c r="N374" s="69">
        <v>0</v>
      </c>
      <c r="O374" s="69">
        <v>0</v>
      </c>
      <c r="P374" s="75"/>
      <c r="Q374" s="75"/>
      <c r="R374" s="75"/>
      <c r="S374" s="75"/>
      <c r="T374" s="75"/>
      <c r="U374" s="75"/>
      <c r="V374" s="75"/>
      <c r="W374" s="69">
        <v>0</v>
      </c>
    </row>
    <row r="375" spans="1:23" s="80" customFormat="1" ht="18.75" customHeight="1" x14ac:dyDescent="0.2">
      <c r="A375" s="139"/>
      <c r="B375" s="139"/>
      <c r="C375" s="96" t="s">
        <v>11</v>
      </c>
      <c r="D375" s="69">
        <f t="shared" si="163"/>
        <v>3108600</v>
      </c>
      <c r="E375" s="69">
        <v>0</v>
      </c>
      <c r="F375" s="69">
        <v>0</v>
      </c>
      <c r="G375" s="69">
        <v>0</v>
      </c>
      <c r="H375" s="69">
        <v>0</v>
      </c>
      <c r="I375" s="69">
        <v>0</v>
      </c>
      <c r="J375" s="69">
        <v>0</v>
      </c>
      <c r="K375" s="69">
        <v>0</v>
      </c>
      <c r="L375" s="69">
        <v>990000</v>
      </c>
      <c r="M375" s="69">
        <v>198000</v>
      </c>
      <c r="N375" s="69">
        <v>1920600</v>
      </c>
      <c r="O375" s="69">
        <v>0</v>
      </c>
      <c r="P375" s="75"/>
      <c r="Q375" s="75"/>
      <c r="R375" s="75"/>
      <c r="S375" s="75"/>
      <c r="T375" s="75"/>
      <c r="U375" s="75"/>
      <c r="V375" s="75"/>
      <c r="W375" s="69">
        <v>0</v>
      </c>
    </row>
    <row r="376" spans="1:23" s="80" customFormat="1" ht="18.75" customHeight="1" x14ac:dyDescent="0.2">
      <c r="A376" s="139"/>
      <c r="B376" s="139"/>
      <c r="C376" s="96" t="s">
        <v>12</v>
      </c>
      <c r="D376" s="69">
        <f t="shared" si="163"/>
        <v>31400</v>
      </c>
      <c r="E376" s="69">
        <v>0</v>
      </c>
      <c r="F376" s="69">
        <v>0</v>
      </c>
      <c r="G376" s="69">
        <v>0</v>
      </c>
      <c r="H376" s="69">
        <v>0</v>
      </c>
      <c r="I376" s="69">
        <v>0</v>
      </c>
      <c r="J376" s="69">
        <v>0</v>
      </c>
      <c r="K376" s="69">
        <v>0</v>
      </c>
      <c r="L376" s="69">
        <v>10000</v>
      </c>
      <c r="M376" s="69">
        <v>2000</v>
      </c>
      <c r="N376" s="69">
        <v>19400</v>
      </c>
      <c r="O376" s="69">
        <v>0</v>
      </c>
      <c r="P376" s="75"/>
      <c r="Q376" s="75"/>
      <c r="R376" s="75"/>
      <c r="S376" s="75"/>
      <c r="T376" s="75"/>
      <c r="U376" s="75"/>
      <c r="V376" s="75"/>
      <c r="W376" s="69">
        <v>0</v>
      </c>
    </row>
    <row r="377" spans="1:23" s="80" customFormat="1" ht="35.25" customHeight="1" x14ac:dyDescent="0.2">
      <c r="A377" s="140"/>
      <c r="B377" s="140"/>
      <c r="C377" s="96" t="s">
        <v>13</v>
      </c>
      <c r="D377" s="69">
        <f t="shared" si="163"/>
        <v>0</v>
      </c>
      <c r="E377" s="69">
        <v>0</v>
      </c>
      <c r="F377" s="69">
        <v>0</v>
      </c>
      <c r="G377" s="69">
        <v>0</v>
      </c>
      <c r="H377" s="69">
        <v>0</v>
      </c>
      <c r="I377" s="69">
        <v>0</v>
      </c>
      <c r="J377" s="69">
        <v>0</v>
      </c>
      <c r="K377" s="69">
        <v>0</v>
      </c>
      <c r="L377" s="69">
        <v>0</v>
      </c>
      <c r="M377" s="69">
        <v>0</v>
      </c>
      <c r="N377" s="69">
        <v>0</v>
      </c>
      <c r="O377" s="69">
        <v>0</v>
      </c>
      <c r="P377" s="75"/>
      <c r="Q377" s="75"/>
      <c r="R377" s="75"/>
      <c r="S377" s="75"/>
      <c r="T377" s="75"/>
      <c r="U377" s="75"/>
      <c r="V377" s="75"/>
      <c r="W377" s="69">
        <v>0</v>
      </c>
    </row>
    <row r="378" spans="1:23" s="80" customFormat="1" ht="18.75" customHeight="1" x14ac:dyDescent="0.2">
      <c r="A378" s="138" t="s">
        <v>429</v>
      </c>
      <c r="B378" s="138" t="s">
        <v>419</v>
      </c>
      <c r="C378" s="101" t="s">
        <v>7</v>
      </c>
      <c r="D378" s="69">
        <f t="shared" si="163"/>
        <v>1254382.7000000002</v>
      </c>
      <c r="E378" s="69">
        <f t="shared" ref="E378:J378" si="178">SUM(E379:E382)</f>
        <v>0</v>
      </c>
      <c r="F378" s="69">
        <f t="shared" si="178"/>
        <v>0</v>
      </c>
      <c r="G378" s="69">
        <f t="shared" si="178"/>
        <v>0</v>
      </c>
      <c r="H378" s="69">
        <f t="shared" si="178"/>
        <v>0</v>
      </c>
      <c r="I378" s="69">
        <f t="shared" si="178"/>
        <v>0</v>
      </c>
      <c r="J378" s="69">
        <f t="shared" si="178"/>
        <v>0</v>
      </c>
      <c r="K378" s="69">
        <f>SUM(K379:K382)</f>
        <v>0</v>
      </c>
      <c r="L378" s="69">
        <f t="shared" ref="L378:O378" si="179">SUM(L379:L382)</f>
        <v>44585.9</v>
      </c>
      <c r="M378" s="69">
        <f t="shared" si="179"/>
        <v>604898.4</v>
      </c>
      <c r="N378" s="69">
        <f t="shared" si="179"/>
        <v>604898.4</v>
      </c>
      <c r="O378" s="69">
        <f t="shared" si="179"/>
        <v>0</v>
      </c>
      <c r="P378" s="75"/>
      <c r="Q378" s="75"/>
      <c r="R378" s="75"/>
      <c r="S378" s="75"/>
      <c r="T378" s="75"/>
      <c r="U378" s="75"/>
      <c r="V378" s="75"/>
      <c r="W378" s="69">
        <f t="shared" ref="W378" si="180">SUM(W379:W382)</f>
        <v>0</v>
      </c>
    </row>
    <row r="379" spans="1:23" s="80" customFormat="1" ht="18.75" customHeight="1" x14ac:dyDescent="0.2">
      <c r="A379" s="139"/>
      <c r="B379" s="139"/>
      <c r="C379" s="96" t="s">
        <v>10</v>
      </c>
      <c r="D379" s="69">
        <f t="shared" si="163"/>
        <v>0</v>
      </c>
      <c r="E379" s="69">
        <v>0</v>
      </c>
      <c r="F379" s="69">
        <v>0</v>
      </c>
      <c r="G379" s="69">
        <v>0</v>
      </c>
      <c r="H379" s="69">
        <v>0</v>
      </c>
      <c r="I379" s="69">
        <v>0</v>
      </c>
      <c r="J379" s="69">
        <v>0</v>
      </c>
      <c r="K379" s="69">
        <v>0</v>
      </c>
      <c r="L379" s="69">
        <v>0</v>
      </c>
      <c r="M379" s="69">
        <v>0</v>
      </c>
      <c r="N379" s="69">
        <v>0</v>
      </c>
      <c r="O379" s="69">
        <v>0</v>
      </c>
      <c r="P379" s="75"/>
      <c r="Q379" s="75"/>
      <c r="R379" s="75"/>
      <c r="S379" s="75"/>
      <c r="T379" s="75"/>
      <c r="U379" s="75"/>
      <c r="V379" s="75"/>
      <c r="W379" s="69">
        <v>0</v>
      </c>
    </row>
    <row r="380" spans="1:23" s="80" customFormat="1" ht="18.75" customHeight="1" x14ac:dyDescent="0.2">
      <c r="A380" s="139"/>
      <c r="B380" s="139"/>
      <c r="C380" s="96" t="s">
        <v>11</v>
      </c>
      <c r="D380" s="69">
        <f t="shared" si="163"/>
        <v>1241838.8</v>
      </c>
      <c r="E380" s="69">
        <v>0</v>
      </c>
      <c r="F380" s="69">
        <v>0</v>
      </c>
      <c r="G380" s="69">
        <v>0</v>
      </c>
      <c r="H380" s="69">
        <v>0</v>
      </c>
      <c r="I380" s="69">
        <v>0</v>
      </c>
      <c r="J380" s="69">
        <v>0</v>
      </c>
      <c r="K380" s="69">
        <v>0</v>
      </c>
      <c r="L380" s="69">
        <v>44140</v>
      </c>
      <c r="M380" s="69">
        <v>598849.4</v>
      </c>
      <c r="N380" s="69">
        <v>598849.4</v>
      </c>
      <c r="O380" s="69">
        <v>0</v>
      </c>
      <c r="P380" s="75"/>
      <c r="Q380" s="75"/>
      <c r="R380" s="75"/>
      <c r="S380" s="75"/>
      <c r="T380" s="75"/>
      <c r="U380" s="75"/>
      <c r="V380" s="75"/>
      <c r="W380" s="69">
        <v>0</v>
      </c>
    </row>
    <row r="381" spans="1:23" s="80" customFormat="1" ht="18.75" customHeight="1" x14ac:dyDescent="0.2">
      <c r="A381" s="139"/>
      <c r="B381" s="139"/>
      <c r="C381" s="96" t="s">
        <v>12</v>
      </c>
      <c r="D381" s="69">
        <f t="shared" si="163"/>
        <v>12543.9</v>
      </c>
      <c r="E381" s="69">
        <v>0</v>
      </c>
      <c r="F381" s="69">
        <v>0</v>
      </c>
      <c r="G381" s="69">
        <v>0</v>
      </c>
      <c r="H381" s="69">
        <v>0</v>
      </c>
      <c r="I381" s="69">
        <v>0</v>
      </c>
      <c r="J381" s="69">
        <v>0</v>
      </c>
      <c r="K381" s="69">
        <v>0</v>
      </c>
      <c r="L381" s="69">
        <f>446-0.1</f>
        <v>445.9</v>
      </c>
      <c r="M381" s="69">
        <v>6049</v>
      </c>
      <c r="N381" s="69">
        <v>6049</v>
      </c>
      <c r="O381" s="69">
        <v>0</v>
      </c>
      <c r="P381" s="75"/>
      <c r="Q381" s="75"/>
      <c r="R381" s="75"/>
      <c r="S381" s="75"/>
      <c r="T381" s="75"/>
      <c r="U381" s="75"/>
      <c r="V381" s="75"/>
      <c r="W381" s="69">
        <v>0</v>
      </c>
    </row>
    <row r="382" spans="1:23" s="80" customFormat="1" ht="36.75" customHeight="1" x14ac:dyDescent="0.2">
      <c r="A382" s="140"/>
      <c r="B382" s="140"/>
      <c r="C382" s="96" t="s">
        <v>13</v>
      </c>
      <c r="D382" s="69">
        <f t="shared" si="163"/>
        <v>0</v>
      </c>
      <c r="E382" s="69">
        <v>0</v>
      </c>
      <c r="F382" s="69">
        <v>0</v>
      </c>
      <c r="G382" s="69">
        <v>0</v>
      </c>
      <c r="H382" s="69">
        <v>0</v>
      </c>
      <c r="I382" s="69">
        <v>0</v>
      </c>
      <c r="J382" s="69">
        <v>0</v>
      </c>
      <c r="K382" s="69">
        <v>0</v>
      </c>
      <c r="L382" s="69">
        <v>0</v>
      </c>
      <c r="M382" s="69">
        <v>0</v>
      </c>
      <c r="N382" s="69">
        <v>0</v>
      </c>
      <c r="O382" s="69">
        <v>0</v>
      </c>
      <c r="P382" s="75"/>
      <c r="Q382" s="75"/>
      <c r="R382" s="75"/>
      <c r="S382" s="75"/>
      <c r="T382" s="75"/>
      <c r="U382" s="75"/>
      <c r="V382" s="75"/>
      <c r="W382" s="69">
        <v>0</v>
      </c>
    </row>
    <row r="383" spans="1:23" s="80" customFormat="1" ht="18.75" customHeight="1" x14ac:dyDescent="0.2">
      <c r="A383" s="138" t="s">
        <v>435</v>
      </c>
      <c r="B383" s="138" t="s">
        <v>436</v>
      </c>
      <c r="C383" s="101" t="s">
        <v>7</v>
      </c>
      <c r="D383" s="69">
        <f t="shared" si="163"/>
        <v>21605.8</v>
      </c>
      <c r="E383" s="69">
        <f t="shared" ref="E383:J383" si="181">SUM(E384:E387)</f>
        <v>0</v>
      </c>
      <c r="F383" s="69">
        <f t="shared" si="181"/>
        <v>0</v>
      </c>
      <c r="G383" s="69">
        <f t="shared" si="181"/>
        <v>0</v>
      </c>
      <c r="H383" s="69">
        <f t="shared" si="181"/>
        <v>0</v>
      </c>
      <c r="I383" s="69">
        <f t="shared" si="181"/>
        <v>0</v>
      </c>
      <c r="J383" s="69">
        <f t="shared" si="181"/>
        <v>0</v>
      </c>
      <c r="K383" s="69">
        <f>SUM(K384:K387)</f>
        <v>0</v>
      </c>
      <c r="L383" s="69">
        <f t="shared" ref="L383" si="182">SUM(L384:L387)</f>
        <v>4347.8</v>
      </c>
      <c r="M383" s="69">
        <f>SUM(M384:M387)</f>
        <v>4123.3</v>
      </c>
      <c r="N383" s="69">
        <f t="shared" ref="N383" si="183">SUM(N384:N387)</f>
        <v>4195.6000000000004</v>
      </c>
      <c r="O383" s="69">
        <f t="shared" ref="O383" si="184">SUM(O384:O387)</f>
        <v>4381.8999999999996</v>
      </c>
      <c r="P383" s="75"/>
      <c r="Q383" s="75"/>
      <c r="R383" s="75"/>
      <c r="S383" s="75"/>
      <c r="T383" s="75"/>
      <c r="U383" s="75"/>
      <c r="V383" s="75"/>
      <c r="W383" s="69">
        <f t="shared" ref="W383" si="185">SUM(W384:W387)</f>
        <v>4557.2</v>
      </c>
    </row>
    <row r="384" spans="1:23" s="80" customFormat="1" ht="18.75" customHeight="1" x14ac:dyDescent="0.2">
      <c r="A384" s="139"/>
      <c r="B384" s="139"/>
      <c r="C384" s="96" t="s">
        <v>10</v>
      </c>
      <c r="D384" s="69">
        <f t="shared" si="163"/>
        <v>0</v>
      </c>
      <c r="E384" s="69">
        <v>0</v>
      </c>
      <c r="F384" s="69">
        <v>0</v>
      </c>
      <c r="G384" s="69">
        <v>0</v>
      </c>
      <c r="H384" s="69">
        <v>0</v>
      </c>
      <c r="I384" s="69">
        <v>0</v>
      </c>
      <c r="J384" s="69">
        <v>0</v>
      </c>
      <c r="K384" s="69">
        <v>0</v>
      </c>
      <c r="L384" s="69">
        <v>0</v>
      </c>
      <c r="M384" s="69">
        <v>0</v>
      </c>
      <c r="N384" s="69">
        <v>0</v>
      </c>
      <c r="O384" s="69">
        <v>0</v>
      </c>
      <c r="P384" s="75"/>
      <c r="Q384" s="75"/>
      <c r="R384" s="75"/>
      <c r="S384" s="75"/>
      <c r="T384" s="75"/>
      <c r="U384" s="75"/>
      <c r="V384" s="75"/>
      <c r="W384" s="69">
        <v>0</v>
      </c>
    </row>
    <row r="385" spans="1:23" s="80" customFormat="1" ht="18.75" customHeight="1" x14ac:dyDescent="0.2">
      <c r="A385" s="139"/>
      <c r="B385" s="139"/>
      <c r="C385" s="96" t="s">
        <v>11</v>
      </c>
      <c r="D385" s="69">
        <f t="shared" si="163"/>
        <v>20283.3</v>
      </c>
      <c r="E385" s="69">
        <v>0</v>
      </c>
      <c r="F385" s="69">
        <v>0</v>
      </c>
      <c r="G385" s="69">
        <v>0</v>
      </c>
      <c r="H385" s="69">
        <v>0</v>
      </c>
      <c r="I385" s="69">
        <v>0</v>
      </c>
      <c r="J385" s="69">
        <v>0</v>
      </c>
      <c r="K385" s="69">
        <v>0</v>
      </c>
      <c r="L385" s="69">
        <v>4086.9</v>
      </c>
      <c r="M385" s="69">
        <f>4287.7-438</f>
        <v>3849.7</v>
      </c>
      <c r="N385" s="69">
        <v>3943.9</v>
      </c>
      <c r="O385" s="69">
        <v>4119</v>
      </c>
      <c r="P385" s="75"/>
      <c r="Q385" s="75"/>
      <c r="R385" s="75"/>
      <c r="S385" s="75"/>
      <c r="T385" s="75"/>
      <c r="U385" s="75"/>
      <c r="V385" s="75"/>
      <c r="W385" s="69">
        <v>4283.8</v>
      </c>
    </row>
    <row r="386" spans="1:23" s="80" customFormat="1" ht="18.75" customHeight="1" x14ac:dyDescent="0.2">
      <c r="A386" s="139"/>
      <c r="B386" s="139"/>
      <c r="C386" s="96" t="s">
        <v>12</v>
      </c>
      <c r="D386" s="69">
        <f t="shared" si="163"/>
        <v>1322.5</v>
      </c>
      <c r="E386" s="69">
        <v>0</v>
      </c>
      <c r="F386" s="69">
        <v>0</v>
      </c>
      <c r="G386" s="69">
        <v>0</v>
      </c>
      <c r="H386" s="69">
        <v>0</v>
      </c>
      <c r="I386" s="69">
        <v>0</v>
      </c>
      <c r="J386" s="69">
        <v>0</v>
      </c>
      <c r="K386" s="69">
        <v>0</v>
      </c>
      <c r="L386" s="69">
        <v>260.89999999999998</v>
      </c>
      <c r="M386" s="69">
        <f>273.7-0.1</f>
        <v>273.59999999999997</v>
      </c>
      <c r="N386" s="69">
        <f>288.7-288.7+251.7</f>
        <v>251.7</v>
      </c>
      <c r="O386" s="69">
        <f>300.3-300.3+262.9</f>
        <v>262.89999999999998</v>
      </c>
      <c r="P386" s="75"/>
      <c r="Q386" s="75"/>
      <c r="R386" s="75"/>
      <c r="S386" s="75"/>
      <c r="T386" s="75"/>
      <c r="U386" s="75"/>
      <c r="V386" s="75"/>
      <c r="W386" s="69">
        <v>273.39999999999998</v>
      </c>
    </row>
    <row r="387" spans="1:23" s="80" customFormat="1" ht="39" customHeight="1" x14ac:dyDescent="0.2">
      <c r="A387" s="140"/>
      <c r="B387" s="140"/>
      <c r="C387" s="96" t="s">
        <v>13</v>
      </c>
      <c r="D387" s="69">
        <f t="shared" si="163"/>
        <v>0</v>
      </c>
      <c r="E387" s="69">
        <v>0</v>
      </c>
      <c r="F387" s="69">
        <v>0</v>
      </c>
      <c r="G387" s="69">
        <v>0</v>
      </c>
      <c r="H387" s="69">
        <v>0</v>
      </c>
      <c r="I387" s="69">
        <v>0</v>
      </c>
      <c r="J387" s="69">
        <v>0</v>
      </c>
      <c r="K387" s="69">
        <v>0</v>
      </c>
      <c r="L387" s="69">
        <v>0</v>
      </c>
      <c r="M387" s="69">
        <v>0</v>
      </c>
      <c r="N387" s="69">
        <v>0</v>
      </c>
      <c r="O387" s="69">
        <v>0</v>
      </c>
      <c r="P387" s="75"/>
      <c r="Q387" s="75"/>
      <c r="R387" s="75"/>
      <c r="S387" s="75"/>
      <c r="T387" s="75"/>
      <c r="U387" s="75"/>
      <c r="V387" s="75"/>
      <c r="W387" s="69">
        <v>0</v>
      </c>
    </row>
    <row r="388" spans="1:23" s="80" customFormat="1" ht="18.75" customHeight="1" x14ac:dyDescent="0.2">
      <c r="A388" s="138" t="s">
        <v>439</v>
      </c>
      <c r="B388" s="138" t="s">
        <v>440</v>
      </c>
      <c r="C388" s="101" t="s">
        <v>7</v>
      </c>
      <c r="D388" s="69">
        <f t="shared" si="163"/>
        <v>331492.80000000005</v>
      </c>
      <c r="E388" s="69">
        <f t="shared" ref="E388:J388" si="186">SUM(E389:E392)</f>
        <v>0</v>
      </c>
      <c r="F388" s="69">
        <f t="shared" si="186"/>
        <v>0</v>
      </c>
      <c r="G388" s="69">
        <f t="shared" si="186"/>
        <v>0</v>
      </c>
      <c r="H388" s="69">
        <f t="shared" si="186"/>
        <v>0</v>
      </c>
      <c r="I388" s="69">
        <f t="shared" si="186"/>
        <v>0</v>
      </c>
      <c r="J388" s="69">
        <f t="shared" si="186"/>
        <v>0</v>
      </c>
      <c r="K388" s="69">
        <f>SUM(K389:K392)</f>
        <v>0</v>
      </c>
      <c r="L388" s="69">
        <f t="shared" ref="L388" si="187">SUM(L389:L392)</f>
        <v>3885.8</v>
      </c>
      <c r="M388" s="69">
        <f>SUM(M389:M392)</f>
        <v>50927</v>
      </c>
      <c r="N388" s="69">
        <f t="shared" ref="N388:O388" si="188">SUM(N389:N392)</f>
        <v>143718.90000000002</v>
      </c>
      <c r="O388" s="69">
        <f t="shared" si="188"/>
        <v>65177.900000000009</v>
      </c>
      <c r="P388" s="75"/>
      <c r="Q388" s="75"/>
      <c r="R388" s="75"/>
      <c r="S388" s="75"/>
      <c r="T388" s="75"/>
      <c r="U388" s="75"/>
      <c r="V388" s="75"/>
      <c r="W388" s="69">
        <f t="shared" ref="W388" si="189">SUM(W389:W392)</f>
        <v>67783.199999999997</v>
      </c>
    </row>
    <row r="389" spans="1:23" s="80" customFormat="1" ht="18.75" customHeight="1" x14ac:dyDescent="0.2">
      <c r="A389" s="139"/>
      <c r="B389" s="139"/>
      <c r="C389" s="96" t="s">
        <v>10</v>
      </c>
      <c r="D389" s="69">
        <f t="shared" si="163"/>
        <v>0</v>
      </c>
      <c r="E389" s="69">
        <v>0</v>
      </c>
      <c r="F389" s="69">
        <v>0</v>
      </c>
      <c r="G389" s="69">
        <v>0</v>
      </c>
      <c r="H389" s="69">
        <v>0</v>
      </c>
      <c r="I389" s="69">
        <v>0</v>
      </c>
      <c r="J389" s="69">
        <v>0</v>
      </c>
      <c r="K389" s="69">
        <v>0</v>
      </c>
      <c r="L389" s="69">
        <v>0</v>
      </c>
      <c r="M389" s="69">
        <v>0</v>
      </c>
      <c r="N389" s="69">
        <v>0</v>
      </c>
      <c r="O389" s="69">
        <v>0</v>
      </c>
      <c r="P389" s="75"/>
      <c r="Q389" s="75"/>
      <c r="R389" s="75"/>
      <c r="S389" s="75"/>
      <c r="T389" s="75"/>
      <c r="U389" s="75"/>
      <c r="V389" s="75"/>
      <c r="W389" s="69">
        <v>0</v>
      </c>
    </row>
    <row r="390" spans="1:23" s="80" customFormat="1" ht="18.75" customHeight="1" x14ac:dyDescent="0.2">
      <c r="A390" s="139"/>
      <c r="B390" s="139"/>
      <c r="C390" s="96" t="s">
        <v>11</v>
      </c>
      <c r="D390" s="69">
        <f t="shared" si="163"/>
        <v>331492.80000000005</v>
      </c>
      <c r="E390" s="69">
        <v>0</v>
      </c>
      <c r="F390" s="69">
        <v>0</v>
      </c>
      <c r="G390" s="69">
        <v>0</v>
      </c>
      <c r="H390" s="69">
        <v>0</v>
      </c>
      <c r="I390" s="69">
        <v>0</v>
      </c>
      <c r="J390" s="69">
        <v>0</v>
      </c>
      <c r="K390" s="69">
        <v>0</v>
      </c>
      <c r="L390" s="69">
        <f>4013.3-127.5</f>
        <v>3885.8</v>
      </c>
      <c r="M390" s="69">
        <f>23833.1-630.7+5070+22654.6</f>
        <v>50927</v>
      </c>
      <c r="N390" s="57">
        <f>48714.9-1296.5+14990.9+81309.6</f>
        <v>143718.90000000002</v>
      </c>
      <c r="O390" s="69">
        <f>44585.8-1185.6+21777.7</f>
        <v>65177.900000000009</v>
      </c>
      <c r="P390" s="75"/>
      <c r="Q390" s="75"/>
      <c r="R390" s="75"/>
      <c r="S390" s="75"/>
      <c r="T390" s="75"/>
      <c r="U390" s="75"/>
      <c r="V390" s="75"/>
      <c r="W390" s="69">
        <v>67783.199999999997</v>
      </c>
    </row>
    <row r="391" spans="1:23" s="80" customFormat="1" ht="18.75" customHeight="1" x14ac:dyDescent="0.2">
      <c r="A391" s="139"/>
      <c r="B391" s="139"/>
      <c r="C391" s="96" t="s">
        <v>12</v>
      </c>
      <c r="D391" s="69">
        <f t="shared" si="163"/>
        <v>0</v>
      </c>
      <c r="E391" s="69">
        <v>0</v>
      </c>
      <c r="F391" s="69">
        <v>0</v>
      </c>
      <c r="G391" s="69">
        <v>0</v>
      </c>
      <c r="H391" s="69">
        <v>0</v>
      </c>
      <c r="I391" s="69">
        <v>0</v>
      </c>
      <c r="J391" s="69">
        <v>0</v>
      </c>
      <c r="K391" s="69">
        <v>0</v>
      </c>
      <c r="L391" s="69">
        <v>0</v>
      </c>
      <c r="M391" s="69">
        <f>273.7-273.7</f>
        <v>0</v>
      </c>
      <c r="N391" s="69">
        <f>288.7-288.7</f>
        <v>0</v>
      </c>
      <c r="O391" s="69">
        <v>0</v>
      </c>
      <c r="P391" s="75"/>
      <c r="Q391" s="75"/>
      <c r="R391" s="75"/>
      <c r="S391" s="75"/>
      <c r="T391" s="75"/>
      <c r="U391" s="75"/>
      <c r="V391" s="75"/>
      <c r="W391" s="69">
        <v>0</v>
      </c>
    </row>
    <row r="392" spans="1:23" s="80" customFormat="1" ht="30" customHeight="1" x14ac:dyDescent="0.2">
      <c r="A392" s="140"/>
      <c r="B392" s="140"/>
      <c r="C392" s="96" t="s">
        <v>13</v>
      </c>
      <c r="D392" s="69">
        <f t="shared" si="163"/>
        <v>0</v>
      </c>
      <c r="E392" s="69">
        <v>0</v>
      </c>
      <c r="F392" s="69">
        <v>0</v>
      </c>
      <c r="G392" s="69">
        <v>0</v>
      </c>
      <c r="H392" s="69">
        <v>0</v>
      </c>
      <c r="I392" s="69">
        <v>0</v>
      </c>
      <c r="J392" s="69">
        <v>0</v>
      </c>
      <c r="K392" s="69">
        <v>0</v>
      </c>
      <c r="L392" s="69">
        <v>0</v>
      </c>
      <c r="M392" s="69">
        <v>0</v>
      </c>
      <c r="N392" s="69">
        <v>0</v>
      </c>
      <c r="O392" s="69">
        <v>0</v>
      </c>
      <c r="P392" s="75"/>
      <c r="Q392" s="75"/>
      <c r="R392" s="75"/>
      <c r="S392" s="75"/>
      <c r="T392" s="75"/>
      <c r="U392" s="75"/>
      <c r="V392" s="75"/>
      <c r="W392" s="69">
        <v>0</v>
      </c>
    </row>
    <row r="393" spans="1:23" s="80" customFormat="1" ht="18.75" customHeight="1" x14ac:dyDescent="0.2">
      <c r="A393" s="138" t="s">
        <v>446</v>
      </c>
      <c r="B393" s="138" t="s">
        <v>447</v>
      </c>
      <c r="C393" s="101" t="s">
        <v>7</v>
      </c>
      <c r="D393" s="69">
        <f t="shared" si="163"/>
        <v>2599.5</v>
      </c>
      <c r="E393" s="69">
        <f t="shared" ref="E393:J393" si="190">SUM(E394:E397)</f>
        <v>0</v>
      </c>
      <c r="F393" s="69">
        <f t="shared" si="190"/>
        <v>0</v>
      </c>
      <c r="G393" s="69">
        <f t="shared" si="190"/>
        <v>0</v>
      </c>
      <c r="H393" s="69">
        <f t="shared" si="190"/>
        <v>0</v>
      </c>
      <c r="I393" s="69">
        <f t="shared" si="190"/>
        <v>0</v>
      </c>
      <c r="J393" s="69">
        <f t="shared" si="190"/>
        <v>0</v>
      </c>
      <c r="K393" s="69">
        <f>SUM(K394:K397)</f>
        <v>0</v>
      </c>
      <c r="L393" s="69">
        <f t="shared" ref="L393" si="191">SUM(L394:L397)</f>
        <v>0</v>
      </c>
      <c r="M393" s="69">
        <f>SUM(M394:M397)</f>
        <v>2599.5</v>
      </c>
      <c r="N393" s="69">
        <f t="shared" ref="N393:O393" si="192">SUM(N394:N397)</f>
        <v>0</v>
      </c>
      <c r="O393" s="69">
        <f t="shared" si="192"/>
        <v>0</v>
      </c>
      <c r="P393" s="75"/>
      <c r="Q393" s="75"/>
      <c r="R393" s="75"/>
      <c r="S393" s="75"/>
      <c r="T393" s="75"/>
      <c r="U393" s="75"/>
      <c r="V393" s="75"/>
      <c r="W393" s="69">
        <f t="shared" ref="W393" si="193">SUM(W394:W397)</f>
        <v>0</v>
      </c>
    </row>
    <row r="394" spans="1:23" s="80" customFormat="1" ht="18.75" customHeight="1" x14ac:dyDescent="0.2">
      <c r="A394" s="139"/>
      <c r="B394" s="139"/>
      <c r="C394" s="96" t="s">
        <v>10</v>
      </c>
      <c r="D394" s="69">
        <f t="shared" si="163"/>
        <v>0</v>
      </c>
      <c r="E394" s="69">
        <v>0</v>
      </c>
      <c r="F394" s="69">
        <v>0</v>
      </c>
      <c r="G394" s="69">
        <v>0</v>
      </c>
      <c r="H394" s="69">
        <v>0</v>
      </c>
      <c r="I394" s="69">
        <v>0</v>
      </c>
      <c r="J394" s="69">
        <v>0</v>
      </c>
      <c r="K394" s="69">
        <v>0</v>
      </c>
      <c r="L394" s="69">
        <v>0</v>
      </c>
      <c r="M394" s="69">
        <v>0</v>
      </c>
      <c r="N394" s="69">
        <v>0</v>
      </c>
      <c r="O394" s="69">
        <v>0</v>
      </c>
      <c r="P394" s="75"/>
      <c r="Q394" s="75"/>
      <c r="R394" s="75"/>
      <c r="S394" s="75"/>
      <c r="T394" s="75"/>
      <c r="U394" s="75"/>
      <c r="V394" s="75"/>
      <c r="W394" s="69">
        <v>0</v>
      </c>
    </row>
    <row r="395" spans="1:23" s="80" customFormat="1" ht="18.75" customHeight="1" x14ac:dyDescent="0.2">
      <c r="A395" s="139"/>
      <c r="B395" s="139"/>
      <c r="C395" s="96" t="s">
        <v>11</v>
      </c>
      <c r="D395" s="69">
        <f t="shared" si="163"/>
        <v>0</v>
      </c>
      <c r="E395" s="69">
        <v>0</v>
      </c>
      <c r="F395" s="69">
        <v>0</v>
      </c>
      <c r="G395" s="69">
        <v>0</v>
      </c>
      <c r="H395" s="69">
        <v>0</v>
      </c>
      <c r="I395" s="69">
        <v>0</v>
      </c>
      <c r="J395" s="69">
        <v>0</v>
      </c>
      <c r="K395" s="69">
        <v>0</v>
      </c>
      <c r="L395" s="69">
        <v>0</v>
      </c>
      <c r="M395" s="69">
        <v>0</v>
      </c>
      <c r="N395" s="69">
        <v>0</v>
      </c>
      <c r="O395" s="69">
        <v>0</v>
      </c>
      <c r="P395" s="75"/>
      <c r="Q395" s="75"/>
      <c r="R395" s="75"/>
      <c r="S395" s="75"/>
      <c r="T395" s="75"/>
      <c r="U395" s="75"/>
      <c r="V395" s="75"/>
      <c r="W395" s="69">
        <v>0</v>
      </c>
    </row>
    <row r="396" spans="1:23" s="80" customFormat="1" ht="18.75" customHeight="1" x14ac:dyDescent="0.2">
      <c r="A396" s="139"/>
      <c r="B396" s="139"/>
      <c r="C396" s="96" t="s">
        <v>12</v>
      </c>
      <c r="D396" s="69">
        <f t="shared" si="163"/>
        <v>2599.5</v>
      </c>
      <c r="E396" s="69">
        <v>0</v>
      </c>
      <c r="F396" s="69">
        <v>0</v>
      </c>
      <c r="G396" s="69">
        <v>0</v>
      </c>
      <c r="H396" s="69">
        <v>0</v>
      </c>
      <c r="I396" s="69">
        <v>0</v>
      </c>
      <c r="J396" s="69">
        <v>0</v>
      </c>
      <c r="K396" s="69">
        <v>0</v>
      </c>
      <c r="L396" s="69">
        <v>0</v>
      </c>
      <c r="M396" s="69">
        <f>3000-118.5-52-180-50</f>
        <v>2599.5</v>
      </c>
      <c r="N396" s="69">
        <f>288.7-288.7</f>
        <v>0</v>
      </c>
      <c r="O396" s="69">
        <v>0</v>
      </c>
      <c r="P396" s="75"/>
      <c r="Q396" s="75"/>
      <c r="R396" s="75"/>
      <c r="S396" s="75"/>
      <c r="T396" s="75"/>
      <c r="U396" s="75"/>
      <c r="V396" s="75"/>
      <c r="W396" s="69">
        <v>0</v>
      </c>
    </row>
    <row r="397" spans="1:23" s="80" customFormat="1" ht="33.75" customHeight="1" x14ac:dyDescent="0.2">
      <c r="A397" s="140"/>
      <c r="B397" s="140"/>
      <c r="C397" s="96" t="s">
        <v>13</v>
      </c>
      <c r="D397" s="69">
        <f t="shared" si="163"/>
        <v>0</v>
      </c>
      <c r="E397" s="69">
        <v>0</v>
      </c>
      <c r="F397" s="69">
        <v>0</v>
      </c>
      <c r="G397" s="69">
        <v>0</v>
      </c>
      <c r="H397" s="69">
        <v>0</v>
      </c>
      <c r="I397" s="69">
        <v>0</v>
      </c>
      <c r="J397" s="69">
        <v>0</v>
      </c>
      <c r="K397" s="69">
        <v>0</v>
      </c>
      <c r="L397" s="69">
        <v>0</v>
      </c>
      <c r="M397" s="69">
        <v>0</v>
      </c>
      <c r="N397" s="69">
        <v>0</v>
      </c>
      <c r="O397" s="69">
        <v>0</v>
      </c>
      <c r="P397" s="75"/>
      <c r="Q397" s="75"/>
      <c r="R397" s="75"/>
      <c r="S397" s="75"/>
      <c r="T397" s="75"/>
      <c r="U397" s="75"/>
      <c r="V397" s="75"/>
      <c r="W397" s="69">
        <v>0</v>
      </c>
    </row>
    <row r="398" spans="1:23" s="80" customFormat="1" ht="18.75" hidden="1" customHeight="1" x14ac:dyDescent="0.2">
      <c r="A398" s="138"/>
      <c r="B398" s="138" t="s">
        <v>452</v>
      </c>
      <c r="C398" s="101" t="s">
        <v>7</v>
      </c>
      <c r="D398" s="69">
        <f t="shared" si="163"/>
        <v>0</v>
      </c>
      <c r="E398" s="69">
        <f t="shared" ref="E398:J398" si="194">SUM(E399:E402)</f>
        <v>0</v>
      </c>
      <c r="F398" s="69">
        <f t="shared" si="194"/>
        <v>0</v>
      </c>
      <c r="G398" s="69">
        <f t="shared" si="194"/>
        <v>0</v>
      </c>
      <c r="H398" s="69">
        <f t="shared" si="194"/>
        <v>0</v>
      </c>
      <c r="I398" s="69">
        <f t="shared" si="194"/>
        <v>0</v>
      </c>
      <c r="J398" s="69">
        <f t="shared" si="194"/>
        <v>0</v>
      </c>
      <c r="K398" s="69">
        <f>SUM(K399:K402)</f>
        <v>0</v>
      </c>
      <c r="L398" s="69">
        <f t="shared" ref="L398" si="195">SUM(L399:L402)</f>
        <v>0</v>
      </c>
      <c r="M398" s="69">
        <f>SUM(M399:M402)</f>
        <v>0</v>
      </c>
      <c r="N398" s="69">
        <f t="shared" ref="N398:O398" si="196">SUM(N399:N402)</f>
        <v>0</v>
      </c>
      <c r="O398" s="69">
        <f t="shared" si="196"/>
        <v>0</v>
      </c>
      <c r="P398" s="75"/>
      <c r="Q398" s="75"/>
      <c r="R398" s="75"/>
      <c r="S398" s="75"/>
      <c r="T398" s="75"/>
      <c r="U398" s="75"/>
      <c r="V398" s="75"/>
      <c r="W398" s="69">
        <f t="shared" ref="W398" si="197">SUM(W399:W402)</f>
        <v>0</v>
      </c>
    </row>
    <row r="399" spans="1:23" s="80" customFormat="1" ht="18.75" hidden="1" customHeight="1" x14ac:dyDescent="0.2">
      <c r="A399" s="139"/>
      <c r="B399" s="139"/>
      <c r="C399" s="96" t="s">
        <v>10</v>
      </c>
      <c r="D399" s="69">
        <f t="shared" si="163"/>
        <v>0</v>
      </c>
      <c r="E399" s="69">
        <v>0</v>
      </c>
      <c r="F399" s="69">
        <v>0</v>
      </c>
      <c r="G399" s="69">
        <v>0</v>
      </c>
      <c r="H399" s="69">
        <v>0</v>
      </c>
      <c r="I399" s="69">
        <v>0</v>
      </c>
      <c r="J399" s="69">
        <v>0</v>
      </c>
      <c r="K399" s="69">
        <v>0</v>
      </c>
      <c r="L399" s="69">
        <v>0</v>
      </c>
      <c r="M399" s="69">
        <v>0</v>
      </c>
      <c r="N399" s="69">
        <v>0</v>
      </c>
      <c r="O399" s="69">
        <v>0</v>
      </c>
      <c r="P399" s="75"/>
      <c r="Q399" s="75"/>
      <c r="R399" s="75"/>
      <c r="S399" s="75"/>
      <c r="T399" s="75"/>
      <c r="U399" s="75"/>
      <c r="V399" s="75"/>
      <c r="W399" s="69">
        <v>0</v>
      </c>
    </row>
    <row r="400" spans="1:23" s="80" customFormat="1" ht="18.75" hidden="1" customHeight="1" x14ac:dyDescent="0.2">
      <c r="A400" s="139"/>
      <c r="B400" s="139"/>
      <c r="C400" s="96" t="s">
        <v>11</v>
      </c>
      <c r="D400" s="69">
        <f t="shared" si="163"/>
        <v>0</v>
      </c>
      <c r="E400" s="69">
        <v>0</v>
      </c>
      <c r="F400" s="69">
        <v>0</v>
      </c>
      <c r="G400" s="69">
        <v>0</v>
      </c>
      <c r="H400" s="69">
        <v>0</v>
      </c>
      <c r="I400" s="69">
        <v>0</v>
      </c>
      <c r="J400" s="69">
        <v>0</v>
      </c>
      <c r="K400" s="69">
        <v>0</v>
      </c>
      <c r="L400" s="69">
        <v>0</v>
      </c>
      <c r="M400" s="69">
        <v>0</v>
      </c>
      <c r="N400" s="69">
        <v>0</v>
      </c>
      <c r="O400" s="69">
        <v>0</v>
      </c>
      <c r="P400" s="75"/>
      <c r="Q400" s="75"/>
      <c r="R400" s="75"/>
      <c r="S400" s="75"/>
      <c r="T400" s="75"/>
      <c r="U400" s="75"/>
      <c r="V400" s="75"/>
      <c r="W400" s="69">
        <v>0</v>
      </c>
    </row>
    <row r="401" spans="1:24" s="80" customFormat="1" ht="18.75" hidden="1" customHeight="1" x14ac:dyDescent="0.2">
      <c r="A401" s="139"/>
      <c r="B401" s="139"/>
      <c r="C401" s="96" t="s">
        <v>12</v>
      </c>
      <c r="D401" s="69">
        <f t="shared" si="163"/>
        <v>0</v>
      </c>
      <c r="E401" s="69">
        <v>0</v>
      </c>
      <c r="F401" s="69">
        <v>0</v>
      </c>
      <c r="G401" s="69">
        <v>0</v>
      </c>
      <c r="H401" s="69">
        <v>0</v>
      </c>
      <c r="I401" s="69">
        <v>0</v>
      </c>
      <c r="J401" s="69">
        <v>0</v>
      </c>
      <c r="K401" s="69">
        <v>0</v>
      </c>
      <c r="L401" s="69">
        <v>0</v>
      </c>
      <c r="M401" s="69">
        <f>1574.3-1574.3</f>
        <v>0</v>
      </c>
      <c r="N401" s="69">
        <f>288.7-288.7</f>
        <v>0</v>
      </c>
      <c r="O401" s="69">
        <v>0</v>
      </c>
      <c r="P401" s="75"/>
      <c r="Q401" s="75"/>
      <c r="R401" s="75"/>
      <c r="S401" s="75"/>
      <c r="T401" s="75"/>
      <c r="U401" s="75"/>
      <c r="V401" s="75"/>
      <c r="W401" s="69">
        <v>0</v>
      </c>
    </row>
    <row r="402" spans="1:24" s="80" customFormat="1" ht="18.75" hidden="1" customHeight="1" x14ac:dyDescent="0.2">
      <c r="A402" s="140"/>
      <c r="B402" s="140"/>
      <c r="C402" s="96" t="s">
        <v>13</v>
      </c>
      <c r="D402" s="69">
        <f t="shared" si="163"/>
        <v>0</v>
      </c>
      <c r="E402" s="69">
        <v>0</v>
      </c>
      <c r="F402" s="69">
        <v>0</v>
      </c>
      <c r="G402" s="69">
        <v>0</v>
      </c>
      <c r="H402" s="69">
        <v>0</v>
      </c>
      <c r="I402" s="69">
        <v>0</v>
      </c>
      <c r="J402" s="69">
        <v>0</v>
      </c>
      <c r="K402" s="69">
        <v>0</v>
      </c>
      <c r="L402" s="69">
        <v>0</v>
      </c>
      <c r="M402" s="69">
        <v>0</v>
      </c>
      <c r="N402" s="69">
        <v>0</v>
      </c>
      <c r="O402" s="69">
        <v>0</v>
      </c>
      <c r="P402" s="75"/>
      <c r="Q402" s="75"/>
      <c r="R402" s="75"/>
      <c r="S402" s="75"/>
      <c r="T402" s="75"/>
      <c r="U402" s="75"/>
      <c r="V402" s="75"/>
      <c r="W402" s="69">
        <v>0</v>
      </c>
    </row>
    <row r="403" spans="1:24" s="80" customFormat="1" ht="18.75" customHeight="1" x14ac:dyDescent="0.2">
      <c r="A403" s="137" t="s">
        <v>451</v>
      </c>
      <c r="B403" s="137" t="s">
        <v>453</v>
      </c>
      <c r="C403" s="101" t="s">
        <v>7</v>
      </c>
      <c r="D403" s="69">
        <f t="shared" si="163"/>
        <v>1198</v>
      </c>
      <c r="E403" s="69">
        <f>E404+E405+E406+E408</f>
        <v>0</v>
      </c>
      <c r="F403" s="69">
        <f t="shared" ref="F403:O403" si="198">F404+F405+F406+F408</f>
        <v>0</v>
      </c>
      <c r="G403" s="69">
        <f t="shared" si="198"/>
        <v>0</v>
      </c>
      <c r="H403" s="69">
        <f t="shared" si="198"/>
        <v>0</v>
      </c>
      <c r="I403" s="69">
        <f t="shared" si="198"/>
        <v>0</v>
      </c>
      <c r="J403" s="69">
        <f t="shared" si="198"/>
        <v>0</v>
      </c>
      <c r="K403" s="69">
        <f t="shared" si="198"/>
        <v>0</v>
      </c>
      <c r="L403" s="69">
        <f t="shared" si="198"/>
        <v>0</v>
      </c>
      <c r="M403" s="69">
        <f t="shared" si="198"/>
        <v>599</v>
      </c>
      <c r="N403" s="69">
        <f>N404+N405+N406+N408</f>
        <v>599</v>
      </c>
      <c r="O403" s="69">
        <f t="shared" si="198"/>
        <v>0</v>
      </c>
      <c r="P403" s="75"/>
      <c r="Q403" s="75"/>
      <c r="R403" s="75"/>
      <c r="S403" s="75"/>
      <c r="T403" s="75"/>
      <c r="U403" s="75"/>
      <c r="V403" s="75"/>
      <c r="W403" s="69">
        <f t="shared" ref="W403" si="199">W404+W405+W406+W408</f>
        <v>0</v>
      </c>
    </row>
    <row r="404" spans="1:24" s="80" customFormat="1" ht="18.75" customHeight="1" x14ac:dyDescent="0.2">
      <c r="A404" s="144"/>
      <c r="B404" s="137"/>
      <c r="C404" s="96" t="s">
        <v>10</v>
      </c>
      <c r="D404" s="69">
        <f t="shared" si="163"/>
        <v>0</v>
      </c>
      <c r="E404" s="69">
        <v>0</v>
      </c>
      <c r="F404" s="69">
        <v>0</v>
      </c>
      <c r="G404" s="69">
        <v>0</v>
      </c>
      <c r="H404" s="69">
        <v>0</v>
      </c>
      <c r="I404" s="69">
        <v>0</v>
      </c>
      <c r="J404" s="69">
        <v>0</v>
      </c>
      <c r="K404" s="69">
        <v>0</v>
      </c>
      <c r="L404" s="69">
        <v>0</v>
      </c>
      <c r="M404" s="69">
        <v>0</v>
      </c>
      <c r="N404" s="69">
        <v>0</v>
      </c>
      <c r="O404" s="69">
        <v>0</v>
      </c>
      <c r="P404" s="75"/>
      <c r="Q404" s="75"/>
      <c r="R404" s="75"/>
      <c r="S404" s="75"/>
      <c r="T404" s="75"/>
      <c r="U404" s="75"/>
      <c r="V404" s="75"/>
      <c r="W404" s="69">
        <v>0</v>
      </c>
    </row>
    <row r="405" spans="1:24" s="80" customFormat="1" ht="18.75" customHeight="1" x14ac:dyDescent="0.2">
      <c r="A405" s="144"/>
      <c r="B405" s="137"/>
      <c r="C405" s="96" t="s">
        <v>11</v>
      </c>
      <c r="D405" s="69">
        <f t="shared" si="163"/>
        <v>0</v>
      </c>
      <c r="E405" s="69">
        <v>0</v>
      </c>
      <c r="F405" s="69">
        <v>0</v>
      </c>
      <c r="G405" s="69">
        <v>0</v>
      </c>
      <c r="H405" s="69">
        <v>0</v>
      </c>
      <c r="I405" s="69">
        <v>0</v>
      </c>
      <c r="J405" s="69">
        <v>0</v>
      </c>
      <c r="K405" s="69">
        <v>0</v>
      </c>
      <c r="L405" s="69">
        <v>0</v>
      </c>
      <c r="M405" s="69">
        <v>0</v>
      </c>
      <c r="N405" s="69">
        <v>0</v>
      </c>
      <c r="O405" s="69">
        <v>0</v>
      </c>
      <c r="P405" s="75"/>
      <c r="Q405" s="75"/>
      <c r="R405" s="75"/>
      <c r="S405" s="75"/>
      <c r="T405" s="75"/>
      <c r="U405" s="75"/>
      <c r="V405" s="75"/>
      <c r="W405" s="69">
        <v>0</v>
      </c>
    </row>
    <row r="406" spans="1:24" s="80" customFormat="1" ht="37.5" customHeight="1" x14ac:dyDescent="0.2">
      <c r="A406" s="144"/>
      <c r="B406" s="137"/>
      <c r="C406" s="96" t="s">
        <v>65</v>
      </c>
      <c r="D406" s="69">
        <f t="shared" si="163"/>
        <v>1198</v>
      </c>
      <c r="E406" s="69">
        <v>0</v>
      </c>
      <c r="F406" s="69">
        <v>0</v>
      </c>
      <c r="G406" s="69">
        <v>0</v>
      </c>
      <c r="H406" s="69">
        <v>0</v>
      </c>
      <c r="I406" s="69">
        <v>0</v>
      </c>
      <c r="J406" s="69">
        <v>0</v>
      </c>
      <c r="K406" s="69">
        <v>0</v>
      </c>
      <c r="L406" s="69">
        <v>0</v>
      </c>
      <c r="M406" s="69">
        <v>599</v>
      </c>
      <c r="N406" s="69">
        <v>599</v>
      </c>
      <c r="O406" s="69">
        <v>0</v>
      </c>
      <c r="P406" s="75"/>
      <c r="Q406" s="75"/>
      <c r="R406" s="75"/>
      <c r="S406" s="75"/>
      <c r="T406" s="75"/>
      <c r="U406" s="75"/>
      <c r="V406" s="75"/>
      <c r="W406" s="69">
        <v>0</v>
      </c>
    </row>
    <row r="407" spans="1:24" s="80" customFormat="1" ht="39" customHeight="1" x14ac:dyDescent="0.2">
      <c r="A407" s="144"/>
      <c r="B407" s="137"/>
      <c r="C407" s="72" t="s">
        <v>448</v>
      </c>
      <c r="D407" s="71">
        <f t="shared" si="163"/>
        <v>599</v>
      </c>
      <c r="E407" s="71">
        <v>0</v>
      </c>
      <c r="F407" s="71">
        <v>0</v>
      </c>
      <c r="G407" s="71">
        <v>0</v>
      </c>
      <c r="H407" s="71">
        <v>0</v>
      </c>
      <c r="I407" s="71">
        <v>0</v>
      </c>
      <c r="J407" s="71">
        <v>0</v>
      </c>
      <c r="K407" s="71">
        <v>0</v>
      </c>
      <c r="L407" s="71">
        <v>0</v>
      </c>
      <c r="M407" s="71">
        <v>0</v>
      </c>
      <c r="N407" s="71">
        <v>599</v>
      </c>
      <c r="O407" s="71">
        <v>0</v>
      </c>
      <c r="P407" s="76"/>
      <c r="Q407" s="76"/>
      <c r="R407" s="76"/>
      <c r="S407" s="76"/>
      <c r="T407" s="76"/>
      <c r="U407" s="76"/>
      <c r="V407" s="76"/>
      <c r="W407" s="71">
        <v>0</v>
      </c>
    </row>
    <row r="408" spans="1:24" s="80" customFormat="1" ht="37.5" customHeight="1" x14ac:dyDescent="0.2">
      <c r="A408" s="144"/>
      <c r="B408" s="137"/>
      <c r="C408" s="96" t="s">
        <v>13</v>
      </c>
      <c r="D408" s="69">
        <f t="shared" si="163"/>
        <v>0</v>
      </c>
      <c r="E408" s="69">
        <v>0</v>
      </c>
      <c r="F408" s="69">
        <v>0</v>
      </c>
      <c r="G408" s="69">
        <v>0</v>
      </c>
      <c r="H408" s="69">
        <v>0</v>
      </c>
      <c r="I408" s="69">
        <v>0</v>
      </c>
      <c r="J408" s="69">
        <v>0</v>
      </c>
      <c r="K408" s="69">
        <v>0</v>
      </c>
      <c r="L408" s="69">
        <v>0</v>
      </c>
      <c r="M408" s="69">
        <v>0</v>
      </c>
      <c r="N408" s="69">
        <v>0</v>
      </c>
      <c r="O408" s="69">
        <v>0</v>
      </c>
      <c r="P408" s="75"/>
      <c r="Q408" s="75"/>
      <c r="R408" s="75"/>
      <c r="S408" s="75"/>
      <c r="T408" s="75"/>
      <c r="U408" s="75"/>
      <c r="V408" s="75"/>
      <c r="W408" s="69">
        <v>0</v>
      </c>
    </row>
    <row r="409" spans="1:24" s="80" customFormat="1" ht="18.75" customHeight="1" x14ac:dyDescent="0.2">
      <c r="A409" s="137" t="s">
        <v>454</v>
      </c>
      <c r="B409" s="137" t="s">
        <v>455</v>
      </c>
      <c r="C409" s="101" t="s">
        <v>7</v>
      </c>
      <c r="D409" s="69">
        <f t="shared" si="163"/>
        <v>220.19999999999993</v>
      </c>
      <c r="E409" s="69">
        <f>E410+E411+E412+E413</f>
        <v>0</v>
      </c>
      <c r="F409" s="69">
        <f t="shared" ref="F409:O409" si="200">F410+F411+F412+F413</f>
        <v>0</v>
      </c>
      <c r="G409" s="69">
        <f t="shared" si="200"/>
        <v>0</v>
      </c>
      <c r="H409" s="69">
        <f t="shared" si="200"/>
        <v>0</v>
      </c>
      <c r="I409" s="69">
        <f t="shared" si="200"/>
        <v>0</v>
      </c>
      <c r="J409" s="69">
        <f t="shared" si="200"/>
        <v>0</v>
      </c>
      <c r="K409" s="69">
        <f t="shared" si="200"/>
        <v>0</v>
      </c>
      <c r="L409" s="69">
        <f t="shared" si="200"/>
        <v>0</v>
      </c>
      <c r="M409" s="69">
        <f t="shared" si="200"/>
        <v>220.19999999999993</v>
      </c>
      <c r="N409" s="69">
        <f t="shared" si="200"/>
        <v>0</v>
      </c>
      <c r="O409" s="69">
        <f t="shared" si="200"/>
        <v>0</v>
      </c>
      <c r="P409" s="75"/>
      <c r="Q409" s="75"/>
      <c r="R409" s="75"/>
      <c r="S409" s="75"/>
      <c r="T409" s="75"/>
      <c r="U409" s="75"/>
      <c r="V409" s="75"/>
      <c r="W409" s="69">
        <f t="shared" ref="W409" si="201">W410+W411+W412+W413</f>
        <v>0</v>
      </c>
    </row>
    <row r="410" spans="1:24" s="80" customFormat="1" ht="18.75" customHeight="1" x14ac:dyDescent="0.2">
      <c r="A410" s="144"/>
      <c r="B410" s="137"/>
      <c r="C410" s="96" t="s">
        <v>10</v>
      </c>
      <c r="D410" s="69">
        <f t="shared" si="163"/>
        <v>0</v>
      </c>
      <c r="E410" s="69">
        <v>0</v>
      </c>
      <c r="F410" s="69">
        <v>0</v>
      </c>
      <c r="G410" s="69">
        <v>0</v>
      </c>
      <c r="H410" s="69">
        <v>0</v>
      </c>
      <c r="I410" s="69">
        <v>0</v>
      </c>
      <c r="J410" s="69">
        <v>0</v>
      </c>
      <c r="K410" s="69">
        <v>0</v>
      </c>
      <c r="L410" s="69">
        <v>0</v>
      </c>
      <c r="M410" s="69">
        <v>0</v>
      </c>
      <c r="N410" s="69">
        <v>0</v>
      </c>
      <c r="O410" s="69">
        <v>0</v>
      </c>
      <c r="P410" s="75"/>
      <c r="Q410" s="75"/>
      <c r="R410" s="75"/>
      <c r="S410" s="75"/>
      <c r="T410" s="75"/>
      <c r="U410" s="75"/>
      <c r="V410" s="75"/>
      <c r="W410" s="69">
        <v>0</v>
      </c>
    </row>
    <row r="411" spans="1:24" s="80" customFormat="1" ht="18.75" customHeight="1" x14ac:dyDescent="0.2">
      <c r="A411" s="144"/>
      <c r="B411" s="137"/>
      <c r="C411" s="96" t="s">
        <v>11</v>
      </c>
      <c r="D411" s="69">
        <f t="shared" si="163"/>
        <v>0</v>
      </c>
      <c r="E411" s="69">
        <v>0</v>
      </c>
      <c r="F411" s="69">
        <v>0</v>
      </c>
      <c r="G411" s="69">
        <v>0</v>
      </c>
      <c r="H411" s="69">
        <v>0</v>
      </c>
      <c r="I411" s="69">
        <v>0</v>
      </c>
      <c r="J411" s="69">
        <v>0</v>
      </c>
      <c r="K411" s="69">
        <v>0</v>
      </c>
      <c r="L411" s="69">
        <v>0</v>
      </c>
      <c r="M411" s="69">
        <v>0</v>
      </c>
      <c r="N411" s="69">
        <v>0</v>
      </c>
      <c r="O411" s="69">
        <v>0</v>
      </c>
      <c r="P411" s="75"/>
      <c r="Q411" s="75"/>
      <c r="R411" s="75"/>
      <c r="S411" s="75"/>
      <c r="T411" s="75"/>
      <c r="U411" s="75"/>
      <c r="V411" s="75"/>
      <c r="W411" s="69">
        <v>0</v>
      </c>
    </row>
    <row r="412" spans="1:24" s="80" customFormat="1" ht="18.75" customHeight="1" x14ac:dyDescent="0.2">
      <c r="A412" s="144"/>
      <c r="B412" s="137"/>
      <c r="C412" s="96" t="s">
        <v>12</v>
      </c>
      <c r="D412" s="69">
        <f t="shared" si="163"/>
        <v>220.19999999999993</v>
      </c>
      <c r="E412" s="69">
        <v>0</v>
      </c>
      <c r="F412" s="69">
        <v>0</v>
      </c>
      <c r="G412" s="69">
        <v>0</v>
      </c>
      <c r="H412" s="69">
        <v>0</v>
      </c>
      <c r="I412" s="69">
        <v>0</v>
      </c>
      <c r="J412" s="69">
        <v>0</v>
      </c>
      <c r="K412" s="69">
        <v>0</v>
      </c>
      <c r="L412" s="69">
        <v>0</v>
      </c>
      <c r="M412" s="69">
        <f>916.4-59.1-206-431.1</f>
        <v>220.19999999999993</v>
      </c>
      <c r="N412" s="69">
        <v>0</v>
      </c>
      <c r="O412" s="69">
        <v>0</v>
      </c>
      <c r="P412" s="75"/>
      <c r="Q412" s="75"/>
      <c r="R412" s="75"/>
      <c r="S412" s="75"/>
      <c r="T412" s="75"/>
      <c r="U412" s="75"/>
      <c r="V412" s="75"/>
      <c r="W412" s="69">
        <v>0</v>
      </c>
    </row>
    <row r="413" spans="1:24" s="80" customFormat="1" ht="30.75" customHeight="1" x14ac:dyDescent="0.2">
      <c r="A413" s="144"/>
      <c r="B413" s="137"/>
      <c r="C413" s="96" t="s">
        <v>13</v>
      </c>
      <c r="D413" s="69">
        <f t="shared" si="163"/>
        <v>0</v>
      </c>
      <c r="E413" s="69">
        <v>0</v>
      </c>
      <c r="F413" s="69">
        <v>0</v>
      </c>
      <c r="G413" s="69">
        <v>0</v>
      </c>
      <c r="H413" s="69">
        <v>0</v>
      </c>
      <c r="I413" s="69">
        <v>0</v>
      </c>
      <c r="J413" s="69">
        <v>0</v>
      </c>
      <c r="K413" s="69">
        <v>0</v>
      </c>
      <c r="L413" s="69">
        <v>0</v>
      </c>
      <c r="M413" s="69">
        <v>0</v>
      </c>
      <c r="N413" s="69">
        <v>0</v>
      </c>
      <c r="O413" s="69">
        <v>0</v>
      </c>
      <c r="P413" s="75"/>
      <c r="Q413" s="75"/>
      <c r="R413" s="75"/>
      <c r="S413" s="75"/>
      <c r="T413" s="75"/>
      <c r="U413" s="75"/>
      <c r="V413" s="75"/>
      <c r="W413" s="69">
        <v>0</v>
      </c>
    </row>
    <row r="414" spans="1:24" s="80" customFormat="1" ht="18.75" customHeight="1" x14ac:dyDescent="0.25">
      <c r="A414" s="137" t="s">
        <v>457</v>
      </c>
      <c r="B414" s="137" t="s">
        <v>458</v>
      </c>
      <c r="C414" s="101" t="s">
        <v>7</v>
      </c>
      <c r="D414" s="69">
        <f t="shared" si="163"/>
        <v>20000</v>
      </c>
      <c r="E414" s="69">
        <f>E415+E416+E417+E418</f>
        <v>0</v>
      </c>
      <c r="F414" s="69">
        <f t="shared" ref="F414:O414" si="202">F415+F416+F417+F418</f>
        <v>0</v>
      </c>
      <c r="G414" s="69">
        <f t="shared" si="202"/>
        <v>0</v>
      </c>
      <c r="H414" s="69">
        <f t="shared" si="202"/>
        <v>0</v>
      </c>
      <c r="I414" s="69">
        <f t="shared" si="202"/>
        <v>0</v>
      </c>
      <c r="J414" s="69">
        <f t="shared" si="202"/>
        <v>0</v>
      </c>
      <c r="K414" s="69">
        <f t="shared" si="202"/>
        <v>0</v>
      </c>
      <c r="L414" s="69">
        <f t="shared" si="202"/>
        <v>0</v>
      </c>
      <c r="M414" s="69">
        <f t="shared" si="202"/>
        <v>6000</v>
      </c>
      <c r="N414" s="69">
        <f>N421</f>
        <v>14000</v>
      </c>
      <c r="O414" s="69">
        <f t="shared" si="202"/>
        <v>0</v>
      </c>
      <c r="P414" s="75"/>
      <c r="Q414" s="75"/>
      <c r="R414" s="75"/>
      <c r="S414" s="75"/>
      <c r="T414" s="75"/>
      <c r="U414" s="75"/>
      <c r="V414" s="75"/>
      <c r="W414" s="69">
        <f t="shared" ref="W414" si="203">W415+W416+W417+W418</f>
        <v>0</v>
      </c>
      <c r="X414" s="82"/>
    </row>
    <row r="415" spans="1:24" s="80" customFormat="1" ht="18.75" customHeight="1" x14ac:dyDescent="0.2">
      <c r="A415" s="144"/>
      <c r="B415" s="137"/>
      <c r="C415" s="96" t="s">
        <v>10</v>
      </c>
      <c r="D415" s="69">
        <f t="shared" si="163"/>
        <v>0</v>
      </c>
      <c r="E415" s="69">
        <v>0</v>
      </c>
      <c r="F415" s="69">
        <v>0</v>
      </c>
      <c r="G415" s="69">
        <v>0</v>
      </c>
      <c r="H415" s="69">
        <v>0</v>
      </c>
      <c r="I415" s="69">
        <v>0</v>
      </c>
      <c r="J415" s="69">
        <v>0</v>
      </c>
      <c r="K415" s="69">
        <v>0</v>
      </c>
      <c r="L415" s="69">
        <v>0</v>
      </c>
      <c r="M415" s="69">
        <v>0</v>
      </c>
      <c r="N415" s="69">
        <v>0</v>
      </c>
      <c r="O415" s="69">
        <v>0</v>
      </c>
      <c r="P415" s="75"/>
      <c r="Q415" s="75"/>
      <c r="R415" s="75"/>
      <c r="S415" s="75"/>
      <c r="T415" s="75"/>
      <c r="U415" s="75"/>
      <c r="V415" s="75"/>
      <c r="W415" s="69">
        <v>0</v>
      </c>
    </row>
    <row r="416" spans="1:24" s="80" customFormat="1" ht="18.75" customHeight="1" x14ac:dyDescent="0.2">
      <c r="A416" s="144"/>
      <c r="B416" s="137"/>
      <c r="C416" s="96" t="s">
        <v>11</v>
      </c>
      <c r="D416" s="69">
        <f t="shared" si="163"/>
        <v>20000</v>
      </c>
      <c r="E416" s="69">
        <v>0</v>
      </c>
      <c r="F416" s="69">
        <v>0</v>
      </c>
      <c r="G416" s="69">
        <v>0</v>
      </c>
      <c r="H416" s="69">
        <v>0</v>
      </c>
      <c r="I416" s="69">
        <v>0</v>
      </c>
      <c r="J416" s="69">
        <v>0</v>
      </c>
      <c r="K416" s="69">
        <v>0</v>
      </c>
      <c r="L416" s="69">
        <v>0</v>
      </c>
      <c r="M416" s="69">
        <f>M421</f>
        <v>6000</v>
      </c>
      <c r="N416" s="69">
        <f>N421</f>
        <v>14000</v>
      </c>
      <c r="O416" s="69">
        <v>0</v>
      </c>
      <c r="P416" s="75"/>
      <c r="Q416" s="75"/>
      <c r="R416" s="75"/>
      <c r="S416" s="75"/>
      <c r="T416" s="75"/>
      <c r="U416" s="75"/>
      <c r="V416" s="75"/>
      <c r="W416" s="69">
        <v>0</v>
      </c>
    </row>
    <row r="417" spans="1:23" s="80" customFormat="1" ht="18.75" customHeight="1" x14ac:dyDescent="0.2">
      <c r="A417" s="144"/>
      <c r="B417" s="137"/>
      <c r="C417" s="96" t="s">
        <v>12</v>
      </c>
      <c r="D417" s="69">
        <f t="shared" si="163"/>
        <v>0</v>
      </c>
      <c r="E417" s="69">
        <v>0</v>
      </c>
      <c r="F417" s="69">
        <v>0</v>
      </c>
      <c r="G417" s="69">
        <v>0</v>
      </c>
      <c r="H417" s="69">
        <v>0</v>
      </c>
      <c r="I417" s="69">
        <v>0</v>
      </c>
      <c r="J417" s="69">
        <v>0</v>
      </c>
      <c r="K417" s="69">
        <v>0</v>
      </c>
      <c r="L417" s="69">
        <v>0</v>
      </c>
      <c r="M417" s="69">
        <f>M422</f>
        <v>0</v>
      </c>
      <c r="N417" s="69">
        <f>N422</f>
        <v>0</v>
      </c>
      <c r="O417" s="69">
        <v>0</v>
      </c>
      <c r="P417" s="75"/>
      <c r="Q417" s="75"/>
      <c r="R417" s="75"/>
      <c r="S417" s="75"/>
      <c r="T417" s="75"/>
      <c r="U417" s="75"/>
      <c r="V417" s="75"/>
      <c r="W417" s="69">
        <v>0</v>
      </c>
    </row>
    <row r="418" spans="1:23" s="80" customFormat="1" ht="40.5" customHeight="1" x14ac:dyDescent="0.2">
      <c r="A418" s="144"/>
      <c r="B418" s="137"/>
      <c r="C418" s="96" t="s">
        <v>13</v>
      </c>
      <c r="D418" s="69">
        <f t="shared" si="163"/>
        <v>0</v>
      </c>
      <c r="E418" s="69">
        <v>0</v>
      </c>
      <c r="F418" s="69">
        <v>0</v>
      </c>
      <c r="G418" s="69">
        <v>0</v>
      </c>
      <c r="H418" s="69">
        <v>0</v>
      </c>
      <c r="I418" s="69">
        <v>0</v>
      </c>
      <c r="J418" s="69">
        <v>0</v>
      </c>
      <c r="K418" s="69">
        <v>0</v>
      </c>
      <c r="L418" s="69">
        <v>0</v>
      </c>
      <c r="M418" s="69">
        <v>0</v>
      </c>
      <c r="N418" s="69">
        <v>0</v>
      </c>
      <c r="O418" s="69">
        <v>0</v>
      </c>
      <c r="P418" s="75"/>
      <c r="Q418" s="75"/>
      <c r="R418" s="75"/>
      <c r="S418" s="75"/>
      <c r="T418" s="75"/>
      <c r="U418" s="75"/>
      <c r="V418" s="75"/>
      <c r="W418" s="69">
        <v>0</v>
      </c>
    </row>
    <row r="419" spans="1:23" s="80" customFormat="1" ht="18.75" customHeight="1" x14ac:dyDescent="0.2">
      <c r="A419" s="137" t="s">
        <v>460</v>
      </c>
      <c r="B419" s="137" t="s">
        <v>459</v>
      </c>
      <c r="C419" s="101" t="s">
        <v>7</v>
      </c>
      <c r="D419" s="69">
        <f t="shared" si="163"/>
        <v>20000</v>
      </c>
      <c r="E419" s="69">
        <f>E420+E421+E422+E423</f>
        <v>0</v>
      </c>
      <c r="F419" s="69">
        <f t="shared" ref="F419:O419" si="204">F420+F421+F422+F423</f>
        <v>0</v>
      </c>
      <c r="G419" s="69">
        <f t="shared" si="204"/>
        <v>0</v>
      </c>
      <c r="H419" s="69">
        <f t="shared" si="204"/>
        <v>0</v>
      </c>
      <c r="I419" s="69">
        <f t="shared" si="204"/>
        <v>0</v>
      </c>
      <c r="J419" s="69">
        <f t="shared" si="204"/>
        <v>0</v>
      </c>
      <c r="K419" s="69">
        <f t="shared" si="204"/>
        <v>0</v>
      </c>
      <c r="L419" s="69">
        <f t="shared" si="204"/>
        <v>0</v>
      </c>
      <c r="M419" s="69">
        <f t="shared" si="204"/>
        <v>6000</v>
      </c>
      <c r="N419" s="69">
        <f t="shared" si="204"/>
        <v>14000</v>
      </c>
      <c r="O419" s="69">
        <f t="shared" si="204"/>
        <v>0</v>
      </c>
      <c r="P419" s="75"/>
      <c r="Q419" s="75"/>
      <c r="R419" s="75"/>
      <c r="S419" s="75"/>
      <c r="T419" s="75"/>
      <c r="U419" s="75"/>
      <c r="V419" s="75"/>
      <c r="W419" s="69">
        <f t="shared" ref="W419" si="205">W420+W421+W422+W423</f>
        <v>0</v>
      </c>
    </row>
    <row r="420" spans="1:23" s="80" customFormat="1" ht="18.75" customHeight="1" x14ac:dyDescent="0.2">
      <c r="A420" s="144"/>
      <c r="B420" s="137"/>
      <c r="C420" s="96" t="s">
        <v>10</v>
      </c>
      <c r="D420" s="69">
        <f t="shared" si="163"/>
        <v>0</v>
      </c>
      <c r="E420" s="69">
        <v>0</v>
      </c>
      <c r="F420" s="69">
        <v>0</v>
      </c>
      <c r="G420" s="69">
        <v>0</v>
      </c>
      <c r="H420" s="69">
        <v>0</v>
      </c>
      <c r="I420" s="69">
        <v>0</v>
      </c>
      <c r="J420" s="69">
        <v>0</v>
      </c>
      <c r="K420" s="69">
        <v>0</v>
      </c>
      <c r="L420" s="69">
        <v>0</v>
      </c>
      <c r="M420" s="69">
        <v>0</v>
      </c>
      <c r="N420" s="69">
        <v>0</v>
      </c>
      <c r="O420" s="69">
        <v>0</v>
      </c>
      <c r="P420" s="75"/>
      <c r="Q420" s="75"/>
      <c r="R420" s="75"/>
      <c r="S420" s="75"/>
      <c r="T420" s="75"/>
      <c r="U420" s="75"/>
      <c r="V420" s="75"/>
      <c r="W420" s="69">
        <v>0</v>
      </c>
    </row>
    <row r="421" spans="1:23" s="80" customFormat="1" ht="18.75" customHeight="1" x14ac:dyDescent="0.2">
      <c r="A421" s="144"/>
      <c r="B421" s="137"/>
      <c r="C421" s="96" t="s">
        <v>11</v>
      </c>
      <c r="D421" s="69">
        <f t="shared" si="163"/>
        <v>20000</v>
      </c>
      <c r="E421" s="69">
        <v>0</v>
      </c>
      <c r="F421" s="69">
        <v>0</v>
      </c>
      <c r="G421" s="69">
        <v>0</v>
      </c>
      <c r="H421" s="69">
        <v>0</v>
      </c>
      <c r="I421" s="69">
        <v>0</v>
      </c>
      <c r="J421" s="69">
        <v>0</v>
      </c>
      <c r="K421" s="69">
        <v>0</v>
      </c>
      <c r="L421" s="69">
        <v>0</v>
      </c>
      <c r="M421" s="69">
        <v>6000</v>
      </c>
      <c r="N421" s="69">
        <v>14000</v>
      </c>
      <c r="O421" s="69">
        <v>0</v>
      </c>
      <c r="P421" s="75"/>
      <c r="Q421" s="75"/>
      <c r="R421" s="75"/>
      <c r="S421" s="75"/>
      <c r="T421" s="75"/>
      <c r="U421" s="75"/>
      <c r="V421" s="75"/>
      <c r="W421" s="69">
        <v>0</v>
      </c>
    </row>
    <row r="422" spans="1:23" s="80" customFormat="1" ht="18.75" customHeight="1" x14ac:dyDescent="0.2">
      <c r="A422" s="144"/>
      <c r="B422" s="137"/>
      <c r="C422" s="96" t="s">
        <v>12</v>
      </c>
      <c r="D422" s="69">
        <f t="shared" si="163"/>
        <v>0</v>
      </c>
      <c r="E422" s="69">
        <v>0</v>
      </c>
      <c r="F422" s="69">
        <v>0</v>
      </c>
      <c r="G422" s="69">
        <v>0</v>
      </c>
      <c r="H422" s="69">
        <v>0</v>
      </c>
      <c r="I422" s="69">
        <v>0</v>
      </c>
      <c r="J422" s="69">
        <v>0</v>
      </c>
      <c r="K422" s="69">
        <v>0</v>
      </c>
      <c r="L422" s="69">
        <v>0</v>
      </c>
      <c r="M422" s="69">
        <v>0</v>
      </c>
      <c r="N422" s="69">
        <v>0</v>
      </c>
      <c r="O422" s="69">
        <v>0</v>
      </c>
      <c r="P422" s="75"/>
      <c r="Q422" s="75"/>
      <c r="R422" s="75"/>
      <c r="S422" s="75"/>
      <c r="T422" s="75"/>
      <c r="U422" s="75"/>
      <c r="V422" s="75"/>
      <c r="W422" s="69">
        <v>0</v>
      </c>
    </row>
    <row r="423" spans="1:23" s="80" customFormat="1" ht="30.75" customHeight="1" x14ac:dyDescent="0.2">
      <c r="A423" s="144"/>
      <c r="B423" s="137"/>
      <c r="C423" s="96" t="s">
        <v>13</v>
      </c>
      <c r="D423" s="69">
        <f t="shared" si="163"/>
        <v>0</v>
      </c>
      <c r="E423" s="69">
        <v>0</v>
      </c>
      <c r="F423" s="69">
        <v>0</v>
      </c>
      <c r="G423" s="69">
        <v>0</v>
      </c>
      <c r="H423" s="69">
        <v>0</v>
      </c>
      <c r="I423" s="69">
        <v>0</v>
      </c>
      <c r="J423" s="69">
        <v>0</v>
      </c>
      <c r="K423" s="69">
        <v>0</v>
      </c>
      <c r="L423" s="69">
        <v>0</v>
      </c>
      <c r="M423" s="69">
        <v>0</v>
      </c>
      <c r="N423" s="69">
        <v>0</v>
      </c>
      <c r="O423" s="69">
        <v>0</v>
      </c>
      <c r="P423" s="75"/>
      <c r="Q423" s="75"/>
      <c r="R423" s="75"/>
      <c r="S423" s="75"/>
      <c r="T423" s="75"/>
      <c r="U423" s="75"/>
      <c r="V423" s="75"/>
      <c r="W423" s="69">
        <v>0</v>
      </c>
    </row>
    <row r="424" spans="1:23" ht="21" customHeight="1" x14ac:dyDescent="0.2">
      <c r="A424" s="137" t="s">
        <v>464</v>
      </c>
      <c r="B424" s="138" t="s">
        <v>465</v>
      </c>
      <c r="C424" s="96" t="s">
        <v>7</v>
      </c>
      <c r="D424" s="69">
        <f t="shared" si="163"/>
        <v>1119224.1000000001</v>
      </c>
      <c r="E424" s="69">
        <v>0</v>
      </c>
      <c r="F424" s="69">
        <v>0</v>
      </c>
      <c r="G424" s="69">
        <v>0</v>
      </c>
      <c r="H424" s="69">
        <v>0</v>
      </c>
      <c r="I424" s="69">
        <v>0</v>
      </c>
      <c r="J424" s="69">
        <v>0</v>
      </c>
      <c r="K424" s="69">
        <v>0</v>
      </c>
      <c r="L424" s="69">
        <v>0</v>
      </c>
      <c r="M424" s="69">
        <f>M425+M426+M427+M428</f>
        <v>1119224.1000000001</v>
      </c>
      <c r="N424" s="69">
        <v>0</v>
      </c>
      <c r="O424" s="69">
        <v>0</v>
      </c>
      <c r="W424" s="69">
        <v>0</v>
      </c>
    </row>
    <row r="425" spans="1:23" ht="21" customHeight="1" x14ac:dyDescent="0.2">
      <c r="A425" s="144"/>
      <c r="B425" s="139"/>
      <c r="C425" s="96" t="s">
        <v>10</v>
      </c>
      <c r="D425" s="69">
        <f t="shared" si="163"/>
        <v>1108031.8</v>
      </c>
      <c r="E425" s="69">
        <v>0</v>
      </c>
      <c r="F425" s="69">
        <v>0</v>
      </c>
      <c r="G425" s="69">
        <v>0</v>
      </c>
      <c r="H425" s="69">
        <v>0</v>
      </c>
      <c r="I425" s="69">
        <v>0</v>
      </c>
      <c r="J425" s="69">
        <v>0</v>
      </c>
      <c r="K425" s="69">
        <v>0</v>
      </c>
      <c r="L425" s="69">
        <v>0</v>
      </c>
      <c r="M425" s="69">
        <f>M430+M435</f>
        <v>1108031.8</v>
      </c>
      <c r="N425" s="69">
        <v>0</v>
      </c>
      <c r="O425" s="69">
        <v>0</v>
      </c>
      <c r="W425" s="69">
        <v>0</v>
      </c>
    </row>
    <row r="426" spans="1:23" ht="21" customHeight="1" x14ac:dyDescent="0.2">
      <c r="A426" s="144"/>
      <c r="B426" s="139"/>
      <c r="C426" s="96" t="s">
        <v>11</v>
      </c>
      <c r="D426" s="69">
        <f t="shared" si="163"/>
        <v>0</v>
      </c>
      <c r="E426" s="69">
        <v>0</v>
      </c>
      <c r="F426" s="69">
        <v>0</v>
      </c>
      <c r="G426" s="69">
        <v>0</v>
      </c>
      <c r="H426" s="69">
        <v>0</v>
      </c>
      <c r="I426" s="69">
        <v>0</v>
      </c>
      <c r="J426" s="69">
        <v>0</v>
      </c>
      <c r="K426" s="69">
        <v>0</v>
      </c>
      <c r="L426" s="69">
        <v>0</v>
      </c>
      <c r="M426" s="69">
        <f>M431+M436</f>
        <v>0</v>
      </c>
      <c r="N426" s="69">
        <v>0</v>
      </c>
      <c r="O426" s="69">
        <v>0</v>
      </c>
      <c r="W426" s="69">
        <v>0</v>
      </c>
    </row>
    <row r="427" spans="1:23" ht="21" customHeight="1" x14ac:dyDescent="0.2">
      <c r="A427" s="144"/>
      <c r="B427" s="139"/>
      <c r="C427" s="96" t="s">
        <v>12</v>
      </c>
      <c r="D427" s="69">
        <f t="shared" si="163"/>
        <v>11192.3</v>
      </c>
      <c r="E427" s="69">
        <v>0</v>
      </c>
      <c r="F427" s="69">
        <v>0</v>
      </c>
      <c r="G427" s="69">
        <v>0</v>
      </c>
      <c r="H427" s="69">
        <v>0</v>
      </c>
      <c r="I427" s="69">
        <v>0</v>
      </c>
      <c r="J427" s="69">
        <v>0</v>
      </c>
      <c r="K427" s="69">
        <v>0</v>
      </c>
      <c r="L427" s="69">
        <v>0</v>
      </c>
      <c r="M427" s="69">
        <f>M432+M437</f>
        <v>11192.3</v>
      </c>
      <c r="N427" s="69">
        <v>0</v>
      </c>
      <c r="O427" s="69">
        <v>0</v>
      </c>
      <c r="W427" s="69">
        <v>0</v>
      </c>
    </row>
    <row r="428" spans="1:23" ht="36" customHeight="1" x14ac:dyDescent="0.2">
      <c r="A428" s="144"/>
      <c r="B428" s="140"/>
      <c r="C428" s="96" t="s">
        <v>13</v>
      </c>
      <c r="D428" s="69">
        <f t="shared" si="163"/>
        <v>0</v>
      </c>
      <c r="E428" s="69">
        <v>0</v>
      </c>
      <c r="F428" s="69">
        <v>0</v>
      </c>
      <c r="G428" s="69">
        <v>0</v>
      </c>
      <c r="H428" s="69">
        <v>0</v>
      </c>
      <c r="I428" s="69">
        <v>0</v>
      </c>
      <c r="J428" s="69">
        <v>0</v>
      </c>
      <c r="K428" s="69">
        <v>0</v>
      </c>
      <c r="L428" s="69">
        <v>0</v>
      </c>
      <c r="M428" s="69">
        <f>M433+M438</f>
        <v>0</v>
      </c>
      <c r="N428" s="69">
        <v>0</v>
      </c>
      <c r="O428" s="69">
        <v>0</v>
      </c>
      <c r="W428" s="69">
        <v>0</v>
      </c>
    </row>
    <row r="429" spans="1:23" ht="21" customHeight="1" x14ac:dyDescent="0.2">
      <c r="A429" s="137" t="s">
        <v>474</v>
      </c>
      <c r="B429" s="137" t="s">
        <v>466</v>
      </c>
      <c r="C429" s="96" t="s">
        <v>7</v>
      </c>
      <c r="D429" s="69">
        <f t="shared" si="163"/>
        <v>99224.1</v>
      </c>
      <c r="E429" s="69">
        <v>0</v>
      </c>
      <c r="F429" s="69">
        <v>0</v>
      </c>
      <c r="G429" s="69">
        <v>0</v>
      </c>
      <c r="H429" s="69">
        <v>0</v>
      </c>
      <c r="I429" s="69">
        <v>0</v>
      </c>
      <c r="J429" s="69">
        <v>0</v>
      </c>
      <c r="K429" s="69">
        <v>0</v>
      </c>
      <c r="L429" s="69">
        <v>0</v>
      </c>
      <c r="M429" s="69">
        <f>M430+M431+M432+M433</f>
        <v>99224.1</v>
      </c>
      <c r="N429" s="69">
        <v>0</v>
      </c>
      <c r="O429" s="69">
        <v>0</v>
      </c>
      <c r="W429" s="69">
        <v>0</v>
      </c>
    </row>
    <row r="430" spans="1:23" ht="21" customHeight="1" x14ac:dyDescent="0.2">
      <c r="A430" s="144"/>
      <c r="B430" s="137"/>
      <c r="C430" s="96" t="s">
        <v>10</v>
      </c>
      <c r="D430" s="69">
        <f t="shared" si="163"/>
        <v>98231.8</v>
      </c>
      <c r="E430" s="69">
        <v>0</v>
      </c>
      <c r="F430" s="69">
        <v>0</v>
      </c>
      <c r="G430" s="69">
        <v>0</v>
      </c>
      <c r="H430" s="69">
        <v>0</v>
      </c>
      <c r="I430" s="69">
        <v>0</v>
      </c>
      <c r="J430" s="69">
        <v>0</v>
      </c>
      <c r="K430" s="69">
        <v>0</v>
      </c>
      <c r="L430" s="69">
        <v>0</v>
      </c>
      <c r="M430" s="69">
        <v>98231.8</v>
      </c>
      <c r="N430" s="69">
        <v>0</v>
      </c>
      <c r="O430" s="69">
        <v>0</v>
      </c>
      <c r="W430" s="69">
        <v>0</v>
      </c>
    </row>
    <row r="431" spans="1:23" ht="21" customHeight="1" x14ac:dyDescent="0.2">
      <c r="A431" s="144"/>
      <c r="B431" s="137"/>
      <c r="C431" s="96" t="s">
        <v>11</v>
      </c>
      <c r="D431" s="69">
        <f t="shared" ref="D431:D445" si="206">E431+F431+G431+H431+I431+J431+K431+L431+M431+N431+O431+W431</f>
        <v>0</v>
      </c>
      <c r="E431" s="69">
        <v>0</v>
      </c>
      <c r="F431" s="69">
        <v>0</v>
      </c>
      <c r="G431" s="69">
        <v>0</v>
      </c>
      <c r="H431" s="69">
        <v>0</v>
      </c>
      <c r="I431" s="69">
        <v>0</v>
      </c>
      <c r="J431" s="69">
        <v>0</v>
      </c>
      <c r="K431" s="69">
        <v>0</v>
      </c>
      <c r="L431" s="69">
        <v>0</v>
      </c>
      <c r="M431" s="69">
        <v>0</v>
      </c>
      <c r="N431" s="69">
        <v>0</v>
      </c>
      <c r="O431" s="69">
        <v>0</v>
      </c>
      <c r="W431" s="69">
        <v>0</v>
      </c>
    </row>
    <row r="432" spans="1:23" ht="21" customHeight="1" x14ac:dyDescent="0.2">
      <c r="A432" s="144"/>
      <c r="B432" s="137"/>
      <c r="C432" s="96" t="s">
        <v>12</v>
      </c>
      <c r="D432" s="69">
        <f t="shared" si="206"/>
        <v>992.3</v>
      </c>
      <c r="E432" s="69">
        <v>0</v>
      </c>
      <c r="F432" s="69">
        <v>0</v>
      </c>
      <c r="G432" s="69">
        <v>0</v>
      </c>
      <c r="H432" s="69">
        <v>0</v>
      </c>
      <c r="I432" s="69">
        <v>0</v>
      </c>
      <c r="J432" s="69">
        <v>0</v>
      </c>
      <c r="K432" s="69">
        <v>0</v>
      </c>
      <c r="L432" s="69">
        <v>0</v>
      </c>
      <c r="M432" s="69">
        <f>992.3</f>
        <v>992.3</v>
      </c>
      <c r="N432" s="69">
        <v>0</v>
      </c>
      <c r="O432" s="69">
        <v>0</v>
      </c>
      <c r="W432" s="69">
        <v>0</v>
      </c>
    </row>
    <row r="433" spans="1:23" ht="21" customHeight="1" x14ac:dyDescent="0.2">
      <c r="A433" s="144"/>
      <c r="B433" s="137"/>
      <c r="C433" s="96" t="s">
        <v>13</v>
      </c>
      <c r="D433" s="69">
        <f t="shared" si="206"/>
        <v>0</v>
      </c>
      <c r="E433" s="69">
        <v>0</v>
      </c>
      <c r="F433" s="69">
        <v>0</v>
      </c>
      <c r="G433" s="69">
        <v>0</v>
      </c>
      <c r="H433" s="69">
        <v>0</v>
      </c>
      <c r="I433" s="69">
        <v>0</v>
      </c>
      <c r="J433" s="69">
        <v>0</v>
      </c>
      <c r="K433" s="69">
        <v>0</v>
      </c>
      <c r="L433" s="69">
        <v>0</v>
      </c>
      <c r="M433" s="69">
        <v>0</v>
      </c>
      <c r="N433" s="69">
        <v>0</v>
      </c>
      <c r="O433" s="69">
        <v>0</v>
      </c>
      <c r="W433" s="69">
        <v>0</v>
      </c>
    </row>
    <row r="434" spans="1:23" ht="21" customHeight="1" x14ac:dyDescent="0.2">
      <c r="A434" s="137" t="s">
        <v>475</v>
      </c>
      <c r="B434" s="137" t="s">
        <v>467</v>
      </c>
      <c r="C434" s="96" t="s">
        <v>7</v>
      </c>
      <c r="D434" s="69">
        <f t="shared" si="206"/>
        <v>1020000</v>
      </c>
      <c r="E434" s="69">
        <v>0</v>
      </c>
      <c r="F434" s="69">
        <v>0</v>
      </c>
      <c r="G434" s="69">
        <v>0</v>
      </c>
      <c r="H434" s="69">
        <v>0</v>
      </c>
      <c r="I434" s="69">
        <v>0</v>
      </c>
      <c r="J434" s="69">
        <v>0</v>
      </c>
      <c r="K434" s="69">
        <v>0</v>
      </c>
      <c r="L434" s="69">
        <v>0</v>
      </c>
      <c r="M434" s="69">
        <f>M435+M436+M437+M438</f>
        <v>1020000</v>
      </c>
      <c r="N434" s="69">
        <v>0</v>
      </c>
      <c r="O434" s="69">
        <v>0</v>
      </c>
      <c r="W434" s="69">
        <v>0</v>
      </c>
    </row>
    <row r="435" spans="1:23" ht="21" customHeight="1" x14ac:dyDescent="0.2">
      <c r="A435" s="144"/>
      <c r="B435" s="137"/>
      <c r="C435" s="96" t="s">
        <v>10</v>
      </c>
      <c r="D435" s="69">
        <f t="shared" si="206"/>
        <v>1009800</v>
      </c>
      <c r="E435" s="69">
        <v>0</v>
      </c>
      <c r="F435" s="69">
        <v>0</v>
      </c>
      <c r="G435" s="69">
        <v>0</v>
      </c>
      <c r="H435" s="69">
        <v>0</v>
      </c>
      <c r="I435" s="69">
        <v>0</v>
      </c>
      <c r="J435" s="69">
        <v>0</v>
      </c>
      <c r="K435" s="69">
        <v>0</v>
      </c>
      <c r="L435" s="69">
        <v>0</v>
      </c>
      <c r="M435" s="69">
        <v>1009800</v>
      </c>
      <c r="N435" s="69">
        <v>0</v>
      </c>
      <c r="O435" s="69">
        <v>0</v>
      </c>
      <c r="W435" s="69">
        <v>0</v>
      </c>
    </row>
    <row r="436" spans="1:23" ht="21" customHeight="1" x14ac:dyDescent="0.2">
      <c r="A436" s="144"/>
      <c r="B436" s="137"/>
      <c r="C436" s="96" t="s">
        <v>11</v>
      </c>
      <c r="D436" s="69">
        <f t="shared" si="206"/>
        <v>0</v>
      </c>
      <c r="E436" s="69">
        <v>0</v>
      </c>
      <c r="F436" s="69">
        <v>0</v>
      </c>
      <c r="G436" s="69">
        <v>0</v>
      </c>
      <c r="H436" s="69">
        <v>0</v>
      </c>
      <c r="I436" s="69">
        <v>0</v>
      </c>
      <c r="J436" s="69">
        <v>0</v>
      </c>
      <c r="K436" s="69">
        <v>0</v>
      </c>
      <c r="L436" s="69">
        <v>0</v>
      </c>
      <c r="M436" s="69">
        <v>0</v>
      </c>
      <c r="N436" s="69">
        <v>0</v>
      </c>
      <c r="O436" s="69">
        <v>0</v>
      </c>
      <c r="W436" s="69">
        <v>0</v>
      </c>
    </row>
    <row r="437" spans="1:23" ht="21" customHeight="1" x14ac:dyDescent="0.2">
      <c r="A437" s="144"/>
      <c r="B437" s="137"/>
      <c r="C437" s="96" t="s">
        <v>12</v>
      </c>
      <c r="D437" s="69">
        <f t="shared" si="206"/>
        <v>10200</v>
      </c>
      <c r="E437" s="69">
        <v>0</v>
      </c>
      <c r="F437" s="69">
        <v>0</v>
      </c>
      <c r="G437" s="69">
        <v>0</v>
      </c>
      <c r="H437" s="69">
        <v>0</v>
      </c>
      <c r="I437" s="69">
        <v>0</v>
      </c>
      <c r="J437" s="69">
        <v>0</v>
      </c>
      <c r="K437" s="69">
        <v>0</v>
      </c>
      <c r="L437" s="69">
        <v>0</v>
      </c>
      <c r="M437" s="69">
        <v>10200</v>
      </c>
      <c r="N437" s="69">
        <v>0</v>
      </c>
      <c r="O437" s="69">
        <v>0</v>
      </c>
      <c r="W437" s="69">
        <v>0</v>
      </c>
    </row>
    <row r="438" spans="1:23" ht="29.25" customHeight="1" x14ac:dyDescent="0.2">
      <c r="A438" s="144"/>
      <c r="B438" s="137"/>
      <c r="C438" s="96" t="s">
        <v>13</v>
      </c>
      <c r="D438" s="69">
        <f t="shared" si="206"/>
        <v>0</v>
      </c>
      <c r="E438" s="69">
        <v>0</v>
      </c>
      <c r="F438" s="69">
        <v>0</v>
      </c>
      <c r="G438" s="69">
        <v>0</v>
      </c>
      <c r="H438" s="69">
        <v>0</v>
      </c>
      <c r="I438" s="69">
        <v>0</v>
      </c>
      <c r="J438" s="69">
        <v>0</v>
      </c>
      <c r="K438" s="69">
        <v>0</v>
      </c>
      <c r="L438" s="69">
        <v>0</v>
      </c>
      <c r="M438" s="69">
        <v>0</v>
      </c>
      <c r="N438" s="69">
        <v>0</v>
      </c>
      <c r="O438" s="69">
        <v>0</v>
      </c>
      <c r="W438" s="69">
        <v>0</v>
      </c>
    </row>
    <row r="439" spans="1:23" ht="26.25" customHeight="1" x14ac:dyDescent="0.2">
      <c r="A439" s="137" t="s">
        <v>472</v>
      </c>
      <c r="B439" s="138" t="s">
        <v>473</v>
      </c>
      <c r="C439" s="96" t="s">
        <v>7</v>
      </c>
      <c r="D439" s="69">
        <f t="shared" si="206"/>
        <v>0.03</v>
      </c>
      <c r="E439" s="69">
        <v>0</v>
      </c>
      <c r="F439" s="69">
        <v>0</v>
      </c>
      <c r="G439" s="69">
        <v>0</v>
      </c>
      <c r="H439" s="69">
        <v>0</v>
      </c>
      <c r="I439" s="69">
        <v>0</v>
      </c>
      <c r="J439" s="69">
        <v>0</v>
      </c>
      <c r="K439" s="69">
        <v>0</v>
      </c>
      <c r="L439" s="69">
        <v>0</v>
      </c>
      <c r="M439" s="91">
        <f>M440+M441+M442+M443</f>
        <v>0.03</v>
      </c>
      <c r="N439" s="69">
        <v>0</v>
      </c>
      <c r="O439" s="69">
        <v>0</v>
      </c>
      <c r="W439" s="69">
        <v>0</v>
      </c>
    </row>
    <row r="440" spans="1:23" ht="26.25" customHeight="1" x14ac:dyDescent="0.2">
      <c r="A440" s="144"/>
      <c r="B440" s="139"/>
      <c r="C440" s="96" t="s">
        <v>10</v>
      </c>
      <c r="D440" s="69">
        <f t="shared" si="206"/>
        <v>0</v>
      </c>
      <c r="E440" s="69">
        <v>0</v>
      </c>
      <c r="F440" s="69">
        <v>0</v>
      </c>
      <c r="G440" s="69">
        <v>0</v>
      </c>
      <c r="H440" s="69">
        <v>0</v>
      </c>
      <c r="I440" s="69">
        <v>0</v>
      </c>
      <c r="J440" s="69">
        <v>0</v>
      </c>
      <c r="K440" s="69">
        <v>0</v>
      </c>
      <c r="L440" s="69">
        <v>0</v>
      </c>
      <c r="M440" s="69">
        <v>0</v>
      </c>
      <c r="N440" s="69">
        <v>0</v>
      </c>
      <c r="O440" s="69">
        <v>0</v>
      </c>
      <c r="W440" s="69">
        <v>0</v>
      </c>
    </row>
    <row r="441" spans="1:23" ht="26.25" customHeight="1" x14ac:dyDescent="0.2">
      <c r="A441" s="144"/>
      <c r="B441" s="139"/>
      <c r="C441" s="96" t="s">
        <v>11</v>
      </c>
      <c r="D441" s="69">
        <f t="shared" si="206"/>
        <v>0.03</v>
      </c>
      <c r="E441" s="69">
        <v>0</v>
      </c>
      <c r="F441" s="69">
        <v>0</v>
      </c>
      <c r="G441" s="69">
        <v>0</v>
      </c>
      <c r="H441" s="69">
        <v>0</v>
      </c>
      <c r="I441" s="69">
        <v>0</v>
      </c>
      <c r="J441" s="69">
        <v>0</v>
      </c>
      <c r="K441" s="69">
        <v>0</v>
      </c>
      <c r="L441" s="69">
        <v>0</v>
      </c>
      <c r="M441" s="91">
        <v>0.03</v>
      </c>
      <c r="N441" s="69">
        <v>0</v>
      </c>
      <c r="O441" s="69">
        <v>0</v>
      </c>
      <c r="W441" s="69">
        <v>0</v>
      </c>
    </row>
    <row r="442" spans="1:23" ht="26.25" customHeight="1" x14ac:dyDescent="0.2">
      <c r="A442" s="144"/>
      <c r="B442" s="139"/>
      <c r="C442" s="96" t="s">
        <v>12</v>
      </c>
      <c r="D442" s="69">
        <f t="shared" si="206"/>
        <v>0</v>
      </c>
      <c r="E442" s="69">
        <v>0</v>
      </c>
      <c r="F442" s="69">
        <v>0</v>
      </c>
      <c r="G442" s="69">
        <v>0</v>
      </c>
      <c r="H442" s="69">
        <v>0</v>
      </c>
      <c r="I442" s="69">
        <v>0</v>
      </c>
      <c r="J442" s="69">
        <v>0</v>
      </c>
      <c r="K442" s="69">
        <v>0</v>
      </c>
      <c r="L442" s="69">
        <v>0</v>
      </c>
      <c r="M442" s="69">
        <v>0</v>
      </c>
      <c r="N442" s="69">
        <v>0</v>
      </c>
      <c r="O442" s="69">
        <v>0</v>
      </c>
      <c r="W442" s="69">
        <v>0</v>
      </c>
    </row>
    <row r="443" spans="1:23" ht="34.5" customHeight="1" x14ac:dyDescent="0.2">
      <c r="A443" s="144"/>
      <c r="B443" s="140"/>
      <c r="C443" s="96" t="s">
        <v>13</v>
      </c>
      <c r="D443" s="69">
        <f t="shared" si="206"/>
        <v>0</v>
      </c>
      <c r="E443" s="69">
        <v>0</v>
      </c>
      <c r="F443" s="69">
        <v>0</v>
      </c>
      <c r="G443" s="69">
        <v>0</v>
      </c>
      <c r="H443" s="69">
        <v>0</v>
      </c>
      <c r="I443" s="69">
        <v>0</v>
      </c>
      <c r="J443" s="69">
        <v>0</v>
      </c>
      <c r="K443" s="69">
        <v>0</v>
      </c>
      <c r="L443" s="69">
        <v>0</v>
      </c>
      <c r="M443" s="69">
        <f>M450+M455</f>
        <v>0</v>
      </c>
      <c r="N443" s="69">
        <v>0</v>
      </c>
      <c r="O443" s="69">
        <v>0</v>
      </c>
      <c r="W443" s="69">
        <v>0</v>
      </c>
    </row>
    <row r="444" spans="1:23" ht="15.75" x14ac:dyDescent="0.2">
      <c r="A444" s="137" t="s">
        <v>476</v>
      </c>
      <c r="B444" s="137" t="s">
        <v>466</v>
      </c>
      <c r="C444" s="96" t="s">
        <v>7</v>
      </c>
      <c r="D444" s="69">
        <f t="shared" si="206"/>
        <v>0.03</v>
      </c>
      <c r="E444" s="69">
        <v>0</v>
      </c>
      <c r="F444" s="69">
        <v>0</v>
      </c>
      <c r="G444" s="69">
        <v>0</v>
      </c>
      <c r="H444" s="69">
        <v>0</v>
      </c>
      <c r="I444" s="69">
        <v>0</v>
      </c>
      <c r="J444" s="69">
        <v>0</v>
      </c>
      <c r="K444" s="69">
        <v>0</v>
      </c>
      <c r="L444" s="69">
        <v>0</v>
      </c>
      <c r="M444" s="69">
        <f>M445+M446+M447+M448</f>
        <v>0.03</v>
      </c>
      <c r="N444" s="69">
        <v>0</v>
      </c>
      <c r="O444" s="69">
        <v>0</v>
      </c>
      <c r="W444" s="69">
        <v>0</v>
      </c>
    </row>
    <row r="445" spans="1:23" ht="16.5" customHeight="1" x14ac:dyDescent="0.2">
      <c r="A445" s="144"/>
      <c r="B445" s="137"/>
      <c r="C445" s="96" t="s">
        <v>10</v>
      </c>
      <c r="D445" s="69">
        <f t="shared" si="206"/>
        <v>0</v>
      </c>
      <c r="E445" s="69">
        <v>0</v>
      </c>
      <c r="F445" s="69">
        <v>0</v>
      </c>
      <c r="G445" s="69">
        <v>0</v>
      </c>
      <c r="H445" s="69">
        <v>0</v>
      </c>
      <c r="I445" s="69">
        <v>0</v>
      </c>
      <c r="J445" s="69">
        <v>0</v>
      </c>
      <c r="K445" s="69">
        <v>0</v>
      </c>
      <c r="L445" s="69">
        <v>0</v>
      </c>
      <c r="M445" s="69">
        <v>0</v>
      </c>
      <c r="N445" s="69">
        <v>0</v>
      </c>
      <c r="O445" s="69">
        <v>0</v>
      </c>
      <c r="W445" s="69">
        <v>0</v>
      </c>
    </row>
    <row r="446" spans="1:23" ht="18" customHeight="1" x14ac:dyDescent="0.2">
      <c r="A446" s="144"/>
      <c r="B446" s="137"/>
      <c r="C446" s="96" t="s">
        <v>11</v>
      </c>
      <c r="D446" s="69">
        <f t="shared" ref="D446:D448" si="207">E446+F446+G446+H446+I446+J446+K446+L446+M446+N446+O446+W446</f>
        <v>0</v>
      </c>
      <c r="E446" s="69">
        <v>0</v>
      </c>
      <c r="F446" s="69">
        <v>0</v>
      </c>
      <c r="G446" s="69">
        <v>0</v>
      </c>
      <c r="H446" s="69">
        <v>0</v>
      </c>
      <c r="I446" s="69">
        <v>0</v>
      </c>
      <c r="J446" s="69">
        <v>0</v>
      </c>
      <c r="K446" s="69">
        <v>0</v>
      </c>
      <c r="L446" s="69">
        <v>0</v>
      </c>
      <c r="M446" s="69">
        <v>0</v>
      </c>
      <c r="N446" s="69">
        <v>0</v>
      </c>
      <c r="O446" s="69">
        <v>0</v>
      </c>
      <c r="W446" s="69">
        <v>0</v>
      </c>
    </row>
    <row r="447" spans="1:23" ht="18" customHeight="1" x14ac:dyDescent="0.2">
      <c r="A447" s="144"/>
      <c r="B447" s="137"/>
      <c r="C447" s="96" t="s">
        <v>12</v>
      </c>
      <c r="D447" s="91">
        <f t="shared" si="207"/>
        <v>0.03</v>
      </c>
      <c r="E447" s="69">
        <v>0</v>
      </c>
      <c r="F447" s="69">
        <v>0</v>
      </c>
      <c r="G447" s="69">
        <v>0</v>
      </c>
      <c r="H447" s="69">
        <v>0</v>
      </c>
      <c r="I447" s="69">
        <v>0</v>
      </c>
      <c r="J447" s="69">
        <v>0</v>
      </c>
      <c r="K447" s="69">
        <v>0</v>
      </c>
      <c r="L447" s="69">
        <v>0</v>
      </c>
      <c r="M447" s="91">
        <v>0.03</v>
      </c>
      <c r="N447" s="69">
        <v>0</v>
      </c>
      <c r="O447" s="69">
        <v>0</v>
      </c>
      <c r="W447" s="69">
        <v>0</v>
      </c>
    </row>
    <row r="448" spans="1:23" ht="33" customHeight="1" x14ac:dyDescent="0.2">
      <c r="A448" s="144"/>
      <c r="B448" s="137"/>
      <c r="C448" s="96" t="s">
        <v>13</v>
      </c>
      <c r="D448" s="69">
        <f t="shared" si="207"/>
        <v>0</v>
      </c>
      <c r="E448" s="69">
        <v>0</v>
      </c>
      <c r="F448" s="69">
        <v>0</v>
      </c>
      <c r="G448" s="69">
        <v>0</v>
      </c>
      <c r="H448" s="69">
        <v>0</v>
      </c>
      <c r="I448" s="69">
        <v>0</v>
      </c>
      <c r="J448" s="69">
        <v>0</v>
      </c>
      <c r="K448" s="69">
        <v>0</v>
      </c>
      <c r="L448" s="69">
        <v>0</v>
      </c>
      <c r="M448" s="69">
        <v>0</v>
      </c>
      <c r="N448" s="69">
        <v>0</v>
      </c>
      <c r="O448" s="69">
        <v>0</v>
      </c>
      <c r="W448" s="69">
        <v>0</v>
      </c>
    </row>
    <row r="449" spans="1:25" ht="15.75" x14ac:dyDescent="0.2">
      <c r="A449" s="137" t="s">
        <v>145</v>
      </c>
      <c r="B449" s="149" t="s">
        <v>445</v>
      </c>
      <c r="C449" s="101" t="s">
        <v>7</v>
      </c>
      <c r="D449" s="69">
        <f>D450+D451+D452+D453</f>
        <v>253028.90000000002</v>
      </c>
      <c r="E449" s="69">
        <f>E450+E451+E452+E453</f>
        <v>24704.6</v>
      </c>
      <c r="F449" s="69">
        <f t="shared" ref="F449:O449" si="208">F450+F451+F452+F453</f>
        <v>23418.400000000001</v>
      </c>
      <c r="G449" s="69">
        <f t="shared" si="208"/>
        <v>28089.699999999997</v>
      </c>
      <c r="H449" s="69">
        <f t="shared" si="208"/>
        <v>23411.7</v>
      </c>
      <c r="I449" s="69">
        <f t="shared" si="208"/>
        <v>24700.5</v>
      </c>
      <c r="J449" s="69">
        <f t="shared" si="208"/>
        <v>23045.699999999997</v>
      </c>
      <c r="K449" s="69">
        <f t="shared" si="208"/>
        <v>23013.5</v>
      </c>
      <c r="L449" s="69">
        <f t="shared" si="208"/>
        <v>17844</v>
      </c>
      <c r="M449" s="69">
        <f t="shared" si="208"/>
        <v>21847.399999999998</v>
      </c>
      <c r="N449" s="69">
        <f t="shared" si="208"/>
        <v>12067.4</v>
      </c>
      <c r="O449" s="69">
        <f t="shared" si="208"/>
        <v>11565.4</v>
      </c>
      <c r="W449" s="69">
        <f t="shared" ref="W449" si="209">W450+W451+W452+W453</f>
        <v>19320.599999999999</v>
      </c>
    </row>
    <row r="450" spans="1:25" ht="15.75" x14ac:dyDescent="0.2">
      <c r="A450" s="137"/>
      <c r="B450" s="149"/>
      <c r="C450" s="101" t="s">
        <v>10</v>
      </c>
      <c r="D450" s="69">
        <f>E450+F450+G450+H450+I450+J450+K450+L450+M450+N450+O450+W450</f>
        <v>0</v>
      </c>
      <c r="E450" s="69">
        <f>E455+E465+E475</f>
        <v>0</v>
      </c>
      <c r="F450" s="69">
        <f t="shared" ref="F450:O450" si="210">F455+F465+F475</f>
        <v>0</v>
      </c>
      <c r="G450" s="69">
        <f t="shared" si="210"/>
        <v>0</v>
      </c>
      <c r="H450" s="69">
        <f t="shared" si="210"/>
        <v>0</v>
      </c>
      <c r="I450" s="69">
        <f t="shared" si="210"/>
        <v>0</v>
      </c>
      <c r="J450" s="69">
        <f t="shared" si="210"/>
        <v>0</v>
      </c>
      <c r="K450" s="69">
        <f t="shared" si="210"/>
        <v>0</v>
      </c>
      <c r="L450" s="69">
        <f t="shared" si="210"/>
        <v>0</v>
      </c>
      <c r="M450" s="69">
        <f t="shared" si="210"/>
        <v>0</v>
      </c>
      <c r="N450" s="69">
        <f t="shared" si="210"/>
        <v>0</v>
      </c>
      <c r="O450" s="69">
        <f t="shared" si="210"/>
        <v>0</v>
      </c>
      <c r="P450" s="60"/>
      <c r="Q450" s="60"/>
      <c r="W450" s="69">
        <f t="shared" ref="W450" si="211">W455+W465+W475</f>
        <v>0</v>
      </c>
    </row>
    <row r="451" spans="1:25" ht="15.75" x14ac:dyDescent="0.2">
      <c r="A451" s="137"/>
      <c r="B451" s="149"/>
      <c r="C451" s="101" t="s">
        <v>11</v>
      </c>
      <c r="D451" s="69">
        <f t="shared" ref="D451:D453" si="212">E451+F451+G451+H451+I451+J451+K451+L451+M451+N451+O451+W451</f>
        <v>30898.300000000003</v>
      </c>
      <c r="E451" s="69">
        <f>E456+E461+E466+E471+E476</f>
        <v>0</v>
      </c>
      <c r="F451" s="69">
        <f t="shared" ref="F451:O451" si="213">F456+F461+F466+F471+F476</f>
        <v>0</v>
      </c>
      <c r="G451" s="69">
        <f t="shared" si="213"/>
        <v>0</v>
      </c>
      <c r="H451" s="69">
        <f t="shared" si="213"/>
        <v>0</v>
      </c>
      <c r="I451" s="69">
        <f t="shared" si="213"/>
        <v>16106.5</v>
      </c>
      <c r="J451" s="69">
        <f>J456+J461+J466+J471+J476</f>
        <v>7501.9</v>
      </c>
      <c r="K451" s="69">
        <f t="shared" si="213"/>
        <v>0</v>
      </c>
      <c r="L451" s="69">
        <f t="shared" si="213"/>
        <v>0</v>
      </c>
      <c r="M451" s="69">
        <f t="shared" si="213"/>
        <v>0</v>
      </c>
      <c r="N451" s="69">
        <f t="shared" si="213"/>
        <v>0</v>
      </c>
      <c r="O451" s="69">
        <f t="shared" si="213"/>
        <v>0</v>
      </c>
      <c r="W451" s="69">
        <f>W456+W461+W466+W471+W476+W481+W486+W496</f>
        <v>7289.9</v>
      </c>
    </row>
    <row r="452" spans="1:25" ht="15.75" x14ac:dyDescent="0.2">
      <c r="A452" s="137"/>
      <c r="B452" s="149"/>
      <c r="C452" s="101" t="s">
        <v>12</v>
      </c>
      <c r="D452" s="69">
        <f t="shared" si="212"/>
        <v>222130.6</v>
      </c>
      <c r="E452" s="69">
        <f>E457+E467+E477+E482+E462+E472</f>
        <v>24704.6</v>
      </c>
      <c r="F452" s="69">
        <f t="shared" ref="F452:I452" si="214">F457+F467+F477+F482+F462+F472</f>
        <v>23418.400000000001</v>
      </c>
      <c r="G452" s="69">
        <f t="shared" si="214"/>
        <v>28089.699999999997</v>
      </c>
      <c r="H452" s="69">
        <f t="shared" si="214"/>
        <v>23411.7</v>
      </c>
      <c r="I452" s="69">
        <f t="shared" si="214"/>
        <v>8594</v>
      </c>
      <c r="J452" s="69">
        <f>J457+J467+J477+J482+J462+J472</f>
        <v>15543.8</v>
      </c>
      <c r="K452" s="69">
        <f>K457+K467+K477+K482+K462+K472+K487</f>
        <v>23013.5</v>
      </c>
      <c r="L452" s="69">
        <f t="shared" ref="L452" si="215">L457+L467+L477+L482+L462+L472+L487</f>
        <v>17844</v>
      </c>
      <c r="M452" s="69">
        <f>M457+M467+M477+M482+M462+M472+M487+M492</f>
        <v>21847.399999999998</v>
      </c>
      <c r="N452" s="69">
        <f t="shared" ref="N452:O452" si="216">N457+N467+N477+N482+N462+N472+N487+N492</f>
        <v>12067.4</v>
      </c>
      <c r="O452" s="69">
        <f t="shared" si="216"/>
        <v>11565.4</v>
      </c>
      <c r="W452" s="69">
        <f>W457+W467+W477+W482+W462+W472+W487+W492+W497</f>
        <v>12030.699999999999</v>
      </c>
      <c r="X452" s="60"/>
      <c r="Y452" s="60"/>
    </row>
    <row r="453" spans="1:25" ht="36" customHeight="1" x14ac:dyDescent="0.2">
      <c r="A453" s="137"/>
      <c r="B453" s="149"/>
      <c r="C453" s="101" t="s">
        <v>13</v>
      </c>
      <c r="D453" s="69">
        <f t="shared" si="212"/>
        <v>0</v>
      </c>
      <c r="E453" s="69">
        <f>E458+E468+E478</f>
        <v>0</v>
      </c>
      <c r="F453" s="69">
        <f t="shared" ref="F453:O453" si="217">F458+F468+F478</f>
        <v>0</v>
      </c>
      <c r="G453" s="69">
        <f t="shared" si="217"/>
        <v>0</v>
      </c>
      <c r="H453" s="69">
        <f t="shared" si="217"/>
        <v>0</v>
      </c>
      <c r="I453" s="69">
        <f t="shared" si="217"/>
        <v>0</v>
      </c>
      <c r="J453" s="69">
        <f t="shared" si="217"/>
        <v>0</v>
      </c>
      <c r="K453" s="69">
        <f t="shared" si="217"/>
        <v>0</v>
      </c>
      <c r="L453" s="69">
        <f t="shared" si="217"/>
        <v>0</v>
      </c>
      <c r="M453" s="69">
        <f t="shared" si="217"/>
        <v>0</v>
      </c>
      <c r="N453" s="69">
        <f t="shared" si="217"/>
        <v>0</v>
      </c>
      <c r="O453" s="69">
        <f t="shared" si="217"/>
        <v>0</v>
      </c>
      <c r="W453" s="69">
        <f t="shared" ref="W453" si="218">W458+W468+W478</f>
        <v>0</v>
      </c>
    </row>
    <row r="454" spans="1:25" ht="15.75" x14ac:dyDescent="0.2">
      <c r="A454" s="137" t="s">
        <v>146</v>
      </c>
      <c r="B454" s="149" t="s">
        <v>52</v>
      </c>
      <c r="C454" s="101" t="s">
        <v>7</v>
      </c>
      <c r="D454" s="69">
        <f>E454+F454+G454+H454+I454+J454+K454+L454+M454+N454+O454+W454</f>
        <v>105690.09999999999</v>
      </c>
      <c r="E454" s="69">
        <f t="shared" ref="E454:O454" si="219">E455+E456+E457+E458</f>
        <v>5089.5</v>
      </c>
      <c r="F454" s="69">
        <f t="shared" si="219"/>
        <v>6465</v>
      </c>
      <c r="G454" s="69">
        <f t="shared" si="219"/>
        <v>8661.7999999999993</v>
      </c>
      <c r="H454" s="69">
        <f t="shared" si="219"/>
        <v>9358.2000000000007</v>
      </c>
      <c r="I454" s="69">
        <f t="shared" si="219"/>
        <v>8594</v>
      </c>
      <c r="J454" s="69">
        <f>J455+J456+J457+J458</f>
        <v>7198.9000000000005</v>
      </c>
      <c r="K454" s="69">
        <f t="shared" si="219"/>
        <v>12364.6</v>
      </c>
      <c r="L454" s="69">
        <f t="shared" si="219"/>
        <v>10751.5</v>
      </c>
      <c r="M454" s="69">
        <f t="shared" si="219"/>
        <v>15579</v>
      </c>
      <c r="N454" s="69">
        <f t="shared" si="219"/>
        <v>7700.2</v>
      </c>
      <c r="O454" s="69">
        <f t="shared" si="219"/>
        <v>6963.6999999999989</v>
      </c>
      <c r="W454" s="69">
        <f t="shared" ref="W454" si="220">W455+W456+W457+W458</f>
        <v>6963.7</v>
      </c>
    </row>
    <row r="455" spans="1:25" ht="21" customHeight="1" x14ac:dyDescent="0.2">
      <c r="A455" s="137"/>
      <c r="B455" s="149"/>
      <c r="C455" s="101" t="s">
        <v>10</v>
      </c>
      <c r="D455" s="69">
        <f t="shared" ref="D455:D498" si="221">E455+F455+G455+H455+I455+J455+K455+L455+M455+N455+O455+W455</f>
        <v>0</v>
      </c>
      <c r="E455" s="69">
        <v>0</v>
      </c>
      <c r="F455" s="69">
        <v>0</v>
      </c>
      <c r="G455" s="69">
        <v>0</v>
      </c>
      <c r="H455" s="69">
        <v>0</v>
      </c>
      <c r="I455" s="69">
        <v>0</v>
      </c>
      <c r="J455" s="69">
        <v>0</v>
      </c>
      <c r="K455" s="69">
        <v>0</v>
      </c>
      <c r="L455" s="69">
        <v>0</v>
      </c>
      <c r="M455" s="69">
        <v>0</v>
      </c>
      <c r="N455" s="69">
        <v>0</v>
      </c>
      <c r="O455" s="69">
        <v>0</v>
      </c>
      <c r="W455" s="69">
        <v>0</v>
      </c>
    </row>
    <row r="456" spans="1:25" ht="15.75" x14ac:dyDescent="0.2">
      <c r="A456" s="137"/>
      <c r="B456" s="149"/>
      <c r="C456" s="101" t="s">
        <v>11</v>
      </c>
      <c r="D456" s="69">
        <f t="shared" si="221"/>
        <v>0</v>
      </c>
      <c r="E456" s="69">
        <v>0</v>
      </c>
      <c r="F456" s="69">
        <v>0</v>
      </c>
      <c r="G456" s="69">
        <v>0</v>
      </c>
      <c r="H456" s="69">
        <v>0</v>
      </c>
      <c r="I456" s="69">
        <v>0</v>
      </c>
      <c r="J456" s="69">
        <v>0</v>
      </c>
      <c r="K456" s="69">
        <v>0</v>
      </c>
      <c r="L456" s="69">
        <v>0</v>
      </c>
      <c r="M456" s="69">
        <v>0</v>
      </c>
      <c r="N456" s="69">
        <v>0</v>
      </c>
      <c r="O456" s="69">
        <v>0</v>
      </c>
      <c r="W456" s="69">
        <v>0</v>
      </c>
    </row>
    <row r="457" spans="1:25" ht="15.75" x14ac:dyDescent="0.2">
      <c r="A457" s="137"/>
      <c r="B457" s="149"/>
      <c r="C457" s="101" t="s">
        <v>12</v>
      </c>
      <c r="D457" s="69">
        <f t="shared" si="221"/>
        <v>105690.09999999999</v>
      </c>
      <c r="E457" s="69">
        <v>5089.5</v>
      </c>
      <c r="F457" s="69">
        <v>6465</v>
      </c>
      <c r="G457" s="69">
        <v>8661.7999999999993</v>
      </c>
      <c r="H457" s="69">
        <v>9358.2000000000007</v>
      </c>
      <c r="I457" s="69">
        <v>8594</v>
      </c>
      <c r="J457" s="69">
        <f>2886.8+1860.3+2451.8</f>
        <v>7198.9000000000005</v>
      </c>
      <c r="K457" s="69">
        <f>8859.6+1000+555+1950</f>
        <v>12364.6</v>
      </c>
      <c r="L457" s="69">
        <f>5576.5+2175+1500+1500</f>
        <v>10751.5</v>
      </c>
      <c r="M457" s="69">
        <f>5913.1+343.4+650+400+2500+1246.2+4526.3</f>
        <v>15579</v>
      </c>
      <c r="N457" s="69">
        <f>5942+1430.8+327.4</f>
        <v>7700.2</v>
      </c>
      <c r="O457" s="69">
        <f>10976.3-3712.3-300.3</f>
        <v>6963.6999999999989</v>
      </c>
      <c r="W457" s="69">
        <v>6963.7</v>
      </c>
    </row>
    <row r="458" spans="1:25" ht="40.5" customHeight="1" x14ac:dyDescent="0.2">
      <c r="A458" s="137"/>
      <c r="B458" s="149"/>
      <c r="C458" s="96" t="s">
        <v>13</v>
      </c>
      <c r="D458" s="69">
        <f t="shared" si="221"/>
        <v>0</v>
      </c>
      <c r="E458" s="69">
        <v>0</v>
      </c>
      <c r="F458" s="69">
        <v>0</v>
      </c>
      <c r="G458" s="69">
        <v>0</v>
      </c>
      <c r="H458" s="69">
        <v>0</v>
      </c>
      <c r="I458" s="69">
        <v>0</v>
      </c>
      <c r="J458" s="69">
        <v>0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  <c r="W458" s="69">
        <v>0</v>
      </c>
    </row>
    <row r="459" spans="1:25" ht="15.75" customHeight="1" x14ac:dyDescent="0.2">
      <c r="A459" s="137" t="s">
        <v>147</v>
      </c>
      <c r="B459" s="149" t="s">
        <v>365</v>
      </c>
      <c r="C459" s="101" t="s">
        <v>7</v>
      </c>
      <c r="D459" s="69">
        <f t="shared" si="221"/>
        <v>11065.3</v>
      </c>
      <c r="E459" s="69">
        <f t="shared" ref="E459:O459" si="222">E460+E461+E462+E463</f>
        <v>0</v>
      </c>
      <c r="F459" s="69">
        <f t="shared" si="222"/>
        <v>0</v>
      </c>
      <c r="G459" s="69">
        <f t="shared" si="222"/>
        <v>0</v>
      </c>
      <c r="H459" s="69">
        <f t="shared" si="222"/>
        <v>0</v>
      </c>
      <c r="I459" s="69">
        <f t="shared" si="222"/>
        <v>7430.4</v>
      </c>
      <c r="J459" s="69">
        <f t="shared" si="222"/>
        <v>3634.8999999999996</v>
      </c>
      <c r="K459" s="69">
        <f t="shared" si="222"/>
        <v>0</v>
      </c>
      <c r="L459" s="69">
        <f t="shared" si="222"/>
        <v>0</v>
      </c>
      <c r="M459" s="69">
        <f t="shared" si="222"/>
        <v>0</v>
      </c>
      <c r="N459" s="69">
        <f t="shared" si="222"/>
        <v>0</v>
      </c>
      <c r="O459" s="69">
        <f t="shared" si="222"/>
        <v>0</v>
      </c>
      <c r="W459" s="69">
        <f t="shared" ref="W459" si="223">W460+W461+W462+W463</f>
        <v>0</v>
      </c>
    </row>
    <row r="460" spans="1:25" ht="15.75" customHeight="1" x14ac:dyDescent="0.2">
      <c r="A460" s="137"/>
      <c r="B460" s="149"/>
      <c r="C460" s="101" t="s">
        <v>10</v>
      </c>
      <c r="D460" s="69">
        <f t="shared" si="221"/>
        <v>0</v>
      </c>
      <c r="E460" s="69">
        <v>0</v>
      </c>
      <c r="F460" s="69">
        <v>0</v>
      </c>
      <c r="G460" s="69">
        <v>0</v>
      </c>
      <c r="H460" s="69">
        <v>0</v>
      </c>
      <c r="I460" s="69">
        <v>0</v>
      </c>
      <c r="J460" s="69">
        <v>0</v>
      </c>
      <c r="K460" s="69">
        <v>0</v>
      </c>
      <c r="L460" s="69">
        <v>0</v>
      </c>
      <c r="M460" s="69">
        <v>0</v>
      </c>
      <c r="N460" s="69">
        <v>0</v>
      </c>
      <c r="O460" s="69">
        <v>0</v>
      </c>
      <c r="W460" s="69">
        <v>0</v>
      </c>
    </row>
    <row r="461" spans="1:25" ht="15.75" customHeight="1" x14ac:dyDescent="0.2">
      <c r="A461" s="137"/>
      <c r="B461" s="149"/>
      <c r="C461" s="101" t="s">
        <v>11</v>
      </c>
      <c r="D461" s="69">
        <f t="shared" si="221"/>
        <v>11065.3</v>
      </c>
      <c r="E461" s="69">
        <v>0</v>
      </c>
      <c r="F461" s="69">
        <v>0</v>
      </c>
      <c r="G461" s="69">
        <v>0</v>
      </c>
      <c r="H461" s="69">
        <v>0</v>
      </c>
      <c r="I461" s="69">
        <f>6602.5+827.9</f>
        <v>7430.4</v>
      </c>
      <c r="J461" s="69">
        <f>6521.7-2886.8</f>
        <v>3634.8999999999996</v>
      </c>
      <c r="K461" s="69">
        <v>0</v>
      </c>
      <c r="L461" s="69">
        <v>0</v>
      </c>
      <c r="M461" s="69">
        <v>0</v>
      </c>
      <c r="N461" s="69">
        <v>0</v>
      </c>
      <c r="O461" s="69">
        <v>0</v>
      </c>
      <c r="W461" s="69">
        <v>0</v>
      </c>
    </row>
    <row r="462" spans="1:25" ht="15.75" customHeight="1" x14ac:dyDescent="0.2">
      <c r="A462" s="137"/>
      <c r="B462" s="149"/>
      <c r="C462" s="101" t="s">
        <v>12</v>
      </c>
      <c r="D462" s="69">
        <f t="shared" si="221"/>
        <v>0</v>
      </c>
      <c r="E462" s="69">
        <v>0</v>
      </c>
      <c r="F462" s="69">
        <v>0</v>
      </c>
      <c r="G462" s="69">
        <v>0</v>
      </c>
      <c r="H462" s="69">
        <v>0</v>
      </c>
      <c r="I462" s="69">
        <v>0</v>
      </c>
      <c r="J462" s="69">
        <v>0</v>
      </c>
      <c r="K462" s="69">
        <v>0</v>
      </c>
      <c r="L462" s="69">
        <v>0</v>
      </c>
      <c r="M462" s="69">
        <v>0</v>
      </c>
      <c r="N462" s="69">
        <v>0</v>
      </c>
      <c r="O462" s="69">
        <v>0</v>
      </c>
      <c r="W462" s="69">
        <v>0</v>
      </c>
      <c r="X462" s="60"/>
      <c r="Y462" s="60"/>
    </row>
    <row r="463" spans="1:25" ht="36" customHeight="1" x14ac:dyDescent="0.2">
      <c r="A463" s="137"/>
      <c r="B463" s="149"/>
      <c r="C463" s="96" t="s">
        <v>13</v>
      </c>
      <c r="D463" s="69">
        <f t="shared" si="221"/>
        <v>0</v>
      </c>
      <c r="E463" s="69">
        <v>0</v>
      </c>
      <c r="F463" s="69">
        <v>0</v>
      </c>
      <c r="G463" s="69">
        <v>0</v>
      </c>
      <c r="H463" s="69">
        <v>0</v>
      </c>
      <c r="I463" s="69">
        <v>0</v>
      </c>
      <c r="J463" s="69">
        <v>0</v>
      </c>
      <c r="K463" s="69">
        <v>0</v>
      </c>
      <c r="L463" s="69">
        <v>0</v>
      </c>
      <c r="M463" s="69">
        <v>0</v>
      </c>
      <c r="N463" s="69">
        <v>0</v>
      </c>
      <c r="O463" s="69">
        <v>0</v>
      </c>
      <c r="W463" s="69">
        <v>0</v>
      </c>
    </row>
    <row r="464" spans="1:25" ht="18.75" customHeight="1" x14ac:dyDescent="0.2">
      <c r="A464" s="137" t="s">
        <v>148</v>
      </c>
      <c r="B464" s="149" t="s">
        <v>58</v>
      </c>
      <c r="C464" s="101" t="s">
        <v>7</v>
      </c>
      <c r="D464" s="69">
        <f t="shared" si="221"/>
        <v>110923.80000000002</v>
      </c>
      <c r="E464" s="69">
        <f t="shared" ref="E464:O464" si="224">E465+E466+E468+E467</f>
        <v>17919.099999999999</v>
      </c>
      <c r="F464" s="69">
        <f t="shared" si="224"/>
        <v>16953.400000000001</v>
      </c>
      <c r="G464" s="69">
        <f t="shared" si="224"/>
        <v>16137.9</v>
      </c>
      <c r="H464" s="69">
        <f t="shared" si="224"/>
        <v>14053.5</v>
      </c>
      <c r="I464" s="69">
        <f t="shared" si="224"/>
        <v>0</v>
      </c>
      <c r="J464" s="69">
        <f t="shared" si="224"/>
        <v>8344.9</v>
      </c>
      <c r="K464" s="69">
        <f t="shared" si="224"/>
        <v>10648.9</v>
      </c>
      <c r="L464" s="69">
        <f t="shared" si="224"/>
        <v>7072.5</v>
      </c>
      <c r="M464" s="69">
        <f t="shared" si="224"/>
        <v>6257.1</v>
      </c>
      <c r="N464" s="69">
        <f t="shared" si="224"/>
        <v>4359.3</v>
      </c>
      <c r="O464" s="69">
        <f t="shared" si="224"/>
        <v>4588.6000000000004</v>
      </c>
      <c r="W464" s="69">
        <f t="shared" ref="W464" si="225">W465+W466+W468+W467</f>
        <v>4588.6000000000004</v>
      </c>
    </row>
    <row r="465" spans="1:23" ht="18.75" customHeight="1" x14ac:dyDescent="0.2">
      <c r="A465" s="137"/>
      <c r="B465" s="149"/>
      <c r="C465" s="101" t="s">
        <v>10</v>
      </c>
      <c r="D465" s="69">
        <f t="shared" si="221"/>
        <v>0</v>
      </c>
      <c r="E465" s="69">
        <v>0</v>
      </c>
      <c r="F465" s="69">
        <v>0</v>
      </c>
      <c r="G465" s="69">
        <v>0</v>
      </c>
      <c r="H465" s="69">
        <v>0</v>
      </c>
      <c r="I465" s="69">
        <v>0</v>
      </c>
      <c r="J465" s="69">
        <v>0</v>
      </c>
      <c r="K465" s="69">
        <v>0</v>
      </c>
      <c r="L465" s="69">
        <v>0</v>
      </c>
      <c r="M465" s="69">
        <v>0</v>
      </c>
      <c r="N465" s="69">
        <v>0</v>
      </c>
      <c r="O465" s="69">
        <v>0</v>
      </c>
      <c r="W465" s="69">
        <v>0</v>
      </c>
    </row>
    <row r="466" spans="1:23" ht="18.75" customHeight="1" x14ac:dyDescent="0.2">
      <c r="A466" s="137"/>
      <c r="B466" s="149"/>
      <c r="C466" s="101" t="s">
        <v>11</v>
      </c>
      <c r="D466" s="69">
        <f t="shared" si="221"/>
        <v>0</v>
      </c>
      <c r="E466" s="69">
        <v>0</v>
      </c>
      <c r="F466" s="69">
        <v>0</v>
      </c>
      <c r="G466" s="69">
        <v>0</v>
      </c>
      <c r="H466" s="69">
        <v>0</v>
      </c>
      <c r="I466" s="69">
        <v>0</v>
      </c>
      <c r="J466" s="69">
        <v>0</v>
      </c>
      <c r="K466" s="69">
        <v>0</v>
      </c>
      <c r="L466" s="69">
        <v>0</v>
      </c>
      <c r="M466" s="69">
        <v>0</v>
      </c>
      <c r="N466" s="69">
        <v>0</v>
      </c>
      <c r="O466" s="69">
        <v>0</v>
      </c>
      <c r="W466" s="69">
        <v>0</v>
      </c>
    </row>
    <row r="467" spans="1:23" ht="18.75" customHeight="1" x14ac:dyDescent="0.2">
      <c r="A467" s="137"/>
      <c r="B467" s="149"/>
      <c r="C467" s="101" t="s">
        <v>12</v>
      </c>
      <c r="D467" s="69">
        <f t="shared" si="221"/>
        <v>110923.80000000002</v>
      </c>
      <c r="E467" s="69">
        <v>17919.099999999999</v>
      </c>
      <c r="F467" s="69">
        <v>16953.400000000001</v>
      </c>
      <c r="G467" s="69">
        <v>16137.9</v>
      </c>
      <c r="H467" s="69">
        <v>14053.5</v>
      </c>
      <c r="I467" s="69">
        <v>0</v>
      </c>
      <c r="J467" s="69">
        <f>0+2600+6251.4-506.5</f>
        <v>8344.9</v>
      </c>
      <c r="K467" s="69">
        <f>13474.9-2900+74</f>
        <v>10648.9</v>
      </c>
      <c r="L467" s="69">
        <f>5037.6+2000-40.6-15+90.5</f>
        <v>7072.5</v>
      </c>
      <c r="M467" s="69">
        <f>5341.7-1097.6-291.9+1000+990.2+314.8-0.1</f>
        <v>6257.1</v>
      </c>
      <c r="N467" s="69">
        <f>5367.8-710.4-298.1</f>
        <v>4359.3</v>
      </c>
      <c r="O467" s="69">
        <f>13511.2-8922.6</f>
        <v>4588.6000000000004</v>
      </c>
      <c r="W467" s="69">
        <v>4588.6000000000004</v>
      </c>
    </row>
    <row r="468" spans="1:23" ht="36.75" customHeight="1" x14ac:dyDescent="0.2">
      <c r="A468" s="137"/>
      <c r="B468" s="149"/>
      <c r="C468" s="96" t="s">
        <v>13</v>
      </c>
      <c r="D468" s="69">
        <f t="shared" si="221"/>
        <v>0</v>
      </c>
      <c r="E468" s="69">
        <v>0</v>
      </c>
      <c r="F468" s="69">
        <v>0</v>
      </c>
      <c r="G468" s="69">
        <v>0</v>
      </c>
      <c r="H468" s="69">
        <v>0</v>
      </c>
      <c r="I468" s="69">
        <v>0</v>
      </c>
      <c r="J468" s="83">
        <v>0</v>
      </c>
      <c r="K468" s="83">
        <v>0</v>
      </c>
      <c r="L468" s="83">
        <v>0</v>
      </c>
      <c r="M468" s="83">
        <v>0</v>
      </c>
      <c r="N468" s="83">
        <v>0</v>
      </c>
      <c r="O468" s="83">
        <v>0</v>
      </c>
      <c r="W468" s="83">
        <v>0</v>
      </c>
    </row>
    <row r="469" spans="1:23" ht="15.75" customHeight="1" x14ac:dyDescent="0.2">
      <c r="A469" s="137" t="s">
        <v>209</v>
      </c>
      <c r="B469" s="149" t="s">
        <v>264</v>
      </c>
      <c r="C469" s="96" t="s">
        <v>7</v>
      </c>
      <c r="D469" s="69">
        <f t="shared" si="221"/>
        <v>12543.1</v>
      </c>
      <c r="E469" s="69">
        <f t="shared" ref="E469:O469" si="226">E470+E471+E473+E472</f>
        <v>0</v>
      </c>
      <c r="F469" s="69">
        <f t="shared" si="226"/>
        <v>0</v>
      </c>
      <c r="G469" s="69">
        <f t="shared" si="226"/>
        <v>0</v>
      </c>
      <c r="H469" s="69">
        <f t="shared" si="226"/>
        <v>0</v>
      </c>
      <c r="I469" s="69">
        <f t="shared" si="226"/>
        <v>8676.1</v>
      </c>
      <c r="J469" s="69">
        <f t="shared" si="226"/>
        <v>3867</v>
      </c>
      <c r="K469" s="69">
        <f t="shared" si="226"/>
        <v>0</v>
      </c>
      <c r="L469" s="69">
        <f t="shared" si="226"/>
        <v>0</v>
      </c>
      <c r="M469" s="69">
        <f t="shared" si="226"/>
        <v>0</v>
      </c>
      <c r="N469" s="69">
        <f t="shared" si="226"/>
        <v>0</v>
      </c>
      <c r="O469" s="69">
        <f t="shared" si="226"/>
        <v>0</v>
      </c>
      <c r="W469" s="69">
        <f t="shared" ref="W469" si="227">W470+W471+W473+W472</f>
        <v>0</v>
      </c>
    </row>
    <row r="470" spans="1:23" ht="15.75" customHeight="1" x14ac:dyDescent="0.2">
      <c r="A470" s="137"/>
      <c r="B470" s="149"/>
      <c r="C470" s="96" t="s">
        <v>10</v>
      </c>
      <c r="D470" s="69">
        <f t="shared" si="221"/>
        <v>0</v>
      </c>
      <c r="E470" s="69">
        <v>0</v>
      </c>
      <c r="F470" s="69">
        <v>0</v>
      </c>
      <c r="G470" s="69">
        <v>0</v>
      </c>
      <c r="H470" s="69">
        <v>0</v>
      </c>
      <c r="I470" s="69">
        <v>0</v>
      </c>
      <c r="J470" s="69">
        <v>0</v>
      </c>
      <c r="K470" s="69">
        <v>0</v>
      </c>
      <c r="L470" s="69">
        <v>0</v>
      </c>
      <c r="M470" s="69">
        <v>0</v>
      </c>
      <c r="N470" s="69">
        <v>0</v>
      </c>
      <c r="O470" s="69">
        <v>0</v>
      </c>
      <c r="W470" s="69">
        <v>0</v>
      </c>
    </row>
    <row r="471" spans="1:23" ht="15.75" customHeight="1" x14ac:dyDescent="0.2">
      <c r="A471" s="137"/>
      <c r="B471" s="149"/>
      <c r="C471" s="96" t="s">
        <v>11</v>
      </c>
      <c r="D471" s="69">
        <f t="shared" si="221"/>
        <v>12543.1</v>
      </c>
      <c r="E471" s="69">
        <v>0</v>
      </c>
      <c r="F471" s="69">
        <v>0</v>
      </c>
      <c r="G471" s="69">
        <v>0</v>
      </c>
      <c r="H471" s="69">
        <v>0</v>
      </c>
      <c r="I471" s="69">
        <f>10280.7-1604.6</f>
        <v>8676.1</v>
      </c>
      <c r="J471" s="69">
        <f>10118.4-6251.4</f>
        <v>3867</v>
      </c>
      <c r="K471" s="69">
        <v>0</v>
      </c>
      <c r="L471" s="69">
        <v>0</v>
      </c>
      <c r="M471" s="69">
        <v>0</v>
      </c>
      <c r="N471" s="69">
        <v>0</v>
      </c>
      <c r="O471" s="69">
        <v>0</v>
      </c>
      <c r="W471" s="69">
        <v>0</v>
      </c>
    </row>
    <row r="472" spans="1:23" ht="15.75" customHeight="1" x14ac:dyDescent="0.2">
      <c r="A472" s="137"/>
      <c r="B472" s="149"/>
      <c r="C472" s="96" t="s">
        <v>12</v>
      </c>
      <c r="D472" s="69">
        <f t="shared" si="221"/>
        <v>0</v>
      </c>
      <c r="E472" s="69">
        <v>0</v>
      </c>
      <c r="F472" s="69">
        <v>0</v>
      </c>
      <c r="G472" s="69">
        <v>0</v>
      </c>
      <c r="H472" s="69">
        <v>0</v>
      </c>
      <c r="I472" s="69">
        <v>0</v>
      </c>
      <c r="J472" s="69">
        <v>0</v>
      </c>
      <c r="K472" s="69">
        <v>0</v>
      </c>
      <c r="L472" s="69">
        <v>0</v>
      </c>
      <c r="M472" s="69">
        <v>0</v>
      </c>
      <c r="N472" s="69">
        <v>0</v>
      </c>
      <c r="O472" s="69">
        <v>0</v>
      </c>
      <c r="W472" s="69">
        <v>0</v>
      </c>
    </row>
    <row r="473" spans="1:23" ht="67.5" customHeight="1" x14ac:dyDescent="0.2">
      <c r="A473" s="137"/>
      <c r="B473" s="149"/>
      <c r="C473" s="96" t="s">
        <v>13</v>
      </c>
      <c r="D473" s="69">
        <f t="shared" si="221"/>
        <v>0</v>
      </c>
      <c r="E473" s="69">
        <v>0</v>
      </c>
      <c r="F473" s="69">
        <v>0</v>
      </c>
      <c r="G473" s="69">
        <v>0</v>
      </c>
      <c r="H473" s="69">
        <v>0</v>
      </c>
      <c r="I473" s="69">
        <v>0</v>
      </c>
      <c r="J473" s="83">
        <v>0</v>
      </c>
      <c r="K473" s="83">
        <v>0</v>
      </c>
      <c r="L473" s="69">
        <v>0</v>
      </c>
      <c r="M473" s="69">
        <v>0</v>
      </c>
      <c r="N473" s="69">
        <v>0</v>
      </c>
      <c r="O473" s="69">
        <v>0</v>
      </c>
      <c r="W473" s="69">
        <v>0</v>
      </c>
    </row>
    <row r="474" spans="1:23" ht="15.75" x14ac:dyDescent="0.2">
      <c r="A474" s="137" t="s">
        <v>269</v>
      </c>
      <c r="B474" s="149" t="s">
        <v>22</v>
      </c>
      <c r="C474" s="101" t="s">
        <v>7</v>
      </c>
      <c r="D474" s="69">
        <f t="shared" si="221"/>
        <v>1696</v>
      </c>
      <c r="E474" s="69">
        <f t="shared" ref="E474:K474" si="228">E475+E476+E477+E478</f>
        <v>1696</v>
      </c>
      <c r="F474" s="69">
        <f t="shared" si="228"/>
        <v>0</v>
      </c>
      <c r="G474" s="69">
        <f t="shared" si="228"/>
        <v>0</v>
      </c>
      <c r="H474" s="69">
        <f t="shared" si="228"/>
        <v>0</v>
      </c>
      <c r="I474" s="69">
        <f t="shared" si="228"/>
        <v>0</v>
      </c>
      <c r="J474" s="69">
        <f t="shared" si="228"/>
        <v>0</v>
      </c>
      <c r="K474" s="69">
        <f t="shared" si="228"/>
        <v>0</v>
      </c>
      <c r="L474" s="69">
        <f>L475+L476+L477+L478</f>
        <v>0</v>
      </c>
      <c r="M474" s="69">
        <f>M475+M476+M477+M478</f>
        <v>0</v>
      </c>
      <c r="N474" s="69">
        <f>N475+N476+N477+N478</f>
        <v>0</v>
      </c>
      <c r="O474" s="69">
        <f>O475+O476+O477+O478</f>
        <v>0</v>
      </c>
      <c r="W474" s="69">
        <f>W475+W476+W477+W478</f>
        <v>0</v>
      </c>
    </row>
    <row r="475" spans="1:23" ht="15.75" x14ac:dyDescent="0.2">
      <c r="A475" s="137"/>
      <c r="B475" s="149"/>
      <c r="C475" s="101" t="s">
        <v>10</v>
      </c>
      <c r="D475" s="69">
        <f t="shared" si="221"/>
        <v>0</v>
      </c>
      <c r="E475" s="69">
        <v>0</v>
      </c>
      <c r="F475" s="69">
        <v>0</v>
      </c>
      <c r="G475" s="69">
        <v>0</v>
      </c>
      <c r="H475" s="69">
        <v>0</v>
      </c>
      <c r="I475" s="69">
        <v>0</v>
      </c>
      <c r="J475" s="69">
        <v>0</v>
      </c>
      <c r="K475" s="69">
        <v>0</v>
      </c>
      <c r="L475" s="69">
        <v>0</v>
      </c>
      <c r="M475" s="69">
        <v>0</v>
      </c>
      <c r="N475" s="69">
        <v>0</v>
      </c>
      <c r="O475" s="69">
        <v>0</v>
      </c>
      <c r="W475" s="69">
        <v>0</v>
      </c>
    </row>
    <row r="476" spans="1:23" ht="15.75" x14ac:dyDescent="0.2">
      <c r="A476" s="137"/>
      <c r="B476" s="149"/>
      <c r="C476" s="101" t="s">
        <v>11</v>
      </c>
      <c r="D476" s="69">
        <f t="shared" si="221"/>
        <v>0</v>
      </c>
      <c r="E476" s="69">
        <v>0</v>
      </c>
      <c r="F476" s="69">
        <v>0</v>
      </c>
      <c r="G476" s="69">
        <v>0</v>
      </c>
      <c r="H476" s="69">
        <v>0</v>
      </c>
      <c r="I476" s="69">
        <v>0</v>
      </c>
      <c r="J476" s="69">
        <v>0</v>
      </c>
      <c r="K476" s="69">
        <v>0</v>
      </c>
      <c r="L476" s="69">
        <v>0</v>
      </c>
      <c r="M476" s="69">
        <v>0</v>
      </c>
      <c r="N476" s="69">
        <v>0</v>
      </c>
      <c r="O476" s="69">
        <v>0</v>
      </c>
      <c r="W476" s="69">
        <v>0</v>
      </c>
    </row>
    <row r="477" spans="1:23" ht="15.75" x14ac:dyDescent="0.2">
      <c r="A477" s="137"/>
      <c r="B477" s="149"/>
      <c r="C477" s="101" t="s">
        <v>12</v>
      </c>
      <c r="D477" s="69">
        <f t="shared" si="221"/>
        <v>1696</v>
      </c>
      <c r="E477" s="69">
        <v>1696</v>
      </c>
      <c r="F477" s="69">
        <v>0</v>
      </c>
      <c r="G477" s="69">
        <v>0</v>
      </c>
      <c r="H477" s="69">
        <v>0</v>
      </c>
      <c r="I477" s="69">
        <v>0</v>
      </c>
      <c r="J477" s="69">
        <v>0</v>
      </c>
      <c r="K477" s="69">
        <v>0</v>
      </c>
      <c r="L477" s="69">
        <v>0</v>
      </c>
      <c r="M477" s="69">
        <v>0</v>
      </c>
      <c r="N477" s="69">
        <v>0</v>
      </c>
      <c r="O477" s="69">
        <v>0</v>
      </c>
      <c r="W477" s="69">
        <v>0</v>
      </c>
    </row>
    <row r="478" spans="1:23" ht="30" customHeight="1" x14ac:dyDescent="0.2">
      <c r="A478" s="137"/>
      <c r="B478" s="149"/>
      <c r="C478" s="96" t="s">
        <v>13</v>
      </c>
      <c r="D478" s="69">
        <f t="shared" si="221"/>
        <v>0</v>
      </c>
      <c r="E478" s="69">
        <v>0</v>
      </c>
      <c r="F478" s="69">
        <v>0</v>
      </c>
      <c r="G478" s="69">
        <v>0</v>
      </c>
      <c r="H478" s="69">
        <v>0</v>
      </c>
      <c r="I478" s="69">
        <v>0</v>
      </c>
      <c r="J478" s="69">
        <v>0</v>
      </c>
      <c r="K478" s="69">
        <v>0</v>
      </c>
      <c r="L478" s="69">
        <v>0</v>
      </c>
      <c r="M478" s="69">
        <v>0</v>
      </c>
      <c r="N478" s="69">
        <v>0</v>
      </c>
      <c r="O478" s="69">
        <v>0</v>
      </c>
      <c r="W478" s="69">
        <v>0</v>
      </c>
    </row>
    <row r="479" spans="1:23" ht="23.25" customHeight="1" x14ac:dyDescent="0.2">
      <c r="A479" s="137" t="s">
        <v>270</v>
      </c>
      <c r="B479" s="137" t="s">
        <v>237</v>
      </c>
      <c r="C479" s="101" t="s">
        <v>7</v>
      </c>
      <c r="D479" s="69">
        <f t="shared" si="221"/>
        <v>3290</v>
      </c>
      <c r="E479" s="69">
        <f>E480+E481+E482+E483</f>
        <v>0</v>
      </c>
      <c r="F479" s="69">
        <f t="shared" ref="F479:K479" si="229">F480+F481+F482+F483</f>
        <v>0</v>
      </c>
      <c r="G479" s="69">
        <f t="shared" si="229"/>
        <v>3290</v>
      </c>
      <c r="H479" s="69">
        <f t="shared" si="229"/>
        <v>0</v>
      </c>
      <c r="I479" s="69">
        <f t="shared" si="229"/>
        <v>0</v>
      </c>
      <c r="J479" s="69">
        <f t="shared" si="229"/>
        <v>0</v>
      </c>
      <c r="K479" s="69">
        <f t="shared" si="229"/>
        <v>0</v>
      </c>
      <c r="L479" s="69">
        <f>L480+L481+L482+L483</f>
        <v>0</v>
      </c>
      <c r="M479" s="69">
        <f>M480+M481+M482+M483</f>
        <v>0</v>
      </c>
      <c r="N479" s="69">
        <f>N480+N481+N482+N483</f>
        <v>0</v>
      </c>
      <c r="O479" s="69">
        <f>O480+O481+O482+O483</f>
        <v>0</v>
      </c>
      <c r="W479" s="69">
        <f>W480+W481+W482+W483</f>
        <v>0</v>
      </c>
    </row>
    <row r="480" spans="1:23" ht="23.25" customHeight="1" x14ac:dyDescent="0.2">
      <c r="A480" s="137"/>
      <c r="B480" s="137"/>
      <c r="C480" s="101" t="s">
        <v>10</v>
      </c>
      <c r="D480" s="69">
        <f t="shared" si="221"/>
        <v>0</v>
      </c>
      <c r="E480" s="69">
        <v>0</v>
      </c>
      <c r="F480" s="69">
        <v>0</v>
      </c>
      <c r="G480" s="69">
        <v>0</v>
      </c>
      <c r="H480" s="69">
        <v>0</v>
      </c>
      <c r="I480" s="69">
        <v>0</v>
      </c>
      <c r="J480" s="69">
        <v>0</v>
      </c>
      <c r="K480" s="69">
        <v>0</v>
      </c>
      <c r="L480" s="69">
        <v>0</v>
      </c>
      <c r="M480" s="69">
        <v>0</v>
      </c>
      <c r="N480" s="69">
        <v>0</v>
      </c>
      <c r="O480" s="69">
        <v>0</v>
      </c>
      <c r="W480" s="69">
        <v>0</v>
      </c>
    </row>
    <row r="481" spans="1:23" ht="23.25" customHeight="1" x14ac:dyDescent="0.2">
      <c r="A481" s="137"/>
      <c r="B481" s="137"/>
      <c r="C481" s="101" t="s">
        <v>11</v>
      </c>
      <c r="D481" s="69">
        <f t="shared" si="221"/>
        <v>0</v>
      </c>
      <c r="E481" s="69">
        <v>0</v>
      </c>
      <c r="F481" s="69">
        <v>0</v>
      </c>
      <c r="G481" s="69">
        <v>0</v>
      </c>
      <c r="H481" s="69">
        <v>0</v>
      </c>
      <c r="I481" s="69">
        <v>0</v>
      </c>
      <c r="J481" s="69">
        <v>0</v>
      </c>
      <c r="K481" s="69">
        <v>0</v>
      </c>
      <c r="L481" s="69">
        <v>0</v>
      </c>
      <c r="M481" s="69">
        <v>0</v>
      </c>
      <c r="N481" s="69">
        <v>0</v>
      </c>
      <c r="O481" s="69">
        <v>0</v>
      </c>
      <c r="W481" s="69">
        <v>0</v>
      </c>
    </row>
    <row r="482" spans="1:23" ht="23.25" customHeight="1" x14ac:dyDescent="0.2">
      <c r="A482" s="137"/>
      <c r="B482" s="137"/>
      <c r="C482" s="101" t="s">
        <v>12</v>
      </c>
      <c r="D482" s="69">
        <f t="shared" si="221"/>
        <v>3290</v>
      </c>
      <c r="E482" s="69">
        <v>0</v>
      </c>
      <c r="F482" s="69">
        <v>0</v>
      </c>
      <c r="G482" s="69">
        <v>3290</v>
      </c>
      <c r="H482" s="69">
        <v>0</v>
      </c>
      <c r="I482" s="69">
        <v>0</v>
      </c>
      <c r="J482" s="69">
        <v>0</v>
      </c>
      <c r="K482" s="69">
        <v>0</v>
      </c>
      <c r="L482" s="69">
        <v>0</v>
      </c>
      <c r="M482" s="69">
        <v>0</v>
      </c>
      <c r="N482" s="69">
        <v>0</v>
      </c>
      <c r="O482" s="69">
        <v>0</v>
      </c>
      <c r="W482" s="69">
        <v>0</v>
      </c>
    </row>
    <row r="483" spans="1:23" ht="35.25" customHeight="1" x14ac:dyDescent="0.2">
      <c r="A483" s="137"/>
      <c r="B483" s="137"/>
      <c r="C483" s="96" t="s">
        <v>13</v>
      </c>
      <c r="D483" s="69">
        <f t="shared" si="221"/>
        <v>0</v>
      </c>
      <c r="E483" s="69">
        <v>0</v>
      </c>
      <c r="F483" s="69">
        <v>0</v>
      </c>
      <c r="G483" s="69">
        <v>0</v>
      </c>
      <c r="H483" s="69">
        <v>0</v>
      </c>
      <c r="I483" s="69">
        <v>0</v>
      </c>
      <c r="J483" s="69">
        <v>0</v>
      </c>
      <c r="K483" s="69">
        <v>0</v>
      </c>
      <c r="L483" s="69">
        <v>0</v>
      </c>
      <c r="M483" s="69">
        <v>0</v>
      </c>
      <c r="N483" s="69">
        <v>0</v>
      </c>
      <c r="O483" s="69">
        <v>0</v>
      </c>
      <c r="W483" s="69">
        <v>0</v>
      </c>
    </row>
    <row r="484" spans="1:23" ht="23.25" customHeight="1" x14ac:dyDescent="0.2">
      <c r="A484" s="137" t="s">
        <v>385</v>
      </c>
      <c r="B484" s="137" t="s">
        <v>395</v>
      </c>
      <c r="C484" s="101" t="s">
        <v>7</v>
      </c>
      <c r="D484" s="69">
        <f t="shared" si="221"/>
        <v>65.399999999999991</v>
      </c>
      <c r="E484" s="69">
        <f>SUM(E485:E488)</f>
        <v>0</v>
      </c>
      <c r="F484" s="69">
        <f t="shared" ref="F484:O484" si="230">SUM(F485:F488)</f>
        <v>0</v>
      </c>
      <c r="G484" s="69">
        <f t="shared" si="230"/>
        <v>0</v>
      </c>
      <c r="H484" s="69">
        <f t="shared" si="230"/>
        <v>0</v>
      </c>
      <c r="I484" s="69">
        <f t="shared" si="230"/>
        <v>0</v>
      </c>
      <c r="J484" s="69">
        <f t="shared" si="230"/>
        <v>0</v>
      </c>
      <c r="K484" s="69">
        <f t="shared" si="230"/>
        <v>0</v>
      </c>
      <c r="L484" s="69">
        <f t="shared" si="230"/>
        <v>20</v>
      </c>
      <c r="M484" s="69">
        <f t="shared" si="230"/>
        <v>11.299999999999999</v>
      </c>
      <c r="N484" s="69">
        <f t="shared" si="230"/>
        <v>7.9</v>
      </c>
      <c r="O484" s="69">
        <f t="shared" si="230"/>
        <v>13.1</v>
      </c>
      <c r="W484" s="69">
        <f t="shared" ref="W484" si="231">SUM(W485:W488)</f>
        <v>13.1</v>
      </c>
    </row>
    <row r="485" spans="1:23" ht="23.25" customHeight="1" x14ac:dyDescent="0.2">
      <c r="A485" s="137"/>
      <c r="B485" s="137"/>
      <c r="C485" s="101" t="s">
        <v>10</v>
      </c>
      <c r="D485" s="69">
        <f t="shared" si="221"/>
        <v>0</v>
      </c>
      <c r="E485" s="69">
        <v>0</v>
      </c>
      <c r="F485" s="69">
        <v>0</v>
      </c>
      <c r="G485" s="69">
        <v>0</v>
      </c>
      <c r="H485" s="69">
        <v>0</v>
      </c>
      <c r="I485" s="69">
        <v>0</v>
      </c>
      <c r="J485" s="69">
        <v>0</v>
      </c>
      <c r="K485" s="69">
        <v>0</v>
      </c>
      <c r="L485" s="69">
        <v>0</v>
      </c>
      <c r="M485" s="69">
        <v>0</v>
      </c>
      <c r="N485" s="69">
        <v>0</v>
      </c>
      <c r="O485" s="69">
        <v>0</v>
      </c>
      <c r="W485" s="69">
        <v>0</v>
      </c>
    </row>
    <row r="486" spans="1:23" ht="23.25" customHeight="1" x14ac:dyDescent="0.2">
      <c r="A486" s="137"/>
      <c r="B486" s="137"/>
      <c r="C486" s="101" t="s">
        <v>11</v>
      </c>
      <c r="D486" s="69">
        <f t="shared" si="221"/>
        <v>0</v>
      </c>
      <c r="E486" s="69">
        <v>0</v>
      </c>
      <c r="F486" s="69">
        <v>0</v>
      </c>
      <c r="G486" s="69">
        <v>0</v>
      </c>
      <c r="H486" s="69">
        <v>0</v>
      </c>
      <c r="I486" s="69">
        <v>0</v>
      </c>
      <c r="J486" s="69">
        <v>0</v>
      </c>
      <c r="K486" s="69">
        <v>0</v>
      </c>
      <c r="L486" s="69">
        <v>0</v>
      </c>
      <c r="M486" s="69">
        <v>0</v>
      </c>
      <c r="N486" s="69">
        <v>0</v>
      </c>
      <c r="O486" s="69">
        <v>0</v>
      </c>
      <c r="W486" s="69">
        <v>0</v>
      </c>
    </row>
    <row r="487" spans="1:23" ht="23.25" customHeight="1" x14ac:dyDescent="0.2">
      <c r="A487" s="137"/>
      <c r="B487" s="137"/>
      <c r="C487" s="101" t="s">
        <v>12</v>
      </c>
      <c r="D487" s="69">
        <f t="shared" si="221"/>
        <v>65.399999999999991</v>
      </c>
      <c r="E487" s="69">
        <v>0</v>
      </c>
      <c r="F487" s="69">
        <v>0</v>
      </c>
      <c r="G487" s="69">
        <v>0</v>
      </c>
      <c r="H487" s="69">
        <v>0</v>
      </c>
      <c r="I487" s="69">
        <v>0</v>
      </c>
      <c r="J487" s="69">
        <v>0</v>
      </c>
      <c r="K487" s="69">
        <f>550.5-550.5</f>
        <v>0</v>
      </c>
      <c r="L487" s="69">
        <f>20</f>
        <v>20</v>
      </c>
      <c r="M487" s="69">
        <f>21.2-9.9</f>
        <v>11.299999999999999</v>
      </c>
      <c r="N487" s="69">
        <f>21.3-8-5.4</f>
        <v>7.9</v>
      </c>
      <c r="O487" s="69">
        <v>13.1</v>
      </c>
      <c r="W487" s="69">
        <v>13.1</v>
      </c>
    </row>
    <row r="488" spans="1:23" ht="27" customHeight="1" x14ac:dyDescent="0.2">
      <c r="A488" s="137"/>
      <c r="B488" s="137"/>
      <c r="C488" s="96" t="s">
        <v>13</v>
      </c>
      <c r="D488" s="69">
        <f t="shared" si="221"/>
        <v>0</v>
      </c>
      <c r="E488" s="69">
        <v>0</v>
      </c>
      <c r="F488" s="69">
        <v>0</v>
      </c>
      <c r="G488" s="69">
        <v>0</v>
      </c>
      <c r="H488" s="69">
        <v>0</v>
      </c>
      <c r="I488" s="69">
        <v>0</v>
      </c>
      <c r="J488" s="69">
        <v>0</v>
      </c>
      <c r="K488" s="69">
        <v>0</v>
      </c>
      <c r="L488" s="69">
        <v>0</v>
      </c>
      <c r="M488" s="69">
        <v>0</v>
      </c>
      <c r="N488" s="69">
        <v>0</v>
      </c>
      <c r="O488" s="69">
        <v>0</v>
      </c>
      <c r="W488" s="69">
        <v>0</v>
      </c>
    </row>
    <row r="489" spans="1:23" ht="23.25" customHeight="1" x14ac:dyDescent="0.2">
      <c r="A489" s="137" t="s">
        <v>443</v>
      </c>
      <c r="B489" s="137" t="s">
        <v>444</v>
      </c>
      <c r="C489" s="101" t="s">
        <v>7</v>
      </c>
      <c r="D489" s="69">
        <f t="shared" si="221"/>
        <v>0</v>
      </c>
      <c r="E489" s="69">
        <f>SUM(E490:E493)</f>
        <v>0</v>
      </c>
      <c r="F489" s="69">
        <f t="shared" ref="F489:O489" si="232">SUM(F490:F493)</f>
        <v>0</v>
      </c>
      <c r="G489" s="69">
        <f t="shared" si="232"/>
        <v>0</v>
      </c>
      <c r="H489" s="69">
        <f t="shared" si="232"/>
        <v>0</v>
      </c>
      <c r="I489" s="69">
        <f t="shared" si="232"/>
        <v>0</v>
      </c>
      <c r="J489" s="69">
        <f t="shared" si="232"/>
        <v>0</v>
      </c>
      <c r="K489" s="69">
        <f t="shared" si="232"/>
        <v>0</v>
      </c>
      <c r="L489" s="69">
        <f t="shared" si="232"/>
        <v>0</v>
      </c>
      <c r="M489" s="69">
        <f t="shared" si="232"/>
        <v>0</v>
      </c>
      <c r="N489" s="69">
        <f t="shared" si="232"/>
        <v>0</v>
      </c>
      <c r="O489" s="69">
        <f t="shared" si="232"/>
        <v>0</v>
      </c>
      <c r="W489" s="69">
        <f t="shared" ref="W489" si="233">SUM(W490:W493)</f>
        <v>0</v>
      </c>
    </row>
    <row r="490" spans="1:23" ht="23.25" customHeight="1" x14ac:dyDescent="0.2">
      <c r="A490" s="137"/>
      <c r="B490" s="137"/>
      <c r="C490" s="101" t="s">
        <v>10</v>
      </c>
      <c r="D490" s="69">
        <f t="shared" si="221"/>
        <v>0</v>
      </c>
      <c r="E490" s="69">
        <v>0</v>
      </c>
      <c r="F490" s="69">
        <v>0</v>
      </c>
      <c r="G490" s="69">
        <v>0</v>
      </c>
      <c r="H490" s="69">
        <v>0</v>
      </c>
      <c r="I490" s="69">
        <v>0</v>
      </c>
      <c r="J490" s="69">
        <v>0</v>
      </c>
      <c r="K490" s="69">
        <v>0</v>
      </c>
      <c r="L490" s="69">
        <v>0</v>
      </c>
      <c r="M490" s="69">
        <v>0</v>
      </c>
      <c r="N490" s="69">
        <v>0</v>
      </c>
      <c r="O490" s="69">
        <v>0</v>
      </c>
      <c r="W490" s="69">
        <v>0</v>
      </c>
    </row>
    <row r="491" spans="1:23" ht="23.25" customHeight="1" x14ac:dyDescent="0.2">
      <c r="A491" s="137"/>
      <c r="B491" s="137"/>
      <c r="C491" s="101" t="s">
        <v>11</v>
      </c>
      <c r="D491" s="69">
        <f t="shared" si="221"/>
        <v>0</v>
      </c>
      <c r="E491" s="69">
        <v>0</v>
      </c>
      <c r="F491" s="69">
        <v>0</v>
      </c>
      <c r="G491" s="69">
        <v>0</v>
      </c>
      <c r="H491" s="69">
        <v>0</v>
      </c>
      <c r="I491" s="69">
        <v>0</v>
      </c>
      <c r="J491" s="69">
        <v>0</v>
      </c>
      <c r="K491" s="69">
        <v>0</v>
      </c>
      <c r="L491" s="69">
        <v>0</v>
      </c>
      <c r="M491" s="69">
        <v>0</v>
      </c>
      <c r="N491" s="69">
        <v>0</v>
      </c>
      <c r="O491" s="69">
        <v>0</v>
      </c>
      <c r="W491" s="69">
        <v>0</v>
      </c>
    </row>
    <row r="492" spans="1:23" ht="23.25" customHeight="1" x14ac:dyDescent="0.2">
      <c r="A492" s="137"/>
      <c r="B492" s="137"/>
      <c r="C492" s="101" t="s">
        <v>12</v>
      </c>
      <c r="D492" s="69">
        <f t="shared" si="221"/>
        <v>0</v>
      </c>
      <c r="E492" s="69">
        <v>0</v>
      </c>
      <c r="F492" s="69">
        <v>0</v>
      </c>
      <c r="G492" s="69">
        <v>0</v>
      </c>
      <c r="H492" s="69">
        <v>0</v>
      </c>
      <c r="I492" s="69">
        <v>0</v>
      </c>
      <c r="J492" s="69">
        <v>0</v>
      </c>
      <c r="K492" s="69">
        <f>550.5-550.5</f>
        <v>0</v>
      </c>
      <c r="L492" s="69">
        <v>0</v>
      </c>
      <c r="M492" s="69">
        <f>650-650</f>
        <v>0</v>
      </c>
      <c r="N492" s="69">
        <v>0</v>
      </c>
      <c r="O492" s="69">
        <v>0</v>
      </c>
      <c r="W492" s="69">
        <v>0</v>
      </c>
    </row>
    <row r="493" spans="1:23" ht="35.25" customHeight="1" x14ac:dyDescent="0.2">
      <c r="A493" s="137"/>
      <c r="B493" s="137"/>
      <c r="C493" s="96" t="s">
        <v>13</v>
      </c>
      <c r="D493" s="69">
        <f t="shared" si="221"/>
        <v>0</v>
      </c>
      <c r="E493" s="69">
        <v>0</v>
      </c>
      <c r="F493" s="69">
        <v>0</v>
      </c>
      <c r="G493" s="69">
        <v>0</v>
      </c>
      <c r="H493" s="69">
        <v>0</v>
      </c>
      <c r="I493" s="69">
        <v>0</v>
      </c>
      <c r="J493" s="69">
        <v>0</v>
      </c>
      <c r="K493" s="69">
        <v>0</v>
      </c>
      <c r="L493" s="69">
        <v>0</v>
      </c>
      <c r="M493" s="69">
        <v>0</v>
      </c>
      <c r="N493" s="69">
        <v>0</v>
      </c>
      <c r="O493" s="69">
        <v>0</v>
      </c>
      <c r="W493" s="69">
        <v>0</v>
      </c>
    </row>
    <row r="494" spans="1:23" ht="15.75" x14ac:dyDescent="0.2">
      <c r="A494" s="137" t="s">
        <v>443</v>
      </c>
      <c r="B494" s="137" t="s">
        <v>470</v>
      </c>
      <c r="C494" s="101" t="s">
        <v>7</v>
      </c>
      <c r="D494" s="69">
        <f t="shared" si="221"/>
        <v>7755.2</v>
      </c>
      <c r="E494" s="69">
        <f>SUM(E495:E498)</f>
        <v>0</v>
      </c>
      <c r="F494" s="69">
        <f t="shared" ref="F494:O494" si="234">SUM(F495:F498)</f>
        <v>0</v>
      </c>
      <c r="G494" s="69">
        <f t="shared" si="234"/>
        <v>0</v>
      </c>
      <c r="H494" s="69">
        <f t="shared" si="234"/>
        <v>0</v>
      </c>
      <c r="I494" s="69">
        <f t="shared" si="234"/>
        <v>0</v>
      </c>
      <c r="J494" s="69">
        <f t="shared" si="234"/>
        <v>0</v>
      </c>
      <c r="K494" s="69">
        <f t="shared" si="234"/>
        <v>0</v>
      </c>
      <c r="L494" s="69">
        <f t="shared" si="234"/>
        <v>0</v>
      </c>
      <c r="M494" s="69">
        <f t="shared" si="234"/>
        <v>0</v>
      </c>
      <c r="N494" s="69">
        <f t="shared" si="234"/>
        <v>0</v>
      </c>
      <c r="O494" s="69">
        <f t="shared" si="234"/>
        <v>0</v>
      </c>
      <c r="W494" s="69">
        <f t="shared" ref="W494" si="235">SUM(W495:W498)</f>
        <v>7755.2</v>
      </c>
    </row>
    <row r="495" spans="1:23" ht="15.75" x14ac:dyDescent="0.2">
      <c r="A495" s="137"/>
      <c r="B495" s="137"/>
      <c r="C495" s="101" t="s">
        <v>10</v>
      </c>
      <c r="D495" s="69">
        <f t="shared" si="221"/>
        <v>0</v>
      </c>
      <c r="E495" s="69">
        <v>0</v>
      </c>
      <c r="F495" s="69">
        <v>0</v>
      </c>
      <c r="G495" s="69">
        <v>0</v>
      </c>
      <c r="H495" s="69">
        <v>0</v>
      </c>
      <c r="I495" s="69">
        <v>0</v>
      </c>
      <c r="J495" s="69">
        <v>0</v>
      </c>
      <c r="K495" s="69">
        <v>0</v>
      </c>
      <c r="L495" s="69">
        <v>0</v>
      </c>
      <c r="M495" s="69">
        <v>0</v>
      </c>
      <c r="N495" s="69">
        <v>0</v>
      </c>
      <c r="O495" s="69">
        <v>0</v>
      </c>
      <c r="W495" s="69">
        <v>0</v>
      </c>
    </row>
    <row r="496" spans="1:23" ht="15.75" x14ac:dyDescent="0.2">
      <c r="A496" s="137"/>
      <c r="B496" s="137"/>
      <c r="C496" s="101" t="s">
        <v>11</v>
      </c>
      <c r="D496" s="69">
        <f t="shared" si="221"/>
        <v>7289.9</v>
      </c>
      <c r="E496" s="69">
        <v>0</v>
      </c>
      <c r="F496" s="69">
        <v>0</v>
      </c>
      <c r="G496" s="69">
        <v>0</v>
      </c>
      <c r="H496" s="69">
        <v>0</v>
      </c>
      <c r="I496" s="69">
        <v>0</v>
      </c>
      <c r="J496" s="69">
        <v>0</v>
      </c>
      <c r="K496" s="69">
        <v>0</v>
      </c>
      <c r="L496" s="69">
        <v>0</v>
      </c>
      <c r="M496" s="69">
        <v>0</v>
      </c>
      <c r="N496" s="69">
        <v>0</v>
      </c>
      <c r="O496" s="69">
        <v>0</v>
      </c>
      <c r="W496" s="69">
        <v>7289.9</v>
      </c>
    </row>
    <row r="497" spans="1:23" ht="15.75" x14ac:dyDescent="0.2">
      <c r="A497" s="137"/>
      <c r="B497" s="137"/>
      <c r="C497" s="101" t="s">
        <v>12</v>
      </c>
      <c r="D497" s="69">
        <f t="shared" si="221"/>
        <v>465.3</v>
      </c>
      <c r="E497" s="69">
        <v>0</v>
      </c>
      <c r="F497" s="69">
        <v>0</v>
      </c>
      <c r="G497" s="69">
        <v>0</v>
      </c>
      <c r="H497" s="69">
        <v>0</v>
      </c>
      <c r="I497" s="69">
        <v>0</v>
      </c>
      <c r="J497" s="69">
        <v>0</v>
      </c>
      <c r="K497" s="69">
        <f>550.5-550.5</f>
        <v>0</v>
      </c>
      <c r="L497" s="69">
        <v>0</v>
      </c>
      <c r="M497" s="69">
        <v>0</v>
      </c>
      <c r="N497" s="69">
        <v>0</v>
      </c>
      <c r="O497" s="69">
        <v>0</v>
      </c>
      <c r="W497" s="69">
        <v>465.3</v>
      </c>
    </row>
    <row r="498" spans="1:23" ht="15.75" x14ac:dyDescent="0.2">
      <c r="A498" s="137"/>
      <c r="B498" s="137"/>
      <c r="C498" s="96" t="s">
        <v>13</v>
      </c>
      <c r="D498" s="69">
        <f t="shared" si="221"/>
        <v>0</v>
      </c>
      <c r="E498" s="69">
        <v>0</v>
      </c>
      <c r="F498" s="69">
        <v>0</v>
      </c>
      <c r="G498" s="69">
        <v>0</v>
      </c>
      <c r="H498" s="69">
        <v>0</v>
      </c>
      <c r="I498" s="69">
        <v>0</v>
      </c>
      <c r="J498" s="69">
        <v>0</v>
      </c>
      <c r="K498" s="69">
        <v>0</v>
      </c>
      <c r="L498" s="69">
        <v>0</v>
      </c>
      <c r="M498" s="69">
        <v>0</v>
      </c>
      <c r="N498" s="69">
        <v>0</v>
      </c>
      <c r="O498" s="69">
        <v>0</v>
      </c>
      <c r="W498" s="69">
        <v>0</v>
      </c>
    </row>
    <row r="499" spans="1:23" ht="39" customHeight="1" x14ac:dyDescent="0.2">
      <c r="A499" s="137" t="s">
        <v>149</v>
      </c>
      <c r="B499" s="149" t="s">
        <v>379</v>
      </c>
      <c r="C499" s="101" t="s">
        <v>7</v>
      </c>
      <c r="D499" s="69">
        <f>E499+F499+G499+H499+I499+J499+K499+L499+M499+N499+O499+W499</f>
        <v>39395.299999999988</v>
      </c>
      <c r="E499" s="69">
        <f>E500+E501+E502+E504</f>
        <v>3741.9</v>
      </c>
      <c r="F499" s="69">
        <f t="shared" ref="F499:O499" si="236">F500+F501+F502+F504</f>
        <v>2450</v>
      </c>
      <c r="G499" s="69">
        <f t="shared" si="236"/>
        <v>2262.1</v>
      </c>
      <c r="H499" s="69">
        <f t="shared" si="236"/>
        <v>1999</v>
      </c>
      <c r="I499" s="69">
        <f t="shared" si="236"/>
        <v>13558.599999999999</v>
      </c>
      <c r="J499" s="69">
        <f>J500+J501+J502+J504</f>
        <v>8475.2999999999993</v>
      </c>
      <c r="K499" s="69">
        <f t="shared" si="236"/>
        <v>5424.9</v>
      </c>
      <c r="L499" s="69">
        <f t="shared" si="236"/>
        <v>1285.4000000000003</v>
      </c>
      <c r="M499" s="69">
        <f t="shared" si="236"/>
        <v>0</v>
      </c>
      <c r="N499" s="69">
        <f t="shared" si="236"/>
        <v>66.7</v>
      </c>
      <c r="O499" s="69">
        <f t="shared" si="236"/>
        <v>65.699999999999989</v>
      </c>
      <c r="W499" s="69">
        <f t="shared" ref="W499" si="237">W500+W501+W502+W504</f>
        <v>65.7</v>
      </c>
    </row>
    <row r="500" spans="1:23" ht="15.75" x14ac:dyDescent="0.2">
      <c r="A500" s="137"/>
      <c r="B500" s="149"/>
      <c r="C500" s="101" t="s">
        <v>10</v>
      </c>
      <c r="D500" s="69">
        <f t="shared" ref="D500:D536" si="238">E500+F500+G500+H500+I500+J500+K500+L500+M500+N500+O500+W500</f>
        <v>0</v>
      </c>
      <c r="E500" s="69">
        <f>E506+E513+E518</f>
        <v>0</v>
      </c>
      <c r="F500" s="69">
        <f t="shared" ref="F500:O500" si="239">F506+F513+F518</f>
        <v>0</v>
      </c>
      <c r="G500" s="69">
        <f t="shared" si="239"/>
        <v>0</v>
      </c>
      <c r="H500" s="69">
        <f t="shared" si="239"/>
        <v>0</v>
      </c>
      <c r="I500" s="69">
        <f t="shared" si="239"/>
        <v>0</v>
      </c>
      <c r="J500" s="69">
        <f t="shared" si="239"/>
        <v>0</v>
      </c>
      <c r="K500" s="69">
        <f t="shared" si="239"/>
        <v>0</v>
      </c>
      <c r="L500" s="69">
        <f t="shared" si="239"/>
        <v>0</v>
      </c>
      <c r="M500" s="69">
        <f t="shared" si="239"/>
        <v>0</v>
      </c>
      <c r="N500" s="69">
        <f t="shared" si="239"/>
        <v>0</v>
      </c>
      <c r="O500" s="69">
        <f t="shared" si="239"/>
        <v>0</v>
      </c>
      <c r="W500" s="69">
        <f t="shared" ref="W500" si="240">W506+W513+W518</f>
        <v>0</v>
      </c>
    </row>
    <row r="501" spans="1:23" ht="15.75" customHeight="1" x14ac:dyDescent="0.2">
      <c r="A501" s="137"/>
      <c r="B501" s="149"/>
      <c r="C501" s="101" t="s">
        <v>11</v>
      </c>
      <c r="D501" s="69">
        <f t="shared" si="238"/>
        <v>22235.8</v>
      </c>
      <c r="E501" s="69">
        <f t="shared" ref="E501:O501" si="241">E507+E514+E519</f>
        <v>0</v>
      </c>
      <c r="F501" s="69">
        <f t="shared" si="241"/>
        <v>0</v>
      </c>
      <c r="G501" s="69">
        <f t="shared" si="241"/>
        <v>0</v>
      </c>
      <c r="H501" s="69">
        <f t="shared" si="241"/>
        <v>0</v>
      </c>
      <c r="I501" s="69">
        <f>I507+I514+I519</f>
        <v>11234.3</v>
      </c>
      <c r="J501" s="69">
        <f>J507+J514+J519+J524</f>
        <v>7403.7</v>
      </c>
      <c r="K501" s="69">
        <f t="shared" si="241"/>
        <v>3597.8</v>
      </c>
      <c r="L501" s="69">
        <f t="shared" si="241"/>
        <v>0</v>
      </c>
      <c r="M501" s="69">
        <f t="shared" si="241"/>
        <v>0</v>
      </c>
      <c r="N501" s="69">
        <f t="shared" si="241"/>
        <v>0</v>
      </c>
      <c r="O501" s="69">
        <f t="shared" si="241"/>
        <v>0</v>
      </c>
      <c r="W501" s="69">
        <f t="shared" ref="W501" si="242">W507+W514+W519</f>
        <v>0</v>
      </c>
    </row>
    <row r="502" spans="1:23" ht="15.75" customHeight="1" x14ac:dyDescent="0.2">
      <c r="A502" s="137"/>
      <c r="B502" s="149"/>
      <c r="C502" s="101" t="s">
        <v>65</v>
      </c>
      <c r="D502" s="69">
        <f t="shared" si="238"/>
        <v>17159.500000000004</v>
      </c>
      <c r="E502" s="69">
        <f>E508+E515+E520+E525</f>
        <v>3741.9</v>
      </c>
      <c r="F502" s="69">
        <f t="shared" ref="F502:J502" si="243">F508+F515+F520+F525</f>
        <v>2450</v>
      </c>
      <c r="G502" s="69">
        <f t="shared" si="243"/>
        <v>2262.1</v>
      </c>
      <c r="H502" s="69">
        <f t="shared" si="243"/>
        <v>1999</v>
      </c>
      <c r="I502" s="69">
        <f>I508+I515+I520+I525</f>
        <v>2324.3000000000002</v>
      </c>
      <c r="J502" s="69">
        <f t="shared" si="243"/>
        <v>1071.5999999999999</v>
      </c>
      <c r="K502" s="69">
        <f>K508+K515+K520+K525+K530</f>
        <v>1827.1</v>
      </c>
      <c r="L502" s="69">
        <f>L508+L515+L520+L525+L530+L535</f>
        <v>1285.4000000000003</v>
      </c>
      <c r="M502" s="69">
        <f t="shared" ref="M502:O502" si="244">M508+M515+M520+M525+M530</f>
        <v>0</v>
      </c>
      <c r="N502" s="69">
        <f t="shared" si="244"/>
        <v>66.7</v>
      </c>
      <c r="O502" s="69">
        <f t="shared" si="244"/>
        <v>65.699999999999989</v>
      </c>
      <c r="W502" s="69">
        <f t="shared" ref="W502" si="245">W508+W515+W520+W525+W530</f>
        <v>65.7</v>
      </c>
    </row>
    <row r="503" spans="1:23" ht="31.5" x14ac:dyDescent="0.2">
      <c r="A503" s="137"/>
      <c r="B503" s="149"/>
      <c r="C503" s="74" t="s">
        <v>79</v>
      </c>
      <c r="D503" s="69">
        <f t="shared" si="238"/>
        <v>3631.3</v>
      </c>
      <c r="E503" s="69">
        <f t="shared" ref="E503:K503" si="246">E509+E516+E521</f>
        <v>2932.6</v>
      </c>
      <c r="F503" s="69">
        <f t="shared" si="246"/>
        <v>0</v>
      </c>
      <c r="G503" s="69">
        <f t="shared" si="246"/>
        <v>0</v>
      </c>
      <c r="H503" s="69">
        <f t="shared" si="246"/>
        <v>0</v>
      </c>
      <c r="I503" s="69">
        <f>I509+I516+I521</f>
        <v>698.7</v>
      </c>
      <c r="J503" s="69">
        <f t="shared" si="246"/>
        <v>0</v>
      </c>
      <c r="K503" s="69">
        <f t="shared" si="246"/>
        <v>0</v>
      </c>
      <c r="L503" s="69">
        <f>L509+L516+L521</f>
        <v>0</v>
      </c>
      <c r="M503" s="69">
        <f>M509+M516+M521</f>
        <v>0</v>
      </c>
      <c r="N503" s="69">
        <f>N509+N516+N521</f>
        <v>0</v>
      </c>
      <c r="O503" s="69">
        <f>O509+O516+O521</f>
        <v>0</v>
      </c>
      <c r="W503" s="69">
        <f>W509+W516+W521</f>
        <v>0</v>
      </c>
    </row>
    <row r="504" spans="1:23" ht="15.75" x14ac:dyDescent="0.2">
      <c r="A504" s="137"/>
      <c r="B504" s="149"/>
      <c r="C504" s="101" t="s">
        <v>13</v>
      </c>
      <c r="D504" s="69">
        <f t="shared" si="238"/>
        <v>0</v>
      </c>
      <c r="E504" s="69">
        <v>0</v>
      </c>
      <c r="F504" s="69">
        <v>0</v>
      </c>
      <c r="G504" s="69">
        <v>0</v>
      </c>
      <c r="H504" s="69">
        <v>0</v>
      </c>
      <c r="I504" s="69">
        <v>0</v>
      </c>
      <c r="J504" s="69">
        <v>0</v>
      </c>
      <c r="K504" s="69">
        <v>0</v>
      </c>
      <c r="L504" s="69">
        <v>0</v>
      </c>
      <c r="M504" s="69">
        <v>0</v>
      </c>
      <c r="N504" s="69">
        <v>0</v>
      </c>
      <c r="O504" s="69">
        <v>0</v>
      </c>
      <c r="W504" s="69">
        <v>0</v>
      </c>
    </row>
    <row r="505" spans="1:23" ht="15.75" x14ac:dyDescent="0.2">
      <c r="A505" s="137" t="s">
        <v>150</v>
      </c>
      <c r="B505" s="149" t="s">
        <v>45</v>
      </c>
      <c r="C505" s="101" t="s">
        <v>7</v>
      </c>
      <c r="D505" s="69">
        <f t="shared" si="238"/>
        <v>11185.6</v>
      </c>
      <c r="E505" s="69">
        <f t="shared" ref="E505:O505" si="247">E506+E507+E508+E511</f>
        <v>3437.4</v>
      </c>
      <c r="F505" s="69">
        <f t="shared" si="247"/>
        <v>2000</v>
      </c>
      <c r="G505" s="69">
        <f t="shared" si="247"/>
        <v>2000</v>
      </c>
      <c r="H505" s="69">
        <f t="shared" si="247"/>
        <v>1905.6</v>
      </c>
      <c r="I505" s="69">
        <f t="shared" si="247"/>
        <v>698.69999999999993</v>
      </c>
      <c r="J505" s="69">
        <f t="shared" si="247"/>
        <v>599</v>
      </c>
      <c r="K505" s="69">
        <f t="shared" si="247"/>
        <v>544.9</v>
      </c>
      <c r="L505" s="69">
        <f t="shared" si="247"/>
        <v>0</v>
      </c>
      <c r="M505" s="69">
        <f t="shared" si="247"/>
        <v>0</v>
      </c>
      <c r="N505" s="69">
        <f t="shared" si="247"/>
        <v>0</v>
      </c>
      <c r="O505" s="69">
        <f t="shared" si="247"/>
        <v>0</v>
      </c>
      <c r="W505" s="69">
        <f t="shared" ref="W505" si="248">W506+W507+W508+W511</f>
        <v>0</v>
      </c>
    </row>
    <row r="506" spans="1:23" ht="40.5" customHeight="1" x14ac:dyDescent="0.2">
      <c r="A506" s="137"/>
      <c r="B506" s="149"/>
      <c r="C506" s="101" t="s">
        <v>10</v>
      </c>
      <c r="D506" s="69">
        <f t="shared" si="238"/>
        <v>0</v>
      </c>
      <c r="E506" s="69">
        <v>0</v>
      </c>
      <c r="F506" s="69">
        <v>0</v>
      </c>
      <c r="G506" s="69">
        <v>0</v>
      </c>
      <c r="H506" s="69">
        <v>0</v>
      </c>
      <c r="I506" s="69">
        <v>0</v>
      </c>
      <c r="J506" s="69">
        <v>0</v>
      </c>
      <c r="K506" s="69">
        <v>0</v>
      </c>
      <c r="L506" s="69">
        <v>0</v>
      </c>
      <c r="M506" s="69">
        <v>0</v>
      </c>
      <c r="N506" s="69">
        <v>0</v>
      </c>
      <c r="O506" s="69">
        <v>0</v>
      </c>
      <c r="W506" s="69">
        <v>0</v>
      </c>
    </row>
    <row r="507" spans="1:23" ht="21" customHeight="1" x14ac:dyDescent="0.2">
      <c r="A507" s="137"/>
      <c r="B507" s="149"/>
      <c r="C507" s="101" t="s">
        <v>11</v>
      </c>
      <c r="D507" s="69">
        <f t="shared" si="238"/>
        <v>0</v>
      </c>
      <c r="E507" s="69">
        <v>0</v>
      </c>
      <c r="F507" s="69">
        <v>0</v>
      </c>
      <c r="G507" s="69">
        <v>0</v>
      </c>
      <c r="H507" s="69">
        <v>0</v>
      </c>
      <c r="I507" s="69">
        <v>0</v>
      </c>
      <c r="J507" s="69">
        <v>0</v>
      </c>
      <c r="K507" s="69">
        <v>0</v>
      </c>
      <c r="L507" s="69">
        <v>0</v>
      </c>
      <c r="M507" s="69">
        <v>0</v>
      </c>
      <c r="N507" s="69">
        <v>0</v>
      </c>
      <c r="O507" s="69">
        <v>0</v>
      </c>
      <c r="W507" s="69">
        <v>0</v>
      </c>
    </row>
    <row r="508" spans="1:23" ht="17.25" customHeight="1" x14ac:dyDescent="0.2">
      <c r="A508" s="137"/>
      <c r="B508" s="149"/>
      <c r="C508" s="101" t="s">
        <v>65</v>
      </c>
      <c r="D508" s="69">
        <f t="shared" si="238"/>
        <v>11185.6</v>
      </c>
      <c r="E508" s="69">
        <v>3437.4</v>
      </c>
      <c r="F508" s="69">
        <v>2000</v>
      </c>
      <c r="G508" s="69">
        <v>2000</v>
      </c>
      <c r="H508" s="69">
        <v>1905.6</v>
      </c>
      <c r="I508" s="69">
        <f>734.4-35.7</f>
        <v>698.69999999999993</v>
      </c>
      <c r="J508" s="69">
        <f>1907.8-800-508.8</f>
        <v>599</v>
      </c>
      <c r="K508" s="69">
        <f>775.5-230.6</f>
        <v>544.9</v>
      </c>
      <c r="L508" s="69">
        <f>181.4-181.4+181.4-181.4</f>
        <v>0</v>
      </c>
      <c r="M508" s="69">
        <f>192.3-192.3</f>
        <v>0</v>
      </c>
      <c r="N508" s="69">
        <f>193.3-193.3</f>
        <v>0</v>
      </c>
      <c r="O508" s="69">
        <f>866.6-866.6</f>
        <v>0</v>
      </c>
      <c r="W508" s="69">
        <f>866.6-866.6</f>
        <v>0</v>
      </c>
    </row>
    <row r="509" spans="1:23" ht="17.25" customHeight="1" x14ac:dyDescent="0.2">
      <c r="A509" s="137"/>
      <c r="B509" s="149"/>
      <c r="C509" s="74" t="s">
        <v>79</v>
      </c>
      <c r="D509" s="69">
        <f t="shared" si="238"/>
        <v>3631.3</v>
      </c>
      <c r="E509" s="71">
        <v>2932.6</v>
      </c>
      <c r="F509" s="71">
        <v>0</v>
      </c>
      <c r="G509" s="71">
        <v>0</v>
      </c>
      <c r="H509" s="71">
        <v>0</v>
      </c>
      <c r="I509" s="71">
        <v>698.7</v>
      </c>
      <c r="J509" s="71">
        <v>0</v>
      </c>
      <c r="K509" s="71">
        <v>0</v>
      </c>
      <c r="L509" s="71">
        <v>0</v>
      </c>
      <c r="M509" s="71">
        <v>0</v>
      </c>
      <c r="N509" s="71">
        <v>0</v>
      </c>
      <c r="O509" s="71">
        <v>0</v>
      </c>
      <c r="W509" s="71">
        <v>0</v>
      </c>
    </row>
    <row r="510" spans="1:23" ht="21" customHeight="1" x14ac:dyDescent="0.2">
      <c r="A510" s="137"/>
      <c r="B510" s="149"/>
      <c r="C510" s="74" t="s">
        <v>81</v>
      </c>
      <c r="D510" s="69">
        <f t="shared" si="238"/>
        <v>475.5</v>
      </c>
      <c r="E510" s="69">
        <v>0</v>
      </c>
      <c r="F510" s="69">
        <v>0</v>
      </c>
      <c r="G510" s="69">
        <v>0</v>
      </c>
      <c r="H510" s="69">
        <v>475.5</v>
      </c>
      <c r="I510" s="69">
        <v>0</v>
      </c>
      <c r="J510" s="69">
        <v>0</v>
      </c>
      <c r="K510" s="69">
        <v>0</v>
      </c>
      <c r="L510" s="69">
        <v>0</v>
      </c>
      <c r="M510" s="69">
        <v>0</v>
      </c>
      <c r="N510" s="69">
        <v>0</v>
      </c>
      <c r="O510" s="69">
        <v>0</v>
      </c>
      <c r="W510" s="69">
        <v>0</v>
      </c>
    </row>
    <row r="511" spans="1:23" ht="37.5" customHeight="1" x14ac:dyDescent="0.2">
      <c r="A511" s="137"/>
      <c r="B511" s="149"/>
      <c r="C511" s="101" t="s">
        <v>13</v>
      </c>
      <c r="D511" s="69">
        <f t="shared" si="238"/>
        <v>0</v>
      </c>
      <c r="E511" s="69">
        <v>0</v>
      </c>
      <c r="F511" s="69">
        <v>0</v>
      </c>
      <c r="G511" s="69">
        <v>0</v>
      </c>
      <c r="H511" s="69">
        <v>0</v>
      </c>
      <c r="I511" s="69">
        <v>0</v>
      </c>
      <c r="J511" s="69">
        <v>0</v>
      </c>
      <c r="K511" s="69">
        <v>0</v>
      </c>
      <c r="L511" s="69">
        <v>0</v>
      </c>
      <c r="M511" s="69">
        <v>0</v>
      </c>
      <c r="N511" s="69">
        <v>0</v>
      </c>
      <c r="O511" s="69">
        <v>0</v>
      </c>
      <c r="W511" s="69">
        <v>0</v>
      </c>
    </row>
    <row r="512" spans="1:23" ht="15.75" x14ac:dyDescent="0.2">
      <c r="A512" s="137" t="s">
        <v>151</v>
      </c>
      <c r="B512" s="149" t="s">
        <v>50</v>
      </c>
      <c r="C512" s="101" t="s">
        <v>7</v>
      </c>
      <c r="D512" s="69">
        <f t="shared" si="238"/>
        <v>1654.5000000000002</v>
      </c>
      <c r="E512" s="69">
        <f t="shared" ref="E512:O512" si="249">E513+E514+E515+E516</f>
        <v>304.5</v>
      </c>
      <c r="F512" s="69">
        <f t="shared" si="249"/>
        <v>450</v>
      </c>
      <c r="G512" s="69">
        <f t="shared" si="249"/>
        <v>262.10000000000002</v>
      </c>
      <c r="H512" s="69">
        <f t="shared" si="249"/>
        <v>93.4</v>
      </c>
      <c r="I512" s="69">
        <f t="shared" si="249"/>
        <v>346.4</v>
      </c>
      <c r="J512" s="69">
        <f t="shared" si="249"/>
        <v>0</v>
      </c>
      <c r="K512" s="69">
        <f t="shared" si="249"/>
        <v>0</v>
      </c>
      <c r="L512" s="69">
        <f t="shared" si="249"/>
        <v>0</v>
      </c>
      <c r="M512" s="69">
        <f t="shared" si="249"/>
        <v>0</v>
      </c>
      <c r="N512" s="69">
        <f t="shared" si="249"/>
        <v>66.7</v>
      </c>
      <c r="O512" s="69">
        <f t="shared" si="249"/>
        <v>65.699999999999989</v>
      </c>
      <c r="W512" s="69">
        <f t="shared" ref="W512" si="250">W513+W514+W515+W516</f>
        <v>65.7</v>
      </c>
    </row>
    <row r="513" spans="1:23" ht="15.75" x14ac:dyDescent="0.2">
      <c r="A513" s="137"/>
      <c r="B513" s="149"/>
      <c r="C513" s="101" t="s">
        <v>10</v>
      </c>
      <c r="D513" s="69">
        <f t="shared" si="238"/>
        <v>0</v>
      </c>
      <c r="E513" s="69">
        <v>0</v>
      </c>
      <c r="F513" s="69">
        <v>0</v>
      </c>
      <c r="G513" s="69">
        <v>0</v>
      </c>
      <c r="H513" s="69">
        <v>0</v>
      </c>
      <c r="I513" s="69">
        <v>0</v>
      </c>
      <c r="J513" s="69">
        <v>0</v>
      </c>
      <c r="K513" s="69">
        <v>0</v>
      </c>
      <c r="L513" s="69">
        <v>0</v>
      </c>
      <c r="M513" s="69">
        <v>0</v>
      </c>
      <c r="N513" s="69">
        <v>0</v>
      </c>
      <c r="O513" s="69">
        <v>0</v>
      </c>
      <c r="W513" s="69">
        <v>0</v>
      </c>
    </row>
    <row r="514" spans="1:23" ht="15.75" x14ac:dyDescent="0.2">
      <c r="A514" s="137"/>
      <c r="B514" s="149"/>
      <c r="C514" s="101" t="s">
        <v>11</v>
      </c>
      <c r="D514" s="69">
        <f t="shared" si="238"/>
        <v>0</v>
      </c>
      <c r="E514" s="69">
        <v>0</v>
      </c>
      <c r="F514" s="69">
        <v>0</v>
      </c>
      <c r="G514" s="69">
        <v>0</v>
      </c>
      <c r="H514" s="69">
        <v>0</v>
      </c>
      <c r="I514" s="69">
        <v>0</v>
      </c>
      <c r="J514" s="69">
        <v>0</v>
      </c>
      <c r="K514" s="69">
        <v>0</v>
      </c>
      <c r="L514" s="69">
        <v>0</v>
      </c>
      <c r="M514" s="69">
        <v>0</v>
      </c>
      <c r="N514" s="69">
        <v>0</v>
      </c>
      <c r="O514" s="69">
        <v>0</v>
      </c>
      <c r="W514" s="69">
        <v>0</v>
      </c>
    </row>
    <row r="515" spans="1:23" ht="15.75" x14ac:dyDescent="0.2">
      <c r="A515" s="137"/>
      <c r="B515" s="149"/>
      <c r="C515" s="101" t="s">
        <v>12</v>
      </c>
      <c r="D515" s="69">
        <f t="shared" si="238"/>
        <v>1654.5000000000002</v>
      </c>
      <c r="E515" s="69">
        <v>304.5</v>
      </c>
      <c r="F515" s="69">
        <v>450</v>
      </c>
      <c r="G515" s="69">
        <v>262.10000000000002</v>
      </c>
      <c r="H515" s="69">
        <v>93.4</v>
      </c>
      <c r="I515" s="69">
        <f>504.9-158.5</f>
        <v>346.4</v>
      </c>
      <c r="J515" s="69">
        <f>227.7-227.7</f>
        <v>0</v>
      </c>
      <c r="K515" s="69">
        <f>420-320-100</f>
        <v>0</v>
      </c>
      <c r="L515" s="69">
        <f>56.6-56.6+56.6-56.6</f>
        <v>0</v>
      </c>
      <c r="M515" s="69">
        <f>75-4.2-70.8+70.8-70.8</f>
        <v>0</v>
      </c>
      <c r="N515" s="69">
        <f>60.3+6.4</f>
        <v>66.7</v>
      </c>
      <c r="O515" s="69">
        <f>139.2-73.5</f>
        <v>65.699999999999989</v>
      </c>
      <c r="W515" s="69">
        <v>65.7</v>
      </c>
    </row>
    <row r="516" spans="1:23" ht="15" customHeight="1" x14ac:dyDescent="0.2">
      <c r="A516" s="137"/>
      <c r="B516" s="149"/>
      <c r="C516" s="101" t="s">
        <v>13</v>
      </c>
      <c r="D516" s="69">
        <f t="shared" si="238"/>
        <v>0</v>
      </c>
      <c r="E516" s="69">
        <v>0</v>
      </c>
      <c r="F516" s="69">
        <v>0</v>
      </c>
      <c r="G516" s="69">
        <v>0</v>
      </c>
      <c r="H516" s="69">
        <v>0</v>
      </c>
      <c r="I516" s="69">
        <v>0</v>
      </c>
      <c r="J516" s="69">
        <v>0</v>
      </c>
      <c r="K516" s="69">
        <v>0</v>
      </c>
      <c r="L516" s="69">
        <v>0</v>
      </c>
      <c r="M516" s="69">
        <v>0</v>
      </c>
      <c r="N516" s="69">
        <v>0</v>
      </c>
      <c r="O516" s="69">
        <v>0</v>
      </c>
      <c r="W516" s="69">
        <v>0</v>
      </c>
    </row>
    <row r="517" spans="1:23" ht="15.75" x14ac:dyDescent="0.2">
      <c r="A517" s="137" t="s">
        <v>276</v>
      </c>
      <c r="B517" s="149" t="s">
        <v>274</v>
      </c>
      <c r="C517" s="84" t="s">
        <v>7</v>
      </c>
      <c r="D517" s="69">
        <f t="shared" si="238"/>
        <v>24217.200000000001</v>
      </c>
      <c r="E517" s="83">
        <f>E518+E519+E520+E521</f>
        <v>0</v>
      </c>
      <c r="F517" s="83">
        <f t="shared" ref="F517:O517" si="251">F518+F519+F520+F521</f>
        <v>0</v>
      </c>
      <c r="G517" s="83">
        <f t="shared" si="251"/>
        <v>0</v>
      </c>
      <c r="H517" s="83">
        <f t="shared" si="251"/>
        <v>0</v>
      </c>
      <c r="I517" s="83">
        <f t="shared" si="251"/>
        <v>12513.5</v>
      </c>
      <c r="J517" s="83">
        <f t="shared" si="251"/>
        <v>7876.2999999999993</v>
      </c>
      <c r="K517" s="83">
        <f t="shared" si="251"/>
        <v>3827.4</v>
      </c>
      <c r="L517" s="83">
        <f t="shared" si="251"/>
        <v>0</v>
      </c>
      <c r="M517" s="83">
        <f t="shared" si="251"/>
        <v>0</v>
      </c>
      <c r="N517" s="83">
        <f t="shared" si="251"/>
        <v>0</v>
      </c>
      <c r="O517" s="83">
        <f t="shared" si="251"/>
        <v>0</v>
      </c>
      <c r="W517" s="83">
        <f t="shared" ref="W517" si="252">W518+W519+W520+W521</f>
        <v>0</v>
      </c>
    </row>
    <row r="518" spans="1:23" ht="15.75" x14ac:dyDescent="0.2">
      <c r="A518" s="137"/>
      <c r="B518" s="150"/>
      <c r="C518" s="96" t="s">
        <v>10</v>
      </c>
      <c r="D518" s="69">
        <f t="shared" si="238"/>
        <v>0</v>
      </c>
      <c r="E518" s="83">
        <v>0</v>
      </c>
      <c r="F518" s="83">
        <v>0</v>
      </c>
      <c r="G518" s="83">
        <v>0</v>
      </c>
      <c r="H518" s="83">
        <v>0</v>
      </c>
      <c r="I518" s="83">
        <v>0</v>
      </c>
      <c r="J518" s="83">
        <v>0</v>
      </c>
      <c r="K518" s="83">
        <v>0</v>
      </c>
      <c r="L518" s="83">
        <v>0</v>
      </c>
      <c r="M518" s="83">
        <v>0</v>
      </c>
      <c r="N518" s="83">
        <v>0</v>
      </c>
      <c r="O518" s="83">
        <v>0</v>
      </c>
      <c r="W518" s="83">
        <v>0</v>
      </c>
    </row>
    <row r="519" spans="1:23" ht="15.75" x14ac:dyDescent="0.2">
      <c r="A519" s="137"/>
      <c r="B519" s="150"/>
      <c r="C519" s="96" t="s">
        <v>11</v>
      </c>
      <c r="D519" s="69">
        <f t="shared" si="238"/>
        <v>22235.8</v>
      </c>
      <c r="E519" s="83">
        <v>0</v>
      </c>
      <c r="F519" s="83">
        <v>0</v>
      </c>
      <c r="G519" s="83">
        <v>0</v>
      </c>
      <c r="H519" s="83">
        <v>0</v>
      </c>
      <c r="I519" s="83">
        <v>11234.3</v>
      </c>
      <c r="J519" s="83">
        <v>7403.7</v>
      </c>
      <c r="K519" s="83">
        <v>3597.8</v>
      </c>
      <c r="L519" s="83">
        <v>0</v>
      </c>
      <c r="M519" s="83">
        <v>0</v>
      </c>
      <c r="N519" s="83">
        <v>0</v>
      </c>
      <c r="O519" s="83">
        <v>0</v>
      </c>
      <c r="W519" s="83">
        <v>0</v>
      </c>
    </row>
    <row r="520" spans="1:23" ht="25.5" customHeight="1" x14ac:dyDescent="0.2">
      <c r="A520" s="137"/>
      <c r="B520" s="150"/>
      <c r="C520" s="96" t="s">
        <v>12</v>
      </c>
      <c r="D520" s="69">
        <f t="shared" si="238"/>
        <v>1981.3999999999999</v>
      </c>
      <c r="E520" s="83">
        <v>0</v>
      </c>
      <c r="F520" s="83">
        <v>0</v>
      </c>
      <c r="G520" s="83">
        <v>0</v>
      </c>
      <c r="H520" s="83">
        <v>0</v>
      </c>
      <c r="I520" s="83">
        <f>1850-570.8</f>
        <v>1279.2</v>
      </c>
      <c r="J520" s="83">
        <f>3000-545.9-1981.5</f>
        <v>472.59999999999991</v>
      </c>
      <c r="K520" s="83">
        <v>229.6</v>
      </c>
      <c r="L520" s="83">
        <f>61.2-61.2</f>
        <v>0</v>
      </c>
      <c r="M520" s="83">
        <v>0</v>
      </c>
      <c r="N520" s="83">
        <v>0</v>
      </c>
      <c r="O520" s="83">
        <v>0</v>
      </c>
      <c r="W520" s="83">
        <v>0</v>
      </c>
    </row>
    <row r="521" spans="1:23" ht="21.75" customHeight="1" x14ac:dyDescent="0.2">
      <c r="A521" s="137"/>
      <c r="B521" s="150"/>
      <c r="C521" s="96" t="s">
        <v>13</v>
      </c>
      <c r="D521" s="69">
        <f t="shared" si="238"/>
        <v>0</v>
      </c>
      <c r="E521" s="83">
        <v>0</v>
      </c>
      <c r="F521" s="83">
        <v>0</v>
      </c>
      <c r="G521" s="83">
        <v>0</v>
      </c>
      <c r="H521" s="83">
        <v>0</v>
      </c>
      <c r="I521" s="83">
        <v>0</v>
      </c>
      <c r="J521" s="83">
        <v>0</v>
      </c>
      <c r="K521" s="83">
        <v>0</v>
      </c>
      <c r="L521" s="83">
        <v>0</v>
      </c>
      <c r="M521" s="83">
        <v>0</v>
      </c>
      <c r="N521" s="83">
        <v>0</v>
      </c>
      <c r="O521" s="83">
        <v>0</v>
      </c>
      <c r="W521" s="83">
        <v>0</v>
      </c>
    </row>
    <row r="522" spans="1:23" ht="18" hidden="1" customHeight="1" x14ac:dyDescent="0.2">
      <c r="A522" s="137"/>
      <c r="B522" s="149" t="s">
        <v>289</v>
      </c>
      <c r="C522" s="84" t="s">
        <v>7</v>
      </c>
      <c r="D522" s="69">
        <f t="shared" si="238"/>
        <v>0</v>
      </c>
      <c r="E522" s="83">
        <f>E523+E524+E525+E526</f>
        <v>0</v>
      </c>
      <c r="F522" s="83">
        <f t="shared" ref="F522:O522" si="253">F523+F524+F525+F526</f>
        <v>0</v>
      </c>
      <c r="G522" s="83">
        <f t="shared" si="253"/>
        <v>0</v>
      </c>
      <c r="H522" s="83">
        <f t="shared" si="253"/>
        <v>0</v>
      </c>
      <c r="I522" s="83">
        <f t="shared" si="253"/>
        <v>0</v>
      </c>
      <c r="J522" s="83">
        <f t="shared" si="253"/>
        <v>0</v>
      </c>
      <c r="K522" s="83">
        <f t="shared" si="253"/>
        <v>0</v>
      </c>
      <c r="L522" s="83">
        <f t="shared" si="253"/>
        <v>0</v>
      </c>
      <c r="M522" s="83">
        <f t="shared" si="253"/>
        <v>0</v>
      </c>
      <c r="N522" s="83">
        <f t="shared" si="253"/>
        <v>0</v>
      </c>
      <c r="O522" s="83">
        <f t="shared" si="253"/>
        <v>0</v>
      </c>
      <c r="W522" s="83">
        <f t="shared" ref="W522" si="254">W523+W524+W525+W526</f>
        <v>0</v>
      </c>
    </row>
    <row r="523" spans="1:23" ht="18" hidden="1" customHeight="1" x14ac:dyDescent="0.2">
      <c r="A523" s="137"/>
      <c r="B523" s="150"/>
      <c r="C523" s="96" t="s">
        <v>10</v>
      </c>
      <c r="D523" s="69">
        <f t="shared" si="238"/>
        <v>0</v>
      </c>
      <c r="E523" s="83">
        <v>0</v>
      </c>
      <c r="F523" s="83">
        <v>0</v>
      </c>
      <c r="G523" s="83">
        <v>0</v>
      </c>
      <c r="H523" s="83">
        <v>0</v>
      </c>
      <c r="I523" s="83">
        <v>0</v>
      </c>
      <c r="J523" s="83">
        <v>0</v>
      </c>
      <c r="K523" s="83">
        <v>0</v>
      </c>
      <c r="L523" s="83">
        <v>0</v>
      </c>
      <c r="M523" s="83">
        <v>0</v>
      </c>
      <c r="N523" s="83">
        <v>0</v>
      </c>
      <c r="O523" s="83">
        <v>0</v>
      </c>
      <c r="W523" s="83">
        <v>0</v>
      </c>
    </row>
    <row r="524" spans="1:23" ht="18" hidden="1" customHeight="1" x14ac:dyDescent="0.2">
      <c r="A524" s="137"/>
      <c r="B524" s="150"/>
      <c r="C524" s="96" t="s">
        <v>11</v>
      </c>
      <c r="D524" s="69">
        <f t="shared" si="238"/>
        <v>0</v>
      </c>
      <c r="E524" s="83">
        <v>0</v>
      </c>
      <c r="F524" s="83">
        <v>0</v>
      </c>
      <c r="G524" s="83">
        <v>0</v>
      </c>
      <c r="H524" s="83">
        <v>0</v>
      </c>
      <c r="I524" s="83">
        <v>0</v>
      </c>
      <c r="J524" s="83">
        <v>0</v>
      </c>
      <c r="K524" s="83">
        <v>0</v>
      </c>
      <c r="L524" s="83">
        <v>0</v>
      </c>
      <c r="M524" s="83">
        <v>0</v>
      </c>
      <c r="N524" s="83">
        <v>0</v>
      </c>
      <c r="O524" s="83">
        <v>0</v>
      </c>
      <c r="W524" s="83">
        <v>0</v>
      </c>
    </row>
    <row r="525" spans="1:23" ht="18" hidden="1" customHeight="1" x14ac:dyDescent="0.2">
      <c r="A525" s="137"/>
      <c r="B525" s="150"/>
      <c r="C525" s="96" t="s">
        <v>12</v>
      </c>
      <c r="D525" s="69">
        <f t="shared" si="238"/>
        <v>0</v>
      </c>
      <c r="E525" s="83">
        <v>0</v>
      </c>
      <c r="F525" s="83">
        <v>0</v>
      </c>
      <c r="G525" s="83">
        <v>0</v>
      </c>
      <c r="H525" s="83">
        <v>0</v>
      </c>
      <c r="I525" s="83">
        <v>0</v>
      </c>
      <c r="J525" s="83">
        <v>0</v>
      </c>
      <c r="K525" s="83">
        <v>0</v>
      </c>
      <c r="L525" s="83">
        <v>0</v>
      </c>
      <c r="M525" s="83">
        <v>0</v>
      </c>
      <c r="N525" s="83">
        <v>0</v>
      </c>
      <c r="O525" s="83">
        <f>N525*104%</f>
        <v>0</v>
      </c>
      <c r="W525" s="83">
        <f>V525*104%</f>
        <v>0</v>
      </c>
    </row>
    <row r="526" spans="1:23" ht="33" hidden="1" customHeight="1" x14ac:dyDescent="0.2">
      <c r="A526" s="137"/>
      <c r="B526" s="150"/>
      <c r="C526" s="96" t="s">
        <v>13</v>
      </c>
      <c r="D526" s="69">
        <f t="shared" si="238"/>
        <v>0</v>
      </c>
      <c r="E526" s="83">
        <v>0</v>
      </c>
      <c r="F526" s="83">
        <v>0</v>
      </c>
      <c r="G526" s="83">
        <v>0</v>
      </c>
      <c r="H526" s="83">
        <v>0</v>
      </c>
      <c r="I526" s="83">
        <v>0</v>
      </c>
      <c r="J526" s="83">
        <v>0</v>
      </c>
      <c r="K526" s="83">
        <v>0</v>
      </c>
      <c r="L526" s="83">
        <v>0</v>
      </c>
      <c r="M526" s="83">
        <v>0</v>
      </c>
      <c r="N526" s="83">
        <v>0</v>
      </c>
      <c r="O526" s="83">
        <v>0</v>
      </c>
      <c r="W526" s="83">
        <v>0</v>
      </c>
    </row>
    <row r="527" spans="1:23" ht="18" customHeight="1" x14ac:dyDescent="0.2">
      <c r="A527" s="137" t="s">
        <v>291</v>
      </c>
      <c r="B527" s="152" t="s">
        <v>403</v>
      </c>
      <c r="C527" s="84" t="s">
        <v>7</v>
      </c>
      <c r="D527" s="69">
        <f t="shared" si="238"/>
        <v>1052.5999999999999</v>
      </c>
      <c r="E527" s="83">
        <f>E528+E529+E530+E531</f>
        <v>0</v>
      </c>
      <c r="F527" s="83">
        <f t="shared" ref="F527:O527" si="255">F528+F529+F530+F531</f>
        <v>0</v>
      </c>
      <c r="G527" s="83">
        <f t="shared" si="255"/>
        <v>0</v>
      </c>
      <c r="H527" s="83">
        <f t="shared" si="255"/>
        <v>0</v>
      </c>
      <c r="I527" s="83">
        <f t="shared" si="255"/>
        <v>0</v>
      </c>
      <c r="J527" s="83">
        <f t="shared" si="255"/>
        <v>0</v>
      </c>
      <c r="K527" s="83">
        <f t="shared" si="255"/>
        <v>1052.5999999999999</v>
      </c>
      <c r="L527" s="83">
        <f t="shared" si="255"/>
        <v>0</v>
      </c>
      <c r="M527" s="83">
        <f t="shared" si="255"/>
        <v>0</v>
      </c>
      <c r="N527" s="83">
        <f t="shared" si="255"/>
        <v>0</v>
      </c>
      <c r="O527" s="83">
        <f t="shared" si="255"/>
        <v>0</v>
      </c>
      <c r="W527" s="83">
        <f t="shared" ref="W527" si="256">W528+W529+W530+W531</f>
        <v>0</v>
      </c>
    </row>
    <row r="528" spans="1:23" ht="18" customHeight="1" x14ac:dyDescent="0.2">
      <c r="A528" s="137"/>
      <c r="B528" s="153"/>
      <c r="C528" s="96" t="s">
        <v>10</v>
      </c>
      <c r="D528" s="69">
        <f t="shared" si="238"/>
        <v>0</v>
      </c>
      <c r="E528" s="83">
        <v>0</v>
      </c>
      <c r="F528" s="83">
        <v>0</v>
      </c>
      <c r="G528" s="83">
        <v>0</v>
      </c>
      <c r="H528" s="83">
        <v>0</v>
      </c>
      <c r="I528" s="83">
        <v>0</v>
      </c>
      <c r="J528" s="83">
        <v>0</v>
      </c>
      <c r="K528" s="83">
        <v>0</v>
      </c>
      <c r="L528" s="83">
        <v>0</v>
      </c>
      <c r="M528" s="83">
        <v>0</v>
      </c>
      <c r="N528" s="83">
        <v>0</v>
      </c>
      <c r="O528" s="83">
        <v>0</v>
      </c>
      <c r="W528" s="83">
        <v>0</v>
      </c>
    </row>
    <row r="529" spans="1:23" ht="18" customHeight="1" x14ac:dyDescent="0.2">
      <c r="A529" s="137"/>
      <c r="B529" s="153"/>
      <c r="C529" s="96" t="s">
        <v>11</v>
      </c>
      <c r="D529" s="69">
        <f t="shared" si="238"/>
        <v>0</v>
      </c>
      <c r="E529" s="83">
        <v>0</v>
      </c>
      <c r="F529" s="83">
        <v>0</v>
      </c>
      <c r="G529" s="83">
        <v>0</v>
      </c>
      <c r="H529" s="83">
        <v>0</v>
      </c>
      <c r="I529" s="83">
        <v>0</v>
      </c>
      <c r="J529" s="83">
        <v>0</v>
      </c>
      <c r="K529" s="83">
        <v>0</v>
      </c>
      <c r="L529" s="83">
        <v>0</v>
      </c>
      <c r="M529" s="83">
        <v>0</v>
      </c>
      <c r="N529" s="83">
        <v>0</v>
      </c>
      <c r="O529" s="83">
        <v>0</v>
      </c>
      <c r="W529" s="83">
        <v>0</v>
      </c>
    </row>
    <row r="530" spans="1:23" ht="18" customHeight="1" x14ac:dyDescent="0.2">
      <c r="A530" s="137"/>
      <c r="B530" s="153"/>
      <c r="C530" s="96" t="s">
        <v>12</v>
      </c>
      <c r="D530" s="69">
        <f t="shared" si="238"/>
        <v>1052.5999999999999</v>
      </c>
      <c r="E530" s="83">
        <v>0</v>
      </c>
      <c r="F530" s="83">
        <v>0</v>
      </c>
      <c r="G530" s="83">
        <v>0</v>
      </c>
      <c r="H530" s="83">
        <v>0</v>
      </c>
      <c r="I530" s="83">
        <v>0</v>
      </c>
      <c r="J530" s="83">
        <v>0</v>
      </c>
      <c r="K530" s="83">
        <v>1052.5999999999999</v>
      </c>
      <c r="L530" s="83">
        <v>0</v>
      </c>
      <c r="M530" s="83">
        <v>0</v>
      </c>
      <c r="N530" s="83">
        <v>0</v>
      </c>
      <c r="O530" s="83">
        <v>0</v>
      </c>
      <c r="W530" s="83">
        <v>0</v>
      </c>
    </row>
    <row r="531" spans="1:23" ht="49.5" customHeight="1" x14ac:dyDescent="0.2">
      <c r="A531" s="137"/>
      <c r="B531" s="154"/>
      <c r="C531" s="96" t="s">
        <v>13</v>
      </c>
      <c r="D531" s="69">
        <f t="shared" si="238"/>
        <v>0</v>
      </c>
      <c r="E531" s="83">
        <v>0</v>
      </c>
      <c r="F531" s="83">
        <v>0</v>
      </c>
      <c r="G531" s="83">
        <v>0</v>
      </c>
      <c r="H531" s="83">
        <v>0</v>
      </c>
      <c r="I531" s="83">
        <v>0</v>
      </c>
      <c r="J531" s="83">
        <v>0</v>
      </c>
      <c r="K531" s="83">
        <v>0</v>
      </c>
      <c r="L531" s="83">
        <v>0</v>
      </c>
      <c r="M531" s="83">
        <v>0</v>
      </c>
      <c r="N531" s="83">
        <v>0</v>
      </c>
      <c r="O531" s="83">
        <v>0</v>
      </c>
      <c r="W531" s="83">
        <v>0</v>
      </c>
    </row>
    <row r="532" spans="1:23" ht="15.75" x14ac:dyDescent="0.2">
      <c r="A532" s="137" t="s">
        <v>434</v>
      </c>
      <c r="B532" s="138" t="s">
        <v>433</v>
      </c>
      <c r="C532" s="84" t="s">
        <v>7</v>
      </c>
      <c r="D532" s="69">
        <f t="shared" si="238"/>
        <v>1285.4000000000003</v>
      </c>
      <c r="E532" s="83">
        <f>E533+E534+E535+E536</f>
        <v>0</v>
      </c>
      <c r="F532" s="83">
        <f t="shared" ref="F532:H532" si="257">F533+F534+F535+F536</f>
        <v>0</v>
      </c>
      <c r="G532" s="83">
        <f t="shared" si="257"/>
        <v>0</v>
      </c>
      <c r="H532" s="83">
        <f t="shared" si="257"/>
        <v>0</v>
      </c>
      <c r="I532" s="83">
        <f>I533+I534+I535+I536</f>
        <v>0</v>
      </c>
      <c r="J532" s="83">
        <f t="shared" ref="J532:O532" si="258">J533+J534+J535+J536</f>
        <v>0</v>
      </c>
      <c r="K532" s="83">
        <f t="shared" si="258"/>
        <v>0</v>
      </c>
      <c r="L532" s="83">
        <f t="shared" si="258"/>
        <v>1285.4000000000003</v>
      </c>
      <c r="M532" s="83">
        <f t="shared" si="258"/>
        <v>0</v>
      </c>
      <c r="N532" s="83">
        <f t="shared" si="258"/>
        <v>0</v>
      </c>
      <c r="O532" s="83">
        <f t="shared" si="258"/>
        <v>0</v>
      </c>
      <c r="W532" s="83">
        <f t="shared" ref="W532" si="259">W533+W534+W535+W536</f>
        <v>0</v>
      </c>
    </row>
    <row r="533" spans="1:23" ht="15.75" x14ac:dyDescent="0.2">
      <c r="A533" s="137"/>
      <c r="B533" s="139"/>
      <c r="C533" s="96" t="s">
        <v>10</v>
      </c>
      <c r="D533" s="69">
        <f t="shared" si="238"/>
        <v>0</v>
      </c>
      <c r="E533" s="83">
        <v>0</v>
      </c>
      <c r="F533" s="83">
        <v>0</v>
      </c>
      <c r="G533" s="83">
        <v>0</v>
      </c>
      <c r="H533" s="83">
        <v>0</v>
      </c>
      <c r="I533" s="83">
        <v>0</v>
      </c>
      <c r="J533" s="83">
        <v>0</v>
      </c>
      <c r="K533" s="83">
        <v>0</v>
      </c>
      <c r="L533" s="83">
        <v>0</v>
      </c>
      <c r="M533" s="83">
        <v>0</v>
      </c>
      <c r="N533" s="83">
        <v>0</v>
      </c>
      <c r="O533" s="83">
        <v>0</v>
      </c>
      <c r="W533" s="83">
        <v>0</v>
      </c>
    </row>
    <row r="534" spans="1:23" ht="15.75" x14ac:dyDescent="0.2">
      <c r="A534" s="137"/>
      <c r="B534" s="139"/>
      <c r="C534" s="96" t="s">
        <v>11</v>
      </c>
      <c r="D534" s="69">
        <f t="shared" si="238"/>
        <v>0</v>
      </c>
      <c r="E534" s="83">
        <v>0</v>
      </c>
      <c r="F534" s="83">
        <v>0</v>
      </c>
      <c r="G534" s="83">
        <v>0</v>
      </c>
      <c r="H534" s="83">
        <v>0</v>
      </c>
      <c r="I534" s="83">
        <v>0</v>
      </c>
      <c r="J534" s="83">
        <v>0</v>
      </c>
      <c r="K534" s="83">
        <v>0</v>
      </c>
      <c r="L534" s="83">
        <v>0</v>
      </c>
      <c r="M534" s="83">
        <v>0</v>
      </c>
      <c r="N534" s="83">
        <v>0</v>
      </c>
      <c r="O534" s="83">
        <v>0</v>
      </c>
      <c r="W534" s="83">
        <v>0</v>
      </c>
    </row>
    <row r="535" spans="1:23" ht="15.75" x14ac:dyDescent="0.2">
      <c r="A535" s="137"/>
      <c r="B535" s="139"/>
      <c r="C535" s="96" t="s">
        <v>12</v>
      </c>
      <c r="D535" s="69">
        <f t="shared" si="238"/>
        <v>1285.4000000000003</v>
      </c>
      <c r="E535" s="83">
        <v>0</v>
      </c>
      <c r="F535" s="83">
        <v>0</v>
      </c>
      <c r="G535" s="83">
        <v>0</v>
      </c>
      <c r="H535" s="83">
        <v>0</v>
      </c>
      <c r="I535" s="83">
        <v>0</v>
      </c>
      <c r="J535" s="83">
        <v>0</v>
      </c>
      <c r="K535" s="83">
        <v>0</v>
      </c>
      <c r="L535" s="83">
        <f>2677.9-256.7-1135.8</f>
        <v>1285.4000000000003</v>
      </c>
      <c r="M535" s="83">
        <v>0</v>
      </c>
      <c r="N535" s="83">
        <v>0</v>
      </c>
      <c r="O535" s="83">
        <v>0</v>
      </c>
      <c r="W535" s="83">
        <v>0</v>
      </c>
    </row>
    <row r="536" spans="1:23" ht="15.75" x14ac:dyDescent="0.2">
      <c r="A536" s="137"/>
      <c r="B536" s="140"/>
      <c r="C536" s="96" t="s">
        <v>13</v>
      </c>
      <c r="D536" s="69">
        <f t="shared" si="238"/>
        <v>0</v>
      </c>
      <c r="E536" s="83">
        <v>0</v>
      </c>
      <c r="F536" s="83">
        <v>0</v>
      </c>
      <c r="G536" s="83">
        <v>0</v>
      </c>
      <c r="H536" s="83">
        <v>0</v>
      </c>
      <c r="I536" s="83">
        <v>0</v>
      </c>
      <c r="J536" s="83">
        <v>0</v>
      </c>
      <c r="K536" s="83">
        <v>0</v>
      </c>
      <c r="L536" s="83">
        <v>0</v>
      </c>
      <c r="M536" s="83">
        <v>0</v>
      </c>
      <c r="N536" s="83">
        <v>0</v>
      </c>
      <c r="O536" s="83">
        <v>0</v>
      </c>
      <c r="W536" s="83">
        <v>0</v>
      </c>
    </row>
    <row r="537" spans="1:23" ht="29.25" customHeight="1" x14ac:dyDescent="0.2">
      <c r="A537" s="137" t="s">
        <v>312</v>
      </c>
      <c r="B537" s="149" t="s">
        <v>369</v>
      </c>
      <c r="C537" s="84" t="s">
        <v>7</v>
      </c>
      <c r="D537" s="83">
        <f>E537+F537+G537+H537+I537+J537+K537+L537+M537+N537+O537+W537</f>
        <v>424805.23</v>
      </c>
      <c r="E537" s="83">
        <f>E538+E539+E540+E541</f>
        <v>0</v>
      </c>
      <c r="F537" s="83">
        <f t="shared" ref="F537:O537" si="260">F538+F539+F540+F541</f>
        <v>0</v>
      </c>
      <c r="G537" s="83">
        <f t="shared" si="260"/>
        <v>0</v>
      </c>
      <c r="H537" s="83">
        <f t="shared" si="260"/>
        <v>0</v>
      </c>
      <c r="I537" s="83">
        <f t="shared" si="260"/>
        <v>0</v>
      </c>
      <c r="J537" s="83">
        <f t="shared" si="260"/>
        <v>208238.7</v>
      </c>
      <c r="K537" s="83">
        <f>K538+K539+K540+K541</f>
        <v>216566.53</v>
      </c>
      <c r="L537" s="83">
        <f t="shared" si="260"/>
        <v>0</v>
      </c>
      <c r="M537" s="83">
        <f t="shared" si="260"/>
        <v>0</v>
      </c>
      <c r="N537" s="83">
        <f t="shared" si="260"/>
        <v>0</v>
      </c>
      <c r="O537" s="83">
        <f t="shared" si="260"/>
        <v>0</v>
      </c>
      <c r="W537" s="83">
        <f t="shared" ref="W537" si="261">W538+W539+W540+W541</f>
        <v>0</v>
      </c>
    </row>
    <row r="538" spans="1:23" ht="24" customHeight="1" x14ac:dyDescent="0.2">
      <c r="A538" s="137"/>
      <c r="B538" s="150"/>
      <c r="C538" s="96" t="s">
        <v>10</v>
      </c>
      <c r="D538" s="83">
        <f t="shared" ref="D538:D556" si="262">E538+F538+G538+H538+I538+J538+K538+L538+M538+N538+O538+W538</f>
        <v>115023.2</v>
      </c>
      <c r="E538" s="83">
        <f t="shared" ref="E538:O538" si="263">E543+E548</f>
        <v>0</v>
      </c>
      <c r="F538" s="83">
        <f t="shared" si="263"/>
        <v>0</v>
      </c>
      <c r="G538" s="83">
        <f t="shared" si="263"/>
        <v>0</v>
      </c>
      <c r="H538" s="83">
        <f t="shared" si="263"/>
        <v>0</v>
      </c>
      <c r="I538" s="83">
        <f t="shared" si="263"/>
        <v>0</v>
      </c>
      <c r="J538" s="83">
        <f t="shared" si="263"/>
        <v>0</v>
      </c>
      <c r="K538" s="83">
        <f t="shared" si="263"/>
        <v>115023.2</v>
      </c>
      <c r="L538" s="83">
        <f t="shared" si="263"/>
        <v>0</v>
      </c>
      <c r="M538" s="83">
        <f t="shared" si="263"/>
        <v>0</v>
      </c>
      <c r="N538" s="83">
        <f t="shared" si="263"/>
        <v>0</v>
      </c>
      <c r="O538" s="83">
        <f t="shared" si="263"/>
        <v>0</v>
      </c>
      <c r="W538" s="83">
        <f t="shared" ref="W538" si="264">W543+W548</f>
        <v>0</v>
      </c>
    </row>
    <row r="539" spans="1:23" ht="24" customHeight="1" x14ac:dyDescent="0.2">
      <c r="A539" s="137"/>
      <c r="B539" s="150"/>
      <c r="C539" s="96" t="s">
        <v>11</v>
      </c>
      <c r="D539" s="83">
        <f t="shared" si="262"/>
        <v>287838.81</v>
      </c>
      <c r="E539" s="83">
        <f>E544+E549</f>
        <v>0</v>
      </c>
      <c r="F539" s="83">
        <f t="shared" ref="F539:O539" si="265">F544+F549</f>
        <v>0</v>
      </c>
      <c r="G539" s="83">
        <f t="shared" si="265"/>
        <v>0</v>
      </c>
      <c r="H539" s="83">
        <f t="shared" si="265"/>
        <v>0</v>
      </c>
      <c r="I539" s="83">
        <f t="shared" si="265"/>
        <v>0</v>
      </c>
      <c r="J539" s="83">
        <f t="shared" si="265"/>
        <v>193000</v>
      </c>
      <c r="K539" s="83">
        <f t="shared" si="265"/>
        <v>94838.81</v>
      </c>
      <c r="L539" s="83">
        <f t="shared" si="265"/>
        <v>0</v>
      </c>
      <c r="M539" s="83">
        <f t="shared" si="265"/>
        <v>0</v>
      </c>
      <c r="N539" s="83">
        <f t="shared" si="265"/>
        <v>0</v>
      </c>
      <c r="O539" s="83">
        <f t="shared" si="265"/>
        <v>0</v>
      </c>
      <c r="W539" s="83">
        <f t="shared" ref="W539" si="266">W544+W549</f>
        <v>0</v>
      </c>
    </row>
    <row r="540" spans="1:23" ht="20.25" customHeight="1" x14ac:dyDescent="0.2">
      <c r="A540" s="137"/>
      <c r="B540" s="150"/>
      <c r="C540" s="96" t="s">
        <v>12</v>
      </c>
      <c r="D540" s="83">
        <f t="shared" si="262"/>
        <v>21943.22</v>
      </c>
      <c r="E540" s="83">
        <f>E545+E550</f>
        <v>0</v>
      </c>
      <c r="F540" s="83">
        <f t="shared" ref="F540:O540" si="267">F545+F550</f>
        <v>0</v>
      </c>
      <c r="G540" s="83">
        <f t="shared" si="267"/>
        <v>0</v>
      </c>
      <c r="H540" s="83">
        <f t="shared" si="267"/>
        <v>0</v>
      </c>
      <c r="I540" s="83">
        <f t="shared" si="267"/>
        <v>0</v>
      </c>
      <c r="J540" s="83">
        <f t="shared" si="267"/>
        <v>15238.7</v>
      </c>
      <c r="K540" s="83">
        <f>K545+K550+K555</f>
        <v>6704.52</v>
      </c>
      <c r="L540" s="83">
        <f t="shared" si="267"/>
        <v>0</v>
      </c>
      <c r="M540" s="83">
        <f t="shared" si="267"/>
        <v>0</v>
      </c>
      <c r="N540" s="83">
        <f t="shared" si="267"/>
        <v>0</v>
      </c>
      <c r="O540" s="83">
        <f t="shared" si="267"/>
        <v>0</v>
      </c>
      <c r="W540" s="83">
        <f t="shared" ref="W540" si="268">W545+W550</f>
        <v>0</v>
      </c>
    </row>
    <row r="541" spans="1:23" ht="30.75" customHeight="1" x14ac:dyDescent="0.2">
      <c r="A541" s="137"/>
      <c r="B541" s="150"/>
      <c r="C541" s="96" t="s">
        <v>13</v>
      </c>
      <c r="D541" s="83">
        <f t="shared" si="262"/>
        <v>0</v>
      </c>
      <c r="E541" s="83">
        <f>E546+E551</f>
        <v>0</v>
      </c>
      <c r="F541" s="83">
        <f t="shared" ref="F541:O541" si="269">F546+F551</f>
        <v>0</v>
      </c>
      <c r="G541" s="83">
        <f t="shared" si="269"/>
        <v>0</v>
      </c>
      <c r="H541" s="83">
        <f t="shared" si="269"/>
        <v>0</v>
      </c>
      <c r="I541" s="83">
        <f t="shared" si="269"/>
        <v>0</v>
      </c>
      <c r="J541" s="83">
        <f t="shared" si="269"/>
        <v>0</v>
      </c>
      <c r="K541" s="83">
        <f t="shared" si="269"/>
        <v>0</v>
      </c>
      <c r="L541" s="83">
        <f t="shared" si="269"/>
        <v>0</v>
      </c>
      <c r="M541" s="83">
        <f t="shared" si="269"/>
        <v>0</v>
      </c>
      <c r="N541" s="83">
        <f t="shared" si="269"/>
        <v>0</v>
      </c>
      <c r="O541" s="83">
        <f t="shared" si="269"/>
        <v>0</v>
      </c>
      <c r="W541" s="83">
        <f t="shared" ref="W541" si="270">W546+W551</f>
        <v>0</v>
      </c>
    </row>
    <row r="542" spans="1:23" ht="25.5" customHeight="1" x14ac:dyDescent="0.2">
      <c r="A542" s="137" t="s">
        <v>332</v>
      </c>
      <c r="B542" s="149" t="s">
        <v>398</v>
      </c>
      <c r="C542" s="84" t="s">
        <v>7</v>
      </c>
      <c r="D542" s="83">
        <f t="shared" si="262"/>
        <v>420220.53</v>
      </c>
      <c r="E542" s="69">
        <f>E543+E544+E545+E546</f>
        <v>0</v>
      </c>
      <c r="F542" s="69">
        <f t="shared" ref="F542:O542" si="271">F543+F544+F545+F546</f>
        <v>0</v>
      </c>
      <c r="G542" s="69">
        <f t="shared" si="271"/>
        <v>0</v>
      </c>
      <c r="H542" s="69">
        <f t="shared" si="271"/>
        <v>0</v>
      </c>
      <c r="I542" s="69">
        <f t="shared" si="271"/>
        <v>0</v>
      </c>
      <c r="J542" s="69">
        <f t="shared" si="271"/>
        <v>208238.7</v>
      </c>
      <c r="K542" s="69">
        <f t="shared" si="271"/>
        <v>211981.83000000002</v>
      </c>
      <c r="L542" s="69">
        <f t="shared" si="271"/>
        <v>0</v>
      </c>
      <c r="M542" s="69">
        <f t="shared" si="271"/>
        <v>0</v>
      </c>
      <c r="N542" s="69">
        <f t="shared" si="271"/>
        <v>0</v>
      </c>
      <c r="O542" s="69">
        <f t="shared" si="271"/>
        <v>0</v>
      </c>
      <c r="W542" s="69">
        <f t="shared" ref="W542" si="272">W543+W544+W545+W546</f>
        <v>0</v>
      </c>
    </row>
    <row r="543" spans="1:23" ht="25.5" customHeight="1" x14ac:dyDescent="0.2">
      <c r="A543" s="137"/>
      <c r="B543" s="150"/>
      <c r="C543" s="96" t="s">
        <v>10</v>
      </c>
      <c r="D543" s="83">
        <f t="shared" si="262"/>
        <v>115023.2</v>
      </c>
      <c r="E543" s="69">
        <v>0</v>
      </c>
      <c r="F543" s="69">
        <v>0</v>
      </c>
      <c r="G543" s="69">
        <v>0</v>
      </c>
      <c r="H543" s="69">
        <v>0</v>
      </c>
      <c r="I543" s="69">
        <v>0</v>
      </c>
      <c r="J543" s="69">
        <v>0</v>
      </c>
      <c r="K543" s="69">
        <v>115023.2</v>
      </c>
      <c r="L543" s="69">
        <v>0</v>
      </c>
      <c r="M543" s="69">
        <v>0</v>
      </c>
      <c r="N543" s="69">
        <v>0</v>
      </c>
      <c r="O543" s="69">
        <v>0</v>
      </c>
      <c r="W543" s="69">
        <v>0</v>
      </c>
    </row>
    <row r="544" spans="1:23" ht="25.5" customHeight="1" x14ac:dyDescent="0.2">
      <c r="A544" s="137"/>
      <c r="B544" s="150"/>
      <c r="C544" s="96" t="s">
        <v>11</v>
      </c>
      <c r="D544" s="83">
        <f t="shared" si="262"/>
        <v>287838.81</v>
      </c>
      <c r="E544" s="69">
        <v>0</v>
      </c>
      <c r="F544" s="69">
        <v>0</v>
      </c>
      <c r="G544" s="69">
        <v>0</v>
      </c>
      <c r="H544" s="69">
        <v>0</v>
      </c>
      <c r="I544" s="69">
        <v>0</v>
      </c>
      <c r="J544" s="69">
        <v>193000</v>
      </c>
      <c r="K544" s="69">
        <v>94838.81</v>
      </c>
      <c r="L544" s="69">
        <v>0</v>
      </c>
      <c r="M544" s="69">
        <v>0</v>
      </c>
      <c r="N544" s="69">
        <v>0</v>
      </c>
      <c r="O544" s="69">
        <v>0</v>
      </c>
      <c r="W544" s="69">
        <v>0</v>
      </c>
    </row>
    <row r="545" spans="1:23" ht="25.5" customHeight="1" x14ac:dyDescent="0.2">
      <c r="A545" s="137"/>
      <c r="B545" s="150"/>
      <c r="C545" s="96" t="s">
        <v>12</v>
      </c>
      <c r="D545" s="83">
        <f t="shared" si="262"/>
        <v>17358.52</v>
      </c>
      <c r="E545" s="69">
        <v>0</v>
      </c>
      <c r="F545" s="69">
        <v>0</v>
      </c>
      <c r="G545" s="69">
        <v>0</v>
      </c>
      <c r="H545" s="69">
        <v>0</v>
      </c>
      <c r="I545" s="69">
        <v>0</v>
      </c>
      <c r="J545" s="69">
        <f>12319.1+2918+1.6</f>
        <v>15238.7</v>
      </c>
      <c r="K545" s="69">
        <v>2119.8200000000002</v>
      </c>
      <c r="L545" s="69">
        <v>0</v>
      </c>
      <c r="M545" s="69">
        <v>0</v>
      </c>
      <c r="N545" s="69">
        <v>0</v>
      </c>
      <c r="O545" s="69">
        <v>0</v>
      </c>
      <c r="W545" s="69">
        <v>0</v>
      </c>
    </row>
    <row r="546" spans="1:23" ht="25.5" customHeight="1" x14ac:dyDescent="0.2">
      <c r="A546" s="137"/>
      <c r="B546" s="150"/>
      <c r="C546" s="96" t="s">
        <v>13</v>
      </c>
      <c r="D546" s="83">
        <f t="shared" si="262"/>
        <v>0</v>
      </c>
      <c r="E546" s="69">
        <v>0</v>
      </c>
      <c r="F546" s="69">
        <v>0</v>
      </c>
      <c r="G546" s="69">
        <v>0</v>
      </c>
      <c r="H546" s="69">
        <v>0</v>
      </c>
      <c r="I546" s="69">
        <v>0</v>
      </c>
      <c r="J546" s="69">
        <v>0</v>
      </c>
      <c r="K546" s="69">
        <v>0</v>
      </c>
      <c r="L546" s="69">
        <v>0</v>
      </c>
      <c r="M546" s="69">
        <v>0</v>
      </c>
      <c r="N546" s="69">
        <v>0</v>
      </c>
      <c r="O546" s="69">
        <v>0</v>
      </c>
      <c r="W546" s="69">
        <v>0</v>
      </c>
    </row>
    <row r="547" spans="1:23" ht="25.5" hidden="1" customHeight="1" x14ac:dyDescent="0.2">
      <c r="A547" s="138" t="s">
        <v>376</v>
      </c>
      <c r="B547" s="149" t="s">
        <v>421</v>
      </c>
      <c r="C547" s="84" t="s">
        <v>7</v>
      </c>
      <c r="D547" s="83">
        <f t="shared" si="262"/>
        <v>4584.7</v>
      </c>
      <c r="E547" s="69">
        <f>E548+E549+E550+E551</f>
        <v>0</v>
      </c>
      <c r="F547" s="69">
        <f t="shared" ref="F547:O547" si="273">F548+F549+F550+F551</f>
        <v>0</v>
      </c>
      <c r="G547" s="69">
        <f t="shared" si="273"/>
        <v>0</v>
      </c>
      <c r="H547" s="69">
        <f t="shared" si="273"/>
        <v>0</v>
      </c>
      <c r="I547" s="69">
        <f t="shared" si="273"/>
        <v>0</v>
      </c>
      <c r="J547" s="69">
        <f t="shared" si="273"/>
        <v>0</v>
      </c>
      <c r="K547" s="69">
        <f t="shared" si="273"/>
        <v>4584.7</v>
      </c>
      <c r="L547" s="69">
        <f t="shared" si="273"/>
        <v>0</v>
      </c>
      <c r="M547" s="69">
        <f t="shared" si="273"/>
        <v>0</v>
      </c>
      <c r="N547" s="69">
        <f t="shared" si="273"/>
        <v>0</v>
      </c>
      <c r="O547" s="69">
        <f t="shared" si="273"/>
        <v>0</v>
      </c>
      <c r="W547" s="69">
        <f t="shared" ref="W547" si="274">W548+W549+W550+W551</f>
        <v>0</v>
      </c>
    </row>
    <row r="548" spans="1:23" ht="25.5" hidden="1" customHeight="1" x14ac:dyDescent="0.2">
      <c r="A548" s="139"/>
      <c r="B548" s="150"/>
      <c r="C548" s="96" t="s">
        <v>10</v>
      </c>
      <c r="D548" s="83">
        <f t="shared" si="262"/>
        <v>0</v>
      </c>
      <c r="E548" s="69">
        <v>0</v>
      </c>
      <c r="F548" s="69">
        <v>0</v>
      </c>
      <c r="G548" s="69">
        <v>0</v>
      </c>
      <c r="H548" s="69">
        <v>0</v>
      </c>
      <c r="I548" s="69">
        <v>0</v>
      </c>
      <c r="J548" s="69">
        <v>0</v>
      </c>
      <c r="K548" s="69">
        <v>0</v>
      </c>
      <c r="L548" s="69">
        <v>0</v>
      </c>
      <c r="M548" s="69">
        <v>0</v>
      </c>
      <c r="N548" s="69">
        <v>0</v>
      </c>
      <c r="O548" s="69">
        <v>0</v>
      </c>
      <c r="W548" s="69">
        <v>0</v>
      </c>
    </row>
    <row r="549" spans="1:23" ht="25.5" hidden="1" customHeight="1" x14ac:dyDescent="0.2">
      <c r="A549" s="139"/>
      <c r="B549" s="150"/>
      <c r="C549" s="96" t="s">
        <v>11</v>
      </c>
      <c r="D549" s="83">
        <f t="shared" si="262"/>
        <v>0</v>
      </c>
      <c r="E549" s="69">
        <v>0</v>
      </c>
      <c r="F549" s="69">
        <v>0</v>
      </c>
      <c r="G549" s="69">
        <v>0</v>
      </c>
      <c r="H549" s="69">
        <v>0</v>
      </c>
      <c r="I549" s="69">
        <v>0</v>
      </c>
      <c r="J549" s="69">
        <v>0</v>
      </c>
      <c r="K549" s="69">
        <v>0</v>
      </c>
      <c r="L549" s="69">
        <v>0</v>
      </c>
      <c r="M549" s="69">
        <v>0</v>
      </c>
      <c r="N549" s="69">
        <v>0</v>
      </c>
      <c r="O549" s="69">
        <v>0</v>
      </c>
      <c r="W549" s="69">
        <v>0</v>
      </c>
    </row>
    <row r="550" spans="1:23" ht="25.5" hidden="1" customHeight="1" x14ac:dyDescent="0.2">
      <c r="A550" s="139"/>
      <c r="B550" s="150"/>
      <c r="C550" s="96" t="s">
        <v>12</v>
      </c>
      <c r="D550" s="83">
        <f t="shared" si="262"/>
        <v>4584.7</v>
      </c>
      <c r="E550" s="69">
        <v>0</v>
      </c>
      <c r="F550" s="69">
        <v>0</v>
      </c>
      <c r="G550" s="69">
        <v>0</v>
      </c>
      <c r="H550" s="69">
        <v>0</v>
      </c>
      <c r="I550" s="69">
        <v>0</v>
      </c>
      <c r="J550" s="69">
        <v>0</v>
      </c>
      <c r="K550" s="69">
        <f>4584.7</f>
        <v>4584.7</v>
      </c>
      <c r="L550" s="69">
        <v>0</v>
      </c>
      <c r="M550" s="69">
        <v>0</v>
      </c>
      <c r="N550" s="69">
        <v>0</v>
      </c>
      <c r="O550" s="69">
        <v>0</v>
      </c>
      <c r="W550" s="69">
        <v>0</v>
      </c>
    </row>
    <row r="551" spans="1:23" ht="23.25" hidden="1" customHeight="1" x14ac:dyDescent="0.2">
      <c r="A551" s="140"/>
      <c r="B551" s="150"/>
      <c r="C551" s="96" t="s">
        <v>13</v>
      </c>
      <c r="D551" s="83">
        <f t="shared" si="262"/>
        <v>0</v>
      </c>
      <c r="E551" s="69">
        <v>0</v>
      </c>
      <c r="F551" s="69">
        <v>0</v>
      </c>
      <c r="G551" s="69">
        <v>0</v>
      </c>
      <c r="H551" s="69">
        <v>0</v>
      </c>
      <c r="I551" s="69">
        <v>0</v>
      </c>
      <c r="J551" s="69">
        <v>0</v>
      </c>
      <c r="K551" s="69">
        <v>0</v>
      </c>
      <c r="L551" s="69">
        <v>0</v>
      </c>
      <c r="M551" s="69">
        <v>0</v>
      </c>
      <c r="N551" s="69">
        <v>0</v>
      </c>
      <c r="O551" s="69">
        <v>0</v>
      </c>
      <c r="W551" s="69">
        <v>0</v>
      </c>
    </row>
    <row r="552" spans="1:23" ht="15.75" hidden="1" x14ac:dyDescent="0.2">
      <c r="A552" s="138"/>
      <c r="B552" s="149" t="s">
        <v>399</v>
      </c>
      <c r="C552" s="84" t="s">
        <v>7</v>
      </c>
      <c r="D552" s="83">
        <f t="shared" si="262"/>
        <v>0</v>
      </c>
      <c r="E552" s="69">
        <f>E553+E554+E555+E556</f>
        <v>0</v>
      </c>
      <c r="F552" s="69">
        <f t="shared" ref="F552:O552" si="275">F553+F554+F555+F556</f>
        <v>0</v>
      </c>
      <c r="G552" s="69">
        <f t="shared" si="275"/>
        <v>0</v>
      </c>
      <c r="H552" s="69">
        <f t="shared" si="275"/>
        <v>0</v>
      </c>
      <c r="I552" s="69">
        <f t="shared" si="275"/>
        <v>0</v>
      </c>
      <c r="J552" s="69">
        <f t="shared" si="275"/>
        <v>0</v>
      </c>
      <c r="K552" s="69">
        <f t="shared" si="275"/>
        <v>0</v>
      </c>
      <c r="L552" s="69">
        <f t="shared" si="275"/>
        <v>0</v>
      </c>
      <c r="M552" s="69">
        <f t="shared" si="275"/>
        <v>0</v>
      </c>
      <c r="N552" s="69">
        <f t="shared" si="275"/>
        <v>0</v>
      </c>
      <c r="O552" s="69">
        <f t="shared" si="275"/>
        <v>0</v>
      </c>
      <c r="W552" s="69">
        <f t="shared" ref="W552" si="276">W553+W554+W555+W556</f>
        <v>0</v>
      </c>
    </row>
    <row r="553" spans="1:23" ht="15.75" hidden="1" x14ac:dyDescent="0.2">
      <c r="A553" s="139"/>
      <c r="B553" s="150"/>
      <c r="C553" s="96" t="s">
        <v>10</v>
      </c>
      <c r="D553" s="83">
        <f t="shared" si="262"/>
        <v>0</v>
      </c>
      <c r="E553" s="69">
        <v>0</v>
      </c>
      <c r="F553" s="69">
        <v>0</v>
      </c>
      <c r="G553" s="69">
        <v>0</v>
      </c>
      <c r="H553" s="69">
        <v>0</v>
      </c>
      <c r="I553" s="69">
        <v>0</v>
      </c>
      <c r="J553" s="69">
        <v>0</v>
      </c>
      <c r="K553" s="69">
        <v>0</v>
      </c>
      <c r="L553" s="69">
        <v>0</v>
      </c>
      <c r="M553" s="69">
        <v>0</v>
      </c>
      <c r="N553" s="69">
        <v>0</v>
      </c>
      <c r="O553" s="69">
        <v>0</v>
      </c>
      <c r="W553" s="69">
        <v>0</v>
      </c>
    </row>
    <row r="554" spans="1:23" ht="15.75" hidden="1" x14ac:dyDescent="0.2">
      <c r="A554" s="139"/>
      <c r="B554" s="150"/>
      <c r="C554" s="96" t="s">
        <v>11</v>
      </c>
      <c r="D554" s="83">
        <f t="shared" si="262"/>
        <v>0</v>
      </c>
      <c r="E554" s="69">
        <v>0</v>
      </c>
      <c r="F554" s="69">
        <v>0</v>
      </c>
      <c r="G554" s="69">
        <v>0</v>
      </c>
      <c r="H554" s="69">
        <v>0</v>
      </c>
      <c r="I554" s="69">
        <v>0</v>
      </c>
      <c r="J554" s="69">
        <v>0</v>
      </c>
      <c r="K554" s="69">
        <v>0</v>
      </c>
      <c r="L554" s="69">
        <v>0</v>
      </c>
      <c r="M554" s="69">
        <v>0</v>
      </c>
      <c r="N554" s="69">
        <v>0</v>
      </c>
      <c r="O554" s="69">
        <v>0</v>
      </c>
      <c r="W554" s="69">
        <v>0</v>
      </c>
    </row>
    <row r="555" spans="1:23" ht="39.75" hidden="1" customHeight="1" x14ac:dyDescent="0.2">
      <c r="A555" s="139"/>
      <c r="B555" s="150"/>
      <c r="C555" s="96" t="s">
        <v>12</v>
      </c>
      <c r="D555" s="83">
        <f t="shared" si="262"/>
        <v>0</v>
      </c>
      <c r="E555" s="69">
        <v>0</v>
      </c>
      <c r="F555" s="69">
        <v>0</v>
      </c>
      <c r="G555" s="69">
        <v>0</v>
      </c>
      <c r="H555" s="69">
        <v>0</v>
      </c>
      <c r="I555" s="69">
        <v>0</v>
      </c>
      <c r="J555" s="69">
        <v>0</v>
      </c>
      <c r="K555" s="69">
        <f>1800-1800</f>
        <v>0</v>
      </c>
      <c r="L555" s="69">
        <v>0</v>
      </c>
      <c r="M555" s="69">
        <v>0</v>
      </c>
      <c r="N555" s="69">
        <v>0</v>
      </c>
      <c r="O555" s="69">
        <v>0</v>
      </c>
      <c r="W555" s="69">
        <v>0</v>
      </c>
    </row>
    <row r="556" spans="1:23" ht="61.5" hidden="1" customHeight="1" x14ac:dyDescent="0.2">
      <c r="A556" s="140"/>
      <c r="B556" s="150"/>
      <c r="C556" s="96" t="s">
        <v>13</v>
      </c>
      <c r="D556" s="83">
        <f t="shared" si="262"/>
        <v>0</v>
      </c>
      <c r="E556" s="69">
        <v>0</v>
      </c>
      <c r="F556" s="69">
        <v>0</v>
      </c>
      <c r="G556" s="69">
        <v>0</v>
      </c>
      <c r="H556" s="69">
        <v>0</v>
      </c>
      <c r="I556" s="69">
        <v>0</v>
      </c>
      <c r="J556" s="69">
        <v>0</v>
      </c>
      <c r="K556" s="69">
        <v>0</v>
      </c>
      <c r="L556" s="69">
        <v>0</v>
      </c>
      <c r="M556" s="69">
        <v>0</v>
      </c>
      <c r="N556" s="69">
        <v>0</v>
      </c>
      <c r="O556" s="69">
        <v>0</v>
      </c>
      <c r="W556" s="69">
        <v>0</v>
      </c>
    </row>
    <row r="557" spans="1:23" ht="15.75" x14ac:dyDescent="0.2">
      <c r="A557" s="137" t="s">
        <v>317</v>
      </c>
      <c r="B557" s="149" t="s">
        <v>370</v>
      </c>
      <c r="C557" s="84" t="s">
        <v>7</v>
      </c>
      <c r="D557" s="83">
        <f>E557+F557+G557+H557+I557+J557+K557+L557+M557+N557+O557+W557</f>
        <v>95129.2</v>
      </c>
      <c r="E557" s="83">
        <f t="shared" ref="E557:O557" si="277">E558+E559+E561+E563</f>
        <v>0</v>
      </c>
      <c r="F557" s="83">
        <f t="shared" si="277"/>
        <v>0</v>
      </c>
      <c r="G557" s="83">
        <f t="shared" si="277"/>
        <v>0</v>
      </c>
      <c r="H557" s="83">
        <f t="shared" si="277"/>
        <v>0</v>
      </c>
      <c r="I557" s="83">
        <f t="shared" si="277"/>
        <v>0</v>
      </c>
      <c r="J557" s="83">
        <f t="shared" si="277"/>
        <v>0</v>
      </c>
      <c r="K557" s="83">
        <f t="shared" si="277"/>
        <v>25529.200000000001</v>
      </c>
      <c r="L557" s="83">
        <f t="shared" si="277"/>
        <v>23200</v>
      </c>
      <c r="M557" s="83">
        <f t="shared" si="277"/>
        <v>23200</v>
      </c>
      <c r="N557" s="83">
        <f t="shared" si="277"/>
        <v>23200</v>
      </c>
      <c r="O557" s="83">
        <f t="shared" si="277"/>
        <v>0</v>
      </c>
      <c r="W557" s="83">
        <f t="shared" ref="W557" si="278">W558+W559+W561+W563</f>
        <v>0</v>
      </c>
    </row>
    <row r="558" spans="1:23" ht="32.25" customHeight="1" x14ac:dyDescent="0.2">
      <c r="A558" s="137"/>
      <c r="B558" s="150"/>
      <c r="C558" s="96" t="s">
        <v>10</v>
      </c>
      <c r="D558" s="83">
        <f t="shared" ref="D558:D575" si="279">E558+F558+G558+H558+I558+J558+K558+L558+M558+N558+O558+W558</f>
        <v>0</v>
      </c>
      <c r="E558" s="83">
        <f>E565+E570</f>
        <v>0</v>
      </c>
      <c r="F558" s="83">
        <f t="shared" ref="F558:O558" si="280">F565+F570</f>
        <v>0</v>
      </c>
      <c r="G558" s="83">
        <f t="shared" si="280"/>
        <v>0</v>
      </c>
      <c r="H558" s="83">
        <f t="shared" si="280"/>
        <v>0</v>
      </c>
      <c r="I558" s="83">
        <f t="shared" si="280"/>
        <v>0</v>
      </c>
      <c r="J558" s="83">
        <f t="shared" si="280"/>
        <v>0</v>
      </c>
      <c r="K558" s="83">
        <f t="shared" si="280"/>
        <v>0</v>
      </c>
      <c r="L558" s="83">
        <f t="shared" si="280"/>
        <v>0</v>
      </c>
      <c r="M558" s="83">
        <f t="shared" si="280"/>
        <v>0</v>
      </c>
      <c r="N558" s="83">
        <f t="shared" si="280"/>
        <v>0</v>
      </c>
      <c r="O558" s="83">
        <f t="shared" si="280"/>
        <v>0</v>
      </c>
      <c r="W558" s="83">
        <f t="shared" ref="W558" si="281">W565+W570</f>
        <v>0</v>
      </c>
    </row>
    <row r="559" spans="1:23" ht="31.5" x14ac:dyDescent="0.2">
      <c r="A559" s="137"/>
      <c r="B559" s="150"/>
      <c r="C559" s="96" t="s">
        <v>69</v>
      </c>
      <c r="D559" s="83">
        <f t="shared" si="279"/>
        <v>89421.4</v>
      </c>
      <c r="E559" s="83">
        <f>E566+E571</f>
        <v>0</v>
      </c>
      <c r="F559" s="83">
        <f t="shared" ref="F559:O559" si="282">F566+F571</f>
        <v>0</v>
      </c>
      <c r="G559" s="83">
        <f t="shared" si="282"/>
        <v>0</v>
      </c>
      <c r="H559" s="83">
        <f t="shared" si="282"/>
        <v>0</v>
      </c>
      <c r="I559" s="83">
        <f t="shared" si="282"/>
        <v>0</v>
      </c>
      <c r="J559" s="83">
        <f t="shared" si="282"/>
        <v>0</v>
      </c>
      <c r="K559" s="83">
        <f t="shared" si="282"/>
        <v>23997.4</v>
      </c>
      <c r="L559" s="83">
        <f t="shared" si="282"/>
        <v>21808</v>
      </c>
      <c r="M559" s="83">
        <f t="shared" si="282"/>
        <v>21808</v>
      </c>
      <c r="N559" s="83">
        <f t="shared" si="282"/>
        <v>21808</v>
      </c>
      <c r="O559" s="83">
        <f t="shared" si="282"/>
        <v>0</v>
      </c>
      <c r="W559" s="83">
        <f t="shared" ref="W559" si="283">W566+W571</f>
        <v>0</v>
      </c>
    </row>
    <row r="560" spans="1:23" ht="31.5" x14ac:dyDescent="0.2">
      <c r="A560" s="137"/>
      <c r="B560" s="150"/>
      <c r="C560" s="72" t="s">
        <v>81</v>
      </c>
      <c r="D560" s="83">
        <f t="shared" si="279"/>
        <v>65424</v>
      </c>
      <c r="E560" s="71">
        <v>0</v>
      </c>
      <c r="F560" s="71">
        <v>0</v>
      </c>
      <c r="G560" s="71">
        <v>0</v>
      </c>
      <c r="H560" s="71">
        <v>0</v>
      </c>
      <c r="I560" s="71">
        <v>0</v>
      </c>
      <c r="J560" s="71">
        <v>0</v>
      </c>
      <c r="K560" s="71">
        <v>0</v>
      </c>
      <c r="L560" s="71">
        <v>21808</v>
      </c>
      <c r="M560" s="71">
        <v>21808</v>
      </c>
      <c r="N560" s="71">
        <f>N572</f>
        <v>21808</v>
      </c>
      <c r="O560" s="71">
        <v>0</v>
      </c>
      <c r="W560" s="71">
        <v>0</v>
      </c>
    </row>
    <row r="561" spans="1:23" ht="31.5" x14ac:dyDescent="0.2">
      <c r="A561" s="137"/>
      <c r="B561" s="150"/>
      <c r="C561" s="96" t="s">
        <v>65</v>
      </c>
      <c r="D561" s="83">
        <f t="shared" si="279"/>
        <v>5707.8</v>
      </c>
      <c r="E561" s="83">
        <f>E567+E573</f>
        <v>0</v>
      </c>
      <c r="F561" s="83">
        <f t="shared" ref="F561:O561" si="284">F567+F573</f>
        <v>0</v>
      </c>
      <c r="G561" s="83">
        <f t="shared" si="284"/>
        <v>0</v>
      </c>
      <c r="H561" s="83">
        <f t="shared" si="284"/>
        <v>0</v>
      </c>
      <c r="I561" s="83">
        <f t="shared" si="284"/>
        <v>0</v>
      </c>
      <c r="J561" s="83">
        <f t="shared" si="284"/>
        <v>0</v>
      </c>
      <c r="K561" s="83">
        <f t="shared" si="284"/>
        <v>1531.8</v>
      </c>
      <c r="L561" s="83">
        <f t="shared" si="284"/>
        <v>1392</v>
      </c>
      <c r="M561" s="83">
        <f t="shared" si="284"/>
        <v>1392</v>
      </c>
      <c r="N561" s="83">
        <f t="shared" si="284"/>
        <v>1392</v>
      </c>
      <c r="O561" s="83">
        <f t="shared" si="284"/>
        <v>0</v>
      </c>
      <c r="W561" s="83">
        <f t="shared" ref="W561" si="285">W567+W573</f>
        <v>0</v>
      </c>
    </row>
    <row r="562" spans="1:23" ht="31.5" x14ac:dyDescent="0.2">
      <c r="A562" s="137"/>
      <c r="B562" s="150"/>
      <c r="C562" s="72" t="s">
        <v>448</v>
      </c>
      <c r="D562" s="83">
        <f t="shared" si="279"/>
        <v>4176</v>
      </c>
      <c r="E562" s="69">
        <v>0</v>
      </c>
      <c r="F562" s="69">
        <v>0</v>
      </c>
      <c r="G562" s="69">
        <v>0</v>
      </c>
      <c r="H562" s="69">
        <v>0</v>
      </c>
      <c r="I562" s="69">
        <v>0</v>
      </c>
      <c r="J562" s="69">
        <v>0</v>
      </c>
      <c r="K562" s="71">
        <v>0</v>
      </c>
      <c r="L562" s="71">
        <v>1392</v>
      </c>
      <c r="M562" s="71">
        <v>1392</v>
      </c>
      <c r="N562" s="71">
        <f>N574</f>
        <v>1392</v>
      </c>
      <c r="O562" s="71">
        <v>0</v>
      </c>
      <c r="W562" s="71">
        <v>0</v>
      </c>
    </row>
    <row r="563" spans="1:23" ht="32.25" customHeight="1" x14ac:dyDescent="0.2">
      <c r="A563" s="137"/>
      <c r="B563" s="150"/>
      <c r="C563" s="96" t="s">
        <v>13</v>
      </c>
      <c r="D563" s="83">
        <f t="shared" si="279"/>
        <v>0</v>
      </c>
      <c r="E563" s="83">
        <f>E568+E575</f>
        <v>0</v>
      </c>
      <c r="F563" s="83">
        <f t="shared" ref="F563:O563" si="286">F568+F575</f>
        <v>0</v>
      </c>
      <c r="G563" s="83">
        <f t="shared" si="286"/>
        <v>0</v>
      </c>
      <c r="H563" s="83">
        <f t="shared" si="286"/>
        <v>0</v>
      </c>
      <c r="I563" s="83">
        <f t="shared" si="286"/>
        <v>0</v>
      </c>
      <c r="J563" s="83">
        <f t="shared" si="286"/>
        <v>0</v>
      </c>
      <c r="K563" s="83">
        <f t="shared" si="286"/>
        <v>0</v>
      </c>
      <c r="L563" s="83">
        <f t="shared" si="286"/>
        <v>0</v>
      </c>
      <c r="M563" s="83">
        <f t="shared" si="286"/>
        <v>0</v>
      </c>
      <c r="N563" s="83">
        <f t="shared" si="286"/>
        <v>0</v>
      </c>
      <c r="O563" s="83">
        <f t="shared" si="286"/>
        <v>0</v>
      </c>
      <c r="W563" s="83">
        <f t="shared" ref="W563" si="287">W568+W575</f>
        <v>0</v>
      </c>
    </row>
    <row r="564" spans="1:23" ht="17.25" hidden="1" customHeight="1" x14ac:dyDescent="0.2">
      <c r="A564" s="137" t="s">
        <v>333</v>
      </c>
      <c r="B564" s="149" t="s">
        <v>318</v>
      </c>
      <c r="C564" s="84" t="s">
        <v>7</v>
      </c>
      <c r="D564" s="83">
        <f t="shared" si="279"/>
        <v>0</v>
      </c>
      <c r="E564" s="69">
        <f t="shared" ref="E564:J564" si="288">E565+E566+E567+E568</f>
        <v>0</v>
      </c>
      <c r="F564" s="69">
        <f t="shared" si="288"/>
        <v>0</v>
      </c>
      <c r="G564" s="69">
        <f t="shared" si="288"/>
        <v>0</v>
      </c>
      <c r="H564" s="69">
        <f t="shared" si="288"/>
        <v>0</v>
      </c>
      <c r="I564" s="69">
        <f t="shared" si="288"/>
        <v>0</v>
      </c>
      <c r="J564" s="69">
        <f t="shared" si="288"/>
        <v>0</v>
      </c>
      <c r="K564" s="69">
        <f>K565+K566+K567+K568</f>
        <v>0</v>
      </c>
      <c r="L564" s="69">
        <f>L565+L566+L567+L568</f>
        <v>0</v>
      </c>
      <c r="M564" s="69">
        <f>M565+M566+M567+M568</f>
        <v>0</v>
      </c>
      <c r="N564" s="69">
        <f>N565+N566+N567+N568</f>
        <v>0</v>
      </c>
      <c r="O564" s="69">
        <f>O565+O566+O567+O568</f>
        <v>0</v>
      </c>
      <c r="W564" s="69">
        <f>W565+W566+W567+W568</f>
        <v>0</v>
      </c>
    </row>
    <row r="565" spans="1:23" ht="17.25" hidden="1" customHeight="1" x14ac:dyDescent="0.2">
      <c r="A565" s="137"/>
      <c r="B565" s="150"/>
      <c r="C565" s="96" t="s">
        <v>10</v>
      </c>
      <c r="D565" s="83">
        <f t="shared" si="279"/>
        <v>0</v>
      </c>
      <c r="E565" s="69">
        <v>0</v>
      </c>
      <c r="F565" s="69">
        <v>0</v>
      </c>
      <c r="G565" s="69">
        <v>0</v>
      </c>
      <c r="H565" s="69">
        <v>0</v>
      </c>
      <c r="I565" s="69">
        <v>0</v>
      </c>
      <c r="J565" s="69">
        <v>0</v>
      </c>
      <c r="K565" s="69">
        <v>0</v>
      </c>
      <c r="L565" s="69">
        <v>0</v>
      </c>
      <c r="M565" s="69">
        <v>0</v>
      </c>
      <c r="N565" s="69">
        <v>0</v>
      </c>
      <c r="O565" s="69">
        <v>0</v>
      </c>
      <c r="W565" s="69">
        <v>0</v>
      </c>
    </row>
    <row r="566" spans="1:23" ht="33.75" hidden="1" customHeight="1" x14ac:dyDescent="0.2">
      <c r="A566" s="137"/>
      <c r="B566" s="150"/>
      <c r="C566" s="96" t="s">
        <v>11</v>
      </c>
      <c r="D566" s="83">
        <f t="shared" si="279"/>
        <v>0</v>
      </c>
      <c r="E566" s="69">
        <v>0</v>
      </c>
      <c r="F566" s="69">
        <v>0</v>
      </c>
      <c r="G566" s="69">
        <v>0</v>
      </c>
      <c r="H566" s="69">
        <v>0</v>
      </c>
      <c r="I566" s="69">
        <v>0</v>
      </c>
      <c r="J566" s="69">
        <v>0</v>
      </c>
      <c r="K566" s="69">
        <v>0</v>
      </c>
      <c r="L566" s="69">
        <v>0</v>
      </c>
      <c r="M566" s="69">
        <v>0</v>
      </c>
      <c r="N566" s="69">
        <v>0</v>
      </c>
      <c r="O566" s="69">
        <v>0</v>
      </c>
      <c r="W566" s="69">
        <v>0</v>
      </c>
    </row>
    <row r="567" spans="1:23" ht="33.75" hidden="1" customHeight="1" x14ac:dyDescent="0.2">
      <c r="A567" s="137"/>
      <c r="B567" s="150"/>
      <c r="C567" s="96" t="s">
        <v>12</v>
      </c>
      <c r="D567" s="83">
        <f t="shared" si="279"/>
        <v>0</v>
      </c>
      <c r="E567" s="69">
        <v>0</v>
      </c>
      <c r="F567" s="69">
        <v>0</v>
      </c>
      <c r="G567" s="69">
        <v>0</v>
      </c>
      <c r="H567" s="69">
        <v>0</v>
      </c>
      <c r="I567" s="69">
        <v>0</v>
      </c>
      <c r="J567" s="69">
        <v>0</v>
      </c>
      <c r="K567" s="69">
        <v>0</v>
      </c>
      <c r="L567" s="69">
        <f>98.2-11-2.5-57.4-27.3</f>
        <v>0</v>
      </c>
      <c r="M567" s="69">
        <f>416.2-416.2</f>
        <v>0</v>
      </c>
      <c r="N567" s="69">
        <v>0</v>
      </c>
      <c r="O567" s="69">
        <v>0</v>
      </c>
      <c r="W567" s="69">
        <v>0</v>
      </c>
    </row>
    <row r="568" spans="1:23" ht="30.75" hidden="1" customHeight="1" x14ac:dyDescent="0.2">
      <c r="A568" s="137"/>
      <c r="B568" s="150"/>
      <c r="C568" s="96" t="s">
        <v>13</v>
      </c>
      <c r="D568" s="83">
        <f t="shared" si="279"/>
        <v>0</v>
      </c>
      <c r="E568" s="69">
        <v>0</v>
      </c>
      <c r="F568" s="69">
        <v>0</v>
      </c>
      <c r="G568" s="69">
        <v>0</v>
      </c>
      <c r="H568" s="69">
        <v>0</v>
      </c>
      <c r="I568" s="69">
        <v>0</v>
      </c>
      <c r="J568" s="69">
        <v>0</v>
      </c>
      <c r="K568" s="69">
        <v>0</v>
      </c>
      <c r="L568" s="69">
        <v>0</v>
      </c>
      <c r="M568" s="69">
        <v>0</v>
      </c>
      <c r="N568" s="69">
        <v>0</v>
      </c>
      <c r="O568" s="69">
        <v>0</v>
      </c>
      <c r="W568" s="69">
        <v>0</v>
      </c>
    </row>
    <row r="569" spans="1:23" s="85" customFormat="1" ht="36" customHeight="1" x14ac:dyDescent="0.2">
      <c r="A569" s="138" t="s">
        <v>333</v>
      </c>
      <c r="B569" s="138" t="s">
        <v>375</v>
      </c>
      <c r="C569" s="84" t="s">
        <v>7</v>
      </c>
      <c r="D569" s="83">
        <f t="shared" si="279"/>
        <v>95129.2</v>
      </c>
      <c r="E569" s="69">
        <f t="shared" ref="E569:O569" si="289">E570+E571+E573+E575</f>
        <v>0</v>
      </c>
      <c r="F569" s="69">
        <f t="shared" si="289"/>
        <v>0</v>
      </c>
      <c r="G569" s="69">
        <f t="shared" si="289"/>
        <v>0</v>
      </c>
      <c r="H569" s="69">
        <f t="shared" si="289"/>
        <v>0</v>
      </c>
      <c r="I569" s="69">
        <f t="shared" si="289"/>
        <v>0</v>
      </c>
      <c r="J569" s="69">
        <f t="shared" si="289"/>
        <v>0</v>
      </c>
      <c r="K569" s="69">
        <f t="shared" si="289"/>
        <v>25529.200000000001</v>
      </c>
      <c r="L569" s="69">
        <f t="shared" si="289"/>
        <v>23200</v>
      </c>
      <c r="M569" s="69">
        <f t="shared" si="289"/>
        <v>23200</v>
      </c>
      <c r="N569" s="69">
        <f t="shared" si="289"/>
        <v>23200</v>
      </c>
      <c r="O569" s="69">
        <f t="shared" si="289"/>
        <v>0</v>
      </c>
      <c r="P569" s="62"/>
      <c r="Q569" s="62"/>
      <c r="R569" s="62"/>
      <c r="S569" s="62"/>
      <c r="T569" s="62"/>
      <c r="U569" s="62"/>
      <c r="V569" s="62"/>
      <c r="W569" s="69">
        <f t="shared" ref="W569" si="290">W570+W571+W573+W575</f>
        <v>0</v>
      </c>
    </row>
    <row r="570" spans="1:23" ht="30" customHeight="1" x14ac:dyDescent="0.2">
      <c r="A570" s="139"/>
      <c r="B570" s="139"/>
      <c r="C570" s="96" t="s">
        <v>10</v>
      </c>
      <c r="D570" s="83">
        <f t="shared" si="279"/>
        <v>0</v>
      </c>
      <c r="E570" s="69">
        <v>0</v>
      </c>
      <c r="F570" s="69">
        <v>0</v>
      </c>
      <c r="G570" s="69">
        <v>0</v>
      </c>
      <c r="H570" s="69">
        <v>0</v>
      </c>
      <c r="I570" s="69">
        <v>0</v>
      </c>
      <c r="J570" s="69">
        <v>0</v>
      </c>
      <c r="K570" s="69">
        <v>0</v>
      </c>
      <c r="L570" s="69">
        <v>0</v>
      </c>
      <c r="M570" s="69">
        <v>0</v>
      </c>
      <c r="N570" s="69">
        <v>0</v>
      </c>
      <c r="O570" s="69">
        <v>0</v>
      </c>
      <c r="W570" s="69">
        <v>0</v>
      </c>
    </row>
    <row r="571" spans="1:23" ht="15.75" customHeight="1" x14ac:dyDescent="0.2">
      <c r="A571" s="139"/>
      <c r="B571" s="139"/>
      <c r="C571" s="96" t="s">
        <v>69</v>
      </c>
      <c r="D571" s="83">
        <f t="shared" si="279"/>
        <v>89421.4</v>
      </c>
      <c r="E571" s="69">
        <v>0</v>
      </c>
      <c r="F571" s="69">
        <v>0</v>
      </c>
      <c r="G571" s="69">
        <v>0</v>
      </c>
      <c r="H571" s="69">
        <v>0</v>
      </c>
      <c r="I571" s="69">
        <v>0</v>
      </c>
      <c r="J571" s="69">
        <v>0</v>
      </c>
      <c r="K571" s="69">
        <v>23997.4</v>
      </c>
      <c r="L571" s="69">
        <v>21808</v>
      </c>
      <c r="M571" s="69">
        <v>21808</v>
      </c>
      <c r="N571" s="69">
        <v>21808</v>
      </c>
      <c r="O571" s="69">
        <v>0</v>
      </c>
      <c r="W571" s="69">
        <v>0</v>
      </c>
    </row>
    <row r="572" spans="1:23" ht="37.5" customHeight="1" x14ac:dyDescent="0.2">
      <c r="A572" s="139"/>
      <c r="B572" s="139"/>
      <c r="C572" s="72" t="s">
        <v>81</v>
      </c>
      <c r="D572" s="83">
        <f t="shared" si="279"/>
        <v>65424</v>
      </c>
      <c r="E572" s="71">
        <v>0</v>
      </c>
      <c r="F572" s="71">
        <v>0</v>
      </c>
      <c r="G572" s="71">
        <v>0</v>
      </c>
      <c r="H572" s="71">
        <v>0</v>
      </c>
      <c r="I572" s="71">
        <v>0</v>
      </c>
      <c r="J572" s="71">
        <v>0</v>
      </c>
      <c r="K572" s="71">
        <v>0</v>
      </c>
      <c r="L572" s="71">
        <v>21808</v>
      </c>
      <c r="M572" s="71">
        <v>21808</v>
      </c>
      <c r="N572" s="71">
        <v>21808</v>
      </c>
      <c r="O572" s="71">
        <v>0</v>
      </c>
      <c r="W572" s="71">
        <v>0</v>
      </c>
    </row>
    <row r="573" spans="1:23" ht="15.75" customHeight="1" x14ac:dyDescent="0.2">
      <c r="A573" s="139"/>
      <c r="B573" s="139"/>
      <c r="C573" s="96" t="s">
        <v>65</v>
      </c>
      <c r="D573" s="83">
        <f t="shared" si="279"/>
        <v>5707.8</v>
      </c>
      <c r="E573" s="69">
        <v>0</v>
      </c>
      <c r="F573" s="69">
        <v>0</v>
      </c>
      <c r="G573" s="69">
        <v>0</v>
      </c>
      <c r="H573" s="69">
        <v>0</v>
      </c>
      <c r="I573" s="69">
        <v>0</v>
      </c>
      <c r="J573" s="69">
        <v>0</v>
      </c>
      <c r="K573" s="69">
        <f>1531.8</f>
        <v>1531.8</v>
      </c>
      <c r="L573" s="69">
        <v>1392</v>
      </c>
      <c r="M573" s="69">
        <v>1392</v>
      </c>
      <c r="N573" s="69">
        <v>1392</v>
      </c>
      <c r="O573" s="69">
        <v>0</v>
      </c>
      <c r="W573" s="69">
        <v>0</v>
      </c>
    </row>
    <row r="574" spans="1:23" ht="36" customHeight="1" x14ac:dyDescent="0.2">
      <c r="A574" s="139"/>
      <c r="B574" s="139"/>
      <c r="C574" s="72" t="s">
        <v>448</v>
      </c>
      <c r="D574" s="83">
        <f t="shared" si="279"/>
        <v>4176</v>
      </c>
      <c r="E574" s="69">
        <v>0</v>
      </c>
      <c r="F574" s="69">
        <v>0</v>
      </c>
      <c r="G574" s="69">
        <v>0</v>
      </c>
      <c r="H574" s="69">
        <v>0</v>
      </c>
      <c r="I574" s="69">
        <v>0</v>
      </c>
      <c r="J574" s="69">
        <v>0</v>
      </c>
      <c r="K574" s="71">
        <v>0</v>
      </c>
      <c r="L574" s="71">
        <v>1392</v>
      </c>
      <c r="M574" s="71">
        <v>1392</v>
      </c>
      <c r="N574" s="71">
        <v>1392</v>
      </c>
      <c r="O574" s="71">
        <v>0</v>
      </c>
      <c r="P574" s="85"/>
      <c r="Q574" s="85"/>
      <c r="R574" s="85"/>
      <c r="S574" s="85"/>
      <c r="T574" s="85"/>
      <c r="U574" s="85"/>
      <c r="V574" s="85"/>
      <c r="W574" s="71">
        <v>0</v>
      </c>
    </row>
    <row r="575" spans="1:23" ht="15.75" x14ac:dyDescent="0.2">
      <c r="A575" s="140"/>
      <c r="B575" s="140"/>
      <c r="C575" s="96" t="s">
        <v>13</v>
      </c>
      <c r="D575" s="83">
        <f t="shared" si="279"/>
        <v>0</v>
      </c>
      <c r="E575" s="69">
        <v>0</v>
      </c>
      <c r="F575" s="69">
        <v>0</v>
      </c>
      <c r="G575" s="69">
        <v>0</v>
      </c>
      <c r="H575" s="69">
        <v>0</v>
      </c>
      <c r="I575" s="69">
        <v>0</v>
      </c>
      <c r="J575" s="69">
        <v>0</v>
      </c>
      <c r="K575" s="69">
        <v>0</v>
      </c>
      <c r="L575" s="69">
        <v>0</v>
      </c>
      <c r="M575" s="69">
        <v>0</v>
      </c>
      <c r="N575" s="69">
        <v>0</v>
      </c>
      <c r="O575" s="69">
        <v>0</v>
      </c>
      <c r="W575" s="69">
        <v>0</v>
      </c>
    </row>
    <row r="576" spans="1:23" ht="19.5" customHeight="1" x14ac:dyDescent="0.2">
      <c r="A576" s="151" t="s">
        <v>33</v>
      </c>
      <c r="B576" s="161" t="s">
        <v>46</v>
      </c>
      <c r="C576" s="101" t="s">
        <v>7</v>
      </c>
      <c r="D576" s="66">
        <f>E576+F576+G576+H576+I576+J576+K576+L576+M576+N576+O576+W576</f>
        <v>33518.199999999997</v>
      </c>
      <c r="E576" s="66">
        <f>E577+E578+E579+E580</f>
        <v>20400</v>
      </c>
      <c r="F576" s="66">
        <f t="shared" ref="F576:O576" si="291">F577+F578+F579+F580</f>
        <v>3430</v>
      </c>
      <c r="G576" s="66">
        <f t="shared" si="291"/>
        <v>2049.1999999999998</v>
      </c>
      <c r="H576" s="66">
        <f t="shared" si="291"/>
        <v>3688.6</v>
      </c>
      <c r="I576" s="66">
        <f t="shared" si="291"/>
        <v>2475</v>
      </c>
      <c r="J576" s="66">
        <f>J577+J578+J579+J580</f>
        <v>227.4</v>
      </c>
      <c r="K576" s="66">
        <f t="shared" si="291"/>
        <v>251</v>
      </c>
      <c r="L576" s="66">
        <f t="shared" si="291"/>
        <v>278.5</v>
      </c>
      <c r="M576" s="66">
        <f>M577+M578+M579+M580</f>
        <v>312</v>
      </c>
      <c r="N576" s="66">
        <f t="shared" si="291"/>
        <v>129.4</v>
      </c>
      <c r="O576" s="66">
        <f t="shared" si="291"/>
        <v>170.6</v>
      </c>
      <c r="P576" s="60"/>
      <c r="Q576" s="60"/>
      <c r="W576" s="66">
        <f t="shared" ref="W576" si="292">W577+W578+W579+W580</f>
        <v>106.5</v>
      </c>
    </row>
    <row r="577" spans="1:23" ht="23.25" customHeight="1" x14ac:dyDescent="0.2">
      <c r="A577" s="151"/>
      <c r="B577" s="149"/>
      <c r="C577" s="101" t="s">
        <v>10</v>
      </c>
      <c r="D577" s="69">
        <f>E577+F577+G577+H577+I577+J577+K577+L577+M577+N577+O577+W577</f>
        <v>0</v>
      </c>
      <c r="E577" s="69">
        <f>E582</f>
        <v>0</v>
      </c>
      <c r="F577" s="69">
        <f t="shared" ref="F577:O577" si="293">F582</f>
        <v>0</v>
      </c>
      <c r="G577" s="69">
        <f t="shared" si="293"/>
        <v>0</v>
      </c>
      <c r="H577" s="69">
        <f t="shared" si="293"/>
        <v>0</v>
      </c>
      <c r="I577" s="69">
        <f t="shared" si="293"/>
        <v>0</v>
      </c>
      <c r="J577" s="69">
        <f t="shared" si="293"/>
        <v>0</v>
      </c>
      <c r="K577" s="69">
        <f t="shared" si="293"/>
        <v>0</v>
      </c>
      <c r="L577" s="69">
        <f t="shared" si="293"/>
        <v>0</v>
      </c>
      <c r="M577" s="69">
        <f t="shared" si="293"/>
        <v>0</v>
      </c>
      <c r="N577" s="69">
        <f t="shared" si="293"/>
        <v>0</v>
      </c>
      <c r="O577" s="69">
        <f t="shared" si="293"/>
        <v>0</v>
      </c>
      <c r="W577" s="69">
        <f t="shared" ref="W577" si="294">W582</f>
        <v>0</v>
      </c>
    </row>
    <row r="578" spans="1:23" ht="23.25" customHeight="1" x14ac:dyDescent="0.2">
      <c r="A578" s="151"/>
      <c r="B578" s="149"/>
      <c r="C578" s="101" t="s">
        <v>11</v>
      </c>
      <c r="D578" s="69">
        <f t="shared" ref="D578:D600" si="295">E578+F578+G578+H578+I578+J578+K578+L578+M578+N578+O578+W578</f>
        <v>0</v>
      </c>
      <c r="E578" s="69">
        <f>E583</f>
        <v>0</v>
      </c>
      <c r="F578" s="69">
        <f t="shared" ref="F578:O578" si="296">F592</f>
        <v>0</v>
      </c>
      <c r="G578" s="69">
        <f t="shared" si="296"/>
        <v>0</v>
      </c>
      <c r="H578" s="69">
        <f t="shared" si="296"/>
        <v>0</v>
      </c>
      <c r="I578" s="69">
        <f t="shared" si="296"/>
        <v>0</v>
      </c>
      <c r="J578" s="69">
        <f t="shared" si="296"/>
        <v>0</v>
      </c>
      <c r="K578" s="69">
        <f t="shared" si="296"/>
        <v>0</v>
      </c>
      <c r="L578" s="69">
        <f t="shared" si="296"/>
        <v>0</v>
      </c>
      <c r="M578" s="69">
        <f t="shared" si="296"/>
        <v>0</v>
      </c>
      <c r="N578" s="69">
        <f t="shared" si="296"/>
        <v>0</v>
      </c>
      <c r="O578" s="69">
        <f t="shared" si="296"/>
        <v>0</v>
      </c>
      <c r="W578" s="69">
        <f t="shared" ref="W578" si="297">W592</f>
        <v>0</v>
      </c>
    </row>
    <row r="579" spans="1:23" ht="23.25" customHeight="1" x14ac:dyDescent="0.2">
      <c r="A579" s="151"/>
      <c r="B579" s="149"/>
      <c r="C579" s="101" t="s">
        <v>12</v>
      </c>
      <c r="D579" s="69">
        <f t="shared" si="295"/>
        <v>3253.2000000000003</v>
      </c>
      <c r="E579" s="69">
        <f>E584</f>
        <v>400</v>
      </c>
      <c r="F579" s="69">
        <f>F584</f>
        <v>430</v>
      </c>
      <c r="G579" s="69">
        <f t="shared" ref="G579:O579" si="298">G584</f>
        <v>449.2</v>
      </c>
      <c r="H579" s="69">
        <f t="shared" si="298"/>
        <v>235</v>
      </c>
      <c r="I579" s="69">
        <f t="shared" si="298"/>
        <v>263.60000000000002</v>
      </c>
      <c r="J579" s="69">
        <f t="shared" si="298"/>
        <v>227.4</v>
      </c>
      <c r="K579" s="69">
        <f t="shared" si="298"/>
        <v>251</v>
      </c>
      <c r="L579" s="69">
        <f t="shared" si="298"/>
        <v>278.5</v>
      </c>
      <c r="M579" s="69">
        <f t="shared" si="298"/>
        <v>312</v>
      </c>
      <c r="N579" s="69">
        <f t="shared" si="298"/>
        <v>129.4</v>
      </c>
      <c r="O579" s="69">
        <f t="shared" si="298"/>
        <v>170.6</v>
      </c>
      <c r="W579" s="69">
        <f t="shared" ref="W579" si="299">W584</f>
        <v>106.5</v>
      </c>
    </row>
    <row r="580" spans="1:23" ht="23.25" customHeight="1" x14ac:dyDescent="0.2">
      <c r="A580" s="151"/>
      <c r="B580" s="149"/>
      <c r="C580" s="101" t="s">
        <v>13</v>
      </c>
      <c r="D580" s="69">
        <f t="shared" si="295"/>
        <v>30265</v>
      </c>
      <c r="E580" s="69">
        <f>E585</f>
        <v>20000</v>
      </c>
      <c r="F580" s="69">
        <f t="shared" ref="F580:O580" si="300">F585</f>
        <v>3000</v>
      </c>
      <c r="G580" s="69">
        <f t="shared" si="300"/>
        <v>1600</v>
      </c>
      <c r="H580" s="69">
        <f t="shared" si="300"/>
        <v>3453.6</v>
      </c>
      <c r="I580" s="69">
        <f t="shared" si="300"/>
        <v>2211.4</v>
      </c>
      <c r="J580" s="69">
        <f t="shared" si="300"/>
        <v>0</v>
      </c>
      <c r="K580" s="69">
        <f t="shared" si="300"/>
        <v>0</v>
      </c>
      <c r="L580" s="69">
        <f t="shared" si="300"/>
        <v>0</v>
      </c>
      <c r="M580" s="69">
        <f t="shared" si="300"/>
        <v>0</v>
      </c>
      <c r="N580" s="69">
        <f t="shared" si="300"/>
        <v>0</v>
      </c>
      <c r="O580" s="69">
        <f t="shared" si="300"/>
        <v>0</v>
      </c>
      <c r="W580" s="69">
        <f t="shared" ref="W580" si="301">W585</f>
        <v>0</v>
      </c>
    </row>
    <row r="581" spans="1:23" ht="15.75" x14ac:dyDescent="0.2">
      <c r="A581" s="137" t="s">
        <v>132</v>
      </c>
      <c r="B581" s="149" t="s">
        <v>119</v>
      </c>
      <c r="C581" s="101" t="s">
        <v>7</v>
      </c>
      <c r="D581" s="69">
        <f t="shared" si="295"/>
        <v>33518.199999999997</v>
      </c>
      <c r="E581" s="69">
        <f t="shared" ref="E581:O581" si="302">E582+E583+E584+E585</f>
        <v>20400</v>
      </c>
      <c r="F581" s="69">
        <f t="shared" si="302"/>
        <v>3430</v>
      </c>
      <c r="G581" s="69">
        <f t="shared" si="302"/>
        <v>2049.1999999999998</v>
      </c>
      <c r="H581" s="69">
        <f t="shared" si="302"/>
        <v>3688.6</v>
      </c>
      <c r="I581" s="69">
        <f t="shared" si="302"/>
        <v>2475</v>
      </c>
      <c r="J581" s="69">
        <f t="shared" si="302"/>
        <v>227.4</v>
      </c>
      <c r="K581" s="69">
        <f t="shared" si="302"/>
        <v>251</v>
      </c>
      <c r="L581" s="69">
        <f t="shared" si="302"/>
        <v>278.5</v>
      </c>
      <c r="M581" s="69">
        <f t="shared" si="302"/>
        <v>312</v>
      </c>
      <c r="N581" s="69">
        <f t="shared" si="302"/>
        <v>129.4</v>
      </c>
      <c r="O581" s="69">
        <f t="shared" si="302"/>
        <v>170.6</v>
      </c>
      <c r="W581" s="69">
        <f t="shared" ref="W581" si="303">W582+W583+W584+W585</f>
        <v>106.5</v>
      </c>
    </row>
    <row r="582" spans="1:23" ht="15.75" customHeight="1" x14ac:dyDescent="0.2">
      <c r="A582" s="137"/>
      <c r="B582" s="149"/>
      <c r="C582" s="101" t="s">
        <v>10</v>
      </c>
      <c r="D582" s="69">
        <f t="shared" si="295"/>
        <v>0</v>
      </c>
      <c r="E582" s="69">
        <f t="shared" ref="E582:O582" si="304">E587+E592+E597</f>
        <v>0</v>
      </c>
      <c r="F582" s="69">
        <f t="shared" si="304"/>
        <v>0</v>
      </c>
      <c r="G582" s="69">
        <f t="shared" si="304"/>
        <v>0</v>
      </c>
      <c r="H582" s="69">
        <f t="shared" si="304"/>
        <v>0</v>
      </c>
      <c r="I582" s="69">
        <f t="shared" si="304"/>
        <v>0</v>
      </c>
      <c r="J582" s="69">
        <f t="shared" si="304"/>
        <v>0</v>
      </c>
      <c r="K582" s="69">
        <f t="shared" si="304"/>
        <v>0</v>
      </c>
      <c r="L582" s="69">
        <f t="shared" si="304"/>
        <v>0</v>
      </c>
      <c r="M582" s="69">
        <f t="shared" si="304"/>
        <v>0</v>
      </c>
      <c r="N582" s="69">
        <f t="shared" si="304"/>
        <v>0</v>
      </c>
      <c r="O582" s="69">
        <f t="shared" si="304"/>
        <v>0</v>
      </c>
      <c r="W582" s="69">
        <f t="shared" ref="W582" si="305">W587+W592+W597</f>
        <v>0</v>
      </c>
    </row>
    <row r="583" spans="1:23" ht="15.75" customHeight="1" x14ac:dyDescent="0.2">
      <c r="A583" s="137"/>
      <c r="B583" s="149"/>
      <c r="C583" s="101" t="s">
        <v>11</v>
      </c>
      <c r="D583" s="69">
        <f t="shared" si="295"/>
        <v>0</v>
      </c>
      <c r="E583" s="69">
        <f t="shared" ref="E583:O583" si="306">E588+E593+E598</f>
        <v>0</v>
      </c>
      <c r="F583" s="69">
        <f t="shared" si="306"/>
        <v>0</v>
      </c>
      <c r="G583" s="69">
        <f t="shared" si="306"/>
        <v>0</v>
      </c>
      <c r="H583" s="69">
        <f t="shared" si="306"/>
        <v>0</v>
      </c>
      <c r="I583" s="69">
        <f t="shared" si="306"/>
        <v>0</v>
      </c>
      <c r="J583" s="69">
        <f t="shared" si="306"/>
        <v>0</v>
      </c>
      <c r="K583" s="69">
        <f t="shared" si="306"/>
        <v>0</v>
      </c>
      <c r="L583" s="69">
        <f t="shared" si="306"/>
        <v>0</v>
      </c>
      <c r="M583" s="69">
        <f t="shared" si="306"/>
        <v>0</v>
      </c>
      <c r="N583" s="69">
        <f t="shared" si="306"/>
        <v>0</v>
      </c>
      <c r="O583" s="69">
        <f t="shared" si="306"/>
        <v>0</v>
      </c>
      <c r="W583" s="69">
        <f t="shared" ref="W583" si="307">W588+W593+W598</f>
        <v>0</v>
      </c>
    </row>
    <row r="584" spans="1:23" ht="15.75" customHeight="1" x14ac:dyDescent="0.2">
      <c r="A584" s="137"/>
      <c r="B584" s="149"/>
      <c r="C584" s="101" t="s">
        <v>12</v>
      </c>
      <c r="D584" s="69">
        <f t="shared" si="295"/>
        <v>3253.2000000000003</v>
      </c>
      <c r="E584" s="69">
        <f t="shared" ref="E584:O584" si="308">E589+E594+E599</f>
        <v>400</v>
      </c>
      <c r="F584" s="69">
        <f t="shared" si="308"/>
        <v>430</v>
      </c>
      <c r="G584" s="69">
        <f t="shared" si="308"/>
        <v>449.2</v>
      </c>
      <c r="H584" s="69">
        <f t="shared" si="308"/>
        <v>235</v>
      </c>
      <c r="I584" s="69">
        <f>I589+I594+I599</f>
        <v>263.60000000000002</v>
      </c>
      <c r="J584" s="69">
        <f t="shared" si="308"/>
        <v>227.4</v>
      </c>
      <c r="K584" s="69">
        <f t="shared" si="308"/>
        <v>251</v>
      </c>
      <c r="L584" s="69">
        <f t="shared" si="308"/>
        <v>278.5</v>
      </c>
      <c r="M584" s="69">
        <f t="shared" si="308"/>
        <v>312</v>
      </c>
      <c r="N584" s="69">
        <f t="shared" si="308"/>
        <v>129.4</v>
      </c>
      <c r="O584" s="69">
        <f t="shared" si="308"/>
        <v>170.6</v>
      </c>
      <c r="W584" s="69">
        <f t="shared" ref="W584" si="309">W589+W594+W599</f>
        <v>106.5</v>
      </c>
    </row>
    <row r="585" spans="1:23" ht="15.75" x14ac:dyDescent="0.2">
      <c r="A585" s="137"/>
      <c r="B585" s="149"/>
      <c r="C585" s="101" t="s">
        <v>13</v>
      </c>
      <c r="D585" s="69">
        <f t="shared" si="295"/>
        <v>30265</v>
      </c>
      <c r="E585" s="69">
        <f t="shared" ref="E585:O585" si="310">E590+E595+E600</f>
        <v>20000</v>
      </c>
      <c r="F585" s="69">
        <f t="shared" si="310"/>
        <v>3000</v>
      </c>
      <c r="G585" s="69">
        <f t="shared" si="310"/>
        <v>1600</v>
      </c>
      <c r="H585" s="69">
        <f t="shared" si="310"/>
        <v>3453.6</v>
      </c>
      <c r="I585" s="69">
        <f t="shared" si="310"/>
        <v>2211.4</v>
      </c>
      <c r="J585" s="69">
        <f t="shared" si="310"/>
        <v>0</v>
      </c>
      <c r="K585" s="69">
        <f t="shared" si="310"/>
        <v>0</v>
      </c>
      <c r="L585" s="69">
        <f t="shared" si="310"/>
        <v>0</v>
      </c>
      <c r="M585" s="69">
        <f t="shared" si="310"/>
        <v>0</v>
      </c>
      <c r="N585" s="69">
        <f t="shared" si="310"/>
        <v>0</v>
      </c>
      <c r="O585" s="69">
        <f t="shared" si="310"/>
        <v>0</v>
      </c>
      <c r="W585" s="69">
        <f t="shared" ref="W585" si="311">W590+W595+W600</f>
        <v>0</v>
      </c>
    </row>
    <row r="586" spans="1:23" ht="15.75" x14ac:dyDescent="0.2">
      <c r="A586" s="137" t="s">
        <v>120</v>
      </c>
      <c r="B586" s="149" t="s">
        <v>85</v>
      </c>
      <c r="C586" s="96" t="s">
        <v>7</v>
      </c>
      <c r="D586" s="69">
        <f t="shared" si="295"/>
        <v>3933.4</v>
      </c>
      <c r="E586" s="69">
        <f t="shared" ref="E586:J586" si="312">E587+E588+E589+E590</f>
        <v>0</v>
      </c>
      <c r="F586" s="69">
        <f t="shared" si="312"/>
        <v>0</v>
      </c>
      <c r="G586" s="69">
        <f t="shared" si="312"/>
        <v>0</v>
      </c>
      <c r="H586" s="69">
        <f t="shared" si="312"/>
        <v>2662</v>
      </c>
      <c r="I586" s="69">
        <f t="shared" si="312"/>
        <v>1271.4000000000001</v>
      </c>
      <c r="J586" s="69">
        <f t="shared" si="312"/>
        <v>0</v>
      </c>
      <c r="K586" s="69">
        <f>K587+K588+K589+K590</f>
        <v>0</v>
      </c>
      <c r="L586" s="69">
        <f>L587+L588+L589+L590</f>
        <v>0</v>
      </c>
      <c r="M586" s="69">
        <f>M587+M588+M589+M590</f>
        <v>0</v>
      </c>
      <c r="N586" s="69">
        <f>N587+N588+N589+N590</f>
        <v>0</v>
      </c>
      <c r="O586" s="69">
        <f>O587+O588+O589+O590</f>
        <v>0</v>
      </c>
      <c r="W586" s="69">
        <f>W587+W588+W589+W590</f>
        <v>0</v>
      </c>
    </row>
    <row r="587" spans="1:23" ht="15.75" x14ac:dyDescent="0.2">
      <c r="A587" s="137"/>
      <c r="B587" s="149"/>
      <c r="C587" s="96" t="s">
        <v>10</v>
      </c>
      <c r="D587" s="69">
        <f t="shared" si="295"/>
        <v>0</v>
      </c>
      <c r="E587" s="69">
        <v>0</v>
      </c>
      <c r="F587" s="69">
        <v>0</v>
      </c>
      <c r="G587" s="69">
        <v>0</v>
      </c>
      <c r="H587" s="69">
        <v>0</v>
      </c>
      <c r="I587" s="69">
        <v>0</v>
      </c>
      <c r="J587" s="69">
        <v>0</v>
      </c>
      <c r="K587" s="69">
        <v>0</v>
      </c>
      <c r="L587" s="69">
        <v>0</v>
      </c>
      <c r="M587" s="69">
        <v>0</v>
      </c>
      <c r="N587" s="69">
        <v>0</v>
      </c>
      <c r="O587" s="69">
        <v>0</v>
      </c>
      <c r="W587" s="69">
        <v>0</v>
      </c>
    </row>
    <row r="588" spans="1:23" ht="15.75" x14ac:dyDescent="0.2">
      <c r="A588" s="137"/>
      <c r="B588" s="149"/>
      <c r="C588" s="96" t="s">
        <v>11</v>
      </c>
      <c r="D588" s="69">
        <f t="shared" si="295"/>
        <v>0</v>
      </c>
      <c r="E588" s="69">
        <v>0</v>
      </c>
      <c r="F588" s="69">
        <v>0</v>
      </c>
      <c r="G588" s="69">
        <v>0</v>
      </c>
      <c r="H588" s="69">
        <v>0</v>
      </c>
      <c r="I588" s="69">
        <v>0</v>
      </c>
      <c r="J588" s="69">
        <v>0</v>
      </c>
      <c r="K588" s="69">
        <v>0</v>
      </c>
      <c r="L588" s="69">
        <v>0</v>
      </c>
      <c r="M588" s="69">
        <v>0</v>
      </c>
      <c r="N588" s="69">
        <v>0</v>
      </c>
      <c r="O588" s="69">
        <v>0</v>
      </c>
      <c r="W588" s="69">
        <v>0</v>
      </c>
    </row>
    <row r="589" spans="1:23" ht="15.75" x14ac:dyDescent="0.2">
      <c r="A589" s="137"/>
      <c r="B589" s="149"/>
      <c r="C589" s="96" t="s">
        <v>12</v>
      </c>
      <c r="D589" s="69">
        <f t="shared" si="295"/>
        <v>0</v>
      </c>
      <c r="E589" s="69">
        <v>0</v>
      </c>
      <c r="F589" s="69">
        <v>0</v>
      </c>
      <c r="G589" s="69">
        <v>0</v>
      </c>
      <c r="H589" s="69">
        <v>0</v>
      </c>
      <c r="I589" s="69">
        <v>0</v>
      </c>
      <c r="J589" s="69">
        <v>0</v>
      </c>
      <c r="K589" s="69">
        <v>0</v>
      </c>
      <c r="L589" s="69">
        <v>0</v>
      </c>
      <c r="M589" s="69">
        <v>0</v>
      </c>
      <c r="N589" s="69">
        <v>0</v>
      </c>
      <c r="O589" s="69">
        <v>0</v>
      </c>
      <c r="W589" s="69">
        <v>0</v>
      </c>
    </row>
    <row r="590" spans="1:23" ht="15.75" x14ac:dyDescent="0.2">
      <c r="A590" s="137"/>
      <c r="B590" s="149"/>
      <c r="C590" s="96" t="s">
        <v>13</v>
      </c>
      <c r="D590" s="69">
        <f t="shared" si="295"/>
        <v>3933.4</v>
      </c>
      <c r="E590" s="69">
        <v>0</v>
      </c>
      <c r="F590" s="69">
        <v>0</v>
      </c>
      <c r="G590" s="69">
        <v>0</v>
      </c>
      <c r="H590" s="69">
        <v>2662</v>
      </c>
      <c r="I590" s="69">
        <f>837+48.7+385.7</f>
        <v>1271.4000000000001</v>
      </c>
      <c r="J590" s="69">
        <v>0</v>
      </c>
      <c r="K590" s="69">
        <v>0</v>
      </c>
      <c r="L590" s="69">
        <v>0</v>
      </c>
      <c r="M590" s="69">
        <v>0</v>
      </c>
      <c r="N590" s="69">
        <v>0</v>
      </c>
      <c r="O590" s="69">
        <v>0</v>
      </c>
      <c r="W590" s="69">
        <v>0</v>
      </c>
    </row>
    <row r="591" spans="1:23" ht="15.75" x14ac:dyDescent="0.2">
      <c r="A591" s="137" t="s">
        <v>121</v>
      </c>
      <c r="B591" s="149" t="s">
        <v>32</v>
      </c>
      <c r="C591" s="96" t="s">
        <v>7</v>
      </c>
      <c r="D591" s="69">
        <f t="shared" si="295"/>
        <v>3253.2000000000003</v>
      </c>
      <c r="E591" s="69">
        <f t="shared" ref="E591:J591" si="313">E592+E593+E594+E595</f>
        <v>400</v>
      </c>
      <c r="F591" s="69">
        <f t="shared" si="313"/>
        <v>430</v>
      </c>
      <c r="G591" s="69">
        <f t="shared" si="313"/>
        <v>449.2</v>
      </c>
      <c r="H591" s="69">
        <f t="shared" si="313"/>
        <v>235</v>
      </c>
      <c r="I591" s="69">
        <f t="shared" si="313"/>
        <v>263.60000000000002</v>
      </c>
      <c r="J591" s="69">
        <f t="shared" si="313"/>
        <v>227.4</v>
      </c>
      <c r="K591" s="69">
        <f>K592+K593+K594+K595</f>
        <v>251</v>
      </c>
      <c r="L591" s="69">
        <f>L592+L593+L594+L595</f>
        <v>278.5</v>
      </c>
      <c r="M591" s="69">
        <f>M592+M593+M594+M595</f>
        <v>312</v>
      </c>
      <c r="N591" s="69">
        <f>N592+N593+N594+N595</f>
        <v>129.4</v>
      </c>
      <c r="O591" s="69">
        <f>O592+O593+O594+O595</f>
        <v>170.6</v>
      </c>
      <c r="W591" s="69">
        <f>W592+W593+W594+W595</f>
        <v>106.5</v>
      </c>
    </row>
    <row r="592" spans="1:23" ht="15.75" x14ac:dyDescent="0.2">
      <c r="A592" s="137"/>
      <c r="B592" s="149"/>
      <c r="C592" s="101" t="s">
        <v>10</v>
      </c>
      <c r="D592" s="69">
        <f t="shared" si="295"/>
        <v>0</v>
      </c>
      <c r="E592" s="69">
        <v>0</v>
      </c>
      <c r="F592" s="69">
        <v>0</v>
      </c>
      <c r="G592" s="69">
        <v>0</v>
      </c>
      <c r="H592" s="69">
        <v>0</v>
      </c>
      <c r="I592" s="69">
        <v>0</v>
      </c>
      <c r="J592" s="69">
        <v>0</v>
      </c>
      <c r="K592" s="69">
        <v>0</v>
      </c>
      <c r="L592" s="69">
        <v>0</v>
      </c>
      <c r="M592" s="69">
        <v>0</v>
      </c>
      <c r="N592" s="69">
        <v>0</v>
      </c>
      <c r="O592" s="69">
        <v>0</v>
      </c>
      <c r="W592" s="69">
        <v>0</v>
      </c>
    </row>
    <row r="593" spans="1:23" ht="15.75" x14ac:dyDescent="0.2">
      <c r="A593" s="137"/>
      <c r="B593" s="149"/>
      <c r="C593" s="101" t="s">
        <v>11</v>
      </c>
      <c r="D593" s="69">
        <f t="shared" si="295"/>
        <v>0</v>
      </c>
      <c r="E593" s="69">
        <v>0</v>
      </c>
      <c r="F593" s="69">
        <v>0</v>
      </c>
      <c r="G593" s="69">
        <v>0</v>
      </c>
      <c r="H593" s="69">
        <v>0</v>
      </c>
      <c r="I593" s="69">
        <v>0</v>
      </c>
      <c r="J593" s="69">
        <v>0</v>
      </c>
      <c r="K593" s="69">
        <v>0</v>
      </c>
      <c r="L593" s="69">
        <v>0</v>
      </c>
      <c r="M593" s="69">
        <v>0</v>
      </c>
      <c r="N593" s="69">
        <v>0</v>
      </c>
      <c r="O593" s="69">
        <v>0</v>
      </c>
      <c r="W593" s="69">
        <v>0</v>
      </c>
    </row>
    <row r="594" spans="1:23" ht="15.75" x14ac:dyDescent="0.2">
      <c r="A594" s="137"/>
      <c r="B594" s="149"/>
      <c r="C594" s="101" t="s">
        <v>12</v>
      </c>
      <c r="D594" s="69">
        <f t="shared" si="295"/>
        <v>3253.2000000000003</v>
      </c>
      <c r="E594" s="69">
        <v>400</v>
      </c>
      <c r="F594" s="69">
        <v>430</v>
      </c>
      <c r="G594" s="69">
        <v>449.2</v>
      </c>
      <c r="H594" s="69">
        <v>235</v>
      </c>
      <c r="I594" s="69">
        <f>251.9+11.7</f>
        <v>263.60000000000002</v>
      </c>
      <c r="J594" s="83">
        <f>278.5-51.1</f>
        <v>227.4</v>
      </c>
      <c r="K594" s="83">
        <f>278.5-27.5</f>
        <v>251</v>
      </c>
      <c r="L594" s="83">
        <f>157.5+121</f>
        <v>278.5</v>
      </c>
      <c r="M594" s="83">
        <f>167-9.4+154.4</f>
        <v>312</v>
      </c>
      <c r="N594" s="69">
        <f>167.8+18-56.4</f>
        <v>129.4</v>
      </c>
      <c r="O594" s="69">
        <f>170.3+12.7-12.4</f>
        <v>170.6</v>
      </c>
      <c r="W594" s="69">
        <v>106.5</v>
      </c>
    </row>
    <row r="595" spans="1:23" ht="15.75" x14ac:dyDescent="0.2">
      <c r="A595" s="137"/>
      <c r="B595" s="149"/>
      <c r="C595" s="101" t="s">
        <v>13</v>
      </c>
      <c r="D595" s="69">
        <f t="shared" si="295"/>
        <v>0</v>
      </c>
      <c r="E595" s="69">
        <v>0</v>
      </c>
      <c r="F595" s="69">
        <v>0</v>
      </c>
      <c r="G595" s="69">
        <v>0</v>
      </c>
      <c r="H595" s="69">
        <v>0</v>
      </c>
      <c r="I595" s="69">
        <v>0</v>
      </c>
      <c r="J595" s="69">
        <v>0</v>
      </c>
      <c r="K595" s="69">
        <v>0</v>
      </c>
      <c r="L595" s="69">
        <v>0</v>
      </c>
      <c r="M595" s="69">
        <v>0</v>
      </c>
      <c r="N595" s="69">
        <v>0</v>
      </c>
      <c r="O595" s="69">
        <v>0</v>
      </c>
      <c r="W595" s="69">
        <v>0</v>
      </c>
    </row>
    <row r="596" spans="1:23" ht="15.75" x14ac:dyDescent="0.25">
      <c r="A596" s="137" t="s">
        <v>246</v>
      </c>
      <c r="B596" s="149" t="s">
        <v>57</v>
      </c>
      <c r="C596" s="86" t="s">
        <v>7</v>
      </c>
      <c r="D596" s="69">
        <f t="shared" si="295"/>
        <v>26331.599999999999</v>
      </c>
      <c r="E596" s="69">
        <f>E600+E599+E598</f>
        <v>20000</v>
      </c>
      <c r="F596" s="69">
        <f t="shared" ref="F596:O596" si="314">F597+F598+F599+F600</f>
        <v>3000</v>
      </c>
      <c r="G596" s="69">
        <f t="shared" si="314"/>
        <v>1600</v>
      </c>
      <c r="H596" s="69">
        <f t="shared" si="314"/>
        <v>791.6</v>
      </c>
      <c r="I596" s="69">
        <f t="shared" si="314"/>
        <v>940</v>
      </c>
      <c r="J596" s="69">
        <f t="shared" si="314"/>
        <v>0</v>
      </c>
      <c r="K596" s="69">
        <f t="shared" si="314"/>
        <v>0</v>
      </c>
      <c r="L596" s="69">
        <f t="shared" si="314"/>
        <v>0</v>
      </c>
      <c r="M596" s="69">
        <f t="shared" si="314"/>
        <v>0</v>
      </c>
      <c r="N596" s="69">
        <f t="shared" si="314"/>
        <v>0</v>
      </c>
      <c r="O596" s="69">
        <f t="shared" si="314"/>
        <v>0</v>
      </c>
      <c r="W596" s="69">
        <f t="shared" ref="W596" si="315">W597+W598+W599+W600</f>
        <v>0</v>
      </c>
    </row>
    <row r="597" spans="1:23" ht="50.25" customHeight="1" x14ac:dyDescent="0.2">
      <c r="A597" s="137"/>
      <c r="B597" s="149"/>
      <c r="C597" s="101" t="s">
        <v>10</v>
      </c>
      <c r="D597" s="69">
        <f t="shared" si="295"/>
        <v>0</v>
      </c>
      <c r="E597" s="69">
        <v>0</v>
      </c>
      <c r="F597" s="69">
        <v>0</v>
      </c>
      <c r="G597" s="69">
        <v>0</v>
      </c>
      <c r="H597" s="69">
        <v>0</v>
      </c>
      <c r="I597" s="69">
        <v>0</v>
      </c>
      <c r="J597" s="69">
        <v>0</v>
      </c>
      <c r="K597" s="69">
        <v>0</v>
      </c>
      <c r="L597" s="69">
        <v>0</v>
      </c>
      <c r="M597" s="69">
        <v>0</v>
      </c>
      <c r="N597" s="69">
        <v>0</v>
      </c>
      <c r="O597" s="69">
        <v>0</v>
      </c>
      <c r="W597" s="69">
        <v>0</v>
      </c>
    </row>
    <row r="598" spans="1:23" ht="18.75" customHeight="1" x14ac:dyDescent="0.2">
      <c r="A598" s="137"/>
      <c r="B598" s="149"/>
      <c r="C598" s="101" t="s">
        <v>11</v>
      </c>
      <c r="D598" s="69">
        <f t="shared" si="295"/>
        <v>0</v>
      </c>
      <c r="E598" s="69">
        <v>0</v>
      </c>
      <c r="F598" s="69">
        <v>0</v>
      </c>
      <c r="G598" s="69">
        <v>0</v>
      </c>
      <c r="H598" s="69">
        <v>0</v>
      </c>
      <c r="I598" s="69">
        <v>0</v>
      </c>
      <c r="J598" s="69">
        <v>0</v>
      </c>
      <c r="K598" s="69">
        <v>0</v>
      </c>
      <c r="L598" s="69">
        <v>0</v>
      </c>
      <c r="M598" s="69">
        <v>0</v>
      </c>
      <c r="N598" s="69">
        <v>0</v>
      </c>
      <c r="O598" s="69">
        <v>0</v>
      </c>
      <c r="W598" s="69">
        <v>0</v>
      </c>
    </row>
    <row r="599" spans="1:23" ht="16.5" customHeight="1" x14ac:dyDescent="0.2">
      <c r="A599" s="137"/>
      <c r="B599" s="149"/>
      <c r="C599" s="101" t="s">
        <v>12</v>
      </c>
      <c r="D599" s="69">
        <f t="shared" si="295"/>
        <v>0</v>
      </c>
      <c r="E599" s="69">
        <v>0</v>
      </c>
      <c r="F599" s="69">
        <v>0</v>
      </c>
      <c r="G599" s="69">
        <v>0</v>
      </c>
      <c r="H599" s="69">
        <v>0</v>
      </c>
      <c r="I599" s="69">
        <v>0</v>
      </c>
      <c r="J599" s="83">
        <v>0</v>
      </c>
      <c r="K599" s="83">
        <v>0</v>
      </c>
      <c r="L599" s="83">
        <v>0</v>
      </c>
      <c r="M599" s="83">
        <v>0</v>
      </c>
      <c r="N599" s="83">
        <v>0</v>
      </c>
      <c r="O599" s="83">
        <v>0</v>
      </c>
      <c r="W599" s="83">
        <v>0</v>
      </c>
    </row>
    <row r="600" spans="1:23" ht="32.25" customHeight="1" x14ac:dyDescent="0.2">
      <c r="A600" s="137"/>
      <c r="B600" s="149"/>
      <c r="C600" s="101" t="s">
        <v>13</v>
      </c>
      <c r="D600" s="69">
        <f t="shared" si="295"/>
        <v>26331.599999999999</v>
      </c>
      <c r="E600" s="69">
        <v>20000</v>
      </c>
      <c r="F600" s="69">
        <v>3000</v>
      </c>
      <c r="G600" s="69">
        <v>1600</v>
      </c>
      <c r="H600" s="69">
        <v>791.6</v>
      </c>
      <c r="I600" s="69">
        <v>940</v>
      </c>
      <c r="J600" s="69">
        <v>0</v>
      </c>
      <c r="K600" s="69">
        <v>0</v>
      </c>
      <c r="L600" s="69">
        <v>0</v>
      </c>
      <c r="M600" s="69">
        <v>0</v>
      </c>
      <c r="N600" s="69">
        <v>0</v>
      </c>
      <c r="O600" s="69">
        <v>0</v>
      </c>
      <c r="W600" s="69">
        <v>0</v>
      </c>
    </row>
    <row r="601" spans="1:23" ht="32.25" customHeight="1" x14ac:dyDescent="0.2">
      <c r="A601" s="151" t="s">
        <v>39</v>
      </c>
      <c r="B601" s="156" t="s">
        <v>331</v>
      </c>
      <c r="C601" s="73" t="s">
        <v>7</v>
      </c>
      <c r="D601" s="66">
        <f>E601+F601+G601+H601+I601+J601+K601+L601+M601+N601+O601+W601</f>
        <v>170723.7</v>
      </c>
      <c r="E601" s="66">
        <f t="shared" ref="E601:O601" si="316">E603+E604+E605+E607</f>
        <v>13860</v>
      </c>
      <c r="F601" s="66">
        <f t="shared" si="316"/>
        <v>15421.9</v>
      </c>
      <c r="G601" s="66">
        <f t="shared" si="316"/>
        <v>19594</v>
      </c>
      <c r="H601" s="66">
        <f t="shared" si="316"/>
        <v>13152.1</v>
      </c>
      <c r="I601" s="66">
        <f t="shared" si="316"/>
        <v>23011</v>
      </c>
      <c r="J601" s="66">
        <f t="shared" si="316"/>
        <v>14576.6</v>
      </c>
      <c r="K601" s="66">
        <f t="shared" si="316"/>
        <v>18850.3</v>
      </c>
      <c r="L601" s="66">
        <f t="shared" si="316"/>
        <v>16460</v>
      </c>
      <c r="M601" s="66">
        <f t="shared" si="316"/>
        <v>15885.3</v>
      </c>
      <c r="N601" s="66">
        <f>N603+N604+N605+N607</f>
        <v>7768.1</v>
      </c>
      <c r="O601" s="66">
        <f t="shared" si="316"/>
        <v>7476.5</v>
      </c>
      <c r="P601" s="60"/>
      <c r="Q601" s="60"/>
      <c r="W601" s="66">
        <f t="shared" ref="W601" si="317">W603+W604+W605+W607</f>
        <v>4667.8999999999996</v>
      </c>
    </row>
    <row r="602" spans="1:23" ht="47.25" x14ac:dyDescent="0.2">
      <c r="A602" s="151"/>
      <c r="B602" s="157"/>
      <c r="C602" s="74" t="s">
        <v>64</v>
      </c>
      <c r="D602" s="71">
        <f>E602+F602+G602+H602+I602+J602+K602+L602+M602+N602+O602</f>
        <v>1971.3999999999999</v>
      </c>
      <c r="E602" s="71">
        <f>E612</f>
        <v>752.3</v>
      </c>
      <c r="F602" s="71">
        <f t="shared" ref="F602:O602" si="318">F612</f>
        <v>0</v>
      </c>
      <c r="G602" s="71">
        <f t="shared" si="318"/>
        <v>1219.0999999999999</v>
      </c>
      <c r="H602" s="71">
        <f t="shared" si="318"/>
        <v>0</v>
      </c>
      <c r="I602" s="71">
        <f t="shared" si="318"/>
        <v>0</v>
      </c>
      <c r="J602" s="71">
        <f t="shared" si="318"/>
        <v>0</v>
      </c>
      <c r="K602" s="71">
        <f t="shared" si="318"/>
        <v>0</v>
      </c>
      <c r="L602" s="71">
        <f t="shared" si="318"/>
        <v>0</v>
      </c>
      <c r="M602" s="71">
        <f t="shared" si="318"/>
        <v>0</v>
      </c>
      <c r="N602" s="71">
        <f t="shared" si="318"/>
        <v>0</v>
      </c>
      <c r="O602" s="71">
        <f t="shared" si="318"/>
        <v>0</v>
      </c>
      <c r="W602" s="71">
        <f t="shared" ref="W602" si="319">W612</f>
        <v>0</v>
      </c>
    </row>
    <row r="603" spans="1:23" ht="15.75" x14ac:dyDescent="0.2">
      <c r="A603" s="151"/>
      <c r="B603" s="157"/>
      <c r="C603" s="101" t="s">
        <v>10</v>
      </c>
      <c r="D603" s="69">
        <f>E603+F603+G603+H603+I603+J603+K603+L603+M603+N603+O603+W603</f>
        <v>0</v>
      </c>
      <c r="E603" s="69">
        <f>E609+E626</f>
        <v>0</v>
      </c>
      <c r="F603" s="69">
        <f t="shared" ref="F603:O603" si="320">F609+F626</f>
        <v>0</v>
      </c>
      <c r="G603" s="69">
        <f t="shared" si="320"/>
        <v>0</v>
      </c>
      <c r="H603" s="69">
        <f t="shared" si="320"/>
        <v>0</v>
      </c>
      <c r="I603" s="69">
        <f t="shared" si="320"/>
        <v>0</v>
      </c>
      <c r="J603" s="69">
        <v>0</v>
      </c>
      <c r="K603" s="69">
        <f t="shared" si="320"/>
        <v>0</v>
      </c>
      <c r="L603" s="69">
        <f t="shared" si="320"/>
        <v>0</v>
      </c>
      <c r="M603" s="69">
        <f t="shared" si="320"/>
        <v>0</v>
      </c>
      <c r="N603" s="69">
        <f t="shared" si="320"/>
        <v>0</v>
      </c>
      <c r="O603" s="69">
        <f t="shared" si="320"/>
        <v>0</v>
      </c>
      <c r="W603" s="69">
        <f t="shared" ref="W603" si="321">W609+W626</f>
        <v>0</v>
      </c>
    </row>
    <row r="604" spans="1:23" ht="15.75" x14ac:dyDescent="0.2">
      <c r="A604" s="151"/>
      <c r="B604" s="157"/>
      <c r="C604" s="101" t="s">
        <v>11</v>
      </c>
      <c r="D604" s="69">
        <f t="shared" ref="D604:D607" si="322">E604+F604+G604+H604+I604+J604+K604+L604+M604+N604+O604+W604</f>
        <v>708.6</v>
      </c>
      <c r="E604" s="69">
        <f t="shared" ref="E604:O604" si="323">E610+E627</f>
        <v>0</v>
      </c>
      <c r="F604" s="69">
        <f t="shared" si="323"/>
        <v>0</v>
      </c>
      <c r="G604" s="69">
        <f t="shared" si="323"/>
        <v>0</v>
      </c>
      <c r="H604" s="69">
        <f t="shared" si="323"/>
        <v>0</v>
      </c>
      <c r="I604" s="69">
        <f t="shared" si="323"/>
        <v>0</v>
      </c>
      <c r="J604" s="69">
        <v>708.6</v>
      </c>
      <c r="K604" s="69">
        <f t="shared" si="323"/>
        <v>0</v>
      </c>
      <c r="L604" s="69">
        <f t="shared" si="323"/>
        <v>0</v>
      </c>
      <c r="M604" s="69">
        <f t="shared" si="323"/>
        <v>0</v>
      </c>
      <c r="N604" s="69">
        <f t="shared" si="323"/>
        <v>0</v>
      </c>
      <c r="O604" s="69">
        <f t="shared" si="323"/>
        <v>0</v>
      </c>
      <c r="W604" s="69">
        <f t="shared" ref="W604" si="324">W610+W627</f>
        <v>0</v>
      </c>
    </row>
    <row r="605" spans="1:23" ht="31.5" x14ac:dyDescent="0.2">
      <c r="A605" s="151"/>
      <c r="B605" s="157"/>
      <c r="C605" s="101" t="s">
        <v>65</v>
      </c>
      <c r="D605" s="69">
        <f t="shared" si="322"/>
        <v>170015.09999999998</v>
      </c>
      <c r="E605" s="69">
        <f t="shared" ref="E605:O605" si="325">E611+E628</f>
        <v>13860</v>
      </c>
      <c r="F605" s="69">
        <f t="shared" si="325"/>
        <v>15421.9</v>
      </c>
      <c r="G605" s="69">
        <f t="shared" si="325"/>
        <v>19594</v>
      </c>
      <c r="H605" s="69">
        <f t="shared" si="325"/>
        <v>13152.1</v>
      </c>
      <c r="I605" s="69">
        <f t="shared" si="325"/>
        <v>23011</v>
      </c>
      <c r="J605" s="69">
        <f t="shared" si="325"/>
        <v>13868</v>
      </c>
      <c r="K605" s="69">
        <f t="shared" si="325"/>
        <v>18850.3</v>
      </c>
      <c r="L605" s="69">
        <f t="shared" si="325"/>
        <v>16460</v>
      </c>
      <c r="M605" s="69">
        <f t="shared" si="325"/>
        <v>15885.3</v>
      </c>
      <c r="N605" s="69">
        <f t="shared" si="325"/>
        <v>7768.1</v>
      </c>
      <c r="O605" s="69">
        <f t="shared" si="325"/>
        <v>7476.5</v>
      </c>
      <c r="W605" s="69">
        <f t="shared" ref="W605" si="326">W611+W628</f>
        <v>4667.8999999999996</v>
      </c>
    </row>
    <row r="606" spans="1:23" ht="31.5" customHeight="1" x14ac:dyDescent="0.2">
      <c r="A606" s="151"/>
      <c r="B606" s="157"/>
      <c r="C606" s="74" t="s">
        <v>79</v>
      </c>
      <c r="D606" s="71">
        <f t="shared" si="322"/>
        <v>1971.3999999999999</v>
      </c>
      <c r="E606" s="71">
        <f>E612</f>
        <v>752.3</v>
      </c>
      <c r="F606" s="71">
        <f t="shared" ref="F606:O606" si="327">F612</f>
        <v>0</v>
      </c>
      <c r="G606" s="71">
        <f t="shared" si="327"/>
        <v>1219.0999999999999</v>
      </c>
      <c r="H606" s="71">
        <f t="shared" si="327"/>
        <v>0</v>
      </c>
      <c r="I606" s="71">
        <f t="shared" si="327"/>
        <v>0</v>
      </c>
      <c r="J606" s="71">
        <f t="shared" si="327"/>
        <v>0</v>
      </c>
      <c r="K606" s="71">
        <f t="shared" si="327"/>
        <v>0</v>
      </c>
      <c r="L606" s="71">
        <f t="shared" si="327"/>
        <v>0</v>
      </c>
      <c r="M606" s="71">
        <f t="shared" si="327"/>
        <v>0</v>
      </c>
      <c r="N606" s="71">
        <f t="shared" si="327"/>
        <v>0</v>
      </c>
      <c r="O606" s="71">
        <f t="shared" si="327"/>
        <v>0</v>
      </c>
      <c r="W606" s="71">
        <f t="shared" ref="W606" si="328">W612</f>
        <v>0</v>
      </c>
    </row>
    <row r="607" spans="1:23" ht="33" customHeight="1" x14ac:dyDescent="0.2">
      <c r="A607" s="151"/>
      <c r="B607" s="158"/>
      <c r="C607" s="101" t="s">
        <v>13</v>
      </c>
      <c r="D607" s="69">
        <f t="shared" si="322"/>
        <v>0</v>
      </c>
      <c r="E607" s="69">
        <f>E613+E625</f>
        <v>0</v>
      </c>
      <c r="F607" s="69">
        <f t="shared" ref="F607:O607" si="329">F613</f>
        <v>0</v>
      </c>
      <c r="G607" s="69">
        <f t="shared" si="329"/>
        <v>0</v>
      </c>
      <c r="H607" s="69">
        <f t="shared" si="329"/>
        <v>0</v>
      </c>
      <c r="I607" s="69">
        <f t="shared" si="329"/>
        <v>0</v>
      </c>
      <c r="J607" s="69">
        <f t="shared" si="329"/>
        <v>0</v>
      </c>
      <c r="K607" s="69">
        <f t="shared" si="329"/>
        <v>0</v>
      </c>
      <c r="L607" s="69">
        <f t="shared" si="329"/>
        <v>0</v>
      </c>
      <c r="M607" s="69">
        <f t="shared" si="329"/>
        <v>0</v>
      </c>
      <c r="N607" s="69">
        <f t="shared" si="329"/>
        <v>0</v>
      </c>
      <c r="O607" s="69">
        <f t="shared" si="329"/>
        <v>0</v>
      </c>
      <c r="W607" s="69">
        <f t="shared" ref="W607" si="330">W613</f>
        <v>0</v>
      </c>
    </row>
    <row r="608" spans="1:23" ht="17.25" customHeight="1" x14ac:dyDescent="0.2">
      <c r="A608" s="138" t="s">
        <v>353</v>
      </c>
      <c r="B608" s="137" t="s">
        <v>91</v>
      </c>
      <c r="C608" s="101" t="s">
        <v>7</v>
      </c>
      <c r="D608" s="69">
        <f>E608+F608+G608+H608+I608+J608+K608+L608+M608+N608+O608+W608</f>
        <v>170015.09999999998</v>
      </c>
      <c r="E608" s="69">
        <f t="shared" ref="E608:O608" si="331">E611+E609+E610+E613</f>
        <v>13860</v>
      </c>
      <c r="F608" s="69">
        <f t="shared" si="331"/>
        <v>15421.9</v>
      </c>
      <c r="G608" s="69">
        <f t="shared" si="331"/>
        <v>19594</v>
      </c>
      <c r="H608" s="69">
        <f t="shared" si="331"/>
        <v>13152.1</v>
      </c>
      <c r="I608" s="69">
        <f t="shared" si="331"/>
        <v>23011</v>
      </c>
      <c r="J608" s="69">
        <f t="shared" si="331"/>
        <v>13868</v>
      </c>
      <c r="K608" s="69">
        <f t="shared" si="331"/>
        <v>18850.3</v>
      </c>
      <c r="L608" s="69">
        <f t="shared" si="331"/>
        <v>16460</v>
      </c>
      <c r="M608" s="69">
        <f t="shared" si="331"/>
        <v>15885.3</v>
      </c>
      <c r="N608" s="69">
        <f t="shared" si="331"/>
        <v>7768.1</v>
      </c>
      <c r="O608" s="69">
        <f t="shared" si="331"/>
        <v>7476.5</v>
      </c>
      <c r="W608" s="69">
        <f t="shared" ref="W608" si="332">W611+W609+W610+W613</f>
        <v>4667.8999999999996</v>
      </c>
    </row>
    <row r="609" spans="1:24" ht="17.25" customHeight="1" x14ac:dyDescent="0.2">
      <c r="A609" s="159"/>
      <c r="B609" s="137"/>
      <c r="C609" s="101" t="s">
        <v>10</v>
      </c>
      <c r="D609" s="69">
        <f t="shared" ref="D609:D634" si="333">E609+F609+G609+H609+I609+J609+K609+L609+M609+N609+O609+W609</f>
        <v>0</v>
      </c>
      <c r="E609" s="69">
        <f>E615+E621</f>
        <v>0</v>
      </c>
      <c r="F609" s="69">
        <f t="shared" ref="F609:O609" si="334">F615+F621</f>
        <v>0</v>
      </c>
      <c r="G609" s="69">
        <f t="shared" si="334"/>
        <v>0</v>
      </c>
      <c r="H609" s="69">
        <f t="shared" si="334"/>
        <v>0</v>
      </c>
      <c r="I609" s="69">
        <f t="shared" si="334"/>
        <v>0</v>
      </c>
      <c r="J609" s="69">
        <f t="shared" si="334"/>
        <v>0</v>
      </c>
      <c r="K609" s="69">
        <f t="shared" si="334"/>
        <v>0</v>
      </c>
      <c r="L609" s="69">
        <f t="shared" si="334"/>
        <v>0</v>
      </c>
      <c r="M609" s="69">
        <f t="shared" si="334"/>
        <v>0</v>
      </c>
      <c r="N609" s="69">
        <f t="shared" si="334"/>
        <v>0</v>
      </c>
      <c r="O609" s="69">
        <f t="shared" si="334"/>
        <v>0</v>
      </c>
      <c r="W609" s="69">
        <f t="shared" ref="W609" si="335">W615+W621</f>
        <v>0</v>
      </c>
    </row>
    <row r="610" spans="1:24" ht="15.75" x14ac:dyDescent="0.2">
      <c r="A610" s="159"/>
      <c r="B610" s="137"/>
      <c r="C610" s="101" t="s">
        <v>11</v>
      </c>
      <c r="D610" s="69">
        <f t="shared" si="333"/>
        <v>0</v>
      </c>
      <c r="E610" s="69">
        <f t="shared" ref="E610:O610" si="336">E616+E622</f>
        <v>0</v>
      </c>
      <c r="F610" s="69">
        <f t="shared" si="336"/>
        <v>0</v>
      </c>
      <c r="G610" s="69">
        <f t="shared" si="336"/>
        <v>0</v>
      </c>
      <c r="H610" s="69">
        <f t="shared" si="336"/>
        <v>0</v>
      </c>
      <c r="I610" s="69">
        <f t="shared" si="336"/>
        <v>0</v>
      </c>
      <c r="J610" s="69">
        <f t="shared" si="336"/>
        <v>0</v>
      </c>
      <c r="K610" s="69">
        <f t="shared" si="336"/>
        <v>0</v>
      </c>
      <c r="L610" s="69">
        <f t="shared" si="336"/>
        <v>0</v>
      </c>
      <c r="M610" s="69">
        <f t="shared" si="336"/>
        <v>0</v>
      </c>
      <c r="N610" s="69">
        <f t="shared" si="336"/>
        <v>0</v>
      </c>
      <c r="O610" s="69">
        <f t="shared" si="336"/>
        <v>0</v>
      </c>
      <c r="W610" s="69">
        <f t="shared" ref="W610" si="337">W616+W622</f>
        <v>0</v>
      </c>
    </row>
    <row r="611" spans="1:24" ht="31.5" x14ac:dyDescent="0.2">
      <c r="A611" s="159"/>
      <c r="B611" s="137"/>
      <c r="C611" s="101" t="s">
        <v>65</v>
      </c>
      <c r="D611" s="69">
        <f t="shared" si="333"/>
        <v>170015.09999999998</v>
      </c>
      <c r="E611" s="69">
        <f>E617+E623</f>
        <v>13860</v>
      </c>
      <c r="F611" s="69">
        <f t="shared" ref="F611:O611" si="338">F617+F623</f>
        <v>15421.9</v>
      </c>
      <c r="G611" s="69">
        <f t="shared" si="338"/>
        <v>19594</v>
      </c>
      <c r="H611" s="69">
        <f t="shared" si="338"/>
        <v>13152.1</v>
      </c>
      <c r="I611" s="69">
        <f t="shared" si="338"/>
        <v>23011</v>
      </c>
      <c r="J611" s="69">
        <f>J617+J623</f>
        <v>13868</v>
      </c>
      <c r="K611" s="69">
        <f t="shared" si="338"/>
        <v>18850.3</v>
      </c>
      <c r="L611" s="69">
        <f t="shared" si="338"/>
        <v>16460</v>
      </c>
      <c r="M611" s="69">
        <f t="shared" si="338"/>
        <v>15885.3</v>
      </c>
      <c r="N611" s="69">
        <f t="shared" si="338"/>
        <v>7768.1</v>
      </c>
      <c r="O611" s="69">
        <f t="shared" si="338"/>
        <v>7476.5</v>
      </c>
      <c r="W611" s="69">
        <f t="shared" ref="W611" si="339">W617+W623</f>
        <v>4667.8999999999996</v>
      </c>
    </row>
    <row r="612" spans="1:24" ht="31.5" x14ac:dyDescent="0.2">
      <c r="A612" s="159"/>
      <c r="B612" s="137"/>
      <c r="C612" s="74" t="s">
        <v>79</v>
      </c>
      <c r="D612" s="69">
        <f t="shared" si="333"/>
        <v>1971.3999999999999</v>
      </c>
      <c r="E612" s="71">
        <f>E618</f>
        <v>752.3</v>
      </c>
      <c r="F612" s="71">
        <f t="shared" ref="F612:O612" si="340">F618</f>
        <v>0</v>
      </c>
      <c r="G612" s="71">
        <f t="shared" si="340"/>
        <v>1219.0999999999999</v>
      </c>
      <c r="H612" s="71">
        <f t="shared" si="340"/>
        <v>0</v>
      </c>
      <c r="I612" s="71">
        <f t="shared" si="340"/>
        <v>0</v>
      </c>
      <c r="J612" s="71">
        <f t="shared" si="340"/>
        <v>0</v>
      </c>
      <c r="K612" s="71">
        <f t="shared" si="340"/>
        <v>0</v>
      </c>
      <c r="L612" s="71">
        <f t="shared" si="340"/>
        <v>0</v>
      </c>
      <c r="M612" s="71">
        <f t="shared" si="340"/>
        <v>0</v>
      </c>
      <c r="N612" s="71">
        <f t="shared" si="340"/>
        <v>0</v>
      </c>
      <c r="O612" s="71">
        <f t="shared" si="340"/>
        <v>0</v>
      </c>
      <c r="W612" s="71">
        <f t="shared" ref="W612" si="341">W618</f>
        <v>0</v>
      </c>
      <c r="X612" s="60"/>
    </row>
    <row r="613" spans="1:24" ht="15.75" x14ac:dyDescent="0.2">
      <c r="A613" s="160"/>
      <c r="B613" s="137"/>
      <c r="C613" s="101" t="s">
        <v>13</v>
      </c>
      <c r="D613" s="69">
        <f t="shared" si="333"/>
        <v>0</v>
      </c>
      <c r="E613" s="69">
        <f t="shared" ref="E613:O613" si="342">E619+E624</f>
        <v>0</v>
      </c>
      <c r="F613" s="69">
        <f t="shared" si="342"/>
        <v>0</v>
      </c>
      <c r="G613" s="69">
        <f t="shared" si="342"/>
        <v>0</v>
      </c>
      <c r="H613" s="69">
        <f t="shared" si="342"/>
        <v>0</v>
      </c>
      <c r="I613" s="69">
        <f t="shared" si="342"/>
        <v>0</v>
      </c>
      <c r="J613" s="69">
        <f t="shared" si="342"/>
        <v>0</v>
      </c>
      <c r="K613" s="69">
        <f t="shared" si="342"/>
        <v>0</v>
      </c>
      <c r="L613" s="69">
        <f t="shared" si="342"/>
        <v>0</v>
      </c>
      <c r="M613" s="69">
        <f t="shared" si="342"/>
        <v>0</v>
      </c>
      <c r="N613" s="69">
        <f t="shared" si="342"/>
        <v>0</v>
      </c>
      <c r="O613" s="69">
        <f t="shared" si="342"/>
        <v>0</v>
      </c>
      <c r="W613" s="69">
        <f t="shared" ref="W613" si="343">W619+W624</f>
        <v>0</v>
      </c>
    </row>
    <row r="614" spans="1:24" ht="19.5" customHeight="1" x14ac:dyDescent="0.2">
      <c r="A614" s="148" t="s">
        <v>133</v>
      </c>
      <c r="B614" s="149" t="s">
        <v>137</v>
      </c>
      <c r="C614" s="101" t="s">
        <v>7</v>
      </c>
      <c r="D614" s="69">
        <f t="shared" si="333"/>
        <v>38330.5</v>
      </c>
      <c r="E614" s="69">
        <f t="shared" ref="E614:O614" si="344">E615+E616+E617+E619</f>
        <v>6610.3</v>
      </c>
      <c r="F614" s="69">
        <f t="shared" si="344"/>
        <v>5421.9</v>
      </c>
      <c r="G614" s="69">
        <f t="shared" si="344"/>
        <v>1966.9</v>
      </c>
      <c r="H614" s="69">
        <f t="shared" si="344"/>
        <v>945.9</v>
      </c>
      <c r="I614" s="69">
        <f t="shared" si="344"/>
        <v>11181</v>
      </c>
      <c r="J614" s="69">
        <f t="shared" si="344"/>
        <v>2488.6000000000004</v>
      </c>
      <c r="K614" s="69">
        <f t="shared" si="344"/>
        <v>1158.3</v>
      </c>
      <c r="L614" s="69">
        <f t="shared" si="344"/>
        <v>3329.8</v>
      </c>
      <c r="M614" s="69">
        <f t="shared" si="344"/>
        <v>3129.4</v>
      </c>
      <c r="N614" s="69">
        <f t="shared" si="344"/>
        <v>2098.4</v>
      </c>
      <c r="O614" s="69">
        <f t="shared" si="344"/>
        <v>0</v>
      </c>
      <c r="W614" s="69">
        <f t="shared" ref="W614" si="345">W615+W616+W617+W619</f>
        <v>0</v>
      </c>
    </row>
    <row r="615" spans="1:24" ht="15.75" x14ac:dyDescent="0.2">
      <c r="A615" s="148"/>
      <c r="B615" s="149"/>
      <c r="C615" s="101" t="s">
        <v>10</v>
      </c>
      <c r="D615" s="69">
        <f t="shared" si="333"/>
        <v>0</v>
      </c>
      <c r="E615" s="69">
        <v>0</v>
      </c>
      <c r="F615" s="69">
        <v>0</v>
      </c>
      <c r="G615" s="69">
        <v>0</v>
      </c>
      <c r="H615" s="69">
        <v>0</v>
      </c>
      <c r="I615" s="69">
        <v>0</v>
      </c>
      <c r="J615" s="69">
        <v>0</v>
      </c>
      <c r="K615" s="69">
        <v>0</v>
      </c>
      <c r="L615" s="69">
        <v>0</v>
      </c>
      <c r="M615" s="69">
        <v>0</v>
      </c>
      <c r="N615" s="69">
        <v>0</v>
      </c>
      <c r="O615" s="69">
        <v>0</v>
      </c>
      <c r="W615" s="69">
        <v>0</v>
      </c>
    </row>
    <row r="616" spans="1:24" ht="15.75" x14ac:dyDescent="0.2">
      <c r="A616" s="148"/>
      <c r="B616" s="149"/>
      <c r="C616" s="101" t="s">
        <v>11</v>
      </c>
      <c r="D616" s="69">
        <f t="shared" si="333"/>
        <v>0</v>
      </c>
      <c r="E616" s="69">
        <v>0</v>
      </c>
      <c r="F616" s="69">
        <v>0</v>
      </c>
      <c r="G616" s="69">
        <v>0</v>
      </c>
      <c r="H616" s="69">
        <v>0</v>
      </c>
      <c r="I616" s="69">
        <v>0</v>
      </c>
      <c r="J616" s="69">
        <v>0</v>
      </c>
      <c r="K616" s="69">
        <v>0</v>
      </c>
      <c r="L616" s="69">
        <v>0</v>
      </c>
      <c r="M616" s="69">
        <v>0</v>
      </c>
      <c r="N616" s="69">
        <v>0</v>
      </c>
      <c r="O616" s="69">
        <v>0</v>
      </c>
      <c r="W616" s="69">
        <v>0</v>
      </c>
    </row>
    <row r="617" spans="1:24" ht="31.5" x14ac:dyDescent="0.2">
      <c r="A617" s="148"/>
      <c r="B617" s="149"/>
      <c r="C617" s="101" t="s">
        <v>65</v>
      </c>
      <c r="D617" s="69">
        <f t="shared" si="333"/>
        <v>38330.5</v>
      </c>
      <c r="E617" s="69">
        <v>6610.3</v>
      </c>
      <c r="F617" s="69">
        <v>5421.9</v>
      </c>
      <c r="G617" s="69">
        <v>1966.9</v>
      </c>
      <c r="H617" s="69">
        <v>945.9</v>
      </c>
      <c r="I617" s="69">
        <v>11181</v>
      </c>
      <c r="J617" s="69">
        <f>1513.4+227.7+600+147.5</f>
        <v>2488.6000000000004</v>
      </c>
      <c r="K617" s="69">
        <f>1059.4+633.1+454-1078.2+90</f>
        <v>1158.3</v>
      </c>
      <c r="L617" s="69">
        <f>523.5+4871.8-1722-343.5</f>
        <v>3329.8</v>
      </c>
      <c r="M617" s="69">
        <f>409.4+2720.1+971.1+1797.9-2769-0.1</f>
        <v>3129.4</v>
      </c>
      <c r="N617" s="69">
        <v>2098.4</v>
      </c>
      <c r="O617" s="69">
        <v>0</v>
      </c>
      <c r="W617" s="69">
        <v>0</v>
      </c>
    </row>
    <row r="618" spans="1:24" ht="31.5" x14ac:dyDescent="0.2">
      <c r="A618" s="148"/>
      <c r="B618" s="149"/>
      <c r="C618" s="74" t="s">
        <v>79</v>
      </c>
      <c r="D618" s="69">
        <f t="shared" si="333"/>
        <v>1971.3999999999999</v>
      </c>
      <c r="E618" s="71">
        <v>752.3</v>
      </c>
      <c r="F618" s="71">
        <v>0</v>
      </c>
      <c r="G618" s="71">
        <v>1219.0999999999999</v>
      </c>
      <c r="H618" s="71">
        <v>0</v>
      </c>
      <c r="I618" s="71">
        <v>0</v>
      </c>
      <c r="J618" s="71">
        <v>0</v>
      </c>
      <c r="K618" s="71">
        <v>0</v>
      </c>
      <c r="L618" s="71">
        <v>0</v>
      </c>
      <c r="M618" s="71">
        <v>0</v>
      </c>
      <c r="N618" s="71">
        <v>0</v>
      </c>
      <c r="O618" s="71">
        <v>0</v>
      </c>
      <c r="W618" s="71">
        <v>0</v>
      </c>
    </row>
    <row r="619" spans="1:24" ht="26.25" customHeight="1" x14ac:dyDescent="0.2">
      <c r="A619" s="148"/>
      <c r="B619" s="149"/>
      <c r="C619" s="101" t="s">
        <v>13</v>
      </c>
      <c r="D619" s="69">
        <f t="shared" si="333"/>
        <v>0</v>
      </c>
      <c r="E619" s="69">
        <v>0</v>
      </c>
      <c r="F619" s="69">
        <v>0</v>
      </c>
      <c r="G619" s="69">
        <v>0</v>
      </c>
      <c r="H619" s="69">
        <v>0</v>
      </c>
      <c r="I619" s="69">
        <v>0</v>
      </c>
      <c r="J619" s="69">
        <v>0</v>
      </c>
      <c r="K619" s="69">
        <v>0</v>
      </c>
      <c r="L619" s="69">
        <v>0</v>
      </c>
      <c r="M619" s="69">
        <v>0</v>
      </c>
      <c r="N619" s="69">
        <v>0</v>
      </c>
      <c r="O619" s="69">
        <v>0</v>
      </c>
      <c r="W619" s="69">
        <v>0</v>
      </c>
    </row>
    <row r="620" spans="1:24" ht="15.75" x14ac:dyDescent="0.2">
      <c r="A620" s="148" t="s">
        <v>83</v>
      </c>
      <c r="B620" s="149" t="s">
        <v>59</v>
      </c>
      <c r="C620" s="101" t="s">
        <v>7</v>
      </c>
      <c r="D620" s="69">
        <f t="shared" si="333"/>
        <v>131684.59999999998</v>
      </c>
      <c r="E620" s="69">
        <f t="shared" ref="E620:O620" si="346">E621+E622+E623+E624</f>
        <v>7249.7</v>
      </c>
      <c r="F620" s="69">
        <f t="shared" si="346"/>
        <v>10000</v>
      </c>
      <c r="G620" s="69">
        <f t="shared" si="346"/>
        <v>17627.099999999999</v>
      </c>
      <c r="H620" s="69">
        <f t="shared" si="346"/>
        <v>12206.2</v>
      </c>
      <c r="I620" s="69">
        <f t="shared" si="346"/>
        <v>11830</v>
      </c>
      <c r="J620" s="69">
        <f t="shared" si="346"/>
        <v>11379.4</v>
      </c>
      <c r="K620" s="69">
        <f t="shared" si="346"/>
        <v>17692</v>
      </c>
      <c r="L620" s="69">
        <f t="shared" si="346"/>
        <v>13130.2</v>
      </c>
      <c r="M620" s="69">
        <f t="shared" si="346"/>
        <v>12755.9</v>
      </c>
      <c r="N620" s="69">
        <f t="shared" si="346"/>
        <v>5669.7000000000007</v>
      </c>
      <c r="O620" s="69">
        <f t="shared" si="346"/>
        <v>7476.5</v>
      </c>
      <c r="W620" s="69">
        <f t="shared" ref="W620" si="347">W621+W622+W623+W624</f>
        <v>4667.8999999999996</v>
      </c>
    </row>
    <row r="621" spans="1:24" ht="15.75" x14ac:dyDescent="0.2">
      <c r="A621" s="148"/>
      <c r="B621" s="149"/>
      <c r="C621" s="101" t="s">
        <v>10</v>
      </c>
      <c r="D621" s="69">
        <f t="shared" si="333"/>
        <v>0</v>
      </c>
      <c r="E621" s="69">
        <v>0</v>
      </c>
      <c r="F621" s="69">
        <v>0</v>
      </c>
      <c r="G621" s="69">
        <v>0</v>
      </c>
      <c r="H621" s="69">
        <v>0</v>
      </c>
      <c r="I621" s="69">
        <v>0</v>
      </c>
      <c r="J621" s="69">
        <v>0</v>
      </c>
      <c r="K621" s="69">
        <v>0</v>
      </c>
      <c r="L621" s="69">
        <v>0</v>
      </c>
      <c r="M621" s="69">
        <v>0</v>
      </c>
      <c r="N621" s="69">
        <v>0</v>
      </c>
      <c r="O621" s="69">
        <v>0</v>
      </c>
      <c r="W621" s="69">
        <v>0</v>
      </c>
    </row>
    <row r="622" spans="1:24" ht="15.75" x14ac:dyDescent="0.2">
      <c r="A622" s="148"/>
      <c r="B622" s="149"/>
      <c r="C622" s="101" t="s">
        <v>11</v>
      </c>
      <c r="D622" s="69">
        <f t="shared" si="333"/>
        <v>0</v>
      </c>
      <c r="E622" s="69">
        <v>0</v>
      </c>
      <c r="F622" s="69">
        <v>0</v>
      </c>
      <c r="G622" s="69">
        <v>0</v>
      </c>
      <c r="H622" s="69">
        <v>0</v>
      </c>
      <c r="I622" s="69">
        <v>0</v>
      </c>
      <c r="J622" s="69">
        <v>0</v>
      </c>
      <c r="K622" s="69">
        <v>0</v>
      </c>
      <c r="L622" s="69">
        <v>0</v>
      </c>
      <c r="M622" s="69">
        <v>0</v>
      </c>
      <c r="N622" s="69">
        <v>0</v>
      </c>
      <c r="O622" s="69">
        <v>0</v>
      </c>
      <c r="W622" s="69">
        <v>0</v>
      </c>
    </row>
    <row r="623" spans="1:24" ht="21.75" customHeight="1" x14ac:dyDescent="0.2">
      <c r="A623" s="148"/>
      <c r="B623" s="149"/>
      <c r="C623" s="101" t="s">
        <v>12</v>
      </c>
      <c r="D623" s="69">
        <f t="shared" si="333"/>
        <v>131684.59999999998</v>
      </c>
      <c r="E623" s="69">
        <v>7249.7</v>
      </c>
      <c r="F623" s="69">
        <v>10000</v>
      </c>
      <c r="G623" s="69">
        <v>17627.099999999999</v>
      </c>
      <c r="H623" s="69">
        <v>12206.2</v>
      </c>
      <c r="I623" s="69">
        <v>11830</v>
      </c>
      <c r="J623" s="69">
        <f>11444.4-65</f>
        <v>11379.4</v>
      </c>
      <c r="K623" s="69">
        <f>8540+1940+2150+143.2+4918.8</f>
        <v>17692</v>
      </c>
      <c r="L623" s="69">
        <f>6900.2+4030+2200</f>
        <v>13130.2</v>
      </c>
      <c r="M623" s="69">
        <f>7316.7-410.8+1100+2800+1950</f>
        <v>12755.9</v>
      </c>
      <c r="N623" s="69">
        <f>7352.5+785.6-2468.4</f>
        <v>5669.7000000000007</v>
      </c>
      <c r="O623" s="69">
        <f>12200-4182-541.5</f>
        <v>7476.5</v>
      </c>
      <c r="W623" s="69">
        <v>4667.8999999999996</v>
      </c>
    </row>
    <row r="624" spans="1:24" ht="32.25" customHeight="1" x14ac:dyDescent="0.2">
      <c r="A624" s="148"/>
      <c r="B624" s="149"/>
      <c r="C624" s="96" t="s">
        <v>13</v>
      </c>
      <c r="D624" s="69">
        <f t="shared" si="333"/>
        <v>0</v>
      </c>
      <c r="E624" s="69">
        <v>0</v>
      </c>
      <c r="F624" s="69">
        <v>0</v>
      </c>
      <c r="G624" s="69">
        <v>0</v>
      </c>
      <c r="H624" s="69">
        <v>0</v>
      </c>
      <c r="I624" s="69">
        <v>0</v>
      </c>
      <c r="J624" s="69">
        <v>0</v>
      </c>
      <c r="K624" s="69">
        <v>0</v>
      </c>
      <c r="L624" s="69">
        <v>0</v>
      </c>
      <c r="M624" s="69">
        <v>0</v>
      </c>
      <c r="N624" s="69">
        <v>0</v>
      </c>
      <c r="O624" s="69">
        <v>0</v>
      </c>
      <c r="W624" s="69">
        <v>0</v>
      </c>
    </row>
    <row r="625" spans="1:23" ht="15.75" x14ac:dyDescent="0.2">
      <c r="A625" s="138" t="s">
        <v>355</v>
      </c>
      <c r="B625" s="137" t="s">
        <v>362</v>
      </c>
      <c r="C625" s="101" t="s">
        <v>7</v>
      </c>
      <c r="D625" s="69">
        <f t="shared" si="333"/>
        <v>708.6</v>
      </c>
      <c r="E625" s="69">
        <f t="shared" ref="E625:O625" si="348">E628+E626+E627+E629</f>
        <v>0</v>
      </c>
      <c r="F625" s="69">
        <f t="shared" si="348"/>
        <v>0</v>
      </c>
      <c r="G625" s="69">
        <f t="shared" si="348"/>
        <v>0</v>
      </c>
      <c r="H625" s="69">
        <f t="shared" si="348"/>
        <v>0</v>
      </c>
      <c r="I625" s="69">
        <f t="shared" si="348"/>
        <v>0</v>
      </c>
      <c r="J625" s="69">
        <f t="shared" si="348"/>
        <v>708.6</v>
      </c>
      <c r="K625" s="69">
        <f t="shared" si="348"/>
        <v>0</v>
      </c>
      <c r="L625" s="69">
        <f t="shared" si="348"/>
        <v>0</v>
      </c>
      <c r="M625" s="69">
        <f t="shared" si="348"/>
        <v>0</v>
      </c>
      <c r="N625" s="69">
        <f t="shared" si="348"/>
        <v>0</v>
      </c>
      <c r="O625" s="69">
        <f t="shared" si="348"/>
        <v>0</v>
      </c>
      <c r="W625" s="69">
        <f t="shared" ref="W625" si="349">W628+W626+W627+W629</f>
        <v>0</v>
      </c>
    </row>
    <row r="626" spans="1:23" ht="15.75" x14ac:dyDescent="0.2">
      <c r="A626" s="159"/>
      <c r="B626" s="137"/>
      <c r="C626" s="101" t="s">
        <v>10</v>
      </c>
      <c r="D626" s="69">
        <f t="shared" si="333"/>
        <v>0</v>
      </c>
      <c r="E626" s="69">
        <f>E631</f>
        <v>0</v>
      </c>
      <c r="F626" s="69">
        <f t="shared" ref="F626:O626" si="350">F631</f>
        <v>0</v>
      </c>
      <c r="G626" s="69">
        <f t="shared" si="350"/>
        <v>0</v>
      </c>
      <c r="H626" s="69">
        <f t="shared" si="350"/>
        <v>0</v>
      </c>
      <c r="I626" s="69">
        <f t="shared" si="350"/>
        <v>0</v>
      </c>
      <c r="J626" s="69">
        <f t="shared" si="350"/>
        <v>0</v>
      </c>
      <c r="K626" s="69">
        <f t="shared" si="350"/>
        <v>0</v>
      </c>
      <c r="L626" s="69">
        <f t="shared" si="350"/>
        <v>0</v>
      </c>
      <c r="M626" s="69">
        <f t="shared" si="350"/>
        <v>0</v>
      </c>
      <c r="N626" s="69">
        <f t="shared" si="350"/>
        <v>0</v>
      </c>
      <c r="O626" s="69">
        <f t="shared" si="350"/>
        <v>0</v>
      </c>
      <c r="W626" s="69">
        <f t="shared" ref="W626" si="351">W631</f>
        <v>0</v>
      </c>
    </row>
    <row r="627" spans="1:23" ht="15.75" x14ac:dyDescent="0.2">
      <c r="A627" s="159"/>
      <c r="B627" s="137"/>
      <c r="C627" s="101" t="s">
        <v>11</v>
      </c>
      <c r="D627" s="69">
        <f t="shared" si="333"/>
        <v>708.6</v>
      </c>
      <c r="E627" s="69">
        <f>E632</f>
        <v>0</v>
      </c>
      <c r="F627" s="69">
        <f t="shared" ref="F627:O627" si="352">F632</f>
        <v>0</v>
      </c>
      <c r="G627" s="69">
        <f t="shared" si="352"/>
        <v>0</v>
      </c>
      <c r="H627" s="69">
        <f t="shared" si="352"/>
        <v>0</v>
      </c>
      <c r="I627" s="69">
        <f t="shared" si="352"/>
        <v>0</v>
      </c>
      <c r="J627" s="69">
        <f t="shared" si="352"/>
        <v>708.6</v>
      </c>
      <c r="K627" s="69">
        <f t="shared" si="352"/>
        <v>0</v>
      </c>
      <c r="L627" s="69">
        <f t="shared" si="352"/>
        <v>0</v>
      </c>
      <c r="M627" s="69">
        <f t="shared" si="352"/>
        <v>0</v>
      </c>
      <c r="N627" s="69">
        <f t="shared" si="352"/>
        <v>0</v>
      </c>
      <c r="O627" s="69">
        <f t="shared" si="352"/>
        <v>0</v>
      </c>
      <c r="W627" s="69">
        <f t="shared" ref="W627" si="353">W632</f>
        <v>0</v>
      </c>
    </row>
    <row r="628" spans="1:23" ht="23.25" customHeight="1" x14ac:dyDescent="0.2">
      <c r="A628" s="159"/>
      <c r="B628" s="137"/>
      <c r="C628" s="101" t="s">
        <v>65</v>
      </c>
      <c r="D628" s="69">
        <f t="shared" si="333"/>
        <v>0</v>
      </c>
      <c r="E628" s="69">
        <f>E633</f>
        <v>0</v>
      </c>
      <c r="F628" s="69">
        <f t="shared" ref="F628:O628" si="354">F633</f>
        <v>0</v>
      </c>
      <c r="G628" s="69">
        <f t="shared" si="354"/>
        <v>0</v>
      </c>
      <c r="H628" s="69">
        <f t="shared" si="354"/>
        <v>0</v>
      </c>
      <c r="I628" s="69">
        <f t="shared" si="354"/>
        <v>0</v>
      </c>
      <c r="J628" s="69">
        <f t="shared" si="354"/>
        <v>0</v>
      </c>
      <c r="K628" s="69">
        <f t="shared" si="354"/>
        <v>0</v>
      </c>
      <c r="L628" s="69">
        <f t="shared" si="354"/>
        <v>0</v>
      </c>
      <c r="M628" s="69">
        <f t="shared" si="354"/>
        <v>0</v>
      </c>
      <c r="N628" s="69">
        <f t="shared" si="354"/>
        <v>0</v>
      </c>
      <c r="O628" s="69">
        <f t="shared" si="354"/>
        <v>0</v>
      </c>
      <c r="W628" s="69">
        <f t="shared" ref="W628" si="355">W633</f>
        <v>0</v>
      </c>
    </row>
    <row r="629" spans="1:23" ht="24.75" customHeight="1" x14ac:dyDescent="0.2">
      <c r="A629" s="160"/>
      <c r="B629" s="137"/>
      <c r="C629" s="101" t="s">
        <v>13</v>
      </c>
      <c r="D629" s="69">
        <f t="shared" si="333"/>
        <v>0</v>
      </c>
      <c r="E629" s="69">
        <f>E634</f>
        <v>0</v>
      </c>
      <c r="F629" s="69">
        <f t="shared" ref="F629:O629" si="356">F634</f>
        <v>0</v>
      </c>
      <c r="G629" s="69">
        <f t="shared" si="356"/>
        <v>0</v>
      </c>
      <c r="H629" s="69">
        <f t="shared" si="356"/>
        <v>0</v>
      </c>
      <c r="I629" s="69">
        <f t="shared" si="356"/>
        <v>0</v>
      </c>
      <c r="J629" s="69">
        <f t="shared" si="356"/>
        <v>0</v>
      </c>
      <c r="K629" s="69">
        <f t="shared" si="356"/>
        <v>0</v>
      </c>
      <c r="L629" s="69">
        <f t="shared" si="356"/>
        <v>0</v>
      </c>
      <c r="M629" s="69">
        <f t="shared" si="356"/>
        <v>0</v>
      </c>
      <c r="N629" s="69">
        <f t="shared" si="356"/>
        <v>0</v>
      </c>
      <c r="O629" s="69">
        <f t="shared" si="356"/>
        <v>0</v>
      </c>
      <c r="W629" s="69">
        <f t="shared" ref="W629" si="357">W634</f>
        <v>0</v>
      </c>
    </row>
    <row r="630" spans="1:23" ht="15.75" customHeight="1" x14ac:dyDescent="0.2">
      <c r="A630" s="148" t="s">
        <v>356</v>
      </c>
      <c r="B630" s="149" t="s">
        <v>363</v>
      </c>
      <c r="C630" s="101" t="s">
        <v>7</v>
      </c>
      <c r="D630" s="69">
        <f t="shared" si="333"/>
        <v>708.6</v>
      </c>
      <c r="E630" s="69">
        <f t="shared" ref="E630:O630" si="358">E631+E632+E633+E634</f>
        <v>0</v>
      </c>
      <c r="F630" s="69">
        <f t="shared" si="358"/>
        <v>0</v>
      </c>
      <c r="G630" s="69">
        <f t="shared" si="358"/>
        <v>0</v>
      </c>
      <c r="H630" s="69">
        <f t="shared" si="358"/>
        <v>0</v>
      </c>
      <c r="I630" s="69">
        <f t="shared" si="358"/>
        <v>0</v>
      </c>
      <c r="J630" s="69">
        <f t="shared" si="358"/>
        <v>708.6</v>
      </c>
      <c r="K630" s="69">
        <f t="shared" si="358"/>
        <v>0</v>
      </c>
      <c r="L630" s="69">
        <f t="shared" si="358"/>
        <v>0</v>
      </c>
      <c r="M630" s="69">
        <f t="shared" si="358"/>
        <v>0</v>
      </c>
      <c r="N630" s="69">
        <f t="shared" si="358"/>
        <v>0</v>
      </c>
      <c r="O630" s="69">
        <f t="shared" si="358"/>
        <v>0</v>
      </c>
      <c r="W630" s="69">
        <f t="shared" ref="W630" si="359">W631+W632+W633+W634</f>
        <v>0</v>
      </c>
    </row>
    <row r="631" spans="1:23" ht="15.75" x14ac:dyDescent="0.2">
      <c r="A631" s="148"/>
      <c r="B631" s="149"/>
      <c r="C631" s="101" t="s">
        <v>10</v>
      </c>
      <c r="D631" s="69">
        <f t="shared" si="333"/>
        <v>0</v>
      </c>
      <c r="E631" s="69">
        <v>0</v>
      </c>
      <c r="F631" s="69">
        <v>0</v>
      </c>
      <c r="G631" s="69">
        <v>0</v>
      </c>
      <c r="H631" s="69">
        <v>0</v>
      </c>
      <c r="I631" s="69">
        <v>0</v>
      </c>
      <c r="J631" s="69">
        <v>0</v>
      </c>
      <c r="K631" s="69">
        <v>0</v>
      </c>
      <c r="L631" s="69">
        <v>0</v>
      </c>
      <c r="M631" s="69">
        <v>0</v>
      </c>
      <c r="N631" s="69">
        <v>0</v>
      </c>
      <c r="O631" s="69">
        <v>0</v>
      </c>
      <c r="W631" s="69">
        <v>0</v>
      </c>
    </row>
    <row r="632" spans="1:23" ht="15.75" x14ac:dyDescent="0.2">
      <c r="A632" s="148"/>
      <c r="B632" s="149"/>
      <c r="C632" s="101" t="s">
        <v>11</v>
      </c>
      <c r="D632" s="69">
        <f t="shared" si="333"/>
        <v>708.6</v>
      </c>
      <c r="E632" s="69">
        <v>0</v>
      </c>
      <c r="F632" s="69">
        <v>0</v>
      </c>
      <c r="G632" s="69">
        <v>0</v>
      </c>
      <c r="H632" s="69">
        <v>0</v>
      </c>
      <c r="I632" s="69">
        <v>0</v>
      </c>
      <c r="J632" s="69">
        <v>708.6</v>
      </c>
      <c r="K632" s="69">
        <v>0</v>
      </c>
      <c r="L632" s="69">
        <v>0</v>
      </c>
      <c r="M632" s="69">
        <v>0</v>
      </c>
      <c r="N632" s="69">
        <v>0</v>
      </c>
      <c r="O632" s="69">
        <v>0</v>
      </c>
      <c r="W632" s="69">
        <v>0</v>
      </c>
    </row>
    <row r="633" spans="1:23" ht="15.75" x14ac:dyDescent="0.2">
      <c r="A633" s="148"/>
      <c r="B633" s="149"/>
      <c r="C633" s="101" t="s">
        <v>12</v>
      </c>
      <c r="D633" s="69">
        <f t="shared" si="333"/>
        <v>0</v>
      </c>
      <c r="E633" s="69">
        <v>0</v>
      </c>
      <c r="F633" s="69">
        <v>0</v>
      </c>
      <c r="G633" s="69">
        <v>0</v>
      </c>
      <c r="H633" s="69">
        <v>0</v>
      </c>
      <c r="I633" s="69">
        <v>0</v>
      </c>
      <c r="J633" s="69">
        <v>0</v>
      </c>
      <c r="K633" s="69">
        <v>0</v>
      </c>
      <c r="L633" s="69">
        <v>0</v>
      </c>
      <c r="M633" s="69">
        <v>0</v>
      </c>
      <c r="N633" s="69">
        <v>0</v>
      </c>
      <c r="O633" s="69">
        <v>0</v>
      </c>
      <c r="W633" s="69">
        <v>0</v>
      </c>
    </row>
    <row r="634" spans="1:23" ht="31.5" customHeight="1" x14ac:dyDescent="0.2">
      <c r="A634" s="148"/>
      <c r="B634" s="149"/>
      <c r="C634" s="96" t="s">
        <v>13</v>
      </c>
      <c r="D634" s="69">
        <f t="shared" si="333"/>
        <v>0</v>
      </c>
      <c r="E634" s="69">
        <v>0</v>
      </c>
      <c r="F634" s="69">
        <v>0</v>
      </c>
      <c r="G634" s="69">
        <v>0</v>
      </c>
      <c r="H634" s="69">
        <v>0</v>
      </c>
      <c r="I634" s="69">
        <v>0</v>
      </c>
      <c r="J634" s="69">
        <v>0</v>
      </c>
      <c r="K634" s="69">
        <v>0</v>
      </c>
      <c r="L634" s="69">
        <v>0</v>
      </c>
      <c r="M634" s="69">
        <v>0</v>
      </c>
      <c r="N634" s="69">
        <v>0</v>
      </c>
      <c r="O634" s="69">
        <v>0</v>
      </c>
      <c r="W634" s="69">
        <v>0</v>
      </c>
    </row>
    <row r="635" spans="1:23" ht="15.75" x14ac:dyDescent="0.2">
      <c r="A635" s="151" t="s">
        <v>31</v>
      </c>
      <c r="B635" s="161" t="s">
        <v>330</v>
      </c>
      <c r="C635" s="97" t="s">
        <v>7</v>
      </c>
      <c r="D635" s="66">
        <f>E635+F635+G635+H635+I635+J635+K635+L635+M635+N635+O635+W635</f>
        <v>4656377.262000001</v>
      </c>
      <c r="E635" s="66">
        <f>E636+E637+E639+E642</f>
        <v>228156.69999999998</v>
      </c>
      <c r="F635" s="66">
        <f>F636+F637+F639+F642</f>
        <v>279787.8</v>
      </c>
      <c r="G635" s="66">
        <f t="shared" ref="G635:L635" si="360">SUM(G636:G642)</f>
        <v>257795.10000000003</v>
      </c>
      <c r="H635" s="66">
        <f t="shared" si="360"/>
        <v>267713.5</v>
      </c>
      <c r="I635" s="66">
        <f t="shared" si="360"/>
        <v>352068.4</v>
      </c>
      <c r="J635" s="66">
        <f t="shared" si="360"/>
        <v>478026.3</v>
      </c>
      <c r="K635" s="66">
        <f t="shared" si="360"/>
        <v>781436.36200000008</v>
      </c>
      <c r="L635" s="66">
        <f t="shared" si="360"/>
        <v>562909.5</v>
      </c>
      <c r="M635" s="66">
        <f>M637+M639</f>
        <v>524637.30000000005</v>
      </c>
      <c r="N635" s="66">
        <f>N636+N637+N639</f>
        <v>386854.69999999995</v>
      </c>
      <c r="O635" s="66">
        <f>SUM(O636:O642)</f>
        <v>249485.39999999997</v>
      </c>
      <c r="P635" s="58"/>
      <c r="Q635" s="67"/>
      <c r="W635" s="66">
        <f>SUM(W636:W642)</f>
        <v>287506.2</v>
      </c>
    </row>
    <row r="636" spans="1:23" ht="15.75" x14ac:dyDescent="0.2">
      <c r="A636" s="151"/>
      <c r="B636" s="161"/>
      <c r="C636" s="96" t="s">
        <v>10</v>
      </c>
      <c r="D636" s="69">
        <f>E636+F636+G636+H636+I636+J636+K636+L636+M636+N636+O636+W636</f>
        <v>28900</v>
      </c>
      <c r="E636" s="69">
        <f>E655+E665+E676+E691+E701+E707</f>
        <v>0</v>
      </c>
      <c r="F636" s="69">
        <f t="shared" ref="F636:O636" si="361">F655+F665+F676+F691+F701+F707</f>
        <v>0</v>
      </c>
      <c r="G636" s="69">
        <f t="shared" si="361"/>
        <v>0</v>
      </c>
      <c r="H636" s="69">
        <f t="shared" si="361"/>
        <v>0</v>
      </c>
      <c r="I636" s="69">
        <f>I655+I665+I676+I691+I701+I707</f>
        <v>0</v>
      </c>
      <c r="J636" s="69">
        <f t="shared" si="361"/>
        <v>0</v>
      </c>
      <c r="K636" s="69">
        <f t="shared" si="361"/>
        <v>0</v>
      </c>
      <c r="L636" s="69">
        <f t="shared" si="361"/>
        <v>0</v>
      </c>
      <c r="M636" s="69">
        <f t="shared" si="361"/>
        <v>0</v>
      </c>
      <c r="N636" s="69">
        <f>N655+N665+N676+N691+N701+N707+N758</f>
        <v>28900</v>
      </c>
      <c r="O636" s="69">
        <f t="shared" si="361"/>
        <v>0</v>
      </c>
      <c r="P636" s="60"/>
      <c r="Q636" s="60"/>
      <c r="W636" s="69">
        <f t="shared" ref="W636" si="362">W655+W665+W676+W691+W701+W707</f>
        <v>0</v>
      </c>
    </row>
    <row r="637" spans="1:23" ht="31.5" customHeight="1" x14ac:dyDescent="0.2">
      <c r="A637" s="151"/>
      <c r="B637" s="161"/>
      <c r="C637" s="96" t="s">
        <v>69</v>
      </c>
      <c r="D637" s="69">
        <f t="shared" ref="D637:D642" si="363">E637+F637+G637+H637+I637+J637+K637+L637+M637+N637+O637+W637</f>
        <v>1098369</v>
      </c>
      <c r="E637" s="69">
        <f>E645+E779</f>
        <v>0</v>
      </c>
      <c r="F637" s="69">
        <f>F645+F779</f>
        <v>0</v>
      </c>
      <c r="G637" s="69">
        <f>G645+G779</f>
        <v>0</v>
      </c>
      <c r="H637" s="69">
        <f>H645+H779</f>
        <v>0</v>
      </c>
      <c r="I637" s="69">
        <f>I645+I779+I793</f>
        <v>159753.70000000001</v>
      </c>
      <c r="J637" s="69">
        <f>J645+J779+J793</f>
        <v>282920.3</v>
      </c>
      <c r="K637" s="69">
        <f>K645+K779</f>
        <v>368985.2</v>
      </c>
      <c r="L637" s="69">
        <f>L645+L779</f>
        <v>195620.5</v>
      </c>
      <c r="M637" s="69">
        <f>M645+M779</f>
        <v>78922.3</v>
      </c>
      <c r="N637" s="69">
        <f>N645+N779</f>
        <v>12167</v>
      </c>
      <c r="O637" s="69">
        <f>O645+O779</f>
        <v>0</v>
      </c>
      <c r="W637" s="69">
        <f>W645+W779</f>
        <v>0</v>
      </c>
    </row>
    <row r="638" spans="1:23" ht="41.25" customHeight="1" x14ac:dyDescent="0.2">
      <c r="A638" s="151"/>
      <c r="B638" s="161"/>
      <c r="C638" s="72" t="s">
        <v>81</v>
      </c>
      <c r="D638" s="71">
        <f t="shared" si="363"/>
        <v>8579.9</v>
      </c>
      <c r="E638" s="71">
        <f t="shared" ref="E638:L638" si="364">E780</f>
        <v>0</v>
      </c>
      <c r="F638" s="71">
        <f t="shared" si="364"/>
        <v>0</v>
      </c>
      <c r="G638" s="71">
        <f t="shared" si="364"/>
        <v>0</v>
      </c>
      <c r="H638" s="71">
        <f t="shared" si="364"/>
        <v>0</v>
      </c>
      <c r="I638" s="71">
        <f t="shared" si="364"/>
        <v>0</v>
      </c>
      <c r="J638" s="71">
        <f t="shared" si="364"/>
        <v>0</v>
      </c>
      <c r="K638" s="71">
        <f t="shared" si="364"/>
        <v>0</v>
      </c>
      <c r="L638" s="71">
        <f t="shared" si="364"/>
        <v>0</v>
      </c>
      <c r="M638" s="71">
        <f>M780</f>
        <v>8579.9</v>
      </c>
      <c r="N638" s="71">
        <f t="shared" ref="N638:O638" si="365">N780</f>
        <v>0</v>
      </c>
      <c r="O638" s="71">
        <f t="shared" si="365"/>
        <v>0</v>
      </c>
      <c r="W638" s="71">
        <f t="shared" ref="W638" si="366">W780</f>
        <v>0</v>
      </c>
    </row>
    <row r="639" spans="1:23" ht="36" customHeight="1" x14ac:dyDescent="0.2">
      <c r="A639" s="151"/>
      <c r="B639" s="161"/>
      <c r="C639" s="96" t="s">
        <v>65</v>
      </c>
      <c r="D639" s="69">
        <f t="shared" si="363"/>
        <v>3529108.2620000006</v>
      </c>
      <c r="E639" s="69">
        <f>E646+E781</f>
        <v>228156.69999999998</v>
      </c>
      <c r="F639" s="69">
        <f>F646+F781</f>
        <v>279787.8</v>
      </c>
      <c r="G639" s="69">
        <f>G646+G781</f>
        <v>257795.10000000003</v>
      </c>
      <c r="H639" s="69">
        <f>H646+H781</f>
        <v>267713.5</v>
      </c>
      <c r="I639" s="69">
        <f>I646+I781+I794</f>
        <v>192314.7</v>
      </c>
      <c r="J639" s="69">
        <f>J646+J781+J794</f>
        <v>195106</v>
      </c>
      <c r="K639" s="69">
        <f>K646+K781+K804</f>
        <v>412451.16200000007</v>
      </c>
      <c r="L639" s="69">
        <f>L646+L781+L804</f>
        <v>367289</v>
      </c>
      <c r="M639" s="69">
        <f>M646+M781+M804</f>
        <v>445715.00000000006</v>
      </c>
      <c r="N639" s="69">
        <f>N646+N781+N804</f>
        <v>345787.69999999995</v>
      </c>
      <c r="O639" s="69">
        <f>O646+O781+O804</f>
        <v>249485.39999999997</v>
      </c>
      <c r="W639" s="69">
        <f>W646+W781+W804</f>
        <v>287506.2</v>
      </c>
    </row>
    <row r="640" spans="1:23" ht="16.5" customHeight="1" x14ac:dyDescent="0.2">
      <c r="A640" s="151"/>
      <c r="B640" s="161"/>
      <c r="C640" s="74" t="s">
        <v>79</v>
      </c>
      <c r="D640" s="69">
        <f t="shared" si="363"/>
        <v>59050</v>
      </c>
      <c r="E640" s="71">
        <f>E647</f>
        <v>30550</v>
      </c>
      <c r="F640" s="71">
        <f>F710</f>
        <v>28500</v>
      </c>
      <c r="G640" s="71">
        <f>G710</f>
        <v>0</v>
      </c>
      <c r="H640" s="71">
        <f>H710</f>
        <v>0</v>
      </c>
      <c r="I640" s="71">
        <f>I710</f>
        <v>0</v>
      </c>
      <c r="J640" s="69">
        <f t="shared" ref="J640:O640" si="367">J658+J669+J679+J694+J704+J710</f>
        <v>0</v>
      </c>
      <c r="K640" s="69">
        <f t="shared" si="367"/>
        <v>0</v>
      </c>
      <c r="L640" s="69">
        <f t="shared" si="367"/>
        <v>0</v>
      </c>
      <c r="M640" s="71">
        <f>M647</f>
        <v>0</v>
      </c>
      <c r="N640" s="69">
        <f t="shared" si="367"/>
        <v>0</v>
      </c>
      <c r="O640" s="69">
        <f t="shared" si="367"/>
        <v>0</v>
      </c>
      <c r="W640" s="69">
        <f t="shared" ref="W640" si="368">W658+W669+W679+W694+W704+W710</f>
        <v>0</v>
      </c>
    </row>
    <row r="641" spans="1:23" ht="31.5" x14ac:dyDescent="0.2">
      <c r="A641" s="151"/>
      <c r="B641" s="161"/>
      <c r="C641" s="72" t="s">
        <v>448</v>
      </c>
      <c r="D641" s="69">
        <f t="shared" si="363"/>
        <v>780.6</v>
      </c>
      <c r="E641" s="71">
        <f t="shared" ref="E641:L641" si="369">E782</f>
        <v>0</v>
      </c>
      <c r="F641" s="71">
        <f t="shared" si="369"/>
        <v>0</v>
      </c>
      <c r="G641" s="71">
        <f t="shared" si="369"/>
        <v>0</v>
      </c>
      <c r="H641" s="71">
        <f t="shared" si="369"/>
        <v>0</v>
      </c>
      <c r="I641" s="71">
        <f t="shared" si="369"/>
        <v>0</v>
      </c>
      <c r="J641" s="71">
        <f t="shared" si="369"/>
        <v>0</v>
      </c>
      <c r="K641" s="71">
        <f t="shared" si="369"/>
        <v>0</v>
      </c>
      <c r="L641" s="71">
        <f t="shared" si="369"/>
        <v>0</v>
      </c>
      <c r="M641" s="71">
        <f>M782</f>
        <v>547.70000000000005</v>
      </c>
      <c r="N641" s="71">
        <f>N668+N782</f>
        <v>232.9</v>
      </c>
      <c r="O641" s="71">
        <f t="shared" ref="O641" si="370">O782</f>
        <v>0</v>
      </c>
      <c r="W641" s="71">
        <f t="shared" ref="W641" si="371">W782</f>
        <v>0</v>
      </c>
    </row>
    <row r="642" spans="1:23" ht="15.75" x14ac:dyDescent="0.2">
      <c r="A642" s="151"/>
      <c r="B642" s="161"/>
      <c r="C642" s="96" t="s">
        <v>13</v>
      </c>
      <c r="D642" s="69">
        <f t="shared" si="363"/>
        <v>0</v>
      </c>
      <c r="E642" s="69">
        <f>E658+E669+E679+E694+E705+E711</f>
        <v>0</v>
      </c>
      <c r="F642" s="69">
        <f>F658+F669+F679+F694+F705+F711</f>
        <v>0</v>
      </c>
      <c r="G642" s="69">
        <f>G658+G669+G679+G694+G705+G711</f>
        <v>0</v>
      </c>
      <c r="H642" s="69">
        <v>0</v>
      </c>
      <c r="I642" s="69">
        <f t="shared" ref="I642:O642" si="372">I658+I669+I679+I694+I705+I711</f>
        <v>0</v>
      </c>
      <c r="J642" s="69">
        <f t="shared" si="372"/>
        <v>0</v>
      </c>
      <c r="K642" s="69">
        <f t="shared" si="372"/>
        <v>0</v>
      </c>
      <c r="L642" s="69">
        <f t="shared" si="372"/>
        <v>0</v>
      </c>
      <c r="M642" s="69">
        <f t="shared" si="372"/>
        <v>0</v>
      </c>
      <c r="N642" s="69">
        <f t="shared" si="372"/>
        <v>0</v>
      </c>
      <c r="O642" s="69">
        <f t="shared" si="372"/>
        <v>0</v>
      </c>
      <c r="W642" s="69">
        <f t="shared" ref="W642" si="373">W658+W669+W679+W694+W705+W711</f>
        <v>0</v>
      </c>
    </row>
    <row r="643" spans="1:23" ht="36" customHeight="1" x14ac:dyDescent="0.2">
      <c r="A643" s="137" t="s">
        <v>34</v>
      </c>
      <c r="B643" s="137" t="s">
        <v>122</v>
      </c>
      <c r="C643" s="96" t="s">
        <v>7</v>
      </c>
      <c r="D643" s="69">
        <f t="shared" ref="D643:D648" si="374">E643+F643+G643+H643+I643+J643+K643+L643+M643+N643+O643</f>
        <v>3177555.2620000006</v>
      </c>
      <c r="E643" s="69">
        <f t="shared" ref="E643:O643" si="375">E644+E645+E646+E648</f>
        <v>228156.69999999998</v>
      </c>
      <c r="F643" s="69">
        <f t="shared" si="375"/>
        <v>279787.8</v>
      </c>
      <c r="G643" s="69">
        <f t="shared" si="375"/>
        <v>257795.10000000003</v>
      </c>
      <c r="H643" s="69">
        <f t="shared" si="375"/>
        <v>267713.5</v>
      </c>
      <c r="I643" s="69">
        <f t="shared" si="375"/>
        <v>299568.40000000002</v>
      </c>
      <c r="J643" s="69">
        <f t="shared" si="375"/>
        <v>249909.09999999998</v>
      </c>
      <c r="K643" s="69">
        <f t="shared" si="375"/>
        <v>373970.76200000005</v>
      </c>
      <c r="L643" s="69">
        <f t="shared" si="375"/>
        <v>348526.2</v>
      </c>
      <c r="M643" s="69">
        <f>M644+M645+M646+M648</f>
        <v>396204.00000000006</v>
      </c>
      <c r="N643" s="69">
        <f t="shared" si="375"/>
        <v>255172.09999999998</v>
      </c>
      <c r="O643" s="69">
        <f t="shared" si="375"/>
        <v>220751.59999999998</v>
      </c>
      <c r="P643" s="58"/>
      <c r="Q643" s="67"/>
      <c r="W643" s="69">
        <f t="shared" ref="W643" si="376">W644+W645+W646+W648</f>
        <v>258772.4</v>
      </c>
    </row>
    <row r="644" spans="1:23" ht="15.75" x14ac:dyDescent="0.2">
      <c r="A644" s="144"/>
      <c r="B644" s="155"/>
      <c r="C644" s="96" t="s">
        <v>10</v>
      </c>
      <c r="D644" s="69">
        <f t="shared" si="374"/>
        <v>0</v>
      </c>
      <c r="E644" s="69">
        <f t="shared" ref="E644:O644" si="377">E655+E665+E676+E691+E701+E707</f>
        <v>0</v>
      </c>
      <c r="F644" s="69">
        <f t="shared" si="377"/>
        <v>0</v>
      </c>
      <c r="G644" s="69">
        <f t="shared" si="377"/>
        <v>0</v>
      </c>
      <c r="H644" s="69">
        <f t="shared" si="377"/>
        <v>0</v>
      </c>
      <c r="I644" s="69">
        <f t="shared" si="377"/>
        <v>0</v>
      </c>
      <c r="J644" s="69">
        <f t="shared" si="377"/>
        <v>0</v>
      </c>
      <c r="K644" s="69">
        <f t="shared" si="377"/>
        <v>0</v>
      </c>
      <c r="L644" s="69">
        <f t="shared" si="377"/>
        <v>0</v>
      </c>
      <c r="M644" s="69">
        <f t="shared" si="377"/>
        <v>0</v>
      </c>
      <c r="N644" s="69">
        <f t="shared" si="377"/>
        <v>0</v>
      </c>
      <c r="O644" s="69">
        <f t="shared" si="377"/>
        <v>0</v>
      </c>
      <c r="W644" s="69">
        <f t="shared" ref="W644" si="378">W655+W665+W676+W691+W701+W707</f>
        <v>0</v>
      </c>
    </row>
    <row r="645" spans="1:23" ht="18.75" customHeight="1" x14ac:dyDescent="0.2">
      <c r="A645" s="144"/>
      <c r="B645" s="155"/>
      <c r="C645" s="96" t="s">
        <v>11</v>
      </c>
      <c r="D645" s="69">
        <f t="shared" si="374"/>
        <v>178807.9</v>
      </c>
      <c r="E645" s="69">
        <f>E656+E666+E677+E692+E702+E708+E661+E672+E682+E687+E697+E714+E779</f>
        <v>0</v>
      </c>
      <c r="F645" s="69">
        <f>F656+F666+F677+F692+F702+F708+F661+F672+F682+F687+F697+F714+F779</f>
        <v>0</v>
      </c>
      <c r="G645" s="69">
        <f>G656+G666+G677+G692+G702+G708+G661+G672+G682+G687+G697+G714+G779</f>
        <v>0</v>
      </c>
      <c r="H645" s="69">
        <f>H656+H666+H677+H692+H702+H708+H661+H672+H682+H687+H697+H714+H779</f>
        <v>0</v>
      </c>
      <c r="I645" s="69">
        <f t="shared" ref="I645:O645" si="379">I656+I666+I677+I692+I702+I708+I661+I672+I682+I687+I697+I714</f>
        <v>109753.7</v>
      </c>
      <c r="J645" s="69">
        <f t="shared" si="379"/>
        <v>69054.2</v>
      </c>
      <c r="K645" s="69">
        <f t="shared" si="379"/>
        <v>0</v>
      </c>
      <c r="L645" s="69">
        <f t="shared" si="379"/>
        <v>0</v>
      </c>
      <c r="M645" s="69">
        <f>M754</f>
        <v>0</v>
      </c>
      <c r="N645" s="69">
        <f>N759</f>
        <v>0</v>
      </c>
      <c r="O645" s="69">
        <f t="shared" si="379"/>
        <v>0</v>
      </c>
      <c r="W645" s="69">
        <f t="shared" ref="W645" si="380">W656+W666+W677+W692+W702+W708+W661+W672+W682+W687+W697+W714</f>
        <v>0</v>
      </c>
    </row>
    <row r="646" spans="1:23" ht="30.75" customHeight="1" x14ac:dyDescent="0.2">
      <c r="A646" s="144"/>
      <c r="B646" s="155"/>
      <c r="C646" s="96" t="s">
        <v>65</v>
      </c>
      <c r="D646" s="69">
        <f t="shared" si="374"/>
        <v>2998747.3620000002</v>
      </c>
      <c r="E646" s="69">
        <f>E652+E657+E667+E673+E678+E688+E693+E703+E709+E715++E698+E781+E720</f>
        <v>228156.69999999998</v>
      </c>
      <c r="F646" s="69">
        <f>F652+F657+F667+F673+F678+F688+F693+F703+F709+F715++F698+F781+F720</f>
        <v>279787.8</v>
      </c>
      <c r="G646" s="69">
        <f>G652+G657+G667+G673+G678+G688+G693+G703+G709+G715++G698+G781+G720</f>
        <v>257795.10000000003</v>
      </c>
      <c r="H646" s="69">
        <f>H652+H657+H667+H673+H678+H688+H693+H703+H709+H715++H698+H781+H720</f>
        <v>267713.5</v>
      </c>
      <c r="I646" s="69">
        <f>I652+I657+I667+I673+I678+I688+I693+I703+I709+I715++I698+I720</f>
        <v>189814.7</v>
      </c>
      <c r="J646" s="69">
        <f>J652+J657+J667+J673+J678+J688+J693+J703+J709+J715++J698+J720</f>
        <v>180854.9</v>
      </c>
      <c r="K646" s="69">
        <f>K652+K657+K667+K673+K678+K688+K693+K703+K709+K715++K698+K720+K725+K730+K735+K740+K745</f>
        <v>373970.76200000005</v>
      </c>
      <c r="L646" s="69">
        <f>L652+L657+L667+L673+L678+L688+L693+L703+L709+L715++L698+L720+L725+L730+L735+L740+L745+L750</f>
        <v>348526.2</v>
      </c>
      <c r="M646" s="69">
        <f>M652+M657+M667+M673+M678+M688+M693+M703+M709+M715++M698+M720+M725+M730+M735+M740+M745+M750+M755+M765+M770</f>
        <v>396204.00000000006</v>
      </c>
      <c r="N646" s="69">
        <f>N652+N657+N667+N673+N678+N688+N693+N703+N709+N715++N698+N720+N725+N730+N735+N740+N745+N750+N775</f>
        <v>255172.09999999998</v>
      </c>
      <c r="O646" s="69">
        <f>O652+O657+O667+O673+O678+O688+O693+O703+O709+O715++O698+O720+O725+O730+O735+O740+O745+O750</f>
        <v>220751.59999999998</v>
      </c>
      <c r="W646" s="69">
        <f>W652+W657+W667+W673+W678+W688+W693+W703+W709+W715++W698+W720+W725+W730+W735+W740+W745+W750</f>
        <v>258772.4</v>
      </c>
    </row>
    <row r="647" spans="1:23" ht="32.25" customHeight="1" x14ac:dyDescent="0.2">
      <c r="A647" s="144"/>
      <c r="B647" s="155"/>
      <c r="C647" s="74" t="s">
        <v>79</v>
      </c>
      <c r="D647" s="71">
        <f t="shared" si="374"/>
        <v>59050</v>
      </c>
      <c r="E647" s="71">
        <f>E710+E704</f>
        <v>30550</v>
      </c>
      <c r="F647" s="71">
        <f>F710+F704</f>
        <v>28500</v>
      </c>
      <c r="G647" s="71">
        <f>G710+G704</f>
        <v>0</v>
      </c>
      <c r="H647" s="71">
        <f>H710+H704</f>
        <v>0</v>
      </c>
      <c r="I647" s="71">
        <f>I710+I704</f>
        <v>0</v>
      </c>
      <c r="J647" s="69">
        <f t="shared" ref="J647:O647" si="381">J658+J669+J679+J694+J704+J710</f>
        <v>0</v>
      </c>
      <c r="K647" s="69">
        <f t="shared" si="381"/>
        <v>0</v>
      </c>
      <c r="L647" s="69">
        <f t="shared" si="381"/>
        <v>0</v>
      </c>
      <c r="M647" s="69">
        <f t="shared" si="381"/>
        <v>0</v>
      </c>
      <c r="N647" s="69">
        <f t="shared" si="381"/>
        <v>0</v>
      </c>
      <c r="O647" s="69">
        <f t="shared" si="381"/>
        <v>0</v>
      </c>
      <c r="W647" s="69">
        <f t="shared" ref="W647" si="382">W658+W669+W679+W694+W704+W710</f>
        <v>0</v>
      </c>
    </row>
    <row r="648" spans="1:23" ht="25.5" customHeight="1" x14ac:dyDescent="0.2">
      <c r="A648" s="144"/>
      <c r="B648" s="155"/>
      <c r="C648" s="96" t="s">
        <v>13</v>
      </c>
      <c r="D648" s="69">
        <f t="shared" si="374"/>
        <v>0</v>
      </c>
      <c r="E648" s="69">
        <f>E669+E679+E694+E705+E711</f>
        <v>0</v>
      </c>
      <c r="F648" s="69">
        <f>F669+F679+F694+F705+F711</f>
        <v>0</v>
      </c>
      <c r="G648" s="69">
        <f>G669+G679+G694+G705+G711</f>
        <v>0</v>
      </c>
      <c r="H648" s="69">
        <f>H669+H679+H694+H705+H711</f>
        <v>0</v>
      </c>
      <c r="I648" s="69">
        <f>I669+I679+I694+I705+I711</f>
        <v>0</v>
      </c>
      <c r="J648" s="69">
        <v>0</v>
      </c>
      <c r="K648" s="69">
        <v>0</v>
      </c>
      <c r="L648" s="69">
        <v>0</v>
      </c>
      <c r="M648" s="69">
        <v>0</v>
      </c>
      <c r="N648" s="69">
        <v>0</v>
      </c>
      <c r="O648" s="69">
        <v>0</v>
      </c>
      <c r="W648" s="69">
        <v>0</v>
      </c>
    </row>
    <row r="649" spans="1:23" ht="15.75" customHeight="1" x14ac:dyDescent="0.2">
      <c r="A649" s="137" t="s">
        <v>123</v>
      </c>
      <c r="B649" s="149" t="s">
        <v>152</v>
      </c>
      <c r="C649" s="96" t="s">
        <v>7</v>
      </c>
      <c r="D649" s="69">
        <f>SUM(D650:D653)</f>
        <v>42071.3</v>
      </c>
      <c r="E649" s="69">
        <f t="shared" ref="E649:J649" si="383">SUM(E650:E653)</f>
        <v>42071.3</v>
      </c>
      <c r="F649" s="69">
        <f t="shared" si="383"/>
        <v>0</v>
      </c>
      <c r="G649" s="69">
        <f t="shared" si="383"/>
        <v>0</v>
      </c>
      <c r="H649" s="69">
        <f t="shared" si="383"/>
        <v>0</v>
      </c>
      <c r="I649" s="69">
        <f t="shared" si="383"/>
        <v>0</v>
      </c>
      <c r="J649" s="69">
        <f t="shared" si="383"/>
        <v>0</v>
      </c>
      <c r="K649" s="69">
        <v>0</v>
      </c>
      <c r="L649" s="69">
        <f>SUM(L650:L653)</f>
        <v>0</v>
      </c>
      <c r="M649" s="69">
        <f>SUM(M650:M653)</f>
        <v>0</v>
      </c>
      <c r="N649" s="69">
        <f>SUM(N650:N653)</f>
        <v>0</v>
      </c>
      <c r="O649" s="69">
        <v>0</v>
      </c>
      <c r="W649" s="69">
        <v>0</v>
      </c>
    </row>
    <row r="650" spans="1:23" ht="15.75" customHeight="1" x14ac:dyDescent="0.2">
      <c r="A650" s="144"/>
      <c r="B650" s="149"/>
      <c r="C650" s="96" t="s">
        <v>10</v>
      </c>
      <c r="D650" s="69">
        <v>0</v>
      </c>
      <c r="E650" s="69">
        <v>0</v>
      </c>
      <c r="F650" s="69">
        <v>0</v>
      </c>
      <c r="G650" s="69">
        <v>0</v>
      </c>
      <c r="H650" s="69">
        <v>0</v>
      </c>
      <c r="I650" s="69">
        <v>0</v>
      </c>
      <c r="J650" s="69">
        <v>0</v>
      </c>
      <c r="K650" s="69">
        <v>0</v>
      </c>
      <c r="L650" s="69">
        <v>0</v>
      </c>
      <c r="M650" s="69">
        <v>0</v>
      </c>
      <c r="N650" s="69">
        <v>0</v>
      </c>
      <c r="O650" s="69">
        <v>0</v>
      </c>
      <c r="W650" s="69">
        <v>0</v>
      </c>
    </row>
    <row r="651" spans="1:23" ht="15.75" customHeight="1" x14ac:dyDescent="0.2">
      <c r="A651" s="144"/>
      <c r="B651" s="149"/>
      <c r="C651" s="96" t="s">
        <v>11</v>
      </c>
      <c r="D651" s="83">
        <v>0</v>
      </c>
      <c r="E651" s="83">
        <v>0</v>
      </c>
      <c r="F651" s="83">
        <v>0</v>
      </c>
      <c r="G651" s="83">
        <v>0</v>
      </c>
      <c r="H651" s="83">
        <v>0</v>
      </c>
      <c r="I651" s="83">
        <v>0</v>
      </c>
      <c r="J651" s="83">
        <v>0</v>
      </c>
      <c r="K651" s="83">
        <v>0</v>
      </c>
      <c r="L651" s="83">
        <v>0</v>
      </c>
      <c r="M651" s="83">
        <v>0</v>
      </c>
      <c r="N651" s="83">
        <v>0</v>
      </c>
      <c r="O651" s="83">
        <v>0</v>
      </c>
      <c r="W651" s="83">
        <v>0</v>
      </c>
    </row>
    <row r="652" spans="1:23" ht="15.75" customHeight="1" x14ac:dyDescent="0.2">
      <c r="A652" s="144"/>
      <c r="B652" s="149"/>
      <c r="C652" s="96" t="s">
        <v>12</v>
      </c>
      <c r="D652" s="69">
        <f>SUM(E652:J652)</f>
        <v>42071.3</v>
      </c>
      <c r="E652" s="69">
        <v>42071.3</v>
      </c>
      <c r="F652" s="69">
        <v>0</v>
      </c>
      <c r="G652" s="69">
        <v>0</v>
      </c>
      <c r="H652" s="69">
        <v>0</v>
      </c>
      <c r="I652" s="69">
        <v>0</v>
      </c>
      <c r="J652" s="69">
        <v>0</v>
      </c>
      <c r="K652" s="69">
        <v>0</v>
      </c>
      <c r="L652" s="69">
        <v>0</v>
      </c>
      <c r="M652" s="69">
        <v>0</v>
      </c>
      <c r="N652" s="69">
        <v>0</v>
      </c>
      <c r="O652" s="69">
        <v>0</v>
      </c>
      <c r="W652" s="69">
        <v>0</v>
      </c>
    </row>
    <row r="653" spans="1:23" ht="25.5" customHeight="1" x14ac:dyDescent="0.2">
      <c r="A653" s="144"/>
      <c r="B653" s="149"/>
      <c r="C653" s="96" t="s">
        <v>13</v>
      </c>
      <c r="D653" s="69">
        <f>E653+F653+G653+H653+I653+J653</f>
        <v>0</v>
      </c>
      <c r="E653" s="69">
        <v>0</v>
      </c>
      <c r="F653" s="69">
        <v>0</v>
      </c>
      <c r="G653" s="69">
        <v>0</v>
      </c>
      <c r="H653" s="69">
        <v>0</v>
      </c>
      <c r="I653" s="69">
        <v>0</v>
      </c>
      <c r="J653" s="69">
        <v>0</v>
      </c>
      <c r="K653" s="69">
        <v>0</v>
      </c>
      <c r="L653" s="69">
        <v>0</v>
      </c>
      <c r="M653" s="69">
        <v>0</v>
      </c>
      <c r="N653" s="69">
        <v>0</v>
      </c>
      <c r="O653" s="69">
        <v>0</v>
      </c>
      <c r="W653" s="69">
        <v>0</v>
      </c>
    </row>
    <row r="654" spans="1:23" ht="24" customHeight="1" x14ac:dyDescent="0.2">
      <c r="A654" s="137" t="s">
        <v>124</v>
      </c>
      <c r="B654" s="149" t="s">
        <v>135</v>
      </c>
      <c r="C654" s="96" t="s">
        <v>7</v>
      </c>
      <c r="D654" s="69">
        <f>E654+F654+G654+H654+I654+J654+K654+L654+M654+N654+O654</f>
        <v>224030.40000000002</v>
      </c>
      <c r="E654" s="69">
        <f t="shared" ref="E654:O654" si="384">SUM(E655:E658)</f>
        <v>0</v>
      </c>
      <c r="F654" s="69">
        <f t="shared" si="384"/>
        <v>52211</v>
      </c>
      <c r="G654" s="69">
        <f t="shared" si="384"/>
        <v>40056.800000000003</v>
      </c>
      <c r="H654" s="69">
        <f t="shared" si="384"/>
        <v>54812.9</v>
      </c>
      <c r="I654" s="69">
        <f t="shared" si="384"/>
        <v>33448.6</v>
      </c>
      <c r="J654" s="69">
        <f t="shared" si="384"/>
        <v>10688.6</v>
      </c>
      <c r="K654" s="69">
        <f t="shared" si="384"/>
        <v>32812.5</v>
      </c>
      <c r="L654" s="69">
        <f t="shared" si="384"/>
        <v>0</v>
      </c>
      <c r="M654" s="69">
        <f t="shared" si="384"/>
        <v>0</v>
      </c>
      <c r="N654" s="69">
        <f t="shared" si="384"/>
        <v>0</v>
      </c>
      <c r="O654" s="69">
        <f t="shared" si="384"/>
        <v>0</v>
      </c>
      <c r="W654" s="69">
        <f t="shared" ref="W654" si="385">SUM(W655:W658)</f>
        <v>0</v>
      </c>
    </row>
    <row r="655" spans="1:23" ht="24" customHeight="1" x14ac:dyDescent="0.2">
      <c r="A655" s="144"/>
      <c r="B655" s="149"/>
      <c r="C655" s="96" t="s">
        <v>10</v>
      </c>
      <c r="D655" s="69">
        <f t="shared" ref="D655:D779" si="386">E655+F655+G655+H655+I655+J655+K655+L655+M655+N655+O655</f>
        <v>0</v>
      </c>
      <c r="E655" s="69">
        <v>0</v>
      </c>
      <c r="F655" s="69">
        <v>0</v>
      </c>
      <c r="G655" s="69">
        <v>0</v>
      </c>
      <c r="H655" s="69">
        <v>0</v>
      </c>
      <c r="I655" s="69">
        <v>0</v>
      </c>
      <c r="J655" s="69">
        <v>0</v>
      </c>
      <c r="K655" s="69">
        <v>0</v>
      </c>
      <c r="L655" s="69">
        <v>0</v>
      </c>
      <c r="M655" s="69">
        <v>0</v>
      </c>
      <c r="N655" s="69">
        <v>0</v>
      </c>
      <c r="O655" s="69">
        <v>0</v>
      </c>
      <c r="W655" s="69">
        <v>0</v>
      </c>
    </row>
    <row r="656" spans="1:23" ht="24" customHeight="1" x14ac:dyDescent="0.2">
      <c r="A656" s="144"/>
      <c r="B656" s="149"/>
      <c r="C656" s="96" t="s">
        <v>11</v>
      </c>
      <c r="D656" s="69">
        <f t="shared" si="386"/>
        <v>0</v>
      </c>
      <c r="E656" s="83">
        <v>0</v>
      </c>
      <c r="F656" s="83">
        <v>0</v>
      </c>
      <c r="G656" s="83">
        <v>0</v>
      </c>
      <c r="H656" s="83">
        <v>0</v>
      </c>
      <c r="I656" s="83">
        <v>0</v>
      </c>
      <c r="J656" s="83">
        <v>0</v>
      </c>
      <c r="K656" s="83">
        <v>0</v>
      </c>
      <c r="L656" s="83">
        <v>0</v>
      </c>
      <c r="M656" s="83">
        <v>0</v>
      </c>
      <c r="N656" s="83">
        <v>0</v>
      </c>
      <c r="O656" s="83">
        <v>0</v>
      </c>
      <c r="W656" s="83">
        <v>0</v>
      </c>
    </row>
    <row r="657" spans="1:23" ht="24" customHeight="1" x14ac:dyDescent="0.2">
      <c r="A657" s="144"/>
      <c r="B657" s="149"/>
      <c r="C657" s="96" t="s">
        <v>12</v>
      </c>
      <c r="D657" s="69">
        <f t="shared" si="386"/>
        <v>224030.40000000002</v>
      </c>
      <c r="E657" s="69">
        <v>0</v>
      </c>
      <c r="F657" s="69">
        <v>52211</v>
      </c>
      <c r="G657" s="69">
        <v>40056.800000000003</v>
      </c>
      <c r="H657" s="69">
        <v>54812.9</v>
      </c>
      <c r="I657" s="69">
        <f>33108.6+340</f>
        <v>33448.6</v>
      </c>
      <c r="J657" s="69">
        <f>10688.6-0.1+0.1</f>
        <v>10688.6</v>
      </c>
      <c r="K657" s="69">
        <f>33518.8-706.3</f>
        <v>32812.5</v>
      </c>
      <c r="L657" s="69">
        <v>0</v>
      </c>
      <c r="M657" s="69">
        <v>0</v>
      </c>
      <c r="N657" s="69">
        <v>0</v>
      </c>
      <c r="O657" s="69">
        <v>0</v>
      </c>
      <c r="W657" s="69">
        <v>0</v>
      </c>
    </row>
    <row r="658" spans="1:23" ht="24" customHeight="1" x14ac:dyDescent="0.2">
      <c r="A658" s="144"/>
      <c r="B658" s="149"/>
      <c r="C658" s="96" t="s">
        <v>13</v>
      </c>
      <c r="D658" s="69">
        <f t="shared" si="386"/>
        <v>0</v>
      </c>
      <c r="E658" s="69">
        <v>0</v>
      </c>
      <c r="F658" s="69">
        <v>0</v>
      </c>
      <c r="G658" s="69">
        <v>0</v>
      </c>
      <c r="H658" s="69">
        <v>0</v>
      </c>
      <c r="I658" s="69">
        <v>0</v>
      </c>
      <c r="J658" s="69">
        <v>0</v>
      </c>
      <c r="K658" s="69">
        <v>0</v>
      </c>
      <c r="L658" s="69">
        <v>0</v>
      </c>
      <c r="M658" s="69">
        <v>0</v>
      </c>
      <c r="N658" s="69">
        <v>0</v>
      </c>
      <c r="O658" s="69">
        <v>0</v>
      </c>
      <c r="W658" s="69">
        <v>0</v>
      </c>
    </row>
    <row r="659" spans="1:23" ht="15.75" customHeight="1" x14ac:dyDescent="0.2">
      <c r="A659" s="137" t="s">
        <v>125</v>
      </c>
      <c r="B659" s="149" t="s">
        <v>265</v>
      </c>
      <c r="C659" s="96" t="s">
        <v>7</v>
      </c>
      <c r="D659" s="69">
        <f t="shared" si="386"/>
        <v>54854.5</v>
      </c>
      <c r="E659" s="69">
        <f t="shared" ref="E659:O659" si="387">SUM(E660:E663)</f>
        <v>0</v>
      </c>
      <c r="F659" s="69">
        <f t="shared" si="387"/>
        <v>0</v>
      </c>
      <c r="G659" s="69">
        <f t="shared" si="387"/>
        <v>0</v>
      </c>
      <c r="H659" s="69">
        <f t="shared" si="387"/>
        <v>0</v>
      </c>
      <c r="I659" s="69">
        <f t="shared" si="387"/>
        <v>26485.599999999999</v>
      </c>
      <c r="J659" s="69">
        <f t="shared" si="387"/>
        <v>28368.9</v>
      </c>
      <c r="K659" s="69">
        <f t="shared" si="387"/>
        <v>0</v>
      </c>
      <c r="L659" s="69">
        <f t="shared" si="387"/>
        <v>0</v>
      </c>
      <c r="M659" s="69">
        <f t="shared" si="387"/>
        <v>0</v>
      </c>
      <c r="N659" s="69">
        <f t="shared" si="387"/>
        <v>0</v>
      </c>
      <c r="O659" s="69">
        <f t="shared" si="387"/>
        <v>0</v>
      </c>
      <c r="W659" s="69">
        <f t="shared" ref="W659" si="388">SUM(W660:W663)</f>
        <v>0</v>
      </c>
    </row>
    <row r="660" spans="1:23" ht="15.75" customHeight="1" x14ac:dyDescent="0.2">
      <c r="A660" s="144"/>
      <c r="B660" s="149"/>
      <c r="C660" s="96" t="s">
        <v>10</v>
      </c>
      <c r="D660" s="69">
        <f t="shared" si="386"/>
        <v>0</v>
      </c>
      <c r="E660" s="69">
        <v>0</v>
      </c>
      <c r="F660" s="69">
        <v>0</v>
      </c>
      <c r="G660" s="69">
        <v>0</v>
      </c>
      <c r="H660" s="69">
        <v>0</v>
      </c>
      <c r="I660" s="69">
        <v>0</v>
      </c>
      <c r="J660" s="69">
        <v>0</v>
      </c>
      <c r="K660" s="69">
        <v>0</v>
      </c>
      <c r="L660" s="69">
        <v>0</v>
      </c>
      <c r="M660" s="69">
        <v>0</v>
      </c>
      <c r="N660" s="69">
        <v>0</v>
      </c>
      <c r="O660" s="69">
        <v>0</v>
      </c>
      <c r="W660" s="69">
        <v>0</v>
      </c>
    </row>
    <row r="661" spans="1:23" ht="15.75" customHeight="1" x14ac:dyDescent="0.2">
      <c r="A661" s="144"/>
      <c r="B661" s="149"/>
      <c r="C661" s="96" t="s">
        <v>11</v>
      </c>
      <c r="D661" s="69">
        <f t="shared" si="386"/>
        <v>54854.5</v>
      </c>
      <c r="E661" s="83">
        <v>0</v>
      </c>
      <c r="F661" s="83">
        <v>0</v>
      </c>
      <c r="G661" s="83">
        <v>0</v>
      </c>
      <c r="H661" s="83">
        <v>0</v>
      </c>
      <c r="I661" s="83">
        <v>26485.599999999999</v>
      </c>
      <c r="J661" s="83">
        <f>39057.5-10688.6</f>
        <v>28368.9</v>
      </c>
      <c r="K661" s="83">
        <v>0</v>
      </c>
      <c r="L661" s="83">
        <v>0</v>
      </c>
      <c r="M661" s="83">
        <v>0</v>
      </c>
      <c r="N661" s="83">
        <v>0</v>
      </c>
      <c r="O661" s="83">
        <v>0</v>
      </c>
      <c r="W661" s="83">
        <v>0</v>
      </c>
    </row>
    <row r="662" spans="1:23" ht="15.75" customHeight="1" x14ac:dyDescent="0.2">
      <c r="A662" s="144"/>
      <c r="B662" s="149"/>
      <c r="C662" s="96" t="s">
        <v>12</v>
      </c>
      <c r="D662" s="69">
        <f t="shared" si="386"/>
        <v>0</v>
      </c>
      <c r="E662" s="69">
        <v>0</v>
      </c>
      <c r="F662" s="69">
        <v>0</v>
      </c>
      <c r="G662" s="69">
        <v>0</v>
      </c>
      <c r="H662" s="69">
        <v>0</v>
      </c>
      <c r="I662" s="69">
        <v>0</v>
      </c>
      <c r="J662" s="69">
        <v>0</v>
      </c>
      <c r="K662" s="69">
        <v>0</v>
      </c>
      <c r="L662" s="69">
        <v>0</v>
      </c>
      <c r="M662" s="69">
        <v>0</v>
      </c>
      <c r="N662" s="69">
        <v>0</v>
      </c>
      <c r="O662" s="69">
        <v>0</v>
      </c>
      <c r="W662" s="69">
        <v>0</v>
      </c>
    </row>
    <row r="663" spans="1:23" ht="55.5" customHeight="1" x14ac:dyDescent="0.2">
      <c r="A663" s="144"/>
      <c r="B663" s="149"/>
      <c r="C663" s="96" t="s">
        <v>13</v>
      </c>
      <c r="D663" s="69">
        <f t="shared" si="386"/>
        <v>0</v>
      </c>
      <c r="E663" s="69">
        <v>0</v>
      </c>
      <c r="F663" s="69">
        <v>0</v>
      </c>
      <c r="G663" s="69">
        <v>0</v>
      </c>
      <c r="H663" s="69">
        <v>0</v>
      </c>
      <c r="I663" s="69">
        <v>0</v>
      </c>
      <c r="J663" s="69">
        <v>0</v>
      </c>
      <c r="K663" s="69">
        <v>0</v>
      </c>
      <c r="L663" s="69">
        <v>0</v>
      </c>
      <c r="M663" s="69">
        <v>0</v>
      </c>
      <c r="N663" s="69">
        <v>0</v>
      </c>
      <c r="O663" s="69">
        <v>0</v>
      </c>
      <c r="W663" s="69">
        <v>0</v>
      </c>
    </row>
    <row r="664" spans="1:23" ht="17.25" customHeight="1" x14ac:dyDescent="0.25">
      <c r="A664" s="137" t="s">
        <v>126</v>
      </c>
      <c r="B664" s="149" t="s">
        <v>44</v>
      </c>
      <c r="C664" s="87" t="s">
        <v>7</v>
      </c>
      <c r="D664" s="69">
        <f t="shared" si="386"/>
        <v>459339.39999999997</v>
      </c>
      <c r="E664" s="83">
        <f t="shared" ref="E664:O664" si="389">E665+E666+E667+E669</f>
        <v>47997.7</v>
      </c>
      <c r="F664" s="83">
        <f t="shared" si="389"/>
        <v>54818</v>
      </c>
      <c r="G664" s="83">
        <f>G665+G666+G667+G669</f>
        <v>75015.600000000006</v>
      </c>
      <c r="H664" s="83">
        <f t="shared" si="389"/>
        <v>70853</v>
      </c>
      <c r="I664" s="83">
        <f t="shared" si="389"/>
        <v>74592.900000000009</v>
      </c>
      <c r="J664" s="83">
        <f t="shared" si="389"/>
        <v>77207.3</v>
      </c>
      <c r="K664" s="83">
        <f t="shared" si="389"/>
        <v>53504.3</v>
      </c>
      <c r="L664" s="83">
        <f t="shared" si="389"/>
        <v>1605.8</v>
      </c>
      <c r="M664" s="83">
        <f t="shared" si="389"/>
        <v>1447.7999999999997</v>
      </c>
      <c r="N664" s="83">
        <f t="shared" si="389"/>
        <v>1305.3999999999999</v>
      </c>
      <c r="O664" s="83">
        <f t="shared" si="389"/>
        <v>991.6</v>
      </c>
      <c r="W664" s="83">
        <f t="shared" ref="W664" si="390">W665+W666+W667+W669</f>
        <v>1031.4000000000001</v>
      </c>
    </row>
    <row r="665" spans="1:23" ht="17.25" customHeight="1" x14ac:dyDescent="0.2">
      <c r="A665" s="144"/>
      <c r="B665" s="155"/>
      <c r="C665" s="96" t="s">
        <v>10</v>
      </c>
      <c r="D665" s="69">
        <f t="shared" si="386"/>
        <v>0</v>
      </c>
      <c r="E665" s="83">
        <v>0</v>
      </c>
      <c r="F665" s="83">
        <v>0</v>
      </c>
      <c r="G665" s="83">
        <v>0</v>
      </c>
      <c r="H665" s="83">
        <v>0</v>
      </c>
      <c r="I665" s="83">
        <v>0</v>
      </c>
      <c r="J665" s="83">
        <v>0</v>
      </c>
      <c r="K665" s="83">
        <v>0</v>
      </c>
      <c r="L665" s="83">
        <v>0</v>
      </c>
      <c r="M665" s="83">
        <v>0</v>
      </c>
      <c r="N665" s="83">
        <v>0</v>
      </c>
      <c r="O665" s="83">
        <v>0</v>
      </c>
      <c r="W665" s="83">
        <v>0</v>
      </c>
    </row>
    <row r="666" spans="1:23" ht="18" customHeight="1" x14ac:dyDescent="0.2">
      <c r="A666" s="144"/>
      <c r="B666" s="155"/>
      <c r="C666" s="96" t="s">
        <v>11</v>
      </c>
      <c r="D666" s="69">
        <f t="shared" si="386"/>
        <v>0</v>
      </c>
      <c r="E666" s="83">
        <v>0</v>
      </c>
      <c r="F666" s="83">
        <v>0</v>
      </c>
      <c r="G666" s="83">
        <v>0</v>
      </c>
      <c r="H666" s="83">
        <v>0</v>
      </c>
      <c r="I666" s="83">
        <v>0</v>
      </c>
      <c r="J666" s="83">
        <v>0</v>
      </c>
      <c r="K666" s="83">
        <v>0</v>
      </c>
      <c r="L666" s="83">
        <v>0</v>
      </c>
      <c r="M666" s="83">
        <v>0</v>
      </c>
      <c r="N666" s="83">
        <v>0</v>
      </c>
      <c r="O666" s="83">
        <v>0</v>
      </c>
      <c r="W666" s="83">
        <v>0</v>
      </c>
    </row>
    <row r="667" spans="1:23" ht="31.5" customHeight="1" x14ac:dyDescent="0.2">
      <c r="A667" s="144"/>
      <c r="B667" s="155"/>
      <c r="C667" s="96" t="s">
        <v>65</v>
      </c>
      <c r="D667" s="69">
        <f t="shared" si="386"/>
        <v>459339.39999999997</v>
      </c>
      <c r="E667" s="83">
        <v>47997.7</v>
      </c>
      <c r="F667" s="83">
        <v>54818</v>
      </c>
      <c r="G667" s="83">
        <v>75015.600000000006</v>
      </c>
      <c r="H667" s="83">
        <v>70853</v>
      </c>
      <c r="I667" s="83">
        <f>74919.3-326.4</f>
        <v>74592.900000000009</v>
      </c>
      <c r="J667" s="83">
        <f>78197.5-990.2</f>
        <v>77207.3</v>
      </c>
      <c r="K667" s="83">
        <f>83504.3-30000</f>
        <v>53504.3</v>
      </c>
      <c r="L667" s="83">
        <f>1664.8-59</f>
        <v>1605.8</v>
      </c>
      <c r="M667" s="83">
        <f>1835.8-1446.2+471.3+70.8+516.1</f>
        <v>1447.7999999999997</v>
      </c>
      <c r="N667" s="83">
        <f>1918.6-1511.1+543.4+232.9+121.6</f>
        <v>1305.3999999999999</v>
      </c>
      <c r="O667" s="83">
        <f>1918.6-1511.1+584.1</f>
        <v>991.6</v>
      </c>
      <c r="W667" s="83">
        <v>1031.4000000000001</v>
      </c>
    </row>
    <row r="668" spans="1:23" ht="45.75" customHeight="1" x14ac:dyDescent="0.2">
      <c r="A668" s="144"/>
      <c r="B668" s="155"/>
      <c r="C668" s="72" t="s">
        <v>448</v>
      </c>
      <c r="D668" s="71">
        <f t="shared" si="386"/>
        <v>232.9</v>
      </c>
      <c r="E668" s="88">
        <v>0</v>
      </c>
      <c r="F668" s="88">
        <v>0</v>
      </c>
      <c r="G668" s="88">
        <v>0</v>
      </c>
      <c r="H668" s="88">
        <v>0</v>
      </c>
      <c r="I668" s="88">
        <v>0</v>
      </c>
      <c r="J668" s="88">
        <v>0</v>
      </c>
      <c r="K668" s="88">
        <v>0</v>
      </c>
      <c r="L668" s="88">
        <v>0</v>
      </c>
      <c r="M668" s="88">
        <v>0</v>
      </c>
      <c r="N668" s="88">
        <f>232.9</f>
        <v>232.9</v>
      </c>
      <c r="O668" s="88">
        <v>0</v>
      </c>
      <c r="P668" s="85"/>
      <c r="Q668" s="85"/>
      <c r="R668" s="85"/>
      <c r="S668" s="85"/>
      <c r="T668" s="85"/>
      <c r="U668" s="85"/>
      <c r="V668" s="85"/>
      <c r="W668" s="88">
        <v>0</v>
      </c>
    </row>
    <row r="669" spans="1:23" ht="33.75" customHeight="1" x14ac:dyDescent="0.2">
      <c r="A669" s="144"/>
      <c r="B669" s="155"/>
      <c r="C669" s="96" t="s">
        <v>13</v>
      </c>
      <c r="D669" s="69">
        <f t="shared" si="386"/>
        <v>0</v>
      </c>
      <c r="E669" s="83">
        <v>0</v>
      </c>
      <c r="F669" s="83">
        <v>0</v>
      </c>
      <c r="G669" s="83">
        <v>0</v>
      </c>
      <c r="H669" s="83">
        <v>0</v>
      </c>
      <c r="I669" s="83">
        <v>0</v>
      </c>
      <c r="J669" s="83">
        <v>0</v>
      </c>
      <c r="K669" s="83">
        <v>0</v>
      </c>
      <c r="L669" s="83">
        <v>0</v>
      </c>
      <c r="M669" s="83">
        <v>0</v>
      </c>
      <c r="N669" s="83">
        <v>0</v>
      </c>
      <c r="O669" s="83">
        <v>0</v>
      </c>
      <c r="W669" s="83">
        <v>0</v>
      </c>
    </row>
    <row r="670" spans="1:23" ht="15.75" x14ac:dyDescent="0.25">
      <c r="A670" s="138" t="s">
        <v>127</v>
      </c>
      <c r="B670" s="137" t="s">
        <v>153</v>
      </c>
      <c r="C670" s="87" t="s">
        <v>7</v>
      </c>
      <c r="D670" s="69">
        <f t="shared" si="386"/>
        <v>25746.6</v>
      </c>
      <c r="E670" s="83">
        <f t="shared" ref="E670:K670" si="391">E671+E672+E673+E674</f>
        <v>25746.6</v>
      </c>
      <c r="F670" s="83">
        <f t="shared" si="391"/>
        <v>0</v>
      </c>
      <c r="G670" s="83">
        <f t="shared" si="391"/>
        <v>0</v>
      </c>
      <c r="H670" s="83">
        <f t="shared" si="391"/>
        <v>0</v>
      </c>
      <c r="I670" s="83">
        <f t="shared" si="391"/>
        <v>0</v>
      </c>
      <c r="J670" s="83">
        <f t="shared" si="391"/>
        <v>0</v>
      </c>
      <c r="K670" s="83">
        <f t="shared" si="391"/>
        <v>0</v>
      </c>
      <c r="L670" s="83">
        <f>L671+L672+L673+L674</f>
        <v>0</v>
      </c>
      <c r="M670" s="83">
        <f>M671+M672+M673+M674</f>
        <v>0</v>
      </c>
      <c r="N670" s="83">
        <f>N671+N672+N673+N674</f>
        <v>0</v>
      </c>
      <c r="O670" s="83">
        <f>O671+O672+O673+O674</f>
        <v>0</v>
      </c>
      <c r="W670" s="83">
        <f>W671+W672+W673+W674</f>
        <v>0</v>
      </c>
    </row>
    <row r="671" spans="1:23" ht="15.75" customHeight="1" x14ac:dyDescent="0.2">
      <c r="A671" s="159"/>
      <c r="B671" s="155"/>
      <c r="C671" s="96" t="s">
        <v>10</v>
      </c>
      <c r="D671" s="69">
        <f t="shared" si="386"/>
        <v>0</v>
      </c>
      <c r="E671" s="83">
        <v>0</v>
      </c>
      <c r="F671" s="83">
        <v>0</v>
      </c>
      <c r="G671" s="83">
        <v>0</v>
      </c>
      <c r="H671" s="83">
        <v>0</v>
      </c>
      <c r="I671" s="83">
        <v>0</v>
      </c>
      <c r="J671" s="83">
        <v>0</v>
      </c>
      <c r="K671" s="83">
        <v>0</v>
      </c>
      <c r="L671" s="83">
        <v>0</v>
      </c>
      <c r="M671" s="83">
        <v>0</v>
      </c>
      <c r="N671" s="83">
        <v>0</v>
      </c>
      <c r="O671" s="83">
        <v>0</v>
      </c>
      <c r="W671" s="83">
        <v>0</v>
      </c>
    </row>
    <row r="672" spans="1:23" ht="15.75" customHeight="1" x14ac:dyDescent="0.2">
      <c r="A672" s="159"/>
      <c r="B672" s="155"/>
      <c r="C672" s="96" t="s">
        <v>11</v>
      </c>
      <c r="D672" s="69">
        <f t="shared" si="386"/>
        <v>0</v>
      </c>
      <c r="E672" s="83">
        <v>0</v>
      </c>
      <c r="F672" s="83">
        <v>0</v>
      </c>
      <c r="G672" s="83">
        <v>0</v>
      </c>
      <c r="H672" s="83">
        <v>0</v>
      </c>
      <c r="I672" s="83">
        <v>0</v>
      </c>
      <c r="J672" s="83">
        <v>0</v>
      </c>
      <c r="K672" s="83">
        <v>0</v>
      </c>
      <c r="L672" s="83">
        <v>0</v>
      </c>
      <c r="M672" s="83">
        <v>0</v>
      </c>
      <c r="N672" s="83">
        <v>0</v>
      </c>
      <c r="O672" s="83">
        <v>0</v>
      </c>
      <c r="W672" s="83">
        <v>0</v>
      </c>
    </row>
    <row r="673" spans="1:23" ht="15.75" customHeight="1" x14ac:dyDescent="0.2">
      <c r="A673" s="159"/>
      <c r="B673" s="155"/>
      <c r="C673" s="96" t="s">
        <v>12</v>
      </c>
      <c r="D673" s="69">
        <f t="shared" si="386"/>
        <v>25746.6</v>
      </c>
      <c r="E673" s="83">
        <v>25746.6</v>
      </c>
      <c r="F673" s="83">
        <v>0</v>
      </c>
      <c r="G673" s="83">
        <v>0</v>
      </c>
      <c r="H673" s="83">
        <v>0</v>
      </c>
      <c r="I673" s="83">
        <v>0</v>
      </c>
      <c r="J673" s="83">
        <v>0</v>
      </c>
      <c r="K673" s="83">
        <v>0</v>
      </c>
      <c r="L673" s="83">
        <v>0</v>
      </c>
      <c r="M673" s="83">
        <v>0</v>
      </c>
      <c r="N673" s="83">
        <v>0</v>
      </c>
      <c r="O673" s="83">
        <v>0</v>
      </c>
      <c r="W673" s="83">
        <v>0</v>
      </c>
    </row>
    <row r="674" spans="1:23" ht="33" customHeight="1" x14ac:dyDescent="0.2">
      <c r="A674" s="160"/>
      <c r="B674" s="155"/>
      <c r="C674" s="96" t="s">
        <v>13</v>
      </c>
      <c r="D674" s="69">
        <f t="shared" si="386"/>
        <v>0</v>
      </c>
      <c r="E674" s="83">
        <v>0</v>
      </c>
      <c r="F674" s="83">
        <v>0</v>
      </c>
      <c r="G674" s="83">
        <v>0</v>
      </c>
      <c r="H674" s="83">
        <v>0</v>
      </c>
      <c r="I674" s="83">
        <v>0</v>
      </c>
      <c r="J674" s="83">
        <v>0</v>
      </c>
      <c r="K674" s="83">
        <v>0</v>
      </c>
      <c r="L674" s="83">
        <v>0</v>
      </c>
      <c r="M674" s="83">
        <v>0</v>
      </c>
      <c r="N674" s="83">
        <v>0</v>
      </c>
      <c r="O674" s="83">
        <v>0</v>
      </c>
      <c r="W674" s="83">
        <v>0</v>
      </c>
    </row>
    <row r="675" spans="1:23" ht="22.5" customHeight="1" x14ac:dyDescent="0.2">
      <c r="A675" s="137" t="s">
        <v>128</v>
      </c>
      <c r="B675" s="149" t="s">
        <v>136</v>
      </c>
      <c r="C675" s="84" t="s">
        <v>7</v>
      </c>
      <c r="D675" s="69">
        <f>E675+F675+G675+H675+I675+J675+K675+L675+M675+N675+O675</f>
        <v>330913.90000000002</v>
      </c>
      <c r="E675" s="83">
        <f t="shared" ref="E675:J675" si="392">SUM(E676:E679)</f>
        <v>0</v>
      </c>
      <c r="F675" s="83">
        <f t="shared" si="392"/>
        <v>36667.5</v>
      </c>
      <c r="G675" s="83">
        <f t="shared" si="392"/>
        <v>33267.5</v>
      </c>
      <c r="H675" s="83">
        <f t="shared" si="392"/>
        <v>35169.599999999999</v>
      </c>
      <c r="I675" s="83">
        <f t="shared" si="392"/>
        <v>22060.600000000002</v>
      </c>
      <c r="J675" s="83">
        <f t="shared" si="392"/>
        <v>19768.5</v>
      </c>
      <c r="K675" s="83">
        <f>SUM(K676:K679)</f>
        <v>46323.700000000004</v>
      </c>
      <c r="L675" s="83">
        <f>SUM(L676:L679)</f>
        <v>56144.700000000004</v>
      </c>
      <c r="M675" s="83">
        <f>SUM(M676:M679)</f>
        <v>19834.700000000004</v>
      </c>
      <c r="N675" s="83">
        <f>SUM(N676:N679)</f>
        <v>29360.300000000003</v>
      </c>
      <c r="O675" s="83">
        <f>SUM(O676:O679)</f>
        <v>32316.800000000003</v>
      </c>
      <c r="W675" s="83">
        <f>SUM(W676:W679)</f>
        <v>32316.799999999999</v>
      </c>
    </row>
    <row r="676" spans="1:23" ht="22.5" customHeight="1" x14ac:dyDescent="0.2">
      <c r="A676" s="144"/>
      <c r="B676" s="150"/>
      <c r="C676" s="96" t="s">
        <v>10</v>
      </c>
      <c r="D676" s="69">
        <f t="shared" si="386"/>
        <v>0</v>
      </c>
      <c r="E676" s="83">
        <v>0</v>
      </c>
      <c r="F676" s="83">
        <v>0</v>
      </c>
      <c r="G676" s="83">
        <v>0</v>
      </c>
      <c r="H676" s="83">
        <v>0</v>
      </c>
      <c r="I676" s="83">
        <v>0</v>
      </c>
      <c r="J676" s="83">
        <v>0</v>
      </c>
      <c r="K676" s="83">
        <v>0</v>
      </c>
      <c r="L676" s="83">
        <v>0</v>
      </c>
      <c r="M676" s="83">
        <v>0</v>
      </c>
      <c r="N676" s="83">
        <v>0</v>
      </c>
      <c r="O676" s="83">
        <v>0</v>
      </c>
      <c r="W676" s="83">
        <v>0</v>
      </c>
    </row>
    <row r="677" spans="1:23" ht="22.5" customHeight="1" x14ac:dyDescent="0.2">
      <c r="A677" s="144"/>
      <c r="B677" s="150"/>
      <c r="C677" s="96" t="s">
        <v>11</v>
      </c>
      <c r="D677" s="69">
        <f t="shared" si="386"/>
        <v>0</v>
      </c>
      <c r="E677" s="83">
        <v>0</v>
      </c>
      <c r="F677" s="83">
        <v>0</v>
      </c>
      <c r="G677" s="83">
        <v>0</v>
      </c>
      <c r="H677" s="83">
        <v>0</v>
      </c>
      <c r="I677" s="83">
        <v>0</v>
      </c>
      <c r="J677" s="83">
        <v>0</v>
      </c>
      <c r="K677" s="83">
        <v>0</v>
      </c>
      <c r="L677" s="83">
        <v>0</v>
      </c>
      <c r="M677" s="83">
        <v>0</v>
      </c>
      <c r="N677" s="83">
        <v>0</v>
      </c>
      <c r="O677" s="83">
        <v>0</v>
      </c>
      <c r="W677" s="83">
        <v>0</v>
      </c>
    </row>
    <row r="678" spans="1:23" ht="22.5" customHeight="1" x14ac:dyDescent="0.2">
      <c r="A678" s="144"/>
      <c r="B678" s="150"/>
      <c r="C678" s="96" t="s">
        <v>12</v>
      </c>
      <c r="D678" s="69">
        <f t="shared" si="386"/>
        <v>330913.90000000002</v>
      </c>
      <c r="E678" s="83">
        <v>0</v>
      </c>
      <c r="F678" s="83">
        <v>36667.5</v>
      </c>
      <c r="G678" s="83">
        <v>33267.5</v>
      </c>
      <c r="H678" s="83">
        <v>35169.599999999999</v>
      </c>
      <c r="I678" s="83">
        <f>23852.9-1792.3</f>
        <v>22060.600000000002</v>
      </c>
      <c r="J678" s="83">
        <f>28768.5-9000</f>
        <v>19768.5</v>
      </c>
      <c r="K678" s="83">
        <f>29083+5516.8+7690+4019.9+14</f>
        <v>46323.700000000004</v>
      </c>
      <c r="L678" s="83">
        <f>34599.8+8000+6572.8+59+6913.1</f>
        <v>56144.700000000004</v>
      </c>
      <c r="M678" s="83">
        <f>35983.8-8149.1+10000+4000-26000+4000</f>
        <v>19834.700000000004</v>
      </c>
      <c r="N678" s="83">
        <f>37423.1-4622.2-351-2631.3-121.6-336.7</f>
        <v>29360.300000000003</v>
      </c>
      <c r="O678" s="83">
        <f>87586.3-55269.5-4083.8+4083.8</f>
        <v>32316.800000000003</v>
      </c>
      <c r="W678" s="83">
        <v>32316.799999999999</v>
      </c>
    </row>
    <row r="679" spans="1:23" ht="39" customHeight="1" x14ac:dyDescent="0.2">
      <c r="A679" s="144"/>
      <c r="B679" s="150"/>
      <c r="C679" s="96" t="s">
        <v>13</v>
      </c>
      <c r="D679" s="69">
        <f t="shared" si="386"/>
        <v>0</v>
      </c>
      <c r="E679" s="83">
        <v>0</v>
      </c>
      <c r="F679" s="83">
        <v>0</v>
      </c>
      <c r="G679" s="83">
        <v>0</v>
      </c>
      <c r="H679" s="83">
        <v>0</v>
      </c>
      <c r="I679" s="83">
        <v>0</v>
      </c>
      <c r="J679" s="83">
        <v>0</v>
      </c>
      <c r="K679" s="83">
        <v>0</v>
      </c>
      <c r="L679" s="83">
        <v>0</v>
      </c>
      <c r="M679" s="83">
        <v>0</v>
      </c>
      <c r="N679" s="83">
        <v>0</v>
      </c>
      <c r="O679" s="83">
        <v>0</v>
      </c>
      <c r="W679" s="83">
        <v>0</v>
      </c>
    </row>
    <row r="680" spans="1:23" ht="23.25" customHeight="1" x14ac:dyDescent="0.25">
      <c r="A680" s="137" t="s">
        <v>205</v>
      </c>
      <c r="B680" s="149" t="s">
        <v>364</v>
      </c>
      <c r="C680" s="87" t="s">
        <v>7</v>
      </c>
      <c r="D680" s="69">
        <f>E680+F680+G680+H680+I680+J680+K680+L680+M680+N680+O680</f>
        <v>32005.9</v>
      </c>
      <c r="E680" s="83">
        <f t="shared" ref="E680:K680" si="393">SUM(E681:E684)</f>
        <v>0</v>
      </c>
      <c r="F680" s="83">
        <f t="shared" si="393"/>
        <v>0</v>
      </c>
      <c r="G680" s="83">
        <f t="shared" si="393"/>
        <v>0</v>
      </c>
      <c r="H680" s="83">
        <f t="shared" si="393"/>
        <v>0</v>
      </c>
      <c r="I680" s="83">
        <f t="shared" si="393"/>
        <v>22691.4</v>
      </c>
      <c r="J680" s="83">
        <f t="shared" si="393"/>
        <v>9314.5</v>
      </c>
      <c r="K680" s="83">
        <f t="shared" si="393"/>
        <v>0</v>
      </c>
      <c r="L680" s="83">
        <f>SUM(L681:L684)</f>
        <v>0</v>
      </c>
      <c r="M680" s="83">
        <f>SUM(M681:M684)</f>
        <v>0</v>
      </c>
      <c r="N680" s="83">
        <f>SUM(N681:N684)</f>
        <v>0</v>
      </c>
      <c r="O680" s="83">
        <f>SUM(O681:O684)</f>
        <v>0</v>
      </c>
      <c r="P680" s="60">
        <f>I678+I682</f>
        <v>44752</v>
      </c>
      <c r="Q680" s="60"/>
      <c r="W680" s="83">
        <f>SUM(W681:W684)</f>
        <v>0</v>
      </c>
    </row>
    <row r="681" spans="1:23" ht="23.25" customHeight="1" x14ac:dyDescent="0.2">
      <c r="A681" s="144"/>
      <c r="B681" s="150"/>
      <c r="C681" s="96" t="s">
        <v>10</v>
      </c>
      <c r="D681" s="69">
        <f t="shared" si="386"/>
        <v>0</v>
      </c>
      <c r="E681" s="83">
        <v>0</v>
      </c>
      <c r="F681" s="83">
        <v>0</v>
      </c>
      <c r="G681" s="83">
        <v>0</v>
      </c>
      <c r="H681" s="83">
        <v>0</v>
      </c>
      <c r="I681" s="83">
        <v>0</v>
      </c>
      <c r="J681" s="83">
        <v>0</v>
      </c>
      <c r="K681" s="83">
        <v>0</v>
      </c>
      <c r="L681" s="83">
        <v>0</v>
      </c>
      <c r="M681" s="83">
        <v>0</v>
      </c>
      <c r="N681" s="83">
        <v>0</v>
      </c>
      <c r="O681" s="83">
        <v>0</v>
      </c>
      <c r="W681" s="83">
        <v>0</v>
      </c>
    </row>
    <row r="682" spans="1:23" ht="23.25" customHeight="1" x14ac:dyDescent="0.2">
      <c r="A682" s="144"/>
      <c r="B682" s="150"/>
      <c r="C682" s="96" t="s">
        <v>11</v>
      </c>
      <c r="D682" s="69">
        <f t="shared" si="386"/>
        <v>32005.9</v>
      </c>
      <c r="E682" s="83">
        <v>0</v>
      </c>
      <c r="F682" s="83">
        <v>0</v>
      </c>
      <c r="G682" s="83">
        <v>0</v>
      </c>
      <c r="H682" s="83">
        <v>0</v>
      </c>
      <c r="I682" s="83">
        <v>22691.4</v>
      </c>
      <c r="J682" s="83">
        <f>38083-28768.5</f>
        <v>9314.5</v>
      </c>
      <c r="K682" s="83">
        <v>0</v>
      </c>
      <c r="L682" s="83">
        <v>0</v>
      </c>
      <c r="M682" s="83">
        <v>0</v>
      </c>
      <c r="N682" s="83">
        <v>0</v>
      </c>
      <c r="O682" s="83">
        <v>0</v>
      </c>
      <c r="W682" s="83">
        <v>0</v>
      </c>
    </row>
    <row r="683" spans="1:23" ht="23.25" customHeight="1" x14ac:dyDescent="0.2">
      <c r="A683" s="144"/>
      <c r="B683" s="150"/>
      <c r="C683" s="96" t="s">
        <v>12</v>
      </c>
      <c r="D683" s="69">
        <f t="shared" si="386"/>
        <v>0</v>
      </c>
      <c r="E683" s="83">
        <v>0</v>
      </c>
      <c r="F683" s="83">
        <v>0</v>
      </c>
      <c r="G683" s="83">
        <v>0</v>
      </c>
      <c r="H683" s="83">
        <v>0</v>
      </c>
      <c r="I683" s="83">
        <v>0</v>
      </c>
      <c r="J683" s="83">
        <v>0</v>
      </c>
      <c r="K683" s="83">
        <v>0</v>
      </c>
      <c r="L683" s="83">
        <v>0</v>
      </c>
      <c r="M683" s="83">
        <v>0</v>
      </c>
      <c r="N683" s="83">
        <v>0</v>
      </c>
      <c r="O683" s="83">
        <v>0</v>
      </c>
      <c r="W683" s="83">
        <v>0</v>
      </c>
    </row>
    <row r="684" spans="1:23" ht="35.25" customHeight="1" x14ac:dyDescent="0.2">
      <c r="A684" s="144"/>
      <c r="B684" s="150"/>
      <c r="C684" s="96" t="s">
        <v>13</v>
      </c>
      <c r="D684" s="69">
        <f t="shared" si="386"/>
        <v>0</v>
      </c>
      <c r="E684" s="83">
        <v>0</v>
      </c>
      <c r="F684" s="83">
        <v>0</v>
      </c>
      <c r="G684" s="83">
        <v>0</v>
      </c>
      <c r="H684" s="83">
        <v>0</v>
      </c>
      <c r="I684" s="83">
        <v>0</v>
      </c>
      <c r="J684" s="83">
        <v>0</v>
      </c>
      <c r="K684" s="83">
        <v>0</v>
      </c>
      <c r="L684" s="83">
        <v>0</v>
      </c>
      <c r="M684" s="83">
        <v>0</v>
      </c>
      <c r="N684" s="83">
        <v>0</v>
      </c>
      <c r="O684" s="83">
        <v>0</v>
      </c>
      <c r="W684" s="83">
        <v>0</v>
      </c>
    </row>
    <row r="685" spans="1:23" ht="24.75" customHeight="1" x14ac:dyDescent="0.2">
      <c r="A685" s="137" t="s">
        <v>206</v>
      </c>
      <c r="B685" s="149" t="s">
        <v>228</v>
      </c>
      <c r="C685" s="96" t="s">
        <v>7</v>
      </c>
      <c r="D685" s="69">
        <f t="shared" si="386"/>
        <v>62441</v>
      </c>
      <c r="E685" s="83">
        <f t="shared" ref="E685:K685" si="394">SUM(E686:E689)</f>
        <v>62441</v>
      </c>
      <c r="F685" s="83">
        <f t="shared" si="394"/>
        <v>0</v>
      </c>
      <c r="G685" s="83">
        <f t="shared" si="394"/>
        <v>0</v>
      </c>
      <c r="H685" s="83">
        <f t="shared" si="394"/>
        <v>0</v>
      </c>
      <c r="I685" s="83">
        <f t="shared" si="394"/>
        <v>0</v>
      </c>
      <c r="J685" s="83">
        <f t="shared" si="394"/>
        <v>0</v>
      </c>
      <c r="K685" s="83">
        <f t="shared" si="394"/>
        <v>0</v>
      </c>
      <c r="L685" s="83">
        <f>SUM(L686:L689)</f>
        <v>0</v>
      </c>
      <c r="M685" s="83">
        <f>SUM(M686:M689)</f>
        <v>0</v>
      </c>
      <c r="N685" s="83">
        <f>SUM(N686:N689)</f>
        <v>0</v>
      </c>
      <c r="O685" s="83">
        <f>SUM(O686:O689)</f>
        <v>0</v>
      </c>
      <c r="W685" s="83">
        <f>SUM(W686:W689)</f>
        <v>0</v>
      </c>
    </row>
    <row r="686" spans="1:23" ht="24.75" customHeight="1" x14ac:dyDescent="0.2">
      <c r="A686" s="144"/>
      <c r="B686" s="149"/>
      <c r="C686" s="96" t="s">
        <v>10</v>
      </c>
      <c r="D686" s="69">
        <f t="shared" si="386"/>
        <v>0</v>
      </c>
      <c r="E686" s="83">
        <v>0</v>
      </c>
      <c r="F686" s="83">
        <v>0</v>
      </c>
      <c r="G686" s="83">
        <v>0</v>
      </c>
      <c r="H686" s="83">
        <v>0</v>
      </c>
      <c r="I686" s="83">
        <v>0</v>
      </c>
      <c r="J686" s="83">
        <v>0</v>
      </c>
      <c r="K686" s="83">
        <v>0</v>
      </c>
      <c r="L686" s="83">
        <v>0</v>
      </c>
      <c r="M686" s="83">
        <v>0</v>
      </c>
      <c r="N686" s="83">
        <v>0</v>
      </c>
      <c r="O686" s="83">
        <v>0</v>
      </c>
      <c r="W686" s="83">
        <v>0</v>
      </c>
    </row>
    <row r="687" spans="1:23" ht="24.75" customHeight="1" x14ac:dyDescent="0.2">
      <c r="A687" s="144"/>
      <c r="B687" s="149"/>
      <c r="C687" s="96" t="s">
        <v>11</v>
      </c>
      <c r="D687" s="69">
        <f t="shared" si="386"/>
        <v>0</v>
      </c>
      <c r="E687" s="83">
        <v>0</v>
      </c>
      <c r="F687" s="83">
        <v>0</v>
      </c>
      <c r="G687" s="83">
        <v>0</v>
      </c>
      <c r="H687" s="83">
        <v>0</v>
      </c>
      <c r="I687" s="83">
        <v>0</v>
      </c>
      <c r="J687" s="83">
        <v>0</v>
      </c>
      <c r="K687" s="83">
        <v>0</v>
      </c>
      <c r="L687" s="83">
        <v>0</v>
      </c>
      <c r="M687" s="83">
        <v>0</v>
      </c>
      <c r="N687" s="83">
        <v>0</v>
      </c>
      <c r="O687" s="83">
        <v>0</v>
      </c>
      <c r="W687" s="83">
        <v>0</v>
      </c>
    </row>
    <row r="688" spans="1:23" ht="24.75" customHeight="1" x14ac:dyDescent="0.2">
      <c r="A688" s="144"/>
      <c r="B688" s="149"/>
      <c r="C688" s="96" t="s">
        <v>12</v>
      </c>
      <c r="D688" s="69">
        <f t="shared" si="386"/>
        <v>62441</v>
      </c>
      <c r="E688" s="83">
        <v>62441</v>
      </c>
      <c r="F688" s="83">
        <v>0</v>
      </c>
      <c r="G688" s="83">
        <v>0</v>
      </c>
      <c r="H688" s="83">
        <v>0</v>
      </c>
      <c r="I688" s="83">
        <v>0</v>
      </c>
      <c r="J688" s="83">
        <v>0</v>
      </c>
      <c r="K688" s="83">
        <v>0</v>
      </c>
      <c r="L688" s="83">
        <v>0</v>
      </c>
      <c r="M688" s="83">
        <v>0</v>
      </c>
      <c r="N688" s="83">
        <v>0</v>
      </c>
      <c r="O688" s="83">
        <v>0</v>
      </c>
      <c r="W688" s="83">
        <v>0</v>
      </c>
    </row>
    <row r="689" spans="1:26" ht="44.25" customHeight="1" x14ac:dyDescent="0.2">
      <c r="A689" s="144"/>
      <c r="B689" s="149"/>
      <c r="C689" s="96" t="s">
        <v>13</v>
      </c>
      <c r="D689" s="69">
        <f t="shared" si="386"/>
        <v>0</v>
      </c>
      <c r="E689" s="83">
        <v>0</v>
      </c>
      <c r="F689" s="83">
        <v>0</v>
      </c>
      <c r="G689" s="83">
        <v>0</v>
      </c>
      <c r="H689" s="83">
        <v>0</v>
      </c>
      <c r="I689" s="83">
        <v>0</v>
      </c>
      <c r="J689" s="83">
        <v>0</v>
      </c>
      <c r="K689" s="83">
        <v>0</v>
      </c>
      <c r="L689" s="83">
        <v>0</v>
      </c>
      <c r="M689" s="83">
        <v>0</v>
      </c>
      <c r="N689" s="83">
        <v>0</v>
      </c>
      <c r="O689" s="83">
        <v>0</v>
      </c>
      <c r="W689" s="83">
        <v>0</v>
      </c>
    </row>
    <row r="690" spans="1:26" ht="33" customHeight="1" x14ac:dyDescent="0.2">
      <c r="A690" s="137" t="s">
        <v>207</v>
      </c>
      <c r="B690" s="149" t="s">
        <v>442</v>
      </c>
      <c r="C690" s="96" t="s">
        <v>7</v>
      </c>
      <c r="D690" s="69">
        <f>E690+F690+G690+H690+I690+J690+K690+L690+M690+N690+O690</f>
        <v>668162.19999999995</v>
      </c>
      <c r="E690" s="83">
        <f t="shared" ref="E690:O690" si="395">SUM(E691:E694)</f>
        <v>1932.4</v>
      </c>
      <c r="F690" s="83">
        <f t="shared" si="395"/>
        <v>76373.399999999994</v>
      </c>
      <c r="G690" s="83">
        <f t="shared" si="395"/>
        <v>73973.399999999994</v>
      </c>
      <c r="H690" s="83">
        <f t="shared" si="395"/>
        <v>75506</v>
      </c>
      <c r="I690" s="83">
        <f t="shared" si="395"/>
        <v>14907.4</v>
      </c>
      <c r="J690" s="83">
        <f t="shared" si="395"/>
        <v>34818.300000000003</v>
      </c>
      <c r="K690" s="83">
        <f t="shared" si="395"/>
        <v>103745.79999999999</v>
      </c>
      <c r="L690" s="83">
        <f t="shared" si="395"/>
        <v>94719.7</v>
      </c>
      <c r="M690" s="83">
        <f t="shared" si="395"/>
        <v>85506.199999999983</v>
      </c>
      <c r="N690" s="83">
        <f t="shared" si="395"/>
        <v>68112.7</v>
      </c>
      <c r="O690" s="83">
        <f t="shared" si="395"/>
        <v>38566.899999999987</v>
      </c>
      <c r="W690" s="83">
        <f t="shared" ref="W690" si="396">SUM(W691:W694)</f>
        <v>38566.9</v>
      </c>
    </row>
    <row r="691" spans="1:26" ht="33" customHeight="1" x14ac:dyDescent="0.2">
      <c r="A691" s="144"/>
      <c r="B691" s="149"/>
      <c r="C691" s="96" t="s">
        <v>10</v>
      </c>
      <c r="D691" s="69">
        <f t="shared" si="386"/>
        <v>0</v>
      </c>
      <c r="E691" s="83">
        <v>0</v>
      </c>
      <c r="F691" s="83">
        <v>0</v>
      </c>
      <c r="G691" s="83">
        <v>0</v>
      </c>
      <c r="H691" s="83">
        <v>0</v>
      </c>
      <c r="I691" s="83">
        <v>0</v>
      </c>
      <c r="J691" s="83">
        <v>0</v>
      </c>
      <c r="K691" s="83">
        <v>0</v>
      </c>
      <c r="L691" s="83">
        <v>0</v>
      </c>
      <c r="M691" s="83">
        <v>0</v>
      </c>
      <c r="N691" s="83">
        <v>0</v>
      </c>
      <c r="O691" s="83">
        <v>0</v>
      </c>
      <c r="W691" s="83">
        <v>0</v>
      </c>
    </row>
    <row r="692" spans="1:26" ht="33" customHeight="1" x14ac:dyDescent="0.2">
      <c r="A692" s="144"/>
      <c r="B692" s="149"/>
      <c r="C692" s="96" t="s">
        <v>11</v>
      </c>
      <c r="D692" s="69">
        <f t="shared" si="386"/>
        <v>0</v>
      </c>
      <c r="E692" s="83">
        <v>0</v>
      </c>
      <c r="F692" s="83">
        <v>0</v>
      </c>
      <c r="G692" s="83">
        <v>0</v>
      </c>
      <c r="H692" s="83">
        <v>0</v>
      </c>
      <c r="I692" s="83">
        <v>0</v>
      </c>
      <c r="J692" s="83">
        <v>0</v>
      </c>
      <c r="K692" s="83">
        <v>0</v>
      </c>
      <c r="L692" s="83">
        <v>0</v>
      </c>
      <c r="M692" s="83">
        <v>0</v>
      </c>
      <c r="N692" s="83">
        <v>0</v>
      </c>
      <c r="O692" s="83">
        <v>0</v>
      </c>
      <c r="W692" s="83">
        <v>0</v>
      </c>
    </row>
    <row r="693" spans="1:26" ht="33" customHeight="1" x14ac:dyDescent="0.2">
      <c r="A693" s="144"/>
      <c r="B693" s="149"/>
      <c r="C693" s="96" t="s">
        <v>12</v>
      </c>
      <c r="D693" s="69">
        <f t="shared" si="386"/>
        <v>668162.19999999995</v>
      </c>
      <c r="E693" s="83">
        <v>1932.4</v>
      </c>
      <c r="F693" s="83">
        <v>76373.399999999994</v>
      </c>
      <c r="G693" s="83">
        <v>73973.399999999994</v>
      </c>
      <c r="H693" s="83">
        <v>75506</v>
      </c>
      <c r="I693" s="83">
        <f>21398.5-6491.1</f>
        <v>14907.4</v>
      </c>
      <c r="J693" s="83">
        <f>42143.1-20000+4043.7+8631.5</f>
        <v>34818.300000000003</v>
      </c>
      <c r="K693" s="83">
        <f>62603+5000+2210.9+4495+16930+12506.9</f>
        <v>103745.79999999999</v>
      </c>
      <c r="L693" s="83">
        <f>72098+61.2+16000-1839.5+8400</f>
        <v>94719.7</v>
      </c>
      <c r="M693" s="83">
        <f>74981.9-6930.1-9269.9-8913-19332.1+15000+969.4+9000+10000+20000</f>
        <v>85506.199999999983</v>
      </c>
      <c r="N693" s="83">
        <f>77981.2-7311.3-11903.5-19332.1-3295.5-5402.6+37376.5</f>
        <v>68112.7</v>
      </c>
      <c r="O693" s="83">
        <f>141380.3-83481.3-19332.1</f>
        <v>38566.899999999987</v>
      </c>
      <c r="W693" s="83">
        <v>38566.9</v>
      </c>
    </row>
    <row r="694" spans="1:26" ht="33" customHeight="1" x14ac:dyDescent="0.2">
      <c r="A694" s="144"/>
      <c r="B694" s="149"/>
      <c r="C694" s="96" t="s">
        <v>13</v>
      </c>
      <c r="D694" s="69">
        <f t="shared" si="386"/>
        <v>0</v>
      </c>
      <c r="E694" s="83">
        <v>0</v>
      </c>
      <c r="F694" s="83">
        <v>0</v>
      </c>
      <c r="G694" s="83">
        <v>0</v>
      </c>
      <c r="H694" s="83">
        <v>0</v>
      </c>
      <c r="I694" s="83">
        <v>0</v>
      </c>
      <c r="J694" s="83">
        <v>0</v>
      </c>
      <c r="K694" s="83">
        <v>0</v>
      </c>
      <c r="L694" s="83">
        <v>0</v>
      </c>
      <c r="M694" s="83">
        <v>0</v>
      </c>
      <c r="N694" s="83">
        <v>0</v>
      </c>
      <c r="O694" s="83">
        <v>0</v>
      </c>
      <c r="W694" s="83">
        <v>0</v>
      </c>
    </row>
    <row r="695" spans="1:26" ht="17.25" customHeight="1" x14ac:dyDescent="0.2">
      <c r="A695" s="137" t="s">
        <v>231</v>
      </c>
      <c r="B695" s="149" t="s">
        <v>361</v>
      </c>
      <c r="C695" s="96" t="s">
        <v>7</v>
      </c>
      <c r="D695" s="69">
        <f>E695+F695+G695+H695+I695+J695+K695+L695+M695+N695+O695</f>
        <v>91947.5</v>
      </c>
      <c r="E695" s="83">
        <f t="shared" ref="E695:O695" si="397">SUM(E696:E699)</f>
        <v>0</v>
      </c>
      <c r="F695" s="83">
        <f t="shared" si="397"/>
        <v>0</v>
      </c>
      <c r="G695" s="83">
        <f t="shared" si="397"/>
        <v>0</v>
      </c>
      <c r="H695" s="83">
        <f t="shared" si="397"/>
        <v>0</v>
      </c>
      <c r="I695" s="83">
        <f>SUM(I696:I699)</f>
        <v>60576.7</v>
      </c>
      <c r="J695" s="83">
        <f t="shared" si="397"/>
        <v>31370.799999999996</v>
      </c>
      <c r="K695" s="83">
        <f t="shared" si="397"/>
        <v>0</v>
      </c>
      <c r="L695" s="83">
        <f t="shared" si="397"/>
        <v>0</v>
      </c>
      <c r="M695" s="83">
        <f t="shared" si="397"/>
        <v>0</v>
      </c>
      <c r="N695" s="83">
        <f t="shared" si="397"/>
        <v>0</v>
      </c>
      <c r="O695" s="83">
        <f t="shared" si="397"/>
        <v>0</v>
      </c>
      <c r="W695" s="83">
        <f t="shared" ref="W695" si="398">SUM(W696:W699)</f>
        <v>0</v>
      </c>
    </row>
    <row r="696" spans="1:26" ht="15.75" x14ac:dyDescent="0.2">
      <c r="A696" s="144"/>
      <c r="B696" s="149"/>
      <c r="C696" s="96" t="s">
        <v>10</v>
      </c>
      <c r="D696" s="69">
        <f t="shared" si="386"/>
        <v>0</v>
      </c>
      <c r="E696" s="83">
        <v>0</v>
      </c>
      <c r="F696" s="83">
        <v>0</v>
      </c>
      <c r="G696" s="83">
        <v>0</v>
      </c>
      <c r="H696" s="83">
        <v>0</v>
      </c>
      <c r="I696" s="83">
        <v>0</v>
      </c>
      <c r="J696" s="83">
        <v>0</v>
      </c>
      <c r="K696" s="83">
        <v>0</v>
      </c>
      <c r="L696" s="83">
        <v>0</v>
      </c>
      <c r="M696" s="83">
        <v>0</v>
      </c>
      <c r="N696" s="83">
        <v>0</v>
      </c>
      <c r="O696" s="83">
        <v>0</v>
      </c>
      <c r="W696" s="83">
        <v>0</v>
      </c>
    </row>
    <row r="697" spans="1:26" ht="15.75" x14ac:dyDescent="0.2">
      <c r="A697" s="144"/>
      <c r="B697" s="149"/>
      <c r="C697" s="96" t="s">
        <v>11</v>
      </c>
      <c r="D697" s="69">
        <f t="shared" si="386"/>
        <v>91947.5</v>
      </c>
      <c r="E697" s="83">
        <v>0</v>
      </c>
      <c r="F697" s="83">
        <v>0</v>
      </c>
      <c r="G697" s="83">
        <v>0</v>
      </c>
      <c r="H697" s="83">
        <v>0</v>
      </c>
      <c r="I697" s="83">
        <v>60576.7</v>
      </c>
      <c r="J697" s="83">
        <f>73513.9-42143.1</f>
        <v>31370.799999999996</v>
      </c>
      <c r="K697" s="83">
        <v>0</v>
      </c>
      <c r="L697" s="83">
        <v>0</v>
      </c>
      <c r="M697" s="83">
        <v>0</v>
      </c>
      <c r="N697" s="83">
        <v>0</v>
      </c>
      <c r="O697" s="83">
        <v>0</v>
      </c>
      <c r="W697" s="83">
        <v>0</v>
      </c>
    </row>
    <row r="698" spans="1:26" ht="15.75" x14ac:dyDescent="0.2">
      <c r="A698" s="144"/>
      <c r="B698" s="149"/>
      <c r="C698" s="96" t="s">
        <v>12</v>
      </c>
      <c r="D698" s="69">
        <f t="shared" si="386"/>
        <v>0</v>
      </c>
      <c r="E698" s="83">
        <v>0</v>
      </c>
      <c r="F698" s="83">
        <v>0</v>
      </c>
      <c r="G698" s="83">
        <v>0</v>
      </c>
      <c r="H698" s="83">
        <v>0</v>
      </c>
      <c r="I698" s="83">
        <v>0</v>
      </c>
      <c r="J698" s="83">
        <v>0</v>
      </c>
      <c r="K698" s="83">
        <v>0</v>
      </c>
      <c r="L698" s="83">
        <v>0</v>
      </c>
      <c r="M698" s="83">
        <v>0</v>
      </c>
      <c r="N698" s="83">
        <v>0</v>
      </c>
      <c r="O698" s="83">
        <v>0</v>
      </c>
      <c r="W698" s="83">
        <v>0</v>
      </c>
      <c r="X698" s="60"/>
      <c r="Y698" s="60"/>
      <c r="Z698" s="60"/>
    </row>
    <row r="699" spans="1:26" ht="31.5" customHeight="1" x14ac:dyDescent="0.2">
      <c r="A699" s="144"/>
      <c r="B699" s="149"/>
      <c r="C699" s="96" t="s">
        <v>13</v>
      </c>
      <c r="D699" s="69">
        <f t="shared" si="386"/>
        <v>0</v>
      </c>
      <c r="E699" s="83">
        <v>0</v>
      </c>
      <c r="F699" s="83">
        <v>0</v>
      </c>
      <c r="G699" s="83">
        <v>0</v>
      </c>
      <c r="H699" s="83">
        <v>0</v>
      </c>
      <c r="I699" s="83">
        <v>0</v>
      </c>
      <c r="J699" s="83">
        <v>0</v>
      </c>
      <c r="K699" s="83">
        <v>0</v>
      </c>
      <c r="L699" s="83">
        <v>0</v>
      </c>
      <c r="M699" s="83">
        <v>0</v>
      </c>
      <c r="N699" s="83">
        <v>0</v>
      </c>
      <c r="O699" s="83">
        <v>0</v>
      </c>
      <c r="W699" s="83">
        <v>0</v>
      </c>
    </row>
    <row r="700" spans="1:26" ht="15.75" x14ac:dyDescent="0.2">
      <c r="A700" s="137" t="s">
        <v>266</v>
      </c>
      <c r="B700" s="152" t="s">
        <v>53</v>
      </c>
      <c r="C700" s="96" t="s">
        <v>7</v>
      </c>
      <c r="D700" s="69">
        <f t="shared" si="386"/>
        <v>281270.56200000003</v>
      </c>
      <c r="E700" s="83">
        <f>E703+E702+E701+E705</f>
        <v>19291.8</v>
      </c>
      <c r="F700" s="83">
        <f t="shared" ref="F700:K700" si="399">SUM(F701:F705)</f>
        <v>23807.200000000001</v>
      </c>
      <c r="G700" s="83">
        <f t="shared" si="399"/>
        <v>28234.6</v>
      </c>
      <c r="H700" s="83">
        <f t="shared" si="399"/>
        <v>22369.4</v>
      </c>
      <c r="I700" s="83">
        <f t="shared" si="399"/>
        <v>22792.7</v>
      </c>
      <c r="J700" s="83">
        <f t="shared" si="399"/>
        <v>25918.3</v>
      </c>
      <c r="K700" s="83">
        <f t="shared" si="399"/>
        <v>42433.862000000001</v>
      </c>
      <c r="L700" s="83">
        <f>SUM(L701:L705)</f>
        <v>35783.599999999999</v>
      </c>
      <c r="M700" s="83">
        <f>SUM(M701:M705)</f>
        <v>39707.799999999996</v>
      </c>
      <c r="N700" s="83">
        <f>SUM(N701:N705)</f>
        <v>10547.4</v>
      </c>
      <c r="O700" s="83">
        <f>SUM(O701:O705)</f>
        <v>10383.900000000001</v>
      </c>
      <c r="W700" s="83">
        <f>SUM(W701:W705)</f>
        <v>10383.9</v>
      </c>
    </row>
    <row r="701" spans="1:26" ht="21" customHeight="1" x14ac:dyDescent="0.2">
      <c r="A701" s="137"/>
      <c r="B701" s="180"/>
      <c r="C701" s="96" t="s">
        <v>10</v>
      </c>
      <c r="D701" s="69">
        <f t="shared" si="386"/>
        <v>0</v>
      </c>
      <c r="E701" s="83">
        <v>0</v>
      </c>
      <c r="F701" s="83">
        <v>0</v>
      </c>
      <c r="G701" s="83">
        <v>0</v>
      </c>
      <c r="H701" s="83">
        <v>0</v>
      </c>
      <c r="I701" s="83">
        <v>0</v>
      </c>
      <c r="J701" s="83">
        <v>0</v>
      </c>
      <c r="K701" s="83">
        <v>0</v>
      </c>
      <c r="L701" s="83">
        <v>0</v>
      </c>
      <c r="M701" s="83">
        <v>0</v>
      </c>
      <c r="N701" s="83">
        <v>0</v>
      </c>
      <c r="O701" s="83">
        <v>0</v>
      </c>
      <c r="W701" s="83">
        <v>0</v>
      </c>
    </row>
    <row r="702" spans="1:26" ht="21" customHeight="1" x14ac:dyDescent="0.2">
      <c r="A702" s="137"/>
      <c r="B702" s="180"/>
      <c r="C702" s="96" t="s">
        <v>11</v>
      </c>
      <c r="D702" s="69">
        <f t="shared" si="386"/>
        <v>0</v>
      </c>
      <c r="E702" s="83">
        <v>0</v>
      </c>
      <c r="F702" s="83">
        <v>0</v>
      </c>
      <c r="G702" s="83">
        <v>0</v>
      </c>
      <c r="H702" s="83">
        <v>0</v>
      </c>
      <c r="I702" s="83">
        <v>0</v>
      </c>
      <c r="J702" s="83">
        <v>0</v>
      </c>
      <c r="K702" s="83">
        <v>0</v>
      </c>
      <c r="L702" s="83">
        <v>0</v>
      </c>
      <c r="M702" s="83">
        <v>0</v>
      </c>
      <c r="N702" s="83">
        <v>0</v>
      </c>
      <c r="O702" s="83">
        <v>0</v>
      </c>
      <c r="W702" s="83">
        <v>0</v>
      </c>
    </row>
    <row r="703" spans="1:26" ht="21" customHeight="1" x14ac:dyDescent="0.2">
      <c r="A703" s="137"/>
      <c r="B703" s="180"/>
      <c r="C703" s="96" t="s">
        <v>12</v>
      </c>
      <c r="D703" s="69">
        <f t="shared" si="386"/>
        <v>281270.56200000003</v>
      </c>
      <c r="E703" s="83">
        <v>19291.8</v>
      </c>
      <c r="F703" s="83">
        <v>23807.200000000001</v>
      </c>
      <c r="G703" s="83">
        <v>28234.6</v>
      </c>
      <c r="H703" s="83">
        <v>22369.4</v>
      </c>
      <c r="I703" s="83">
        <v>22792.7</v>
      </c>
      <c r="J703" s="83">
        <f>18632.6-10699.7+10699.7+882.9+4000+4000-1000-597.2</f>
        <v>25918.3</v>
      </c>
      <c r="K703" s="83">
        <f>11060+1000+77+720.212+320+757+1740.4+2283.7+17440.1-2283.7-17440.1+5201.8-555.089+0.089+15000+9149.5+77-1950-71.45-90-74+71.4</f>
        <v>42433.862000000001</v>
      </c>
      <c r="L703" s="83">
        <f>12252.7+7988.6-400+40.6+400+1380.6+2120.3+11056+181.4+56.6+7239+266.5+51.2-1300-90.5-6000+540.6</f>
        <v>35783.599999999999</v>
      </c>
      <c r="M703" s="83">
        <f>9475.8-9269.9+9269.9-1299.3-471.3+854+155.6+3000+315.3+1290.5+129.3-43.6+277.9+841.1+158.2-841.1+841.1+13711+875.5+10612.2+7.6-182</f>
        <v>39707.799999999996</v>
      </c>
      <c r="N703" s="83">
        <f>9522.1+1017.4+7.9</f>
        <v>10547.4</v>
      </c>
      <c r="O703" s="83">
        <f>28657.9-18274</f>
        <v>10383.900000000001</v>
      </c>
      <c r="W703" s="83">
        <v>10383.9</v>
      </c>
    </row>
    <row r="704" spans="1:26" ht="33" customHeight="1" x14ac:dyDescent="0.2">
      <c r="A704" s="137"/>
      <c r="B704" s="180"/>
      <c r="C704" s="72" t="s">
        <v>79</v>
      </c>
      <c r="D704" s="71">
        <f t="shared" si="386"/>
        <v>1874.1</v>
      </c>
      <c r="E704" s="88">
        <v>1874.1</v>
      </c>
      <c r="F704" s="88">
        <v>0</v>
      </c>
      <c r="G704" s="88">
        <v>0</v>
      </c>
      <c r="H704" s="88">
        <v>0</v>
      </c>
      <c r="I704" s="88">
        <v>0</v>
      </c>
      <c r="J704" s="88">
        <v>0</v>
      </c>
      <c r="K704" s="88">
        <v>0</v>
      </c>
      <c r="L704" s="88">
        <v>0</v>
      </c>
      <c r="M704" s="88">
        <v>0</v>
      </c>
      <c r="N704" s="88">
        <v>0</v>
      </c>
      <c r="O704" s="88">
        <v>0</v>
      </c>
      <c r="W704" s="88">
        <v>0</v>
      </c>
    </row>
    <row r="705" spans="1:23" ht="30.75" customHeight="1" x14ac:dyDescent="0.2">
      <c r="A705" s="137"/>
      <c r="B705" s="181"/>
      <c r="C705" s="96" t="s">
        <v>13</v>
      </c>
      <c r="D705" s="69">
        <f t="shared" si="386"/>
        <v>0</v>
      </c>
      <c r="E705" s="83">
        <v>0</v>
      </c>
      <c r="F705" s="83">
        <v>0</v>
      </c>
      <c r="G705" s="83">
        <v>0</v>
      </c>
      <c r="H705" s="83">
        <v>0</v>
      </c>
      <c r="I705" s="83">
        <v>0</v>
      </c>
      <c r="J705" s="83">
        <v>0</v>
      </c>
      <c r="K705" s="83">
        <v>0</v>
      </c>
      <c r="L705" s="83">
        <v>0</v>
      </c>
      <c r="M705" s="83">
        <v>0</v>
      </c>
      <c r="N705" s="83">
        <v>0</v>
      </c>
      <c r="O705" s="83">
        <v>0</v>
      </c>
      <c r="W705" s="83">
        <v>0</v>
      </c>
    </row>
    <row r="706" spans="1:23" ht="21" customHeight="1" x14ac:dyDescent="0.2">
      <c r="A706" s="137" t="s">
        <v>267</v>
      </c>
      <c r="B706" s="149" t="s">
        <v>250</v>
      </c>
      <c r="C706" s="96" t="s">
        <v>7</v>
      </c>
      <c r="D706" s="69">
        <f t="shared" si="386"/>
        <v>165701.4</v>
      </c>
      <c r="E706" s="83">
        <f t="shared" ref="E706:O706" si="400">E707+E708+E709+E711</f>
        <v>28675.9</v>
      </c>
      <c r="F706" s="83">
        <f t="shared" si="400"/>
        <v>35910.699999999997</v>
      </c>
      <c r="G706" s="83">
        <f t="shared" si="400"/>
        <v>6899.6</v>
      </c>
      <c r="H706" s="83">
        <f t="shared" si="400"/>
        <v>8413.2000000000007</v>
      </c>
      <c r="I706" s="83">
        <f t="shared" si="400"/>
        <v>18601.100000000002</v>
      </c>
      <c r="J706" s="83">
        <f t="shared" si="400"/>
        <v>9981.3000000000011</v>
      </c>
      <c r="K706" s="83">
        <f t="shared" si="400"/>
        <v>18751</v>
      </c>
      <c r="L706" s="83">
        <f t="shared" si="400"/>
        <v>17255.599999999999</v>
      </c>
      <c r="M706" s="83">
        <f t="shared" si="400"/>
        <v>0</v>
      </c>
      <c r="N706" s="83">
        <f t="shared" si="400"/>
        <v>21213</v>
      </c>
      <c r="O706" s="83">
        <f t="shared" si="400"/>
        <v>0</v>
      </c>
      <c r="W706" s="83">
        <f t="shared" ref="W706" si="401">W707+W708+W709+W711</f>
        <v>0</v>
      </c>
    </row>
    <row r="707" spans="1:23" ht="34.5" customHeight="1" x14ac:dyDescent="0.2">
      <c r="A707" s="137"/>
      <c r="B707" s="150"/>
      <c r="C707" s="96" t="s">
        <v>10</v>
      </c>
      <c r="D707" s="69">
        <f t="shared" si="386"/>
        <v>0</v>
      </c>
      <c r="E707" s="83">
        <v>0</v>
      </c>
      <c r="F707" s="83">
        <v>0</v>
      </c>
      <c r="G707" s="83">
        <v>0</v>
      </c>
      <c r="H707" s="83">
        <v>0</v>
      </c>
      <c r="I707" s="83">
        <v>0</v>
      </c>
      <c r="J707" s="83">
        <v>0</v>
      </c>
      <c r="K707" s="83">
        <v>0</v>
      </c>
      <c r="L707" s="83">
        <v>0</v>
      </c>
      <c r="M707" s="83">
        <v>0</v>
      </c>
      <c r="N707" s="83">
        <v>0</v>
      </c>
      <c r="O707" s="83">
        <v>0</v>
      </c>
      <c r="W707" s="83">
        <v>0</v>
      </c>
    </row>
    <row r="708" spans="1:23" ht="25.5" customHeight="1" x14ac:dyDescent="0.2">
      <c r="A708" s="137"/>
      <c r="B708" s="150"/>
      <c r="C708" s="96" t="s">
        <v>11</v>
      </c>
      <c r="D708" s="69">
        <f t="shared" si="386"/>
        <v>0</v>
      </c>
      <c r="E708" s="83">
        <v>0</v>
      </c>
      <c r="F708" s="83">
        <v>0</v>
      </c>
      <c r="G708" s="83">
        <v>0</v>
      </c>
      <c r="H708" s="83">
        <v>0</v>
      </c>
      <c r="I708" s="83">
        <v>0</v>
      </c>
      <c r="J708" s="83">
        <v>0</v>
      </c>
      <c r="K708" s="83">
        <v>0</v>
      </c>
      <c r="L708" s="83">
        <v>0</v>
      </c>
      <c r="M708" s="83">
        <v>0</v>
      </c>
      <c r="N708" s="83">
        <v>0</v>
      </c>
      <c r="O708" s="83">
        <v>0</v>
      </c>
      <c r="W708" s="83">
        <v>0</v>
      </c>
    </row>
    <row r="709" spans="1:23" ht="31.5" x14ac:dyDescent="0.2">
      <c r="A709" s="137"/>
      <c r="B709" s="150"/>
      <c r="C709" s="96" t="s">
        <v>65</v>
      </c>
      <c r="D709" s="69">
        <f t="shared" si="386"/>
        <v>165701.4</v>
      </c>
      <c r="E709" s="83">
        <f>E710</f>
        <v>28675.9</v>
      </c>
      <c r="F709" s="83">
        <v>35910.699999999997</v>
      </c>
      <c r="G709" s="83">
        <v>6899.6</v>
      </c>
      <c r="H709" s="83">
        <v>8413.2000000000007</v>
      </c>
      <c r="I709" s="83">
        <f>20814-605.6-1607.3</f>
        <v>18601.100000000002</v>
      </c>
      <c r="J709" s="83">
        <f>15000+5950-3250+1905.9-9574.5+50-100.2+0.1</f>
        <v>9981.3000000000011</v>
      </c>
      <c r="K709" s="83">
        <f>20300-1400-149+18659.2-6396.3-12262.8-0.1</f>
        <v>18751</v>
      </c>
      <c r="L709" s="83">
        <f>21000-700*4-700+700-248.4-200-160-270-66</f>
        <v>17255.599999999999</v>
      </c>
      <c r="M709" s="83">
        <v>0</v>
      </c>
      <c r="N709" s="83">
        <f>6213+15000</f>
        <v>21213</v>
      </c>
      <c r="O709" s="83">
        <f>15000-15000</f>
        <v>0</v>
      </c>
      <c r="W709" s="83">
        <f>15000-15000</f>
        <v>0</v>
      </c>
    </row>
    <row r="710" spans="1:23" ht="31.5" x14ac:dyDescent="0.2">
      <c r="A710" s="137"/>
      <c r="B710" s="150"/>
      <c r="C710" s="74" t="s">
        <v>79</v>
      </c>
      <c r="D710" s="71">
        <f t="shared" si="386"/>
        <v>57175.9</v>
      </c>
      <c r="E710" s="88">
        <v>28675.9</v>
      </c>
      <c r="F710" s="88">
        <v>28500</v>
      </c>
      <c r="G710" s="88">
        <v>0</v>
      </c>
      <c r="H710" s="88">
        <v>0</v>
      </c>
      <c r="I710" s="88">
        <v>0</v>
      </c>
      <c r="J710" s="88">
        <v>0</v>
      </c>
      <c r="K710" s="88">
        <v>0</v>
      </c>
      <c r="L710" s="88">
        <v>0</v>
      </c>
      <c r="M710" s="88">
        <v>0</v>
      </c>
      <c r="N710" s="88">
        <v>0</v>
      </c>
      <c r="O710" s="88">
        <v>0</v>
      </c>
      <c r="W710" s="88">
        <v>0</v>
      </c>
    </row>
    <row r="711" spans="1:23" ht="26.25" customHeight="1" x14ac:dyDescent="0.2">
      <c r="A711" s="137"/>
      <c r="B711" s="150"/>
      <c r="C711" s="96" t="s">
        <v>13</v>
      </c>
      <c r="D711" s="69">
        <f t="shared" si="386"/>
        <v>0</v>
      </c>
      <c r="E711" s="83">
        <v>0</v>
      </c>
      <c r="F711" s="83">
        <v>0</v>
      </c>
      <c r="G711" s="83">
        <v>0</v>
      </c>
      <c r="H711" s="83">
        <v>0</v>
      </c>
      <c r="I711" s="83">
        <v>0</v>
      </c>
      <c r="J711" s="83">
        <v>0</v>
      </c>
      <c r="K711" s="83">
        <v>0</v>
      </c>
      <c r="L711" s="83">
        <v>0</v>
      </c>
      <c r="M711" s="83">
        <v>0</v>
      </c>
      <c r="N711" s="83">
        <v>0</v>
      </c>
      <c r="O711" s="83">
        <v>0</v>
      </c>
      <c r="W711" s="83">
        <v>0</v>
      </c>
    </row>
    <row r="712" spans="1:23" ht="15.75" x14ac:dyDescent="0.2">
      <c r="A712" s="137" t="s">
        <v>268</v>
      </c>
      <c r="B712" s="137" t="s">
        <v>242</v>
      </c>
      <c r="C712" s="84" t="s">
        <v>7</v>
      </c>
      <c r="D712" s="69">
        <f t="shared" si="386"/>
        <v>951</v>
      </c>
      <c r="E712" s="83">
        <f>E713+E714+E715+E716</f>
        <v>0</v>
      </c>
      <c r="F712" s="83">
        <f t="shared" ref="F712:K712" si="402">F713+F714+F715+F716</f>
        <v>0</v>
      </c>
      <c r="G712" s="83">
        <f t="shared" si="402"/>
        <v>347.6</v>
      </c>
      <c r="H712" s="83">
        <f t="shared" si="402"/>
        <v>589.4</v>
      </c>
      <c r="I712" s="83">
        <f t="shared" si="402"/>
        <v>14</v>
      </c>
      <c r="J712" s="83">
        <f t="shared" si="402"/>
        <v>0</v>
      </c>
      <c r="K712" s="83">
        <f t="shared" si="402"/>
        <v>0</v>
      </c>
      <c r="L712" s="83">
        <f>L713+L714+L715+L716</f>
        <v>0</v>
      </c>
      <c r="M712" s="83">
        <f>M713+M714+M715+M716</f>
        <v>0</v>
      </c>
      <c r="N712" s="83">
        <f>N713+N714+N715+N716</f>
        <v>0</v>
      </c>
      <c r="O712" s="83">
        <f>O713+O714+O715+O716</f>
        <v>0</v>
      </c>
      <c r="W712" s="83">
        <f>W713+W714+W715+W716</f>
        <v>0</v>
      </c>
    </row>
    <row r="713" spans="1:23" ht="15.75" x14ac:dyDescent="0.2">
      <c r="A713" s="137"/>
      <c r="B713" s="137"/>
      <c r="C713" s="96" t="s">
        <v>10</v>
      </c>
      <c r="D713" s="69">
        <f t="shared" si="386"/>
        <v>0</v>
      </c>
      <c r="E713" s="83">
        <v>0</v>
      </c>
      <c r="F713" s="83">
        <v>0</v>
      </c>
      <c r="G713" s="83">
        <v>0</v>
      </c>
      <c r="H713" s="83">
        <v>0</v>
      </c>
      <c r="I713" s="83">
        <v>0</v>
      </c>
      <c r="J713" s="83">
        <v>0</v>
      </c>
      <c r="K713" s="83">
        <v>0</v>
      </c>
      <c r="L713" s="83">
        <v>0</v>
      </c>
      <c r="M713" s="83">
        <v>0</v>
      </c>
      <c r="N713" s="83">
        <v>0</v>
      </c>
      <c r="O713" s="83">
        <v>0</v>
      </c>
      <c r="W713" s="83">
        <v>0</v>
      </c>
    </row>
    <row r="714" spans="1:23" ht="15.75" x14ac:dyDescent="0.2">
      <c r="A714" s="137"/>
      <c r="B714" s="137"/>
      <c r="C714" s="96" t="s">
        <v>11</v>
      </c>
      <c r="D714" s="69">
        <f t="shared" si="386"/>
        <v>0</v>
      </c>
      <c r="E714" s="83">
        <v>0</v>
      </c>
      <c r="F714" s="83">
        <v>0</v>
      </c>
      <c r="G714" s="83">
        <v>0</v>
      </c>
      <c r="H714" s="83">
        <v>0</v>
      </c>
      <c r="I714" s="83">
        <v>0</v>
      </c>
      <c r="J714" s="83">
        <v>0</v>
      </c>
      <c r="K714" s="83">
        <v>0</v>
      </c>
      <c r="L714" s="83">
        <v>0</v>
      </c>
      <c r="M714" s="83">
        <v>0</v>
      </c>
      <c r="N714" s="83">
        <v>0</v>
      </c>
      <c r="O714" s="83">
        <v>0</v>
      </c>
      <c r="W714" s="83">
        <v>0</v>
      </c>
    </row>
    <row r="715" spans="1:23" ht="15.75" x14ac:dyDescent="0.2">
      <c r="A715" s="137"/>
      <c r="B715" s="137"/>
      <c r="C715" s="96" t="s">
        <v>12</v>
      </c>
      <c r="D715" s="69">
        <f t="shared" si="386"/>
        <v>951</v>
      </c>
      <c r="E715" s="83">
        <v>0</v>
      </c>
      <c r="F715" s="83">
        <v>0</v>
      </c>
      <c r="G715" s="83">
        <v>347.6</v>
      </c>
      <c r="H715" s="83">
        <v>589.4</v>
      </c>
      <c r="I715" s="83">
        <v>14</v>
      </c>
      <c r="J715" s="83">
        <v>0</v>
      </c>
      <c r="K715" s="83">
        <v>0</v>
      </c>
      <c r="L715" s="83">
        <v>0</v>
      </c>
      <c r="M715" s="83">
        <v>0</v>
      </c>
      <c r="N715" s="83">
        <v>0</v>
      </c>
      <c r="O715" s="83">
        <v>0</v>
      </c>
      <c r="W715" s="83">
        <v>0</v>
      </c>
    </row>
    <row r="716" spans="1:23" ht="15.75" x14ac:dyDescent="0.2">
      <c r="A716" s="137"/>
      <c r="B716" s="137"/>
      <c r="C716" s="96" t="s">
        <v>13</v>
      </c>
      <c r="D716" s="69">
        <f t="shared" si="386"/>
        <v>0</v>
      </c>
      <c r="E716" s="83">
        <v>0</v>
      </c>
      <c r="F716" s="83">
        <v>0</v>
      </c>
      <c r="G716" s="83">
        <v>0</v>
      </c>
      <c r="H716" s="83">
        <v>0</v>
      </c>
      <c r="I716" s="83">
        <v>0</v>
      </c>
      <c r="J716" s="83">
        <v>0</v>
      </c>
      <c r="K716" s="83">
        <v>0</v>
      </c>
      <c r="L716" s="83">
        <v>0</v>
      </c>
      <c r="M716" s="83">
        <v>0</v>
      </c>
      <c r="N716" s="83">
        <v>0</v>
      </c>
      <c r="O716" s="83">
        <v>0</v>
      </c>
      <c r="W716" s="83">
        <v>0</v>
      </c>
    </row>
    <row r="717" spans="1:23" ht="15.75" x14ac:dyDescent="0.2">
      <c r="A717" s="137" t="s">
        <v>307</v>
      </c>
      <c r="B717" s="137" t="s">
        <v>308</v>
      </c>
      <c r="C717" s="84" t="s">
        <v>7</v>
      </c>
      <c r="D717" s="69">
        <f t="shared" ref="D717:D747" si="403">E717+F717+G717+H717+I717+J717+K717+L717+M717+N717+O717</f>
        <v>5870</v>
      </c>
      <c r="E717" s="83">
        <f>E718+E719+E720+E721</f>
        <v>0</v>
      </c>
      <c r="F717" s="83">
        <f t="shared" ref="F717:O717" si="404">F718+F719+F720+F721</f>
        <v>0</v>
      </c>
      <c r="G717" s="83">
        <f t="shared" si="404"/>
        <v>0</v>
      </c>
      <c r="H717" s="83">
        <f t="shared" si="404"/>
        <v>0</v>
      </c>
      <c r="I717" s="83">
        <f>I718+I719+I720+I721</f>
        <v>3397.4</v>
      </c>
      <c r="J717" s="83">
        <f t="shared" si="404"/>
        <v>2472.6</v>
      </c>
      <c r="K717" s="83">
        <f t="shared" si="404"/>
        <v>0</v>
      </c>
      <c r="L717" s="83">
        <f t="shared" si="404"/>
        <v>0</v>
      </c>
      <c r="M717" s="83">
        <f t="shared" si="404"/>
        <v>0</v>
      </c>
      <c r="N717" s="83">
        <f t="shared" si="404"/>
        <v>0</v>
      </c>
      <c r="O717" s="83">
        <f t="shared" si="404"/>
        <v>0</v>
      </c>
      <c r="P717" s="58">
        <v>3397.4</v>
      </c>
      <c r="Q717" s="67">
        <f>I717-P717</f>
        <v>0</v>
      </c>
      <c r="S717" s="78"/>
      <c r="W717" s="83">
        <f t="shared" ref="W717" si="405">W718+W719+W720+W721</f>
        <v>0</v>
      </c>
    </row>
    <row r="718" spans="1:23" ht="15.75" x14ac:dyDescent="0.2">
      <c r="A718" s="137"/>
      <c r="B718" s="137"/>
      <c r="C718" s="96" t="s">
        <v>10</v>
      </c>
      <c r="D718" s="69">
        <f t="shared" si="403"/>
        <v>0</v>
      </c>
      <c r="E718" s="83">
        <v>0</v>
      </c>
      <c r="F718" s="83">
        <v>0</v>
      </c>
      <c r="G718" s="83">
        <v>0</v>
      </c>
      <c r="H718" s="83">
        <v>0</v>
      </c>
      <c r="I718" s="83">
        <v>0</v>
      </c>
      <c r="J718" s="83">
        <v>0</v>
      </c>
      <c r="K718" s="83">
        <v>0</v>
      </c>
      <c r="L718" s="83">
        <v>0</v>
      </c>
      <c r="M718" s="83">
        <v>0</v>
      </c>
      <c r="N718" s="83">
        <v>0</v>
      </c>
      <c r="O718" s="83">
        <v>0</v>
      </c>
      <c r="W718" s="83">
        <v>0</v>
      </c>
    </row>
    <row r="719" spans="1:23" ht="15.75" x14ac:dyDescent="0.2">
      <c r="A719" s="137"/>
      <c r="B719" s="137"/>
      <c r="C719" s="96" t="s">
        <v>11</v>
      </c>
      <c r="D719" s="69">
        <f t="shared" si="403"/>
        <v>0</v>
      </c>
      <c r="E719" s="83">
        <v>0</v>
      </c>
      <c r="F719" s="83">
        <v>0</v>
      </c>
      <c r="G719" s="83">
        <v>0</v>
      </c>
      <c r="H719" s="83">
        <v>0</v>
      </c>
      <c r="I719" s="83">
        <v>0</v>
      </c>
      <c r="J719" s="83">
        <v>0</v>
      </c>
      <c r="K719" s="83">
        <v>0</v>
      </c>
      <c r="L719" s="83">
        <v>0</v>
      </c>
      <c r="M719" s="83">
        <v>0</v>
      </c>
      <c r="N719" s="83">
        <v>0</v>
      </c>
      <c r="O719" s="83">
        <v>0</v>
      </c>
      <c r="W719" s="83">
        <v>0</v>
      </c>
    </row>
    <row r="720" spans="1:23" ht="15.75" x14ac:dyDescent="0.2">
      <c r="A720" s="137"/>
      <c r="B720" s="137"/>
      <c r="C720" s="96" t="s">
        <v>12</v>
      </c>
      <c r="D720" s="69">
        <f t="shared" si="403"/>
        <v>5870</v>
      </c>
      <c r="E720" s="83">
        <v>0</v>
      </c>
      <c r="F720" s="83">
        <v>0</v>
      </c>
      <c r="G720" s="83">
        <v>0</v>
      </c>
      <c r="H720" s="83">
        <v>0</v>
      </c>
      <c r="I720" s="83">
        <v>3397.4</v>
      </c>
      <c r="J720" s="83">
        <f>3250-648.3-129.1</f>
        <v>2472.6</v>
      </c>
      <c r="K720" s="83">
        <f>5000-5000</f>
        <v>0</v>
      </c>
      <c r="L720" s="83">
        <v>0</v>
      </c>
      <c r="M720" s="83">
        <v>0</v>
      </c>
      <c r="N720" s="83">
        <v>0</v>
      </c>
      <c r="O720" s="83">
        <v>0</v>
      </c>
      <c r="W720" s="83">
        <v>0</v>
      </c>
    </row>
    <row r="721" spans="1:23" ht="15.75" x14ac:dyDescent="0.2">
      <c r="A721" s="137"/>
      <c r="B721" s="137"/>
      <c r="C721" s="96" t="s">
        <v>13</v>
      </c>
      <c r="D721" s="69">
        <f t="shared" si="403"/>
        <v>0</v>
      </c>
      <c r="E721" s="83">
        <v>0</v>
      </c>
      <c r="F721" s="83">
        <v>0</v>
      </c>
      <c r="G721" s="83">
        <v>0</v>
      </c>
      <c r="H721" s="83">
        <v>0</v>
      </c>
      <c r="I721" s="83">
        <v>0</v>
      </c>
      <c r="J721" s="83">
        <v>0</v>
      </c>
      <c r="K721" s="83">
        <v>0</v>
      </c>
      <c r="L721" s="83">
        <v>0</v>
      </c>
      <c r="M721" s="83">
        <v>0</v>
      </c>
      <c r="N721" s="83">
        <v>0</v>
      </c>
      <c r="O721" s="83">
        <v>0</v>
      </c>
      <c r="W721" s="83">
        <v>0</v>
      </c>
    </row>
    <row r="722" spans="1:23" ht="15.75" x14ac:dyDescent="0.2">
      <c r="A722" s="137" t="s">
        <v>383</v>
      </c>
      <c r="B722" s="137" t="s">
        <v>384</v>
      </c>
      <c r="C722" s="84" t="s">
        <v>7</v>
      </c>
      <c r="D722" s="69">
        <f t="shared" si="403"/>
        <v>1215.9000000000001</v>
      </c>
      <c r="E722" s="83">
        <f>E723+E724+E725+E726</f>
        <v>0</v>
      </c>
      <c r="F722" s="83">
        <f t="shared" ref="F722:O722" si="406">F723+F724+F725+F726</f>
        <v>0</v>
      </c>
      <c r="G722" s="83">
        <f t="shared" si="406"/>
        <v>0</v>
      </c>
      <c r="H722" s="83">
        <f t="shared" si="406"/>
        <v>0</v>
      </c>
      <c r="I722" s="83">
        <f>I723+I724+I725+I726</f>
        <v>0</v>
      </c>
      <c r="J722" s="83">
        <f t="shared" si="406"/>
        <v>0</v>
      </c>
      <c r="K722" s="83">
        <f t="shared" si="406"/>
        <v>1215.9000000000001</v>
      </c>
      <c r="L722" s="83">
        <f t="shared" si="406"/>
        <v>0</v>
      </c>
      <c r="M722" s="83">
        <f t="shared" si="406"/>
        <v>0</v>
      </c>
      <c r="N722" s="83">
        <f t="shared" si="406"/>
        <v>0</v>
      </c>
      <c r="O722" s="83">
        <f t="shared" si="406"/>
        <v>0</v>
      </c>
      <c r="W722" s="83">
        <f t="shared" ref="W722" si="407">W723+W724+W725+W726</f>
        <v>0</v>
      </c>
    </row>
    <row r="723" spans="1:23" ht="15.75" x14ac:dyDescent="0.2">
      <c r="A723" s="137"/>
      <c r="B723" s="137"/>
      <c r="C723" s="96" t="s">
        <v>10</v>
      </c>
      <c r="D723" s="69">
        <f t="shared" si="403"/>
        <v>0</v>
      </c>
      <c r="E723" s="83">
        <v>0</v>
      </c>
      <c r="F723" s="83">
        <v>0</v>
      </c>
      <c r="G723" s="83">
        <v>0</v>
      </c>
      <c r="H723" s="83">
        <v>0</v>
      </c>
      <c r="I723" s="83">
        <v>0</v>
      </c>
      <c r="J723" s="83">
        <v>0</v>
      </c>
      <c r="K723" s="83">
        <v>0</v>
      </c>
      <c r="L723" s="83">
        <v>0</v>
      </c>
      <c r="M723" s="83">
        <v>0</v>
      </c>
      <c r="N723" s="83">
        <v>0</v>
      </c>
      <c r="O723" s="83">
        <v>0</v>
      </c>
      <c r="W723" s="83">
        <v>0</v>
      </c>
    </row>
    <row r="724" spans="1:23" ht="15.75" x14ac:dyDescent="0.2">
      <c r="A724" s="137"/>
      <c r="B724" s="137"/>
      <c r="C724" s="96" t="s">
        <v>11</v>
      </c>
      <c r="D724" s="69">
        <f t="shared" si="403"/>
        <v>0</v>
      </c>
      <c r="E724" s="83">
        <v>0</v>
      </c>
      <c r="F724" s="83">
        <v>0</v>
      </c>
      <c r="G724" s="83">
        <v>0</v>
      </c>
      <c r="H724" s="83">
        <v>0</v>
      </c>
      <c r="I724" s="83">
        <v>0</v>
      </c>
      <c r="J724" s="83">
        <v>0</v>
      </c>
      <c r="K724" s="83">
        <v>0</v>
      </c>
      <c r="L724" s="83">
        <v>0</v>
      </c>
      <c r="M724" s="83">
        <v>0</v>
      </c>
      <c r="N724" s="83">
        <v>0</v>
      </c>
      <c r="O724" s="83">
        <v>0</v>
      </c>
      <c r="W724" s="83">
        <v>0</v>
      </c>
    </row>
    <row r="725" spans="1:23" ht="15.75" x14ac:dyDescent="0.2">
      <c r="A725" s="137"/>
      <c r="B725" s="137"/>
      <c r="C725" s="96" t="s">
        <v>12</v>
      </c>
      <c r="D725" s="69">
        <f t="shared" si="403"/>
        <v>1215.9000000000001</v>
      </c>
      <c r="E725" s="83">
        <v>0</v>
      </c>
      <c r="F725" s="83">
        <v>0</v>
      </c>
      <c r="G725" s="83">
        <v>0</v>
      </c>
      <c r="H725" s="83">
        <v>0</v>
      </c>
      <c r="I725" s="83">
        <v>0</v>
      </c>
      <c r="J725" s="83">
        <v>0</v>
      </c>
      <c r="K725" s="83">
        <v>1215.9000000000001</v>
      </c>
      <c r="L725" s="83">
        <f>1493.4-1493.4</f>
        <v>0</v>
      </c>
      <c r="M725" s="83">
        <v>0</v>
      </c>
      <c r="N725" s="83">
        <v>0</v>
      </c>
      <c r="O725" s="83">
        <v>0</v>
      </c>
      <c r="W725" s="83">
        <v>0</v>
      </c>
    </row>
    <row r="726" spans="1:23" ht="15.75" x14ac:dyDescent="0.2">
      <c r="A726" s="137"/>
      <c r="B726" s="137"/>
      <c r="C726" s="96" t="s">
        <v>13</v>
      </c>
      <c r="D726" s="69">
        <f t="shared" si="403"/>
        <v>0</v>
      </c>
      <c r="E726" s="83">
        <v>0</v>
      </c>
      <c r="F726" s="83">
        <v>0</v>
      </c>
      <c r="G726" s="83">
        <v>0</v>
      </c>
      <c r="H726" s="83">
        <v>0</v>
      </c>
      <c r="I726" s="83">
        <v>0</v>
      </c>
      <c r="J726" s="83">
        <v>0</v>
      </c>
      <c r="K726" s="83">
        <v>0</v>
      </c>
      <c r="L726" s="83">
        <v>0</v>
      </c>
      <c r="M726" s="83">
        <v>0</v>
      </c>
      <c r="N726" s="83">
        <v>0</v>
      </c>
      <c r="O726" s="83">
        <v>0</v>
      </c>
      <c r="W726" s="83">
        <v>0</v>
      </c>
    </row>
    <row r="727" spans="1:23" ht="15.75" x14ac:dyDescent="0.2">
      <c r="A727" s="137" t="s">
        <v>386</v>
      </c>
      <c r="B727" s="137" t="s">
        <v>404</v>
      </c>
      <c r="C727" s="84" t="s">
        <v>7</v>
      </c>
      <c r="D727" s="69">
        <f t="shared" si="403"/>
        <v>688551.9</v>
      </c>
      <c r="E727" s="83">
        <f t="shared" ref="E727:O727" si="408">E728+E729+E730+E731</f>
        <v>0</v>
      </c>
      <c r="F727" s="83">
        <f t="shared" si="408"/>
        <v>0</v>
      </c>
      <c r="G727" s="83">
        <f t="shared" si="408"/>
        <v>0</v>
      </c>
      <c r="H727" s="83">
        <f t="shared" si="408"/>
        <v>0</v>
      </c>
      <c r="I727" s="83">
        <f t="shared" si="408"/>
        <v>0</v>
      </c>
      <c r="J727" s="83">
        <f t="shared" si="408"/>
        <v>0</v>
      </c>
      <c r="K727" s="83">
        <f t="shared" si="408"/>
        <v>52637.4</v>
      </c>
      <c r="L727" s="83">
        <f t="shared" si="408"/>
        <v>131936.5</v>
      </c>
      <c r="M727" s="83">
        <f t="shared" si="408"/>
        <v>242573.90000000002</v>
      </c>
      <c r="N727" s="83">
        <f t="shared" si="408"/>
        <v>123766.09999999999</v>
      </c>
      <c r="O727" s="83">
        <f t="shared" si="408"/>
        <v>137638</v>
      </c>
      <c r="W727" s="83">
        <f t="shared" ref="W727" si="409">W728+W729+W730+W731</f>
        <v>175619</v>
      </c>
    </row>
    <row r="728" spans="1:23" ht="15.75" x14ac:dyDescent="0.2">
      <c r="A728" s="137"/>
      <c r="B728" s="137"/>
      <c r="C728" s="96" t="s">
        <v>10</v>
      </c>
      <c r="D728" s="69">
        <f t="shared" si="403"/>
        <v>0</v>
      </c>
      <c r="E728" s="83">
        <v>0</v>
      </c>
      <c r="F728" s="83">
        <v>0</v>
      </c>
      <c r="G728" s="83">
        <v>0</v>
      </c>
      <c r="H728" s="83">
        <v>0</v>
      </c>
      <c r="I728" s="83">
        <v>0</v>
      </c>
      <c r="J728" s="83">
        <v>0</v>
      </c>
      <c r="K728" s="83">
        <v>0</v>
      </c>
      <c r="L728" s="83">
        <v>0</v>
      </c>
      <c r="M728" s="83">
        <v>0</v>
      </c>
      <c r="N728" s="83">
        <v>0</v>
      </c>
      <c r="O728" s="83">
        <v>0</v>
      </c>
      <c r="W728" s="83">
        <v>0</v>
      </c>
    </row>
    <row r="729" spans="1:23" ht="15.75" x14ac:dyDescent="0.2">
      <c r="A729" s="137"/>
      <c r="B729" s="137"/>
      <c r="C729" s="96" t="s">
        <v>11</v>
      </c>
      <c r="D729" s="69">
        <f t="shared" si="403"/>
        <v>0</v>
      </c>
      <c r="E729" s="83">
        <v>0</v>
      </c>
      <c r="F729" s="83">
        <v>0</v>
      </c>
      <c r="G729" s="83">
        <v>0</v>
      </c>
      <c r="H729" s="83">
        <v>0</v>
      </c>
      <c r="I729" s="83">
        <v>0</v>
      </c>
      <c r="J729" s="83">
        <v>0</v>
      </c>
      <c r="K729" s="83">
        <v>0</v>
      </c>
      <c r="L729" s="83">
        <v>0</v>
      </c>
      <c r="M729" s="83">
        <v>0</v>
      </c>
      <c r="N729" s="83">
        <v>0</v>
      </c>
      <c r="O729" s="83">
        <v>0</v>
      </c>
      <c r="W729" s="83">
        <v>0</v>
      </c>
    </row>
    <row r="730" spans="1:23" ht="31.5" x14ac:dyDescent="0.2">
      <c r="A730" s="137"/>
      <c r="B730" s="137"/>
      <c r="C730" s="96" t="s">
        <v>65</v>
      </c>
      <c r="D730" s="69">
        <f t="shared" si="403"/>
        <v>688551.9</v>
      </c>
      <c r="E730" s="83">
        <v>0</v>
      </c>
      <c r="F730" s="83">
        <v>0</v>
      </c>
      <c r="G730" s="83">
        <v>0</v>
      </c>
      <c r="H730" s="83">
        <v>0</v>
      </c>
      <c r="I730" s="83">
        <v>0</v>
      </c>
      <c r="J730" s="83">
        <v>0</v>
      </c>
      <c r="K730" s="83">
        <f>30000+22637.4+2056-2056</f>
        <v>52637.4</v>
      </c>
      <c r="L730" s="83">
        <f>126936.5-12775.3+12775.3+5000</f>
        <v>131936.5</v>
      </c>
      <c r="M730" s="83">
        <f>179515.2-77898.6+9922+3500+39844.1+7598.7+49261.9-30400+1923.1+30000+29307.5</f>
        <v>242573.90000000002</v>
      </c>
      <c r="N730" s="102">
        <f>198915.9-66227.6-8922.2-7500+7500</f>
        <v>123766.09999999999</v>
      </c>
      <c r="O730" s="83">
        <f>0+132787.4+5113.5-262.9</f>
        <v>137638</v>
      </c>
      <c r="W730" s="83">
        <f>175892.4-273.4</f>
        <v>175619</v>
      </c>
    </row>
    <row r="731" spans="1:23" ht="15.75" x14ac:dyDescent="0.2">
      <c r="A731" s="137"/>
      <c r="B731" s="137"/>
      <c r="C731" s="96" t="s">
        <v>13</v>
      </c>
      <c r="D731" s="69">
        <f t="shared" si="403"/>
        <v>0</v>
      </c>
      <c r="E731" s="83">
        <v>0</v>
      </c>
      <c r="F731" s="83">
        <v>0</v>
      </c>
      <c r="G731" s="83">
        <v>0</v>
      </c>
      <c r="H731" s="83">
        <v>0</v>
      </c>
      <c r="I731" s="83">
        <v>0</v>
      </c>
      <c r="J731" s="83">
        <v>0</v>
      </c>
      <c r="K731" s="83">
        <v>0</v>
      </c>
      <c r="L731" s="83">
        <v>0</v>
      </c>
      <c r="M731" s="83">
        <v>0</v>
      </c>
      <c r="N731" s="83">
        <v>0</v>
      </c>
      <c r="O731" s="83">
        <v>0</v>
      </c>
      <c r="W731" s="83">
        <v>0</v>
      </c>
    </row>
    <row r="732" spans="1:23" ht="15.75" customHeight="1" x14ac:dyDescent="0.2">
      <c r="A732" s="137" t="s">
        <v>389</v>
      </c>
      <c r="B732" s="137" t="s">
        <v>396</v>
      </c>
      <c r="C732" s="84" t="s">
        <v>7</v>
      </c>
      <c r="D732" s="69">
        <f t="shared" ref="D732" si="410">E732+F732+G732+H732+I732+J732+K732+L732+M732+N732+O732</f>
        <v>20707.8</v>
      </c>
      <c r="E732" s="83">
        <f>E733+E734+E735+E736</f>
        <v>0</v>
      </c>
      <c r="F732" s="83">
        <f t="shared" ref="F732:O732" si="411">F733+F734+F735+F736</f>
        <v>0</v>
      </c>
      <c r="G732" s="83">
        <f t="shared" si="411"/>
        <v>0</v>
      </c>
      <c r="H732" s="83">
        <f t="shared" si="411"/>
        <v>0</v>
      </c>
      <c r="I732" s="83">
        <f>I733+I734+I735+I736</f>
        <v>0</v>
      </c>
      <c r="J732" s="83">
        <f t="shared" si="411"/>
        <v>0</v>
      </c>
      <c r="K732" s="83">
        <f t="shared" si="411"/>
        <v>12262.8</v>
      </c>
      <c r="L732" s="83">
        <f t="shared" si="411"/>
        <v>8445</v>
      </c>
      <c r="M732" s="83">
        <f t="shared" si="411"/>
        <v>0</v>
      </c>
      <c r="N732" s="83">
        <f t="shared" si="411"/>
        <v>0</v>
      </c>
      <c r="O732" s="83">
        <f t="shared" si="411"/>
        <v>0</v>
      </c>
      <c r="W732" s="83">
        <f t="shared" ref="W732" si="412">W733+W734+W735+W736</f>
        <v>0</v>
      </c>
    </row>
    <row r="733" spans="1:23" ht="15.75" x14ac:dyDescent="0.2">
      <c r="A733" s="137"/>
      <c r="B733" s="137"/>
      <c r="C733" s="96" t="s">
        <v>10</v>
      </c>
      <c r="D733" s="69">
        <f t="shared" si="403"/>
        <v>0</v>
      </c>
      <c r="E733" s="83">
        <v>0</v>
      </c>
      <c r="F733" s="83">
        <v>0</v>
      </c>
      <c r="G733" s="83">
        <v>0</v>
      </c>
      <c r="H733" s="83">
        <v>0</v>
      </c>
      <c r="I733" s="83">
        <v>0</v>
      </c>
      <c r="J733" s="83">
        <v>0</v>
      </c>
      <c r="K733" s="83">
        <v>0</v>
      </c>
      <c r="L733" s="83">
        <v>0</v>
      </c>
      <c r="M733" s="83">
        <v>0</v>
      </c>
      <c r="N733" s="83">
        <v>0</v>
      </c>
      <c r="O733" s="83">
        <v>0</v>
      </c>
      <c r="W733" s="83">
        <v>0</v>
      </c>
    </row>
    <row r="734" spans="1:23" ht="15.75" x14ac:dyDescent="0.2">
      <c r="A734" s="137"/>
      <c r="B734" s="137"/>
      <c r="C734" s="96" t="s">
        <v>11</v>
      </c>
      <c r="D734" s="69">
        <f>E734+F734+G734+H734+I734+J734+K734+L734+M734+N734+O734</f>
        <v>0</v>
      </c>
      <c r="E734" s="83">
        <v>0</v>
      </c>
      <c r="F734" s="83">
        <v>0</v>
      </c>
      <c r="G734" s="83">
        <v>0</v>
      </c>
      <c r="H734" s="83">
        <v>0</v>
      </c>
      <c r="I734" s="83">
        <v>0</v>
      </c>
      <c r="J734" s="83">
        <v>0</v>
      </c>
      <c r="K734" s="83">
        <v>0</v>
      </c>
      <c r="L734" s="83">
        <v>0</v>
      </c>
      <c r="M734" s="83">
        <v>0</v>
      </c>
      <c r="N734" s="83">
        <v>0</v>
      </c>
      <c r="O734" s="83">
        <v>0</v>
      </c>
      <c r="W734" s="83">
        <v>0</v>
      </c>
    </row>
    <row r="735" spans="1:23" ht="15.75" x14ac:dyDescent="0.2">
      <c r="A735" s="137"/>
      <c r="B735" s="137"/>
      <c r="C735" s="96" t="s">
        <v>12</v>
      </c>
      <c r="D735" s="69">
        <f t="shared" si="403"/>
        <v>20707.8</v>
      </c>
      <c r="E735" s="83">
        <v>0</v>
      </c>
      <c r="F735" s="83">
        <v>0</v>
      </c>
      <c r="G735" s="83">
        <v>0</v>
      </c>
      <c r="H735" s="83">
        <v>0</v>
      </c>
      <c r="I735" s="83">
        <v>0</v>
      </c>
      <c r="J735" s="83">
        <v>0</v>
      </c>
      <c r="K735" s="83">
        <v>12262.8</v>
      </c>
      <c r="L735" s="83">
        <f>3955.5-0.1-1380.6+5870.2</f>
        <v>8445</v>
      </c>
      <c r="M735" s="83">
        <v>0</v>
      </c>
      <c r="N735" s="83">
        <v>0</v>
      </c>
      <c r="O735" s="83">
        <v>0</v>
      </c>
      <c r="W735" s="83">
        <v>0</v>
      </c>
    </row>
    <row r="736" spans="1:23" ht="15.75" x14ac:dyDescent="0.2">
      <c r="A736" s="137"/>
      <c r="B736" s="137"/>
      <c r="C736" s="96" t="s">
        <v>13</v>
      </c>
      <c r="D736" s="69">
        <f t="shared" si="403"/>
        <v>0</v>
      </c>
      <c r="E736" s="83">
        <v>0</v>
      </c>
      <c r="F736" s="83">
        <v>0</v>
      </c>
      <c r="G736" s="83">
        <v>0</v>
      </c>
      <c r="H736" s="83">
        <v>0</v>
      </c>
      <c r="I736" s="83">
        <v>0</v>
      </c>
      <c r="J736" s="83">
        <v>0</v>
      </c>
      <c r="K736" s="83">
        <v>0</v>
      </c>
      <c r="L736" s="83">
        <v>0</v>
      </c>
      <c r="M736" s="83">
        <v>0</v>
      </c>
      <c r="N736" s="83">
        <v>0</v>
      </c>
      <c r="O736" s="83">
        <v>0</v>
      </c>
      <c r="W736" s="83">
        <v>0</v>
      </c>
    </row>
    <row r="737" spans="1:23" ht="15.75" customHeight="1" x14ac:dyDescent="0.2">
      <c r="A737" s="137" t="s">
        <v>390</v>
      </c>
      <c r="B737" s="137" t="s">
        <v>441</v>
      </c>
      <c r="C737" s="84" t="s">
        <v>7</v>
      </c>
      <c r="D737" s="69">
        <f t="shared" si="403"/>
        <v>9089.0000000000018</v>
      </c>
      <c r="E737" s="83">
        <f>E738+E739+E740+E741</f>
        <v>0</v>
      </c>
      <c r="F737" s="83">
        <f t="shared" ref="F737:O737" si="413">F738+F739+F740+F741</f>
        <v>0</v>
      </c>
      <c r="G737" s="83">
        <f t="shared" si="413"/>
        <v>0</v>
      </c>
      <c r="H737" s="83">
        <f t="shared" si="413"/>
        <v>0</v>
      </c>
      <c r="I737" s="83">
        <f>I738+I739+I740+I741</f>
        <v>0</v>
      </c>
      <c r="J737" s="83">
        <f t="shared" si="413"/>
        <v>0</v>
      </c>
      <c r="K737" s="83">
        <f t="shared" si="413"/>
        <v>2738.4</v>
      </c>
      <c r="L737" s="83">
        <f t="shared" si="413"/>
        <v>2635.3</v>
      </c>
      <c r="M737" s="83">
        <f t="shared" si="413"/>
        <v>1993.7000000000003</v>
      </c>
      <c r="N737" s="83">
        <f t="shared" si="413"/>
        <v>867.2</v>
      </c>
      <c r="O737" s="83">
        <f t="shared" si="413"/>
        <v>854.4</v>
      </c>
      <c r="W737" s="83">
        <f t="shared" ref="W737" si="414">W738+W739+W740+W741</f>
        <v>854.4</v>
      </c>
    </row>
    <row r="738" spans="1:23" ht="15.75" x14ac:dyDescent="0.2">
      <c r="A738" s="137"/>
      <c r="B738" s="137"/>
      <c r="C738" s="96" t="s">
        <v>10</v>
      </c>
      <c r="D738" s="69">
        <f t="shared" si="403"/>
        <v>0</v>
      </c>
      <c r="E738" s="83">
        <v>0</v>
      </c>
      <c r="F738" s="83">
        <v>0</v>
      </c>
      <c r="G738" s="83">
        <v>0</v>
      </c>
      <c r="H738" s="83">
        <v>0</v>
      </c>
      <c r="I738" s="83">
        <v>0</v>
      </c>
      <c r="J738" s="83">
        <v>0</v>
      </c>
      <c r="K738" s="83">
        <v>0</v>
      </c>
      <c r="L738" s="83">
        <v>0</v>
      </c>
      <c r="M738" s="83">
        <v>0</v>
      </c>
      <c r="N738" s="83">
        <v>0</v>
      </c>
      <c r="O738" s="83">
        <v>0</v>
      </c>
      <c r="W738" s="83">
        <v>0</v>
      </c>
    </row>
    <row r="739" spans="1:23" ht="15.75" x14ac:dyDescent="0.2">
      <c r="A739" s="137"/>
      <c r="B739" s="137"/>
      <c r="C739" s="96" t="s">
        <v>11</v>
      </c>
      <c r="D739" s="69">
        <f>E739+F739+G739+H739+I739+J739+K739+L739+M739+N739+O739</f>
        <v>0</v>
      </c>
      <c r="E739" s="83">
        <v>0</v>
      </c>
      <c r="F739" s="83">
        <v>0</v>
      </c>
      <c r="G739" s="83">
        <v>0</v>
      </c>
      <c r="H739" s="83">
        <v>0</v>
      </c>
      <c r="I739" s="83">
        <v>0</v>
      </c>
      <c r="J739" s="83">
        <v>0</v>
      </c>
      <c r="K739" s="83">
        <v>0</v>
      </c>
      <c r="L739" s="83">
        <v>0</v>
      </c>
      <c r="M739" s="83">
        <v>0</v>
      </c>
      <c r="N739" s="83">
        <v>0</v>
      </c>
      <c r="O739" s="83">
        <v>0</v>
      </c>
      <c r="W739" s="83">
        <v>0</v>
      </c>
    </row>
    <row r="740" spans="1:23" ht="15.75" x14ac:dyDescent="0.2">
      <c r="A740" s="137"/>
      <c r="B740" s="137"/>
      <c r="C740" s="96" t="s">
        <v>12</v>
      </c>
      <c r="D740" s="69">
        <f t="shared" si="403"/>
        <v>9089.0000000000018</v>
      </c>
      <c r="E740" s="83">
        <v>0</v>
      </c>
      <c r="F740" s="83">
        <v>0</v>
      </c>
      <c r="G740" s="83">
        <v>0</v>
      </c>
      <c r="H740" s="83">
        <v>0</v>
      </c>
      <c r="I740" s="83">
        <v>0</v>
      </c>
      <c r="J740" s="83">
        <v>0</v>
      </c>
      <c r="K740" s="83">
        <f>5000-2261.6-2056+2056</f>
        <v>2738.4</v>
      </c>
      <c r="L740" s="83">
        <f>735.3+600+1300</f>
        <v>2635.3</v>
      </c>
      <c r="M740" s="83">
        <f>779.7+352.4+3283-110-2315.4-1381.1+2315.4-200-150-1193.4+613.1</f>
        <v>1993.7000000000003</v>
      </c>
      <c r="N740" s="83">
        <f>783.5+83.7</f>
        <v>867.2</v>
      </c>
      <c r="O740" s="83">
        <f>0+854.4</f>
        <v>854.4</v>
      </c>
      <c r="W740" s="83">
        <v>854.4</v>
      </c>
    </row>
    <row r="741" spans="1:23" ht="15.75" x14ac:dyDescent="0.2">
      <c r="A741" s="137"/>
      <c r="B741" s="137"/>
      <c r="C741" s="96" t="s">
        <v>13</v>
      </c>
      <c r="D741" s="69">
        <f t="shared" si="403"/>
        <v>0</v>
      </c>
      <c r="E741" s="83">
        <v>0</v>
      </c>
      <c r="F741" s="83">
        <v>0</v>
      </c>
      <c r="G741" s="83">
        <v>0</v>
      </c>
      <c r="H741" s="83">
        <v>0</v>
      </c>
      <c r="I741" s="83">
        <v>0</v>
      </c>
      <c r="J741" s="83">
        <v>0</v>
      </c>
      <c r="K741" s="83">
        <v>0</v>
      </c>
      <c r="L741" s="83">
        <v>0</v>
      </c>
      <c r="M741" s="83">
        <v>0</v>
      </c>
      <c r="N741" s="83">
        <v>0</v>
      </c>
      <c r="O741" s="83">
        <v>0</v>
      </c>
      <c r="W741" s="83">
        <v>0</v>
      </c>
    </row>
    <row r="742" spans="1:23" ht="15.75" x14ac:dyDescent="0.2">
      <c r="A742" s="137" t="s">
        <v>397</v>
      </c>
      <c r="B742" s="137" t="s">
        <v>401</v>
      </c>
      <c r="C742" s="84" t="s">
        <v>7</v>
      </c>
      <c r="D742" s="69">
        <f t="shared" ref="D742" si="415">E742+F742+G742+H742+I742+J742+K742+L742+M742+N742+O742</f>
        <v>7545.1</v>
      </c>
      <c r="E742" s="83">
        <f>E743+E744+E745+E746</f>
        <v>0</v>
      </c>
      <c r="F742" s="83">
        <f t="shared" ref="F742:O742" si="416">F743+F744+F745+F746</f>
        <v>0</v>
      </c>
      <c r="G742" s="83">
        <f t="shared" si="416"/>
        <v>0</v>
      </c>
      <c r="H742" s="83">
        <f t="shared" si="416"/>
        <v>0</v>
      </c>
      <c r="I742" s="83">
        <f>I743+I744+I745+I746</f>
        <v>0</v>
      </c>
      <c r="J742" s="83">
        <f t="shared" si="416"/>
        <v>0</v>
      </c>
      <c r="K742" s="83">
        <f t="shared" si="416"/>
        <v>7545.1</v>
      </c>
      <c r="L742" s="83">
        <f t="shared" si="416"/>
        <v>0</v>
      </c>
      <c r="M742" s="83">
        <f t="shared" si="416"/>
        <v>0</v>
      </c>
      <c r="N742" s="83">
        <f t="shared" si="416"/>
        <v>0</v>
      </c>
      <c r="O742" s="83">
        <f t="shared" si="416"/>
        <v>0</v>
      </c>
      <c r="W742" s="83">
        <f t="shared" ref="W742" si="417">W743+W744+W745+W746</f>
        <v>0</v>
      </c>
    </row>
    <row r="743" spans="1:23" ht="15.75" x14ac:dyDescent="0.2">
      <c r="A743" s="137"/>
      <c r="B743" s="137"/>
      <c r="C743" s="96" t="s">
        <v>10</v>
      </c>
      <c r="D743" s="69">
        <f t="shared" si="403"/>
        <v>0</v>
      </c>
      <c r="E743" s="83">
        <v>0</v>
      </c>
      <c r="F743" s="83">
        <v>0</v>
      </c>
      <c r="G743" s="83">
        <v>0</v>
      </c>
      <c r="H743" s="83">
        <v>0</v>
      </c>
      <c r="I743" s="83">
        <v>0</v>
      </c>
      <c r="J743" s="83">
        <v>0</v>
      </c>
      <c r="K743" s="83">
        <v>0</v>
      </c>
      <c r="L743" s="83">
        <v>0</v>
      </c>
      <c r="M743" s="83">
        <v>0</v>
      </c>
      <c r="N743" s="83">
        <v>0</v>
      </c>
      <c r="O743" s="83">
        <v>0</v>
      </c>
      <c r="W743" s="83">
        <v>0</v>
      </c>
    </row>
    <row r="744" spans="1:23" ht="15.75" x14ac:dyDescent="0.2">
      <c r="A744" s="137"/>
      <c r="B744" s="137"/>
      <c r="C744" s="96" t="s">
        <v>11</v>
      </c>
      <c r="D744" s="69">
        <f>E744+F744+G744+H744+I744+J744+K744+L744+M744+N744+O744</f>
        <v>0</v>
      </c>
      <c r="E744" s="83">
        <v>0</v>
      </c>
      <c r="F744" s="83">
        <v>0</v>
      </c>
      <c r="G744" s="83">
        <v>0</v>
      </c>
      <c r="H744" s="83">
        <v>0</v>
      </c>
      <c r="I744" s="83">
        <v>0</v>
      </c>
      <c r="J744" s="83">
        <v>0</v>
      </c>
      <c r="K744" s="83">
        <v>0</v>
      </c>
      <c r="L744" s="83">
        <v>0</v>
      </c>
      <c r="M744" s="83">
        <v>0</v>
      </c>
      <c r="N744" s="83">
        <v>0</v>
      </c>
      <c r="O744" s="83">
        <v>0</v>
      </c>
      <c r="W744" s="83">
        <v>0</v>
      </c>
    </row>
    <row r="745" spans="1:23" ht="15.75" x14ac:dyDescent="0.2">
      <c r="A745" s="137"/>
      <c r="B745" s="137"/>
      <c r="C745" s="96" t="s">
        <v>12</v>
      </c>
      <c r="D745" s="69">
        <f t="shared" si="403"/>
        <v>7545.1</v>
      </c>
      <c r="E745" s="83">
        <v>0</v>
      </c>
      <c r="F745" s="83">
        <v>0</v>
      </c>
      <c r="G745" s="83">
        <v>0</v>
      </c>
      <c r="H745" s="83">
        <v>0</v>
      </c>
      <c r="I745" s="83">
        <v>0</v>
      </c>
      <c r="J745" s="83">
        <v>0</v>
      </c>
      <c r="K745" s="83">
        <v>7545.1</v>
      </c>
      <c r="L745" s="83">
        <v>0</v>
      </c>
      <c r="M745" s="83">
        <v>0</v>
      </c>
      <c r="N745" s="83">
        <v>0</v>
      </c>
      <c r="O745" s="83">
        <v>0</v>
      </c>
      <c r="W745" s="83">
        <v>0</v>
      </c>
    </row>
    <row r="746" spans="1:23" ht="25.5" customHeight="1" x14ac:dyDescent="0.2">
      <c r="A746" s="137"/>
      <c r="B746" s="137"/>
      <c r="C746" s="96" t="s">
        <v>13</v>
      </c>
      <c r="D746" s="69">
        <f t="shared" si="403"/>
        <v>0</v>
      </c>
      <c r="E746" s="83">
        <v>0</v>
      </c>
      <c r="F746" s="83">
        <v>0</v>
      </c>
      <c r="G746" s="83">
        <v>0</v>
      </c>
      <c r="H746" s="83">
        <v>0</v>
      </c>
      <c r="I746" s="83">
        <v>0</v>
      </c>
      <c r="J746" s="83">
        <v>0</v>
      </c>
      <c r="K746" s="83">
        <v>0</v>
      </c>
      <c r="L746" s="83">
        <v>0</v>
      </c>
      <c r="M746" s="83">
        <v>0</v>
      </c>
      <c r="N746" s="83">
        <v>0</v>
      </c>
      <c r="O746" s="83">
        <v>0</v>
      </c>
      <c r="W746" s="83">
        <v>0</v>
      </c>
    </row>
    <row r="747" spans="1:23" s="89" customFormat="1" ht="15.75" x14ac:dyDescent="0.2">
      <c r="A747" s="137" t="s">
        <v>431</v>
      </c>
      <c r="B747" s="137" t="s">
        <v>432</v>
      </c>
      <c r="C747" s="84" t="s">
        <v>7</v>
      </c>
      <c r="D747" s="69">
        <f t="shared" si="403"/>
        <v>3216.6999999999994</v>
      </c>
      <c r="E747" s="83">
        <f>E748+E749+E750+E751</f>
        <v>0</v>
      </c>
      <c r="F747" s="83">
        <f t="shared" ref="F747:H747" si="418">F748+F749+F750+F751</f>
        <v>0</v>
      </c>
      <c r="G747" s="83">
        <f t="shared" si="418"/>
        <v>0</v>
      </c>
      <c r="H747" s="83">
        <f t="shared" si="418"/>
        <v>0</v>
      </c>
      <c r="I747" s="83">
        <f>I748+I749+I750+I751</f>
        <v>0</v>
      </c>
      <c r="J747" s="83">
        <f t="shared" ref="J747:O747" si="419">J748+J749+J750+J751</f>
        <v>0</v>
      </c>
      <c r="K747" s="83">
        <f t="shared" si="419"/>
        <v>0</v>
      </c>
      <c r="L747" s="83">
        <f t="shared" si="419"/>
        <v>0</v>
      </c>
      <c r="M747" s="83">
        <f t="shared" si="419"/>
        <v>3216.6999999999994</v>
      </c>
      <c r="N747" s="83">
        <f t="shared" si="419"/>
        <v>0</v>
      </c>
      <c r="O747" s="83">
        <f t="shared" si="419"/>
        <v>0</v>
      </c>
      <c r="P747" s="62"/>
      <c r="Q747" s="62"/>
      <c r="R747" s="62"/>
      <c r="S747" s="62"/>
      <c r="T747" s="62"/>
      <c r="U747" s="62"/>
      <c r="V747" s="62"/>
      <c r="W747" s="83">
        <f t="shared" ref="W747" si="420">W748+W749+W750+W751</f>
        <v>0</v>
      </c>
    </row>
    <row r="748" spans="1:23" s="89" customFormat="1" ht="15.75" x14ac:dyDescent="0.2">
      <c r="A748" s="137"/>
      <c r="B748" s="137"/>
      <c r="C748" s="96" t="s">
        <v>10</v>
      </c>
      <c r="D748" s="69">
        <f t="shared" ref="D748" si="421">E748+F748+G748+H748+I748+J748+K748+L748+M748+N748+O748</f>
        <v>0</v>
      </c>
      <c r="E748" s="83">
        <v>0</v>
      </c>
      <c r="F748" s="83">
        <v>0</v>
      </c>
      <c r="G748" s="83">
        <v>0</v>
      </c>
      <c r="H748" s="83">
        <v>0</v>
      </c>
      <c r="I748" s="83">
        <v>0</v>
      </c>
      <c r="J748" s="83">
        <v>0</v>
      </c>
      <c r="K748" s="83">
        <v>0</v>
      </c>
      <c r="L748" s="83">
        <v>0</v>
      </c>
      <c r="M748" s="83">
        <v>0</v>
      </c>
      <c r="N748" s="83">
        <v>0</v>
      </c>
      <c r="O748" s="83">
        <v>0</v>
      </c>
      <c r="P748" s="62"/>
      <c r="Q748" s="62"/>
      <c r="R748" s="62"/>
      <c r="S748" s="62"/>
      <c r="T748" s="62"/>
      <c r="U748" s="62"/>
      <c r="V748" s="62"/>
      <c r="W748" s="83">
        <v>0</v>
      </c>
    </row>
    <row r="749" spans="1:23" s="89" customFormat="1" ht="15.75" x14ac:dyDescent="0.2">
      <c r="A749" s="137"/>
      <c r="B749" s="137"/>
      <c r="C749" s="96" t="s">
        <v>11</v>
      </c>
      <c r="D749" s="69">
        <f>E749+F749+G749+H749+I749+J749+K749+L749+M749+N749+O749</f>
        <v>0</v>
      </c>
      <c r="E749" s="83">
        <v>0</v>
      </c>
      <c r="F749" s="83">
        <v>0</v>
      </c>
      <c r="G749" s="83">
        <v>0</v>
      </c>
      <c r="H749" s="83">
        <v>0</v>
      </c>
      <c r="I749" s="83">
        <v>0</v>
      </c>
      <c r="J749" s="83">
        <v>0</v>
      </c>
      <c r="K749" s="83">
        <v>0</v>
      </c>
      <c r="L749" s="83">
        <v>0</v>
      </c>
      <c r="M749" s="83">
        <v>0</v>
      </c>
      <c r="N749" s="83">
        <v>0</v>
      </c>
      <c r="O749" s="83">
        <v>0</v>
      </c>
      <c r="P749" s="62"/>
      <c r="Q749" s="62"/>
      <c r="R749" s="62"/>
      <c r="S749" s="62"/>
      <c r="T749" s="62"/>
      <c r="U749" s="62"/>
      <c r="V749" s="62"/>
      <c r="W749" s="83">
        <v>0</v>
      </c>
    </row>
    <row r="750" spans="1:23" s="89" customFormat="1" ht="15.75" x14ac:dyDescent="0.2">
      <c r="A750" s="137"/>
      <c r="B750" s="137"/>
      <c r="C750" s="96" t="s">
        <v>12</v>
      </c>
      <c r="D750" s="69">
        <f t="shared" ref="D750:D753" si="422">E750+F750+G750+H750+I750+J750+K750+L750+M750+N750+O750</f>
        <v>3216.6999999999994</v>
      </c>
      <c r="E750" s="83">
        <v>0</v>
      </c>
      <c r="F750" s="83">
        <v>0</v>
      </c>
      <c r="G750" s="83">
        <v>0</v>
      </c>
      <c r="H750" s="83">
        <v>0</v>
      </c>
      <c r="I750" s="83">
        <v>0</v>
      </c>
      <c r="J750" s="83">
        <v>0</v>
      </c>
      <c r="K750" s="83">
        <v>0</v>
      </c>
      <c r="L750" s="83">
        <f>4928.6-2120.3-2808.3</f>
        <v>0</v>
      </c>
      <c r="M750" s="83">
        <f>4343.9-0.1-1127.1</f>
        <v>3216.6999999999994</v>
      </c>
      <c r="N750" s="83">
        <v>0</v>
      </c>
      <c r="O750" s="83">
        <v>0</v>
      </c>
      <c r="P750" s="62"/>
      <c r="Q750" s="62"/>
      <c r="R750" s="62"/>
      <c r="S750" s="62"/>
      <c r="T750" s="62"/>
      <c r="U750" s="62"/>
      <c r="V750" s="62"/>
      <c r="W750" s="83">
        <v>0</v>
      </c>
    </row>
    <row r="751" spans="1:23" s="89" customFormat="1" ht="34.5" customHeight="1" x14ac:dyDescent="0.2">
      <c r="A751" s="137"/>
      <c r="B751" s="137"/>
      <c r="C751" s="96" t="s">
        <v>13</v>
      </c>
      <c r="D751" s="69">
        <f t="shared" si="422"/>
        <v>0</v>
      </c>
      <c r="E751" s="83">
        <v>0</v>
      </c>
      <c r="F751" s="83">
        <v>0</v>
      </c>
      <c r="G751" s="83">
        <v>0</v>
      </c>
      <c r="H751" s="83">
        <v>0</v>
      </c>
      <c r="I751" s="83">
        <v>0</v>
      </c>
      <c r="J751" s="83">
        <v>0</v>
      </c>
      <c r="K751" s="83">
        <v>0</v>
      </c>
      <c r="L751" s="83">
        <v>0</v>
      </c>
      <c r="M751" s="83">
        <v>0</v>
      </c>
      <c r="N751" s="83">
        <v>0</v>
      </c>
      <c r="O751" s="83">
        <v>0</v>
      </c>
      <c r="P751" s="62"/>
      <c r="Q751" s="62"/>
      <c r="R751" s="62"/>
      <c r="S751" s="62"/>
      <c r="T751" s="62"/>
      <c r="U751" s="62"/>
      <c r="V751" s="62"/>
      <c r="W751" s="83">
        <v>0</v>
      </c>
    </row>
    <row r="752" spans="1:23" ht="15.75" hidden="1" x14ac:dyDescent="0.2">
      <c r="A752" s="137" t="s">
        <v>449</v>
      </c>
      <c r="B752" s="137" t="s">
        <v>450</v>
      </c>
      <c r="C752" s="84" t="s">
        <v>7</v>
      </c>
      <c r="D752" s="69">
        <f t="shared" si="422"/>
        <v>0</v>
      </c>
      <c r="E752" s="83">
        <f>E753+E754+E755+E756</f>
        <v>0</v>
      </c>
      <c r="F752" s="83">
        <f t="shared" ref="F752:H752" si="423">F753+F754+F755+F756</f>
        <v>0</v>
      </c>
      <c r="G752" s="83">
        <f t="shared" si="423"/>
        <v>0</v>
      </c>
      <c r="H752" s="83">
        <f t="shared" si="423"/>
        <v>0</v>
      </c>
      <c r="I752" s="83">
        <f>I753+I754+I755+I756</f>
        <v>0</v>
      </c>
      <c r="J752" s="83">
        <f t="shared" ref="J752:O752" si="424">J753+J754+J755+J756</f>
        <v>0</v>
      </c>
      <c r="K752" s="83">
        <f t="shared" si="424"/>
        <v>0</v>
      </c>
      <c r="L752" s="83">
        <f t="shared" si="424"/>
        <v>0</v>
      </c>
      <c r="M752" s="83">
        <f t="shared" si="424"/>
        <v>0</v>
      </c>
      <c r="N752" s="83">
        <f t="shared" si="424"/>
        <v>0</v>
      </c>
      <c r="O752" s="83">
        <f t="shared" si="424"/>
        <v>0</v>
      </c>
      <c r="W752" s="83">
        <f t="shared" ref="W752" si="425">W753+W754+W755+W756</f>
        <v>0</v>
      </c>
    </row>
    <row r="753" spans="1:23" ht="15.75" hidden="1" x14ac:dyDescent="0.2">
      <c r="A753" s="137"/>
      <c r="B753" s="137"/>
      <c r="C753" s="96" t="s">
        <v>10</v>
      </c>
      <c r="D753" s="69">
        <f t="shared" si="422"/>
        <v>0</v>
      </c>
      <c r="E753" s="83">
        <v>0</v>
      </c>
      <c r="F753" s="83">
        <v>0</v>
      </c>
      <c r="G753" s="83">
        <v>0</v>
      </c>
      <c r="H753" s="83">
        <v>0</v>
      </c>
      <c r="I753" s="83">
        <v>0</v>
      </c>
      <c r="J753" s="83">
        <v>0</v>
      </c>
      <c r="K753" s="83">
        <v>0</v>
      </c>
      <c r="L753" s="83">
        <v>0</v>
      </c>
      <c r="M753" s="83">
        <v>0</v>
      </c>
      <c r="N753" s="83">
        <v>0</v>
      </c>
      <c r="O753" s="83">
        <v>0</v>
      </c>
      <c r="W753" s="83">
        <v>0</v>
      </c>
    </row>
    <row r="754" spans="1:23" ht="15.75" hidden="1" x14ac:dyDescent="0.2">
      <c r="A754" s="137"/>
      <c r="B754" s="137"/>
      <c r="C754" s="96" t="s">
        <v>11</v>
      </c>
      <c r="D754" s="69">
        <f>E754+F754+G754+H754+I754+J754+K754+L754+M754+N754+O754</f>
        <v>0</v>
      </c>
      <c r="E754" s="83">
        <v>0</v>
      </c>
      <c r="F754" s="83">
        <v>0</v>
      </c>
      <c r="G754" s="83">
        <v>0</v>
      </c>
      <c r="H754" s="83">
        <v>0</v>
      </c>
      <c r="I754" s="83">
        <v>0</v>
      </c>
      <c r="J754" s="83">
        <v>0</v>
      </c>
      <c r="K754" s="83">
        <v>0</v>
      </c>
      <c r="L754" s="83">
        <v>0</v>
      </c>
      <c r="M754" s="83">
        <f>7018.9-7018.9</f>
        <v>0</v>
      </c>
      <c r="N754" s="83">
        <v>0</v>
      </c>
      <c r="O754" s="83">
        <v>0</v>
      </c>
      <c r="W754" s="83">
        <v>0</v>
      </c>
    </row>
    <row r="755" spans="1:23" ht="15.75" hidden="1" x14ac:dyDescent="0.2">
      <c r="A755" s="137"/>
      <c r="B755" s="137"/>
      <c r="C755" s="96" t="s">
        <v>12</v>
      </c>
      <c r="D755" s="69">
        <f t="shared" ref="D755:D758" si="426">E755+F755+G755+H755+I755+J755+K755+L755+M755+N755+O755</f>
        <v>0</v>
      </c>
      <c r="E755" s="83">
        <v>0</v>
      </c>
      <c r="F755" s="83">
        <v>0</v>
      </c>
      <c r="G755" s="83">
        <v>0</v>
      </c>
      <c r="H755" s="83">
        <v>0</v>
      </c>
      <c r="I755" s="83">
        <v>0</v>
      </c>
      <c r="J755" s="83">
        <v>0</v>
      </c>
      <c r="K755" s="83">
        <v>0</v>
      </c>
      <c r="L755" s="83">
        <f>4928.6-2120.3-2808.3</f>
        <v>0</v>
      </c>
      <c r="M755" s="83">
        <f>448-448</f>
        <v>0</v>
      </c>
      <c r="N755" s="83">
        <v>0</v>
      </c>
      <c r="O755" s="83">
        <v>0</v>
      </c>
      <c r="W755" s="83">
        <v>0</v>
      </c>
    </row>
    <row r="756" spans="1:23" ht="30.75" hidden="1" customHeight="1" x14ac:dyDescent="0.2">
      <c r="A756" s="137"/>
      <c r="B756" s="137"/>
      <c r="C756" s="96" t="s">
        <v>13</v>
      </c>
      <c r="D756" s="69">
        <f t="shared" si="426"/>
        <v>0</v>
      </c>
      <c r="E756" s="83">
        <v>0</v>
      </c>
      <c r="F756" s="83">
        <v>0</v>
      </c>
      <c r="G756" s="83">
        <v>0</v>
      </c>
      <c r="H756" s="83">
        <v>0</v>
      </c>
      <c r="I756" s="83">
        <v>0</v>
      </c>
      <c r="J756" s="83">
        <v>0</v>
      </c>
      <c r="K756" s="83">
        <v>0</v>
      </c>
      <c r="L756" s="83">
        <v>0</v>
      </c>
      <c r="M756" s="83">
        <v>0</v>
      </c>
      <c r="N756" s="83">
        <v>0</v>
      </c>
      <c r="O756" s="83">
        <v>0</v>
      </c>
      <c r="W756" s="83">
        <v>0</v>
      </c>
    </row>
    <row r="757" spans="1:23" ht="15.75" x14ac:dyDescent="0.2">
      <c r="A757" s="137" t="s">
        <v>449</v>
      </c>
      <c r="B757" s="137" t="s">
        <v>458</v>
      </c>
      <c r="C757" s="101" t="s">
        <v>7</v>
      </c>
      <c r="D757" s="69">
        <f t="shared" si="426"/>
        <v>28900</v>
      </c>
      <c r="E757" s="69">
        <f>E758+E759+E760+E761</f>
        <v>0</v>
      </c>
      <c r="F757" s="69">
        <f t="shared" ref="F757:M757" si="427">F758+F759+F760+F761</f>
        <v>0</v>
      </c>
      <c r="G757" s="69">
        <f t="shared" si="427"/>
        <v>0</v>
      </c>
      <c r="H757" s="69">
        <f t="shared" si="427"/>
        <v>0</v>
      </c>
      <c r="I757" s="69">
        <f t="shared" si="427"/>
        <v>0</v>
      </c>
      <c r="J757" s="69">
        <f t="shared" si="427"/>
        <v>0</v>
      </c>
      <c r="K757" s="69">
        <f t="shared" si="427"/>
        <v>0</v>
      </c>
      <c r="L757" s="69">
        <f t="shared" si="427"/>
        <v>0</v>
      </c>
      <c r="M757" s="69">
        <f t="shared" si="427"/>
        <v>0</v>
      </c>
      <c r="N757" s="69">
        <f>N763+N764</f>
        <v>28900</v>
      </c>
      <c r="O757" s="69">
        <f t="shared" ref="O757" si="428">O758+O759+O760+O761</f>
        <v>0</v>
      </c>
      <c r="W757" s="69">
        <f t="shared" ref="W757" si="429">W758+W759+W760+W761</f>
        <v>0</v>
      </c>
    </row>
    <row r="758" spans="1:23" ht="15.75" x14ac:dyDescent="0.2">
      <c r="A758" s="144"/>
      <c r="B758" s="137"/>
      <c r="C758" s="96" t="s">
        <v>10</v>
      </c>
      <c r="D758" s="69">
        <f t="shared" si="426"/>
        <v>28900</v>
      </c>
      <c r="E758" s="69">
        <v>0</v>
      </c>
      <c r="F758" s="69">
        <v>0</v>
      </c>
      <c r="G758" s="69">
        <v>0</v>
      </c>
      <c r="H758" s="69">
        <v>0</v>
      </c>
      <c r="I758" s="69">
        <v>0</v>
      </c>
      <c r="J758" s="69">
        <v>0</v>
      </c>
      <c r="K758" s="69">
        <v>0</v>
      </c>
      <c r="L758" s="69">
        <v>0</v>
      </c>
      <c r="M758" s="69">
        <v>0</v>
      </c>
      <c r="N758" s="69">
        <f>N763</f>
        <v>28900</v>
      </c>
      <c r="O758" s="69">
        <v>0</v>
      </c>
      <c r="W758" s="69">
        <v>0</v>
      </c>
    </row>
    <row r="759" spans="1:23" ht="15.75" x14ac:dyDescent="0.2">
      <c r="A759" s="144"/>
      <c r="B759" s="137"/>
      <c r="C759" s="96" t="s">
        <v>11</v>
      </c>
      <c r="D759" s="69">
        <f>E759+F759+G759+H759+I759+J759+K759+L759+M759+N759+O759</f>
        <v>0</v>
      </c>
      <c r="E759" s="69">
        <v>0</v>
      </c>
      <c r="F759" s="69">
        <v>0</v>
      </c>
      <c r="G759" s="69">
        <v>0</v>
      </c>
      <c r="H759" s="69">
        <v>0</v>
      </c>
      <c r="I759" s="69">
        <v>0</v>
      </c>
      <c r="J759" s="69">
        <v>0</v>
      </c>
      <c r="K759" s="69">
        <v>0</v>
      </c>
      <c r="L759" s="69">
        <v>0</v>
      </c>
      <c r="M759" s="69">
        <f>M764</f>
        <v>0</v>
      </c>
      <c r="N759" s="69">
        <f>N764</f>
        <v>0</v>
      </c>
      <c r="O759" s="69">
        <v>0</v>
      </c>
      <c r="W759" s="69">
        <v>0</v>
      </c>
    </row>
    <row r="760" spans="1:23" ht="15.75" x14ac:dyDescent="0.2">
      <c r="A760" s="144"/>
      <c r="B760" s="137"/>
      <c r="C760" s="96" t="s">
        <v>12</v>
      </c>
      <c r="D760" s="69">
        <f t="shared" ref="D760:D763" si="430">E760+F760+G760+H760+I760+J760+K760+L760+M760+N760+O760</f>
        <v>0</v>
      </c>
      <c r="E760" s="69">
        <v>0</v>
      </c>
      <c r="F760" s="69">
        <v>0</v>
      </c>
      <c r="G760" s="69">
        <v>0</v>
      </c>
      <c r="H760" s="69">
        <v>0</v>
      </c>
      <c r="I760" s="69">
        <v>0</v>
      </c>
      <c r="J760" s="69">
        <v>0</v>
      </c>
      <c r="K760" s="69">
        <v>0</v>
      </c>
      <c r="L760" s="69">
        <v>0</v>
      </c>
      <c r="M760" s="69">
        <f>M765</f>
        <v>0</v>
      </c>
      <c r="N760" s="69">
        <f>N765</f>
        <v>0</v>
      </c>
      <c r="O760" s="69">
        <v>0</v>
      </c>
      <c r="W760" s="69">
        <v>0</v>
      </c>
    </row>
    <row r="761" spans="1:23" ht="32.25" customHeight="1" x14ac:dyDescent="0.2">
      <c r="A761" s="144"/>
      <c r="B761" s="137"/>
      <c r="C761" s="96" t="s">
        <v>13</v>
      </c>
      <c r="D761" s="69">
        <f t="shared" si="430"/>
        <v>0</v>
      </c>
      <c r="E761" s="69">
        <v>0</v>
      </c>
      <c r="F761" s="69">
        <v>0</v>
      </c>
      <c r="G761" s="69">
        <v>0</v>
      </c>
      <c r="H761" s="69">
        <v>0</v>
      </c>
      <c r="I761" s="69">
        <v>0</v>
      </c>
      <c r="J761" s="69">
        <v>0</v>
      </c>
      <c r="K761" s="69">
        <v>0</v>
      </c>
      <c r="L761" s="69">
        <v>0</v>
      </c>
      <c r="M761" s="69">
        <v>0</v>
      </c>
      <c r="N761" s="69">
        <v>0</v>
      </c>
      <c r="O761" s="69">
        <v>0</v>
      </c>
      <c r="W761" s="69">
        <v>0</v>
      </c>
    </row>
    <row r="762" spans="1:23" ht="33.75" customHeight="1" x14ac:dyDescent="0.2">
      <c r="A762" s="137" t="s">
        <v>478</v>
      </c>
      <c r="B762" s="137" t="s">
        <v>461</v>
      </c>
      <c r="C762" s="101" t="s">
        <v>7</v>
      </c>
      <c r="D762" s="69">
        <f t="shared" si="430"/>
        <v>28900</v>
      </c>
      <c r="E762" s="69">
        <f>E763+E764+E765+E766</f>
        <v>0</v>
      </c>
      <c r="F762" s="69">
        <f t="shared" ref="F762:O762" si="431">F763+F764+F765+F766</f>
        <v>0</v>
      </c>
      <c r="G762" s="69">
        <f t="shared" si="431"/>
        <v>0</v>
      </c>
      <c r="H762" s="69">
        <f t="shared" si="431"/>
        <v>0</v>
      </c>
      <c r="I762" s="69">
        <f t="shared" si="431"/>
        <v>0</v>
      </c>
      <c r="J762" s="69">
        <f t="shared" si="431"/>
        <v>0</v>
      </c>
      <c r="K762" s="69">
        <f t="shared" si="431"/>
        <v>0</v>
      </c>
      <c r="L762" s="69">
        <f t="shared" si="431"/>
        <v>0</v>
      </c>
      <c r="M762" s="69">
        <f t="shared" si="431"/>
        <v>0</v>
      </c>
      <c r="N762" s="69">
        <f t="shared" si="431"/>
        <v>28900</v>
      </c>
      <c r="O762" s="69">
        <f t="shared" si="431"/>
        <v>0</v>
      </c>
      <c r="W762" s="69">
        <f t="shared" ref="W762" si="432">W763+W764+W765+W766</f>
        <v>0</v>
      </c>
    </row>
    <row r="763" spans="1:23" ht="18.75" customHeight="1" x14ac:dyDescent="0.2">
      <c r="A763" s="144"/>
      <c r="B763" s="137"/>
      <c r="C763" s="96" t="s">
        <v>10</v>
      </c>
      <c r="D763" s="69">
        <f t="shared" si="430"/>
        <v>28900</v>
      </c>
      <c r="E763" s="69">
        <v>0</v>
      </c>
      <c r="F763" s="69">
        <v>0</v>
      </c>
      <c r="G763" s="69">
        <v>0</v>
      </c>
      <c r="H763" s="69">
        <v>0</v>
      </c>
      <c r="I763" s="69">
        <v>0</v>
      </c>
      <c r="J763" s="69">
        <v>0</v>
      </c>
      <c r="K763" s="69">
        <v>0</v>
      </c>
      <c r="L763" s="69">
        <v>0</v>
      </c>
      <c r="M763" s="69">
        <v>0</v>
      </c>
      <c r="N763" s="69">
        <v>28900</v>
      </c>
      <c r="O763" s="69">
        <v>0</v>
      </c>
      <c r="W763" s="69">
        <v>0</v>
      </c>
    </row>
    <row r="764" spans="1:23" ht="18.75" customHeight="1" x14ac:dyDescent="0.2">
      <c r="A764" s="144"/>
      <c r="B764" s="137"/>
      <c r="C764" s="96" t="s">
        <v>11</v>
      </c>
      <c r="D764" s="69">
        <f>E764+F764+G764+H764+I764+J764+K764+L764+M764+N764+O764</f>
        <v>0</v>
      </c>
      <c r="E764" s="69">
        <v>0</v>
      </c>
      <c r="F764" s="69">
        <v>0</v>
      </c>
      <c r="G764" s="69">
        <v>0</v>
      </c>
      <c r="H764" s="69">
        <v>0</v>
      </c>
      <c r="I764" s="69">
        <v>0</v>
      </c>
      <c r="J764" s="69">
        <v>0</v>
      </c>
      <c r="K764" s="69">
        <v>0</v>
      </c>
      <c r="L764" s="69">
        <v>0</v>
      </c>
      <c r="M764" s="69">
        <v>0</v>
      </c>
      <c r="N764" s="69">
        <v>0</v>
      </c>
      <c r="O764" s="69">
        <v>0</v>
      </c>
      <c r="W764" s="69">
        <v>0</v>
      </c>
    </row>
    <row r="765" spans="1:23" ht="18.75" customHeight="1" x14ac:dyDescent="0.2">
      <c r="A765" s="144"/>
      <c r="B765" s="137"/>
      <c r="C765" s="96" t="s">
        <v>12</v>
      </c>
      <c r="D765" s="69">
        <f t="shared" ref="D765:D771" si="433">E765+F765+G765+H765+I765+J765+K765+L765+M765+N765+O765</f>
        <v>0</v>
      </c>
      <c r="E765" s="69">
        <v>0</v>
      </c>
      <c r="F765" s="69">
        <v>0</v>
      </c>
      <c r="G765" s="69">
        <v>0</v>
      </c>
      <c r="H765" s="69">
        <v>0</v>
      </c>
      <c r="I765" s="69">
        <v>0</v>
      </c>
      <c r="J765" s="69">
        <v>0</v>
      </c>
      <c r="K765" s="69">
        <v>0</v>
      </c>
      <c r="L765" s="69">
        <v>0</v>
      </c>
      <c r="M765" s="69">
        <v>0</v>
      </c>
      <c r="N765" s="69">
        <v>0</v>
      </c>
      <c r="O765" s="69">
        <v>0</v>
      </c>
      <c r="W765" s="69">
        <v>0</v>
      </c>
    </row>
    <row r="766" spans="1:23" ht="30.75" customHeight="1" x14ac:dyDescent="0.2">
      <c r="A766" s="144"/>
      <c r="B766" s="137"/>
      <c r="C766" s="96" t="s">
        <v>13</v>
      </c>
      <c r="D766" s="69">
        <f t="shared" si="433"/>
        <v>0</v>
      </c>
      <c r="E766" s="69">
        <v>0</v>
      </c>
      <c r="F766" s="69">
        <v>0</v>
      </c>
      <c r="G766" s="69">
        <v>0</v>
      </c>
      <c r="H766" s="69">
        <v>0</v>
      </c>
      <c r="I766" s="69">
        <v>0</v>
      </c>
      <c r="J766" s="69">
        <v>0</v>
      </c>
      <c r="K766" s="69">
        <v>0</v>
      </c>
      <c r="L766" s="69">
        <v>0</v>
      </c>
      <c r="M766" s="69">
        <v>0</v>
      </c>
      <c r="N766" s="69">
        <v>0</v>
      </c>
      <c r="O766" s="69">
        <v>0</v>
      </c>
      <c r="W766" s="69">
        <v>0</v>
      </c>
    </row>
    <row r="767" spans="1:23" ht="18.75" hidden="1" customHeight="1" x14ac:dyDescent="0.2">
      <c r="A767" s="138" t="s">
        <v>471</v>
      </c>
      <c r="B767" s="138" t="s">
        <v>462</v>
      </c>
      <c r="C767" s="96" t="s">
        <v>7</v>
      </c>
      <c r="D767" s="69">
        <f t="shared" si="433"/>
        <v>1923.2</v>
      </c>
      <c r="E767" s="69">
        <f>E768+E769+E770+E771</f>
        <v>0</v>
      </c>
      <c r="F767" s="69">
        <f t="shared" ref="F767:O767" si="434">F768+F769+F770+F771</f>
        <v>0</v>
      </c>
      <c r="G767" s="69">
        <f t="shared" si="434"/>
        <v>0</v>
      </c>
      <c r="H767" s="69">
        <f t="shared" si="434"/>
        <v>0</v>
      </c>
      <c r="I767" s="69">
        <f t="shared" si="434"/>
        <v>0</v>
      </c>
      <c r="J767" s="69">
        <f t="shared" si="434"/>
        <v>0</v>
      </c>
      <c r="K767" s="69">
        <f t="shared" si="434"/>
        <v>0</v>
      </c>
      <c r="L767" s="69">
        <f t="shared" si="434"/>
        <v>0</v>
      </c>
      <c r="M767" s="69">
        <f t="shared" si="434"/>
        <v>1923.2</v>
      </c>
      <c r="N767" s="69">
        <f t="shared" si="434"/>
        <v>0</v>
      </c>
      <c r="O767" s="69">
        <f t="shared" si="434"/>
        <v>0</v>
      </c>
      <c r="W767" s="69">
        <f t="shared" ref="W767" si="435">W768+W769+W770+W771</f>
        <v>0</v>
      </c>
    </row>
    <row r="768" spans="1:23" ht="18.75" hidden="1" customHeight="1" x14ac:dyDescent="0.2">
      <c r="A768" s="139"/>
      <c r="B768" s="139"/>
      <c r="C768" s="96" t="s">
        <v>10</v>
      </c>
      <c r="D768" s="69">
        <f t="shared" si="433"/>
        <v>0</v>
      </c>
      <c r="E768" s="69">
        <v>0</v>
      </c>
      <c r="F768" s="69">
        <v>0</v>
      </c>
      <c r="G768" s="69">
        <v>0</v>
      </c>
      <c r="H768" s="69">
        <v>0</v>
      </c>
      <c r="I768" s="69">
        <v>0</v>
      </c>
      <c r="J768" s="69">
        <v>0</v>
      </c>
      <c r="K768" s="69">
        <v>0</v>
      </c>
      <c r="L768" s="69">
        <v>0</v>
      </c>
      <c r="M768" s="69">
        <v>0</v>
      </c>
      <c r="N768" s="69">
        <v>0</v>
      </c>
      <c r="O768" s="69">
        <v>0</v>
      </c>
      <c r="W768" s="69">
        <v>0</v>
      </c>
    </row>
    <row r="769" spans="1:23" ht="18.75" hidden="1" customHeight="1" x14ac:dyDescent="0.2">
      <c r="A769" s="139"/>
      <c r="B769" s="139"/>
      <c r="C769" s="96" t="s">
        <v>11</v>
      </c>
      <c r="D769" s="69">
        <f t="shared" si="433"/>
        <v>0</v>
      </c>
      <c r="E769" s="69">
        <v>0</v>
      </c>
      <c r="F769" s="69">
        <v>0</v>
      </c>
      <c r="G769" s="69">
        <v>0</v>
      </c>
      <c r="H769" s="69">
        <v>0</v>
      </c>
      <c r="I769" s="69">
        <v>0</v>
      </c>
      <c r="J769" s="69">
        <v>0</v>
      </c>
      <c r="K769" s="69">
        <v>0</v>
      </c>
      <c r="L769" s="69">
        <v>0</v>
      </c>
      <c r="M769" s="69">
        <v>0</v>
      </c>
      <c r="N769" s="69">
        <v>0</v>
      </c>
      <c r="O769" s="69">
        <v>0</v>
      </c>
      <c r="W769" s="69">
        <v>0</v>
      </c>
    </row>
    <row r="770" spans="1:23" ht="18.75" hidden="1" customHeight="1" x14ac:dyDescent="0.2">
      <c r="A770" s="139"/>
      <c r="B770" s="139"/>
      <c r="C770" s="96" t="s">
        <v>12</v>
      </c>
      <c r="D770" s="69">
        <f t="shared" si="433"/>
        <v>1923.2</v>
      </c>
      <c r="E770" s="69">
        <v>0</v>
      </c>
      <c r="F770" s="69">
        <v>0</v>
      </c>
      <c r="G770" s="69">
        <v>0</v>
      </c>
      <c r="H770" s="69">
        <v>0</v>
      </c>
      <c r="I770" s="69">
        <v>0</v>
      </c>
      <c r="J770" s="69">
        <v>0</v>
      </c>
      <c r="K770" s="69">
        <v>0</v>
      </c>
      <c r="L770" s="69">
        <v>0</v>
      </c>
      <c r="M770" s="69">
        <f>1923.2-1923.2+1923.2</f>
        <v>1923.2</v>
      </c>
      <c r="N770" s="69">
        <v>0</v>
      </c>
      <c r="O770" s="69">
        <v>0</v>
      </c>
      <c r="W770" s="69">
        <v>0</v>
      </c>
    </row>
    <row r="771" spans="1:23" ht="36.75" hidden="1" customHeight="1" x14ac:dyDescent="0.2">
      <c r="A771" s="140"/>
      <c r="B771" s="140"/>
      <c r="C771" s="96" t="s">
        <v>13</v>
      </c>
      <c r="D771" s="69">
        <f t="shared" si="433"/>
        <v>0</v>
      </c>
      <c r="E771" s="69">
        <v>0</v>
      </c>
      <c r="F771" s="69">
        <v>0</v>
      </c>
      <c r="G771" s="69">
        <v>0</v>
      </c>
      <c r="H771" s="69">
        <v>0</v>
      </c>
      <c r="I771" s="69">
        <v>0</v>
      </c>
      <c r="J771" s="69">
        <v>0</v>
      </c>
      <c r="K771" s="69">
        <v>0</v>
      </c>
      <c r="L771" s="69">
        <v>0</v>
      </c>
      <c r="M771" s="69">
        <v>0</v>
      </c>
      <c r="N771" s="69">
        <v>0</v>
      </c>
      <c r="O771" s="69">
        <v>0</v>
      </c>
      <c r="W771" s="69">
        <v>0</v>
      </c>
    </row>
    <row r="772" spans="1:23" ht="15.75" hidden="1" x14ac:dyDescent="0.2">
      <c r="A772" s="138" t="s">
        <v>468</v>
      </c>
      <c r="B772" s="141" t="s">
        <v>463</v>
      </c>
      <c r="C772" s="96" t="s">
        <v>7</v>
      </c>
      <c r="D772" s="69">
        <f t="shared" ref="D772:D776" si="436">E772+F772+G772+H772+I772+J772+K772+L772+M772+N772+O772</f>
        <v>0</v>
      </c>
      <c r="E772" s="69">
        <f>E773+E774+E775+E776</f>
        <v>0</v>
      </c>
      <c r="F772" s="69">
        <f t="shared" ref="F772:O772" si="437">F773+F774+F775+F776</f>
        <v>0</v>
      </c>
      <c r="G772" s="69">
        <f t="shared" si="437"/>
        <v>0</v>
      </c>
      <c r="H772" s="69">
        <f t="shared" si="437"/>
        <v>0</v>
      </c>
      <c r="I772" s="69">
        <f t="shared" si="437"/>
        <v>0</v>
      </c>
      <c r="J772" s="69">
        <f t="shared" si="437"/>
        <v>0</v>
      </c>
      <c r="K772" s="69">
        <f t="shared" si="437"/>
        <v>0</v>
      </c>
      <c r="L772" s="69">
        <f t="shared" si="437"/>
        <v>0</v>
      </c>
      <c r="M772" s="69">
        <f t="shared" si="437"/>
        <v>0</v>
      </c>
      <c r="N772" s="69">
        <f t="shared" si="437"/>
        <v>0</v>
      </c>
      <c r="O772" s="69">
        <f t="shared" si="437"/>
        <v>0</v>
      </c>
      <c r="W772" s="69">
        <f t="shared" ref="W772" si="438">W773+W774+W775+W776</f>
        <v>0</v>
      </c>
    </row>
    <row r="773" spans="1:23" ht="15.75" hidden="1" x14ac:dyDescent="0.2">
      <c r="A773" s="139"/>
      <c r="B773" s="142"/>
      <c r="C773" s="96" t="s">
        <v>10</v>
      </c>
      <c r="D773" s="69">
        <f t="shared" si="436"/>
        <v>0</v>
      </c>
      <c r="E773" s="69">
        <v>0</v>
      </c>
      <c r="F773" s="69">
        <v>0</v>
      </c>
      <c r="G773" s="69">
        <v>0</v>
      </c>
      <c r="H773" s="69">
        <v>0</v>
      </c>
      <c r="I773" s="69">
        <v>0</v>
      </c>
      <c r="J773" s="69">
        <v>0</v>
      </c>
      <c r="K773" s="69">
        <v>0</v>
      </c>
      <c r="L773" s="69">
        <v>0</v>
      </c>
      <c r="M773" s="69">
        <v>0</v>
      </c>
      <c r="N773" s="69">
        <v>0</v>
      </c>
      <c r="O773" s="69">
        <v>0</v>
      </c>
      <c r="W773" s="69">
        <v>0</v>
      </c>
    </row>
    <row r="774" spans="1:23" ht="15.75" hidden="1" x14ac:dyDescent="0.2">
      <c r="A774" s="139"/>
      <c r="B774" s="142"/>
      <c r="C774" s="96" t="s">
        <v>11</v>
      </c>
      <c r="D774" s="69">
        <f t="shared" si="436"/>
        <v>0</v>
      </c>
      <c r="E774" s="69">
        <v>0</v>
      </c>
      <c r="F774" s="69">
        <v>0</v>
      </c>
      <c r="G774" s="69">
        <v>0</v>
      </c>
      <c r="H774" s="69">
        <v>0</v>
      </c>
      <c r="I774" s="69">
        <v>0</v>
      </c>
      <c r="J774" s="69">
        <v>0</v>
      </c>
      <c r="K774" s="69">
        <v>0</v>
      </c>
      <c r="L774" s="69">
        <v>0</v>
      </c>
      <c r="M774" s="69">
        <v>0</v>
      </c>
      <c r="N774" s="69">
        <v>0</v>
      </c>
      <c r="O774" s="69">
        <v>0</v>
      </c>
      <c r="W774" s="69">
        <v>0</v>
      </c>
    </row>
    <row r="775" spans="1:23" ht="15.75" hidden="1" x14ac:dyDescent="0.2">
      <c r="A775" s="139"/>
      <c r="B775" s="142"/>
      <c r="C775" s="96" t="s">
        <v>12</v>
      </c>
      <c r="D775" s="69">
        <f t="shared" si="436"/>
        <v>0</v>
      </c>
      <c r="E775" s="69">
        <v>0</v>
      </c>
      <c r="F775" s="69">
        <v>0</v>
      </c>
      <c r="G775" s="69">
        <v>0</v>
      </c>
      <c r="H775" s="69">
        <v>0</v>
      </c>
      <c r="I775" s="69">
        <v>0</v>
      </c>
      <c r="J775" s="69">
        <v>0</v>
      </c>
      <c r="K775" s="69">
        <v>0</v>
      </c>
      <c r="L775" s="69">
        <v>0</v>
      </c>
      <c r="M775" s="69">
        <v>0</v>
      </c>
      <c r="N775" s="69">
        <f>2592.8-2592.8</f>
        <v>0</v>
      </c>
      <c r="O775" s="69">
        <v>0</v>
      </c>
      <c r="W775" s="69">
        <v>0</v>
      </c>
    </row>
    <row r="776" spans="1:23" ht="15.75" hidden="1" x14ac:dyDescent="0.2">
      <c r="A776" s="140"/>
      <c r="B776" s="143"/>
      <c r="C776" s="96" t="s">
        <v>13</v>
      </c>
      <c r="D776" s="69">
        <f t="shared" si="436"/>
        <v>0</v>
      </c>
      <c r="E776" s="69">
        <v>0</v>
      </c>
      <c r="F776" s="69">
        <v>0</v>
      </c>
      <c r="G776" s="69">
        <v>0</v>
      </c>
      <c r="H776" s="69">
        <v>0</v>
      </c>
      <c r="I776" s="69">
        <v>0</v>
      </c>
      <c r="J776" s="69">
        <v>0</v>
      </c>
      <c r="K776" s="69">
        <v>0</v>
      </c>
      <c r="L776" s="69">
        <v>0</v>
      </c>
      <c r="M776" s="69">
        <v>0</v>
      </c>
      <c r="N776" s="69">
        <v>0</v>
      </c>
      <c r="O776" s="69">
        <v>0</v>
      </c>
      <c r="W776" s="69">
        <v>0</v>
      </c>
    </row>
    <row r="777" spans="1:23" ht="15.75" x14ac:dyDescent="0.2">
      <c r="A777" s="138" t="s">
        <v>282</v>
      </c>
      <c r="B777" s="137" t="s">
        <v>283</v>
      </c>
      <c r="C777" s="96" t="s">
        <v>7</v>
      </c>
      <c r="D777" s="69">
        <f t="shared" si="386"/>
        <v>1051238.5000000002</v>
      </c>
      <c r="E777" s="69">
        <f t="shared" ref="E777:O777" si="439">E778+E779+E781+E783</f>
        <v>0</v>
      </c>
      <c r="F777" s="69">
        <f t="shared" si="439"/>
        <v>0</v>
      </c>
      <c r="G777" s="69">
        <f t="shared" si="439"/>
        <v>0</v>
      </c>
      <c r="H777" s="69">
        <f t="shared" si="439"/>
        <v>0</v>
      </c>
      <c r="I777" s="69">
        <f t="shared" si="439"/>
        <v>52500</v>
      </c>
      <c r="J777" s="69">
        <f>J778+J779+J781+J783</f>
        <v>227517.2</v>
      </c>
      <c r="K777" s="69">
        <f t="shared" si="439"/>
        <v>393667.4</v>
      </c>
      <c r="L777" s="69">
        <f t="shared" si="439"/>
        <v>208770.3</v>
      </c>
      <c r="M777" s="69">
        <f t="shared" si="439"/>
        <v>94734.8</v>
      </c>
      <c r="N777" s="69">
        <f t="shared" si="439"/>
        <v>74048.800000000003</v>
      </c>
      <c r="O777" s="69">
        <f t="shared" si="439"/>
        <v>0</v>
      </c>
      <c r="W777" s="69">
        <f t="shared" ref="W777" si="440">W778+W779+W781+W783</f>
        <v>0</v>
      </c>
    </row>
    <row r="778" spans="1:23" ht="33" customHeight="1" x14ac:dyDescent="0.2">
      <c r="A778" s="159"/>
      <c r="B778" s="155"/>
      <c r="C778" s="96" t="s">
        <v>10</v>
      </c>
      <c r="D778" s="69">
        <f t="shared" si="386"/>
        <v>0</v>
      </c>
      <c r="E778" s="69">
        <f>E785</f>
        <v>0</v>
      </c>
      <c r="F778" s="69">
        <f t="shared" ref="F778:K778" si="441">F785</f>
        <v>0</v>
      </c>
      <c r="G778" s="69">
        <f t="shared" si="441"/>
        <v>0</v>
      </c>
      <c r="H778" s="69">
        <f t="shared" si="441"/>
        <v>0</v>
      </c>
      <c r="I778" s="69">
        <f t="shared" si="441"/>
        <v>0</v>
      </c>
      <c r="J778" s="69">
        <f>J785</f>
        <v>0</v>
      </c>
      <c r="K778" s="69">
        <f t="shared" si="441"/>
        <v>0</v>
      </c>
      <c r="L778" s="69">
        <f>L818+L828+L841+L857+L868+L875</f>
        <v>0</v>
      </c>
      <c r="M778" s="69">
        <f>M818+M828+M841+M857+M868+M875</f>
        <v>0</v>
      </c>
      <c r="N778" s="69">
        <f>N818+N828+N841+N857+N868+N875</f>
        <v>0</v>
      </c>
      <c r="O778" s="69">
        <f>O818+O828+O841+O857+O868+O875</f>
        <v>0</v>
      </c>
      <c r="W778" s="69">
        <f>W818+W828+W841+W857+W868+W875</f>
        <v>0</v>
      </c>
    </row>
    <row r="779" spans="1:23" ht="31.5" x14ac:dyDescent="0.2">
      <c r="A779" s="159"/>
      <c r="B779" s="155"/>
      <c r="C779" s="96" t="s">
        <v>69</v>
      </c>
      <c r="D779" s="69">
        <f t="shared" si="386"/>
        <v>919561.10000000009</v>
      </c>
      <c r="E779" s="69">
        <f t="shared" ref="E779:O779" si="442">E786</f>
        <v>0</v>
      </c>
      <c r="F779" s="69">
        <f t="shared" si="442"/>
        <v>0</v>
      </c>
      <c r="G779" s="69">
        <f t="shared" si="442"/>
        <v>0</v>
      </c>
      <c r="H779" s="69">
        <f t="shared" si="442"/>
        <v>0</v>
      </c>
      <c r="I779" s="69">
        <f t="shared" si="442"/>
        <v>50000</v>
      </c>
      <c r="J779" s="69">
        <f>J786</f>
        <v>213866.1</v>
      </c>
      <c r="K779" s="69">
        <f t="shared" si="442"/>
        <v>368985.2</v>
      </c>
      <c r="L779" s="69">
        <f t="shared" si="442"/>
        <v>195620.5</v>
      </c>
      <c r="M779" s="69">
        <f t="shared" si="442"/>
        <v>78922.3</v>
      </c>
      <c r="N779" s="69">
        <f t="shared" si="442"/>
        <v>12167</v>
      </c>
      <c r="O779" s="69">
        <f t="shared" si="442"/>
        <v>0</v>
      </c>
      <c r="W779" s="69">
        <f t="shared" ref="W779" si="443">W786</f>
        <v>0</v>
      </c>
    </row>
    <row r="780" spans="1:23" ht="31.5" x14ac:dyDescent="0.2">
      <c r="A780" s="159"/>
      <c r="B780" s="155"/>
      <c r="C780" s="72" t="s">
        <v>81</v>
      </c>
      <c r="D780" s="71">
        <f t="shared" ref="D780" si="444">E780+F780+G780+H780+I780+J780+K780+L780+M780+N780+O780</f>
        <v>8579.9</v>
      </c>
      <c r="E780" s="71">
        <v>0</v>
      </c>
      <c r="F780" s="71">
        <v>0</v>
      </c>
      <c r="G780" s="71">
        <v>0</v>
      </c>
      <c r="H780" s="71">
        <v>0</v>
      </c>
      <c r="I780" s="71">
        <v>0</v>
      </c>
      <c r="J780" s="71">
        <v>0</v>
      </c>
      <c r="K780" s="71">
        <v>0</v>
      </c>
      <c r="L780" s="71">
        <v>0</v>
      </c>
      <c r="M780" s="71">
        <f>M787</f>
        <v>8579.9</v>
      </c>
      <c r="N780" s="69">
        <v>0</v>
      </c>
      <c r="O780" s="69">
        <v>0</v>
      </c>
      <c r="W780" s="69">
        <v>0</v>
      </c>
    </row>
    <row r="781" spans="1:23" ht="31.5" x14ac:dyDescent="0.2">
      <c r="A781" s="159"/>
      <c r="B781" s="155"/>
      <c r="C781" s="96" t="s">
        <v>65</v>
      </c>
      <c r="D781" s="69">
        <f t="shared" ref="D781:D793" si="445">E781+F781+G781+H781+I781+J781+K781+L781+M781+N781+O781</f>
        <v>131677.40000000002</v>
      </c>
      <c r="E781" s="69">
        <f t="shared" ref="E781:O781" si="446">E788</f>
        <v>0</v>
      </c>
      <c r="F781" s="69">
        <f t="shared" si="446"/>
        <v>0</v>
      </c>
      <c r="G781" s="69">
        <f t="shared" si="446"/>
        <v>0</v>
      </c>
      <c r="H781" s="69">
        <f t="shared" si="446"/>
        <v>0</v>
      </c>
      <c r="I781" s="69">
        <f t="shared" si="446"/>
        <v>2500</v>
      </c>
      <c r="J781" s="69">
        <f>J788</f>
        <v>13651.1</v>
      </c>
      <c r="K781" s="69">
        <f t="shared" si="446"/>
        <v>24682.2</v>
      </c>
      <c r="L781" s="69">
        <f t="shared" si="446"/>
        <v>13149.8</v>
      </c>
      <c r="M781" s="69">
        <f>M788</f>
        <v>15812.5</v>
      </c>
      <c r="N781" s="69">
        <f t="shared" si="446"/>
        <v>61881.8</v>
      </c>
      <c r="O781" s="69">
        <f t="shared" si="446"/>
        <v>0</v>
      </c>
      <c r="W781" s="69">
        <f t="shared" ref="W781" si="447">W788</f>
        <v>0</v>
      </c>
    </row>
    <row r="782" spans="1:23" ht="30" customHeight="1" x14ac:dyDescent="0.2">
      <c r="A782" s="159"/>
      <c r="B782" s="155"/>
      <c r="C782" s="72" t="s">
        <v>448</v>
      </c>
      <c r="D782" s="71">
        <f t="shared" ref="D782" si="448">E782+F782+G782+H782+I782+J782+K782+L782+M782+N782+O782</f>
        <v>547.70000000000005</v>
      </c>
      <c r="E782" s="71">
        <v>0</v>
      </c>
      <c r="F782" s="71">
        <v>0</v>
      </c>
      <c r="G782" s="71">
        <v>0</v>
      </c>
      <c r="H782" s="71">
        <v>0</v>
      </c>
      <c r="I782" s="71">
        <v>0</v>
      </c>
      <c r="J782" s="71">
        <v>0</v>
      </c>
      <c r="K782" s="71">
        <v>0</v>
      </c>
      <c r="L782" s="71">
        <v>0</v>
      </c>
      <c r="M782" s="71">
        <f>M789</f>
        <v>547.70000000000005</v>
      </c>
      <c r="N782" s="71">
        <v>0</v>
      </c>
      <c r="O782" s="71">
        <v>0</v>
      </c>
      <c r="W782" s="71">
        <v>0</v>
      </c>
    </row>
    <row r="783" spans="1:23" ht="15.75" x14ac:dyDescent="0.2">
      <c r="A783" s="160"/>
      <c r="B783" s="155"/>
      <c r="C783" s="96" t="s">
        <v>13</v>
      </c>
      <c r="D783" s="69">
        <f t="shared" si="445"/>
        <v>0</v>
      </c>
      <c r="E783" s="69">
        <f t="shared" ref="E783:K783" si="449">E790</f>
        <v>0</v>
      </c>
      <c r="F783" s="69">
        <f t="shared" si="449"/>
        <v>0</v>
      </c>
      <c r="G783" s="69">
        <f t="shared" si="449"/>
        <v>0</v>
      </c>
      <c r="H783" s="69">
        <f t="shared" si="449"/>
        <v>0</v>
      </c>
      <c r="I783" s="69">
        <f t="shared" si="449"/>
        <v>0</v>
      </c>
      <c r="J783" s="69">
        <f>J790</f>
        <v>0</v>
      </c>
      <c r="K783" s="69">
        <f t="shared" si="449"/>
        <v>0</v>
      </c>
      <c r="L783" s="69">
        <v>0</v>
      </c>
      <c r="M783" s="69">
        <v>0</v>
      </c>
      <c r="N783" s="69">
        <v>0</v>
      </c>
      <c r="O783" s="69">
        <v>0</v>
      </c>
      <c r="W783" s="69">
        <v>0</v>
      </c>
    </row>
    <row r="784" spans="1:23" ht="30" customHeight="1" x14ac:dyDescent="0.2">
      <c r="A784" s="137" t="s">
        <v>284</v>
      </c>
      <c r="B784" s="137" t="s">
        <v>285</v>
      </c>
      <c r="C784" s="96" t="s">
        <v>7</v>
      </c>
      <c r="D784" s="69">
        <f t="shared" si="445"/>
        <v>1051238.5000000002</v>
      </c>
      <c r="E784" s="69">
        <f t="shared" ref="E784:J784" si="450">E785+E786+E788+E790</f>
        <v>0</v>
      </c>
      <c r="F784" s="69">
        <f t="shared" si="450"/>
        <v>0</v>
      </c>
      <c r="G784" s="69">
        <f t="shared" si="450"/>
        <v>0</v>
      </c>
      <c r="H784" s="69">
        <f t="shared" si="450"/>
        <v>0</v>
      </c>
      <c r="I784" s="69">
        <f t="shared" si="450"/>
        <v>52500</v>
      </c>
      <c r="J784" s="69">
        <f t="shared" si="450"/>
        <v>227517.2</v>
      </c>
      <c r="K784" s="69">
        <f>K785+K786+K788+K790</f>
        <v>393667.4</v>
      </c>
      <c r="L784" s="69">
        <f t="shared" ref="L784:O784" si="451">L785+L786+L788+L790</f>
        <v>208770.3</v>
      </c>
      <c r="M784" s="69">
        <f>M785+M786+M788+M790</f>
        <v>94734.8</v>
      </c>
      <c r="N784" s="69">
        <f t="shared" si="451"/>
        <v>74048.800000000003</v>
      </c>
      <c r="O784" s="69">
        <f t="shared" si="451"/>
        <v>0</v>
      </c>
      <c r="W784" s="69">
        <f t="shared" ref="W784" si="452">W785+W786+W788+W790</f>
        <v>0</v>
      </c>
    </row>
    <row r="785" spans="1:23" ht="30.75" customHeight="1" x14ac:dyDescent="0.2">
      <c r="A785" s="137"/>
      <c r="B785" s="137"/>
      <c r="C785" s="96" t="s">
        <v>10</v>
      </c>
      <c r="D785" s="69">
        <f t="shared" si="445"/>
        <v>0</v>
      </c>
      <c r="E785" s="69">
        <f t="shared" ref="E785:K785" si="453">E823+E835+E846+E862+E873+E880</f>
        <v>0</v>
      </c>
      <c r="F785" s="69">
        <f t="shared" si="453"/>
        <v>0</v>
      </c>
      <c r="G785" s="69">
        <f t="shared" si="453"/>
        <v>0</v>
      </c>
      <c r="H785" s="69">
        <f t="shared" si="453"/>
        <v>0</v>
      </c>
      <c r="I785" s="69">
        <f t="shared" si="453"/>
        <v>0</v>
      </c>
      <c r="J785" s="69">
        <f t="shared" si="453"/>
        <v>0</v>
      </c>
      <c r="K785" s="69">
        <f t="shared" si="453"/>
        <v>0</v>
      </c>
      <c r="L785" s="69">
        <f>L823+L835+L846+L862+L873+L880</f>
        <v>0</v>
      </c>
      <c r="M785" s="69">
        <f>M823+M835+M846+M862+M873+M880</f>
        <v>0</v>
      </c>
      <c r="N785" s="69">
        <f>N823+N835+N846+N862+N873+N880</f>
        <v>0</v>
      </c>
      <c r="O785" s="69">
        <f>O823+O835+O846+O862+O873+O880</f>
        <v>0</v>
      </c>
      <c r="W785" s="69">
        <f>W823+W835+W846+W862+W873+W880</f>
        <v>0</v>
      </c>
    </row>
    <row r="786" spans="1:23" ht="34.5" customHeight="1" x14ac:dyDescent="0.2">
      <c r="A786" s="137"/>
      <c r="B786" s="137"/>
      <c r="C786" s="96" t="s">
        <v>69</v>
      </c>
      <c r="D786" s="69">
        <f t="shared" si="445"/>
        <v>919561.10000000009</v>
      </c>
      <c r="E786" s="69">
        <v>0</v>
      </c>
      <c r="F786" s="69">
        <v>0</v>
      </c>
      <c r="G786" s="69">
        <v>0</v>
      </c>
      <c r="H786" s="69">
        <v>0</v>
      </c>
      <c r="I786" s="69">
        <v>50000</v>
      </c>
      <c r="J786" s="69">
        <v>213866.1</v>
      </c>
      <c r="K786" s="69">
        <v>368985.2</v>
      </c>
      <c r="L786" s="69">
        <v>195620.5</v>
      </c>
      <c r="M786" s="69">
        <f>34491.5+42462.6+1968.2</f>
        <v>78922.3</v>
      </c>
      <c r="N786" s="69">
        <v>12167</v>
      </c>
      <c r="O786" s="69">
        <v>0</v>
      </c>
      <c r="W786" s="69">
        <v>0</v>
      </c>
    </row>
    <row r="787" spans="1:23" ht="30.75" customHeight="1" x14ac:dyDescent="0.2">
      <c r="A787" s="137"/>
      <c r="B787" s="137"/>
      <c r="C787" s="72" t="s">
        <v>81</v>
      </c>
      <c r="D787" s="71">
        <f t="shared" si="445"/>
        <v>8579.9</v>
      </c>
      <c r="E787" s="71">
        <v>0</v>
      </c>
      <c r="F787" s="71">
        <v>0</v>
      </c>
      <c r="G787" s="71">
        <v>0</v>
      </c>
      <c r="H787" s="71">
        <v>0</v>
      </c>
      <c r="I787" s="71">
        <v>0</v>
      </c>
      <c r="J787" s="71">
        <v>0</v>
      </c>
      <c r="K787" s="71">
        <v>0</v>
      </c>
      <c r="L787" s="71">
        <v>0</v>
      </c>
      <c r="M787" s="71">
        <v>8579.9</v>
      </c>
      <c r="N787" s="69">
        <v>0</v>
      </c>
      <c r="O787" s="69">
        <v>0</v>
      </c>
      <c r="W787" s="69">
        <v>0</v>
      </c>
    </row>
    <row r="788" spans="1:23" ht="33" customHeight="1" x14ac:dyDescent="0.2">
      <c r="A788" s="137"/>
      <c r="B788" s="137"/>
      <c r="C788" s="96" t="s">
        <v>65</v>
      </c>
      <c r="D788" s="69">
        <f t="shared" si="445"/>
        <v>131677.40000000002</v>
      </c>
      <c r="E788" s="69">
        <v>0</v>
      </c>
      <c r="F788" s="69">
        <v>0</v>
      </c>
      <c r="G788" s="69">
        <v>0</v>
      </c>
      <c r="H788" s="69">
        <v>0</v>
      </c>
      <c r="I788" s="69">
        <v>2500</v>
      </c>
      <c r="J788" s="69">
        <v>13651.1</v>
      </c>
      <c r="K788" s="69">
        <v>24682.2</v>
      </c>
      <c r="L788" s="69">
        <f>12486.4+663.4</f>
        <v>13149.8</v>
      </c>
      <c r="M788" s="69">
        <f>1481.6+4723.2+172.7+2710.4+2093.9-1968.3+4958.1-70.5+1711.4</f>
        <v>15812.5</v>
      </c>
      <c r="N788" s="57">
        <f>776.6+18338.8+42766.4</f>
        <v>61881.8</v>
      </c>
      <c r="O788" s="69">
        <v>0</v>
      </c>
      <c r="W788" s="69">
        <v>0</v>
      </c>
    </row>
    <row r="789" spans="1:23" ht="34.5" customHeight="1" x14ac:dyDescent="0.2">
      <c r="A789" s="137"/>
      <c r="B789" s="137"/>
      <c r="C789" s="72" t="s">
        <v>448</v>
      </c>
      <c r="D789" s="71">
        <f t="shared" si="445"/>
        <v>547.70000000000005</v>
      </c>
      <c r="E789" s="71">
        <v>0</v>
      </c>
      <c r="F789" s="71">
        <v>0</v>
      </c>
      <c r="G789" s="71">
        <v>0</v>
      </c>
      <c r="H789" s="71">
        <v>0</v>
      </c>
      <c r="I789" s="71">
        <v>0</v>
      </c>
      <c r="J789" s="71">
        <v>0</v>
      </c>
      <c r="K789" s="71">
        <v>0</v>
      </c>
      <c r="L789" s="71">
        <v>0</v>
      </c>
      <c r="M789" s="71">
        <f>547.7</f>
        <v>547.70000000000005</v>
      </c>
      <c r="N789" s="71">
        <v>0</v>
      </c>
      <c r="O789" s="71">
        <v>0</v>
      </c>
      <c r="W789" s="71">
        <v>0</v>
      </c>
    </row>
    <row r="790" spans="1:23" ht="41.25" customHeight="1" x14ac:dyDescent="0.2">
      <c r="A790" s="137"/>
      <c r="B790" s="137"/>
      <c r="C790" s="96" t="s">
        <v>13</v>
      </c>
      <c r="D790" s="69">
        <f t="shared" si="445"/>
        <v>0</v>
      </c>
      <c r="E790" s="69">
        <f>E838+E849+E865+E877+E884</f>
        <v>0</v>
      </c>
      <c r="F790" s="69">
        <f>F838+F849+F865+F877+F884</f>
        <v>0</v>
      </c>
      <c r="G790" s="69">
        <f>G838+G849+G865+G877+G884</f>
        <v>0</v>
      </c>
      <c r="H790" s="69">
        <f>H838+H849+H865+H877+H884</f>
        <v>0</v>
      </c>
      <c r="I790" s="69">
        <f>I838+I849+I865+I877+I884</f>
        <v>0</v>
      </c>
      <c r="J790" s="69">
        <v>0</v>
      </c>
      <c r="K790" s="69">
        <v>0</v>
      </c>
      <c r="L790" s="69">
        <v>0</v>
      </c>
      <c r="M790" s="69">
        <v>0</v>
      </c>
      <c r="N790" s="69">
        <v>0</v>
      </c>
      <c r="O790" s="69">
        <v>0</v>
      </c>
      <c r="W790" s="69">
        <v>0</v>
      </c>
    </row>
    <row r="791" spans="1:23" ht="15.75" x14ac:dyDescent="0.2">
      <c r="A791" s="137" t="s">
        <v>357</v>
      </c>
      <c r="B791" s="137" t="s">
        <v>358</v>
      </c>
      <c r="C791" s="96" t="s">
        <v>7</v>
      </c>
      <c r="D791" s="69">
        <f>E791+F791+G791+H791+I791+J791+K791+L791+M791+N791+O791</f>
        <v>600</v>
      </c>
      <c r="E791" s="69">
        <f t="shared" ref="E791:O791" si="454">E792+E793+E794+E795</f>
        <v>0</v>
      </c>
      <c r="F791" s="69">
        <f t="shared" si="454"/>
        <v>0</v>
      </c>
      <c r="G791" s="69">
        <f t="shared" si="454"/>
        <v>0</v>
      </c>
      <c r="H791" s="69">
        <f t="shared" si="454"/>
        <v>0</v>
      </c>
      <c r="I791" s="69">
        <f t="shared" si="454"/>
        <v>0</v>
      </c>
      <c r="J791" s="69">
        <f t="shared" si="454"/>
        <v>600</v>
      </c>
      <c r="K791" s="69">
        <f t="shared" si="454"/>
        <v>0</v>
      </c>
      <c r="L791" s="69">
        <f t="shared" si="454"/>
        <v>0</v>
      </c>
      <c r="M791" s="69">
        <f t="shared" si="454"/>
        <v>0</v>
      </c>
      <c r="N791" s="69">
        <f t="shared" si="454"/>
        <v>0</v>
      </c>
      <c r="O791" s="69">
        <f t="shared" si="454"/>
        <v>0</v>
      </c>
      <c r="W791" s="69">
        <f t="shared" ref="W791" si="455">W792+W793+W794+W795</f>
        <v>0</v>
      </c>
    </row>
    <row r="792" spans="1:23" ht="15.75" x14ac:dyDescent="0.2">
      <c r="A792" s="144"/>
      <c r="B792" s="155"/>
      <c r="C792" s="96" t="s">
        <v>10</v>
      </c>
      <c r="D792" s="69">
        <f>E792+F792+G792+H792+I792+J792+K792+L792+M792+N792+O792</f>
        <v>0</v>
      </c>
      <c r="E792" s="69">
        <f>E797</f>
        <v>0</v>
      </c>
      <c r="F792" s="69">
        <f t="shared" ref="F792:K792" si="456">F797</f>
        <v>0</v>
      </c>
      <c r="G792" s="69">
        <f t="shared" si="456"/>
        <v>0</v>
      </c>
      <c r="H792" s="69">
        <f t="shared" si="456"/>
        <v>0</v>
      </c>
      <c r="I792" s="69">
        <f t="shared" si="456"/>
        <v>0</v>
      </c>
      <c r="J792" s="69">
        <f t="shared" si="456"/>
        <v>0</v>
      </c>
      <c r="K792" s="69">
        <f t="shared" si="456"/>
        <v>0</v>
      </c>
      <c r="L792" s="69">
        <f>L828+L840+L851+L867+L878+L885</f>
        <v>0</v>
      </c>
      <c r="M792" s="69">
        <f>M828+M840+M851+M867+M878+M885</f>
        <v>0</v>
      </c>
      <c r="N792" s="69">
        <f>N828+N840+N851+N867+N878+N885</f>
        <v>0</v>
      </c>
      <c r="O792" s="69">
        <f>O828+O840+O851+O867+O878+O885</f>
        <v>0</v>
      </c>
      <c r="W792" s="69">
        <f>W828+W840+W851+W867+W878+W885</f>
        <v>0</v>
      </c>
    </row>
    <row r="793" spans="1:23" ht="15.75" x14ac:dyDescent="0.2">
      <c r="A793" s="144"/>
      <c r="B793" s="155"/>
      <c r="C793" s="96" t="s">
        <v>11</v>
      </c>
      <c r="D793" s="69">
        <f t="shared" si="445"/>
        <v>0</v>
      </c>
      <c r="E793" s="69">
        <f t="shared" ref="E793:K793" si="457">E798</f>
        <v>0</v>
      </c>
      <c r="F793" s="69">
        <f t="shared" si="457"/>
        <v>0</v>
      </c>
      <c r="G793" s="69">
        <f t="shared" si="457"/>
        <v>0</v>
      </c>
      <c r="H793" s="69">
        <f t="shared" si="457"/>
        <v>0</v>
      </c>
      <c r="I793" s="69">
        <f t="shared" si="457"/>
        <v>0</v>
      </c>
      <c r="J793" s="69">
        <f t="shared" si="457"/>
        <v>0</v>
      </c>
      <c r="K793" s="69">
        <f t="shared" si="457"/>
        <v>0</v>
      </c>
      <c r="L793" s="69">
        <v>0</v>
      </c>
      <c r="M793" s="69">
        <v>0</v>
      </c>
      <c r="N793" s="69">
        <v>0</v>
      </c>
      <c r="O793" s="69">
        <v>0</v>
      </c>
      <c r="W793" s="69">
        <v>0</v>
      </c>
    </row>
    <row r="794" spans="1:23" ht="15.75" x14ac:dyDescent="0.2">
      <c r="A794" s="144"/>
      <c r="B794" s="155"/>
      <c r="C794" s="96" t="s">
        <v>12</v>
      </c>
      <c r="D794" s="69">
        <f t="shared" ref="D794:D800" si="458">E794+F794+G794+H794+I794+J794+K794+L794+M794+N794+O794</f>
        <v>600</v>
      </c>
      <c r="E794" s="69">
        <f t="shared" ref="E794:K794" si="459">E799</f>
        <v>0</v>
      </c>
      <c r="F794" s="69">
        <f t="shared" si="459"/>
        <v>0</v>
      </c>
      <c r="G794" s="69">
        <f t="shared" si="459"/>
        <v>0</v>
      </c>
      <c r="H794" s="69">
        <f t="shared" si="459"/>
        <v>0</v>
      </c>
      <c r="I794" s="69">
        <f t="shared" si="459"/>
        <v>0</v>
      </c>
      <c r="J794" s="69">
        <f t="shared" si="459"/>
        <v>600</v>
      </c>
      <c r="K794" s="69">
        <f t="shared" si="459"/>
        <v>0</v>
      </c>
      <c r="L794" s="69">
        <v>0</v>
      </c>
      <c r="M794" s="69">
        <v>0</v>
      </c>
      <c r="N794" s="69">
        <v>0</v>
      </c>
      <c r="O794" s="69">
        <v>0</v>
      </c>
      <c r="W794" s="69">
        <v>0</v>
      </c>
    </row>
    <row r="795" spans="1:23" ht="24" customHeight="1" x14ac:dyDescent="0.2">
      <c r="A795" s="144"/>
      <c r="B795" s="155"/>
      <c r="C795" s="96" t="s">
        <v>13</v>
      </c>
      <c r="D795" s="69">
        <f t="shared" si="458"/>
        <v>0</v>
      </c>
      <c r="E795" s="69">
        <f t="shared" ref="E795:K795" si="460">E800</f>
        <v>0</v>
      </c>
      <c r="F795" s="69">
        <f t="shared" si="460"/>
        <v>0</v>
      </c>
      <c r="G795" s="69">
        <f t="shared" si="460"/>
        <v>0</v>
      </c>
      <c r="H795" s="69">
        <f t="shared" si="460"/>
        <v>0</v>
      </c>
      <c r="I795" s="69">
        <f t="shared" si="460"/>
        <v>0</v>
      </c>
      <c r="J795" s="69">
        <f t="shared" si="460"/>
        <v>0</v>
      </c>
      <c r="K795" s="69">
        <f t="shared" si="460"/>
        <v>0</v>
      </c>
      <c r="L795" s="69">
        <v>0</v>
      </c>
      <c r="M795" s="69">
        <v>0</v>
      </c>
      <c r="N795" s="69">
        <v>0</v>
      </c>
      <c r="O795" s="69">
        <v>0</v>
      </c>
      <c r="W795" s="69">
        <v>0</v>
      </c>
    </row>
    <row r="796" spans="1:23" ht="24" customHeight="1" x14ac:dyDescent="0.2">
      <c r="A796" s="137" t="s">
        <v>359</v>
      </c>
      <c r="B796" s="137" t="s">
        <v>360</v>
      </c>
      <c r="C796" s="96" t="s">
        <v>7</v>
      </c>
      <c r="D796" s="69">
        <f t="shared" si="458"/>
        <v>600</v>
      </c>
      <c r="E796" s="69">
        <f t="shared" ref="E796:O796" si="461">E797+E798+E799+E800</f>
        <v>0</v>
      </c>
      <c r="F796" s="69">
        <f t="shared" si="461"/>
        <v>0</v>
      </c>
      <c r="G796" s="69">
        <f t="shared" si="461"/>
        <v>0</v>
      </c>
      <c r="H796" s="69">
        <f t="shared" si="461"/>
        <v>0</v>
      </c>
      <c r="I796" s="69">
        <f t="shared" si="461"/>
        <v>0</v>
      </c>
      <c r="J796" s="69">
        <f t="shared" si="461"/>
        <v>600</v>
      </c>
      <c r="K796" s="69">
        <f t="shared" si="461"/>
        <v>0</v>
      </c>
      <c r="L796" s="69">
        <f t="shared" si="461"/>
        <v>0</v>
      </c>
      <c r="M796" s="69">
        <f t="shared" si="461"/>
        <v>0</v>
      </c>
      <c r="N796" s="69">
        <f t="shared" si="461"/>
        <v>0</v>
      </c>
      <c r="O796" s="69">
        <f t="shared" si="461"/>
        <v>0</v>
      </c>
      <c r="W796" s="69">
        <f t="shared" ref="W796" si="462">W797+W798+W799+W800</f>
        <v>0</v>
      </c>
    </row>
    <row r="797" spans="1:23" ht="24" customHeight="1" x14ac:dyDescent="0.2">
      <c r="A797" s="137"/>
      <c r="B797" s="137"/>
      <c r="C797" s="96" t="s">
        <v>10</v>
      </c>
      <c r="D797" s="69">
        <f t="shared" si="458"/>
        <v>0</v>
      </c>
      <c r="E797" s="69">
        <f t="shared" ref="E797:O797" si="463">E835+E845+E856+E872+E883+E890</f>
        <v>0</v>
      </c>
      <c r="F797" s="69">
        <f t="shared" si="463"/>
        <v>0</v>
      </c>
      <c r="G797" s="69">
        <f t="shared" si="463"/>
        <v>0</v>
      </c>
      <c r="H797" s="69">
        <f t="shared" si="463"/>
        <v>0</v>
      </c>
      <c r="I797" s="69">
        <f t="shared" si="463"/>
        <v>0</v>
      </c>
      <c r="J797" s="69">
        <f t="shared" si="463"/>
        <v>0</v>
      </c>
      <c r="K797" s="69">
        <f t="shared" si="463"/>
        <v>0</v>
      </c>
      <c r="L797" s="69">
        <f t="shared" si="463"/>
        <v>0</v>
      </c>
      <c r="M797" s="69">
        <f t="shared" si="463"/>
        <v>0</v>
      </c>
      <c r="N797" s="69">
        <f t="shared" si="463"/>
        <v>0</v>
      </c>
      <c r="O797" s="69">
        <f t="shared" si="463"/>
        <v>0</v>
      </c>
      <c r="W797" s="69">
        <f t="shared" ref="W797" si="464">W835+W845+W856+W872+W883+W890</f>
        <v>0</v>
      </c>
    </row>
    <row r="798" spans="1:23" ht="24" customHeight="1" x14ac:dyDescent="0.2">
      <c r="A798" s="137"/>
      <c r="B798" s="137"/>
      <c r="C798" s="96" t="s">
        <v>11</v>
      </c>
      <c r="D798" s="69">
        <f t="shared" si="458"/>
        <v>0</v>
      </c>
      <c r="E798" s="69">
        <v>0</v>
      </c>
      <c r="F798" s="69">
        <v>0</v>
      </c>
      <c r="G798" s="69">
        <v>0</v>
      </c>
      <c r="H798" s="69">
        <v>0</v>
      </c>
      <c r="I798" s="69">
        <v>0</v>
      </c>
      <c r="J798" s="69">
        <v>0</v>
      </c>
      <c r="K798" s="69">
        <v>0</v>
      </c>
      <c r="L798" s="69">
        <v>0</v>
      </c>
      <c r="M798" s="69">
        <v>0</v>
      </c>
      <c r="N798" s="69">
        <v>0</v>
      </c>
      <c r="O798" s="69">
        <v>0</v>
      </c>
      <c r="W798" s="69">
        <v>0</v>
      </c>
    </row>
    <row r="799" spans="1:23" ht="24" customHeight="1" x14ac:dyDescent="0.2">
      <c r="A799" s="137"/>
      <c r="B799" s="137"/>
      <c r="C799" s="96" t="s">
        <v>12</v>
      </c>
      <c r="D799" s="69">
        <f t="shared" si="458"/>
        <v>600</v>
      </c>
      <c r="E799" s="69">
        <v>0</v>
      </c>
      <c r="F799" s="69">
        <v>0</v>
      </c>
      <c r="G799" s="69">
        <v>0</v>
      </c>
      <c r="H799" s="69">
        <v>0</v>
      </c>
      <c r="I799" s="69">
        <v>0</v>
      </c>
      <c r="J799" s="69">
        <v>600</v>
      </c>
      <c r="K799" s="69">
        <v>0</v>
      </c>
      <c r="L799" s="69">
        <v>0</v>
      </c>
      <c r="M799" s="69">
        <v>0</v>
      </c>
      <c r="N799" s="69">
        <v>0</v>
      </c>
      <c r="O799" s="69">
        <v>0</v>
      </c>
      <c r="W799" s="69">
        <v>0</v>
      </c>
    </row>
    <row r="800" spans="1:23" ht="37.5" customHeight="1" x14ac:dyDescent="0.2">
      <c r="A800" s="137"/>
      <c r="B800" s="137"/>
      <c r="C800" s="96" t="s">
        <v>13</v>
      </c>
      <c r="D800" s="69">
        <f t="shared" si="458"/>
        <v>0</v>
      </c>
      <c r="E800" s="69">
        <f>E848+E859+E875+E887+E894</f>
        <v>0</v>
      </c>
      <c r="F800" s="69">
        <f>F848+F859+F875+F887+F894</f>
        <v>0</v>
      </c>
      <c r="G800" s="69">
        <f>G848+G859+G875+G887+G894</f>
        <v>0</v>
      </c>
      <c r="H800" s="69">
        <f>H848+H859+H875+H887+H894</f>
        <v>0</v>
      </c>
      <c r="I800" s="69">
        <f>I848+I859+I875+I887+I894</f>
        <v>0</v>
      </c>
      <c r="J800" s="69">
        <v>0</v>
      </c>
      <c r="K800" s="69">
        <v>0</v>
      </c>
      <c r="L800" s="69">
        <v>0</v>
      </c>
      <c r="M800" s="69">
        <v>0</v>
      </c>
      <c r="N800" s="69">
        <v>0</v>
      </c>
      <c r="O800" s="69">
        <v>0</v>
      </c>
      <c r="W800" s="69">
        <v>0</v>
      </c>
    </row>
    <row r="801" spans="1:23" ht="24" customHeight="1" x14ac:dyDescent="0.2">
      <c r="A801" s="137" t="s">
        <v>391</v>
      </c>
      <c r="B801" s="137" t="s">
        <v>393</v>
      </c>
      <c r="C801" s="96" t="s">
        <v>7</v>
      </c>
      <c r="D801" s="69">
        <f>E801+F801+G801+H801+I801+J801+K801+L801+M801+N801+O801</f>
        <v>110577.3</v>
      </c>
      <c r="E801" s="69">
        <f>E802+E803+E804+E805</f>
        <v>0</v>
      </c>
      <c r="F801" s="69">
        <f t="shared" ref="F801:N801" si="465">F802+F803+F804+F805</f>
        <v>0</v>
      </c>
      <c r="G801" s="69">
        <f t="shared" si="465"/>
        <v>0</v>
      </c>
      <c r="H801" s="69">
        <f t="shared" si="465"/>
        <v>0</v>
      </c>
      <c r="I801" s="69">
        <f t="shared" si="465"/>
        <v>0</v>
      </c>
      <c r="J801" s="69">
        <f t="shared" si="465"/>
        <v>0</v>
      </c>
      <c r="K801" s="69">
        <f t="shared" si="465"/>
        <v>13798.2</v>
      </c>
      <c r="L801" s="69">
        <f t="shared" si="465"/>
        <v>5613</v>
      </c>
      <c r="M801" s="69">
        <f t="shared" si="465"/>
        <v>33698.5</v>
      </c>
      <c r="N801" s="69">
        <f t="shared" si="465"/>
        <v>28733.8</v>
      </c>
      <c r="O801" s="69">
        <f>O802+O803+O804+O805</f>
        <v>28733.8</v>
      </c>
      <c r="W801" s="69">
        <f t="shared" ref="W801" si="466">W802+W803+W804+W805</f>
        <v>28733.8</v>
      </c>
    </row>
    <row r="802" spans="1:23" ht="24" customHeight="1" x14ac:dyDescent="0.2">
      <c r="A802" s="144"/>
      <c r="B802" s="155"/>
      <c r="C802" s="96" t="s">
        <v>10</v>
      </c>
      <c r="D802" s="69">
        <f t="shared" ref="D802:D810" si="467">E802+F802+G802+H802+I802+J802+K802+L802+M802+N802+O802</f>
        <v>0</v>
      </c>
      <c r="E802" s="69">
        <f t="shared" ref="E802:I802" si="468">E840+E850+E861+E877+E888+E895</f>
        <v>0</v>
      </c>
      <c r="F802" s="69">
        <f t="shared" si="468"/>
        <v>0</v>
      </c>
      <c r="G802" s="69">
        <f t="shared" si="468"/>
        <v>0</v>
      </c>
      <c r="H802" s="69">
        <f t="shared" si="468"/>
        <v>0</v>
      </c>
      <c r="I802" s="69">
        <f t="shared" si="468"/>
        <v>0</v>
      </c>
      <c r="J802" s="69">
        <v>0</v>
      </c>
      <c r="K802" s="69">
        <f t="shared" ref="K802:O802" si="469">K840+K850+K861+K877+K888+K895</f>
        <v>0</v>
      </c>
      <c r="L802" s="69">
        <f t="shared" si="469"/>
        <v>0</v>
      </c>
      <c r="M802" s="69">
        <f t="shared" si="469"/>
        <v>0</v>
      </c>
      <c r="N802" s="69">
        <f t="shared" si="469"/>
        <v>0</v>
      </c>
      <c r="O802" s="69">
        <f t="shared" si="469"/>
        <v>0</v>
      </c>
      <c r="W802" s="69">
        <f t="shared" ref="W802" si="470">W840+W850+W861+W877+W888+W895</f>
        <v>0</v>
      </c>
    </row>
    <row r="803" spans="1:23" ht="24" customHeight="1" x14ac:dyDescent="0.2">
      <c r="A803" s="144"/>
      <c r="B803" s="155"/>
      <c r="C803" s="96" t="s">
        <v>11</v>
      </c>
      <c r="D803" s="69">
        <f t="shared" si="467"/>
        <v>0</v>
      </c>
      <c r="E803" s="69">
        <v>0</v>
      </c>
      <c r="F803" s="69">
        <v>0</v>
      </c>
      <c r="G803" s="69">
        <v>0</v>
      </c>
      <c r="H803" s="69">
        <v>0</v>
      </c>
      <c r="I803" s="69">
        <v>0</v>
      </c>
      <c r="J803" s="69">
        <v>0</v>
      </c>
      <c r="K803" s="69">
        <v>0</v>
      </c>
      <c r="L803" s="69">
        <v>0</v>
      </c>
      <c r="M803" s="69">
        <v>0</v>
      </c>
      <c r="N803" s="69">
        <v>0</v>
      </c>
      <c r="O803" s="69">
        <v>0</v>
      </c>
      <c r="W803" s="69">
        <v>0</v>
      </c>
    </row>
    <row r="804" spans="1:23" ht="24" customHeight="1" x14ac:dyDescent="0.2">
      <c r="A804" s="144"/>
      <c r="B804" s="155"/>
      <c r="C804" s="96" t="s">
        <v>12</v>
      </c>
      <c r="D804" s="69">
        <f t="shared" si="467"/>
        <v>110577.3</v>
      </c>
      <c r="E804" s="69">
        <v>0</v>
      </c>
      <c r="F804" s="69">
        <v>0</v>
      </c>
      <c r="G804" s="69">
        <v>0</v>
      </c>
      <c r="H804" s="69">
        <v>0</v>
      </c>
      <c r="I804" s="69">
        <v>0</v>
      </c>
      <c r="J804" s="69">
        <f>J809</f>
        <v>0</v>
      </c>
      <c r="K804" s="69">
        <f>K809</f>
        <v>13798.2</v>
      </c>
      <c r="L804" s="69">
        <f>L809+L814</f>
        <v>5613</v>
      </c>
      <c r="M804" s="69">
        <f t="shared" ref="M804:S804" si="471">M809+M814</f>
        <v>33698.5</v>
      </c>
      <c r="N804" s="69">
        <f t="shared" si="471"/>
        <v>28733.8</v>
      </c>
      <c r="O804" s="69">
        <f>O809+O814</f>
        <v>28733.8</v>
      </c>
      <c r="P804" s="69">
        <f t="shared" si="471"/>
        <v>0</v>
      </c>
      <c r="Q804" s="69">
        <f t="shared" si="471"/>
        <v>0</v>
      </c>
      <c r="R804" s="69">
        <f t="shared" si="471"/>
        <v>0</v>
      </c>
      <c r="S804" s="69">
        <f t="shared" si="471"/>
        <v>0</v>
      </c>
      <c r="W804" s="69">
        <f t="shared" ref="W804" si="472">W809+W814</f>
        <v>28733.8</v>
      </c>
    </row>
    <row r="805" spans="1:23" ht="24" customHeight="1" x14ac:dyDescent="0.2">
      <c r="A805" s="144"/>
      <c r="B805" s="155"/>
      <c r="C805" s="96" t="s">
        <v>13</v>
      </c>
      <c r="D805" s="69">
        <f t="shared" si="467"/>
        <v>0</v>
      </c>
      <c r="E805" s="69">
        <f>E853+E864+E880+E892+E899</f>
        <v>0</v>
      </c>
      <c r="F805" s="69">
        <f>F853+F864+F880+F892+F899</f>
        <v>0</v>
      </c>
      <c r="G805" s="69">
        <f>G853+G864+G880+G892+G899</f>
        <v>0</v>
      </c>
      <c r="H805" s="69">
        <f>H853+H864+H880+H892+H899</f>
        <v>0</v>
      </c>
      <c r="I805" s="69">
        <f>I853+I864+I880+I892+I899</f>
        <v>0</v>
      </c>
      <c r="J805" s="69">
        <v>0</v>
      </c>
      <c r="K805" s="69">
        <v>0</v>
      </c>
      <c r="L805" s="69">
        <v>0</v>
      </c>
      <c r="M805" s="69">
        <v>0</v>
      </c>
      <c r="N805" s="69">
        <v>0</v>
      </c>
      <c r="O805" s="69">
        <v>0</v>
      </c>
      <c r="W805" s="69">
        <v>0</v>
      </c>
    </row>
    <row r="806" spans="1:23" ht="24" customHeight="1" x14ac:dyDescent="0.2">
      <c r="A806" s="137" t="s">
        <v>392</v>
      </c>
      <c r="B806" s="137" t="s">
        <v>394</v>
      </c>
      <c r="C806" s="96" t="s">
        <v>7</v>
      </c>
      <c r="D806" s="69">
        <f t="shared" ref="D806:W806" si="473">D807+D808+D809+D810</f>
        <v>102936.40000000001</v>
      </c>
      <c r="E806" s="69">
        <f t="shared" si="473"/>
        <v>0</v>
      </c>
      <c r="F806" s="69">
        <f t="shared" si="473"/>
        <v>0</v>
      </c>
      <c r="G806" s="69">
        <f t="shared" si="473"/>
        <v>0</v>
      </c>
      <c r="H806" s="69">
        <f t="shared" si="473"/>
        <v>0</v>
      </c>
      <c r="I806" s="69">
        <f t="shared" si="473"/>
        <v>0</v>
      </c>
      <c r="J806" s="69">
        <f t="shared" si="473"/>
        <v>0</v>
      </c>
      <c r="K806" s="69">
        <f t="shared" si="473"/>
        <v>13798.2</v>
      </c>
      <c r="L806" s="69">
        <f t="shared" si="473"/>
        <v>598</v>
      </c>
      <c r="M806" s="69">
        <f t="shared" si="473"/>
        <v>31072.600000000002</v>
      </c>
      <c r="N806" s="69">
        <f t="shared" si="473"/>
        <v>28733.8</v>
      </c>
      <c r="O806" s="69">
        <f t="shared" si="473"/>
        <v>28733.8</v>
      </c>
      <c r="P806" s="69">
        <f t="shared" si="473"/>
        <v>0</v>
      </c>
      <c r="Q806" s="69">
        <f t="shared" si="473"/>
        <v>0</v>
      </c>
      <c r="R806" s="69">
        <f t="shared" si="473"/>
        <v>0</v>
      </c>
      <c r="S806" s="69">
        <f t="shared" si="473"/>
        <v>0</v>
      </c>
      <c r="T806" s="69">
        <f t="shared" si="473"/>
        <v>0</v>
      </c>
      <c r="U806" s="69">
        <f t="shared" si="473"/>
        <v>0</v>
      </c>
      <c r="V806" s="69">
        <f t="shared" si="473"/>
        <v>0</v>
      </c>
      <c r="W806" s="69">
        <f t="shared" si="473"/>
        <v>28733.8</v>
      </c>
    </row>
    <row r="807" spans="1:23" ht="24" customHeight="1" x14ac:dyDescent="0.2">
      <c r="A807" s="137"/>
      <c r="B807" s="137"/>
      <c r="C807" s="96" t="s">
        <v>10</v>
      </c>
      <c r="D807" s="69">
        <f>E807+F807+G807+H807+I807+J807+K807+L807+M807+N807+O807</f>
        <v>0</v>
      </c>
      <c r="E807" s="69">
        <f t="shared" ref="E807:I807" si="474">E845+E855+E866+E882+E893+E900</f>
        <v>0</v>
      </c>
      <c r="F807" s="69">
        <f t="shared" si="474"/>
        <v>0</v>
      </c>
      <c r="G807" s="69">
        <f t="shared" si="474"/>
        <v>0</v>
      </c>
      <c r="H807" s="69">
        <f t="shared" si="474"/>
        <v>0</v>
      </c>
      <c r="I807" s="69">
        <f t="shared" si="474"/>
        <v>0</v>
      </c>
      <c r="J807" s="69">
        <v>0</v>
      </c>
      <c r="K807" s="69">
        <f t="shared" ref="K807:O807" si="475">K845+K855+K866+K882+K893+K900</f>
        <v>0</v>
      </c>
      <c r="L807" s="69">
        <f t="shared" si="475"/>
        <v>0</v>
      </c>
      <c r="M807" s="69">
        <f t="shared" si="475"/>
        <v>0</v>
      </c>
      <c r="N807" s="69">
        <f t="shared" si="475"/>
        <v>0</v>
      </c>
      <c r="O807" s="69">
        <f t="shared" si="475"/>
        <v>0</v>
      </c>
      <c r="W807" s="69">
        <f t="shared" ref="W807" si="476">W845+W855+W866+W882+W893+W900</f>
        <v>0</v>
      </c>
    </row>
    <row r="808" spans="1:23" ht="24" customHeight="1" x14ac:dyDescent="0.2">
      <c r="A808" s="137"/>
      <c r="B808" s="137"/>
      <c r="C808" s="96" t="s">
        <v>11</v>
      </c>
      <c r="D808" s="69">
        <f t="shared" si="467"/>
        <v>0</v>
      </c>
      <c r="E808" s="69">
        <v>0</v>
      </c>
      <c r="F808" s="69">
        <v>0</v>
      </c>
      <c r="G808" s="69">
        <v>0</v>
      </c>
      <c r="H808" s="69">
        <v>0</v>
      </c>
      <c r="I808" s="69">
        <v>0</v>
      </c>
      <c r="J808" s="69">
        <v>0</v>
      </c>
      <c r="K808" s="69">
        <v>0</v>
      </c>
      <c r="L808" s="69">
        <v>0</v>
      </c>
      <c r="M808" s="69">
        <v>0</v>
      </c>
      <c r="N808" s="69">
        <v>0</v>
      </c>
      <c r="O808" s="69">
        <v>0</v>
      </c>
      <c r="W808" s="69">
        <v>0</v>
      </c>
    </row>
    <row r="809" spans="1:23" ht="24" customHeight="1" x14ac:dyDescent="0.2">
      <c r="A809" s="137"/>
      <c r="B809" s="137"/>
      <c r="C809" s="96" t="s">
        <v>12</v>
      </c>
      <c r="D809" s="69">
        <f t="shared" si="467"/>
        <v>102936.40000000001</v>
      </c>
      <c r="E809" s="69">
        <v>0</v>
      </c>
      <c r="F809" s="69">
        <v>0</v>
      </c>
      <c r="G809" s="69">
        <v>0</v>
      </c>
      <c r="H809" s="69">
        <v>0</v>
      </c>
      <c r="I809" s="69">
        <v>0</v>
      </c>
      <c r="J809" s="69">
        <v>0</v>
      </c>
      <c r="K809" s="69">
        <f>19000-5201.8+71.4-71.4</f>
        <v>13798.2</v>
      </c>
      <c r="L809" s="69">
        <f>700+8000-8000-102</f>
        <v>598</v>
      </c>
      <c r="M809" s="69">
        <f>0+3962.4+19258.5+4515.4-3962.4+3962.4+3336.3</f>
        <v>31072.600000000002</v>
      </c>
      <c r="N809" s="69">
        <f>351+4083.8+24299</f>
        <v>28733.8</v>
      </c>
      <c r="O809" s="69">
        <f>4083.8+24650</f>
        <v>28733.8</v>
      </c>
      <c r="W809" s="69">
        <v>28733.8</v>
      </c>
    </row>
    <row r="810" spans="1:23" ht="24" customHeight="1" x14ac:dyDescent="0.2">
      <c r="A810" s="137"/>
      <c r="B810" s="137"/>
      <c r="C810" s="96" t="s">
        <v>13</v>
      </c>
      <c r="D810" s="69">
        <f t="shared" si="467"/>
        <v>0</v>
      </c>
      <c r="E810" s="69">
        <f>E858+E869+E885+E897+E904</f>
        <v>0</v>
      </c>
      <c r="F810" s="69">
        <f>F858+F869+F885+F897+F904</f>
        <v>0</v>
      </c>
      <c r="G810" s="69">
        <f>G858+G869+G885+G897+G904</f>
        <v>0</v>
      </c>
      <c r="H810" s="69">
        <f>H858+H869+H885+H897+H904</f>
        <v>0</v>
      </c>
      <c r="I810" s="69">
        <f>I858+I869+I885+I897+I904</f>
        <v>0</v>
      </c>
      <c r="J810" s="69">
        <v>0</v>
      </c>
      <c r="K810" s="69">
        <v>0</v>
      </c>
      <c r="L810" s="69">
        <v>0</v>
      </c>
      <c r="M810" s="69">
        <v>0</v>
      </c>
      <c r="N810" s="69">
        <v>0</v>
      </c>
      <c r="O810" s="69">
        <v>0</v>
      </c>
      <c r="W810" s="69">
        <v>0</v>
      </c>
    </row>
    <row r="811" spans="1:23" ht="15.75" x14ac:dyDescent="0.2">
      <c r="A811" s="137" t="s">
        <v>415</v>
      </c>
      <c r="B811" s="149" t="s">
        <v>416</v>
      </c>
      <c r="C811" s="96" t="s">
        <v>7</v>
      </c>
      <c r="D811" s="69">
        <f t="shared" ref="D811:W811" si="477">D812+D813+D814+D815</f>
        <v>7640.9</v>
      </c>
      <c r="E811" s="69">
        <f t="shared" si="477"/>
        <v>0</v>
      </c>
      <c r="F811" s="69">
        <f t="shared" si="477"/>
        <v>0</v>
      </c>
      <c r="G811" s="69">
        <f t="shared" si="477"/>
        <v>0</v>
      </c>
      <c r="H811" s="69">
        <f t="shared" si="477"/>
        <v>0</v>
      </c>
      <c r="I811" s="69">
        <f t="shared" si="477"/>
        <v>0</v>
      </c>
      <c r="J811" s="69">
        <f t="shared" si="477"/>
        <v>0</v>
      </c>
      <c r="K811" s="69">
        <f t="shared" si="477"/>
        <v>0</v>
      </c>
      <c r="L811" s="69">
        <f t="shared" si="477"/>
        <v>5015</v>
      </c>
      <c r="M811" s="69">
        <f t="shared" si="477"/>
        <v>2625.8999999999996</v>
      </c>
      <c r="N811" s="69">
        <f t="shared" si="477"/>
        <v>0</v>
      </c>
      <c r="O811" s="69">
        <f t="shared" si="477"/>
        <v>0</v>
      </c>
      <c r="P811" s="69">
        <f t="shared" si="477"/>
        <v>0</v>
      </c>
      <c r="Q811" s="69">
        <f t="shared" si="477"/>
        <v>0</v>
      </c>
      <c r="R811" s="69">
        <f t="shared" si="477"/>
        <v>0</v>
      </c>
      <c r="S811" s="69">
        <f t="shared" si="477"/>
        <v>0</v>
      </c>
      <c r="T811" s="69">
        <f t="shared" si="477"/>
        <v>0</v>
      </c>
      <c r="U811" s="69">
        <f t="shared" si="477"/>
        <v>0</v>
      </c>
      <c r="V811" s="69">
        <f t="shared" si="477"/>
        <v>0</v>
      </c>
      <c r="W811" s="69">
        <f t="shared" si="477"/>
        <v>0</v>
      </c>
    </row>
    <row r="812" spans="1:23" ht="19.5" customHeight="1" x14ac:dyDescent="0.2">
      <c r="A812" s="137"/>
      <c r="B812" s="149"/>
      <c r="C812" s="96" t="s">
        <v>10</v>
      </c>
      <c r="D812" s="69">
        <f>E812+F812+G812+H812+I812+J812+K812+L812+M812+N812+O812</f>
        <v>0</v>
      </c>
      <c r="E812" s="69">
        <f t="shared" ref="E812:I812" si="478">E850+E860+E871+E887+E898+E905</f>
        <v>0</v>
      </c>
      <c r="F812" s="69">
        <f t="shared" si="478"/>
        <v>0</v>
      </c>
      <c r="G812" s="69">
        <f t="shared" si="478"/>
        <v>0</v>
      </c>
      <c r="H812" s="69">
        <f t="shared" si="478"/>
        <v>0</v>
      </c>
      <c r="I812" s="69">
        <f t="shared" si="478"/>
        <v>0</v>
      </c>
      <c r="J812" s="69">
        <v>0</v>
      </c>
      <c r="K812" s="69">
        <f t="shared" ref="K812:O812" si="479">K850+K860+K871+K887+K898+K905</f>
        <v>0</v>
      </c>
      <c r="L812" s="69">
        <f t="shared" si="479"/>
        <v>0</v>
      </c>
      <c r="M812" s="69">
        <f t="shared" si="479"/>
        <v>0</v>
      </c>
      <c r="N812" s="69">
        <f t="shared" si="479"/>
        <v>0</v>
      </c>
      <c r="O812" s="69">
        <f t="shared" si="479"/>
        <v>0</v>
      </c>
      <c r="W812" s="69">
        <f t="shared" ref="W812" si="480">W850+W860+W871+W887+W898+W905</f>
        <v>0</v>
      </c>
    </row>
    <row r="813" spans="1:23" ht="16.5" customHeight="1" x14ac:dyDescent="0.2">
      <c r="A813" s="137"/>
      <c r="B813" s="149"/>
      <c r="C813" s="96" t="s">
        <v>11</v>
      </c>
      <c r="D813" s="69">
        <f t="shared" ref="D813:D815" si="481">E813+F813+G813+H813+I813+J813+K813+L813+M813+N813+O813</f>
        <v>0</v>
      </c>
      <c r="E813" s="69">
        <v>0</v>
      </c>
      <c r="F813" s="69">
        <v>0</v>
      </c>
      <c r="G813" s="69">
        <v>0</v>
      </c>
      <c r="H813" s="69">
        <v>0</v>
      </c>
      <c r="I813" s="69">
        <v>0</v>
      </c>
      <c r="J813" s="69">
        <v>0</v>
      </c>
      <c r="K813" s="69">
        <v>0</v>
      </c>
      <c r="L813" s="69">
        <v>0</v>
      </c>
      <c r="M813" s="69">
        <v>0</v>
      </c>
      <c r="N813" s="69">
        <v>0</v>
      </c>
      <c r="O813" s="69">
        <v>0</v>
      </c>
      <c r="W813" s="69">
        <v>0</v>
      </c>
    </row>
    <row r="814" spans="1:23" ht="15" customHeight="1" x14ac:dyDescent="0.2">
      <c r="A814" s="137"/>
      <c r="B814" s="149"/>
      <c r="C814" s="96" t="s">
        <v>12</v>
      </c>
      <c r="D814" s="69">
        <f t="shared" si="481"/>
        <v>7640.9</v>
      </c>
      <c r="E814" s="69">
        <v>0</v>
      </c>
      <c r="F814" s="69">
        <v>0</v>
      </c>
      <c r="G814" s="69">
        <v>0</v>
      </c>
      <c r="H814" s="69">
        <v>0</v>
      </c>
      <c r="I814" s="69">
        <v>0</v>
      </c>
      <c r="J814" s="69">
        <v>0</v>
      </c>
      <c r="K814" s="69">
        <v>0</v>
      </c>
      <c r="L814" s="69">
        <f>2484.5+2515.5+15</f>
        <v>5015</v>
      </c>
      <c r="M814" s="69">
        <f>1435.1+1190.8</f>
        <v>2625.8999999999996</v>
      </c>
      <c r="N814" s="69">
        <v>0</v>
      </c>
      <c r="O814" s="69">
        <v>0</v>
      </c>
      <c r="W814" s="69">
        <v>0</v>
      </c>
    </row>
    <row r="815" spans="1:23" s="82" customFormat="1" ht="45" customHeight="1" x14ac:dyDescent="0.25">
      <c r="A815" s="137"/>
      <c r="B815" s="149"/>
      <c r="C815" s="96" t="s">
        <v>13</v>
      </c>
      <c r="D815" s="69">
        <f t="shared" si="481"/>
        <v>0</v>
      </c>
      <c r="E815" s="69">
        <f>E863+E874+E890+E902+E909</f>
        <v>0</v>
      </c>
      <c r="F815" s="69">
        <f>F863+F874+F890+F902+F909</f>
        <v>0</v>
      </c>
      <c r="G815" s="69">
        <f>G863+G874+G890+G902+G909</f>
        <v>0</v>
      </c>
      <c r="H815" s="69">
        <f>H863+H874+H890+H902+H909</f>
        <v>0</v>
      </c>
      <c r="I815" s="69">
        <f>I863+I874+I890+I902+I909</f>
        <v>0</v>
      </c>
      <c r="J815" s="69">
        <v>0</v>
      </c>
      <c r="K815" s="69">
        <v>0</v>
      </c>
      <c r="L815" s="69">
        <v>0</v>
      </c>
      <c r="M815" s="69">
        <v>0</v>
      </c>
      <c r="N815" s="69">
        <v>0</v>
      </c>
      <c r="O815" s="69">
        <v>0</v>
      </c>
      <c r="P815" s="62"/>
      <c r="Q815" s="62"/>
      <c r="R815" s="62"/>
      <c r="S815" s="62"/>
      <c r="T815" s="62"/>
      <c r="U815" s="62"/>
      <c r="V815" s="62"/>
      <c r="W815" s="69">
        <v>0</v>
      </c>
    </row>
    <row r="816" spans="1:23" ht="15.75" customHeight="1" x14ac:dyDescent="0.2">
      <c r="A816" s="151" t="s">
        <v>42</v>
      </c>
      <c r="B816" s="161" t="s">
        <v>327</v>
      </c>
      <c r="C816" s="73" t="s">
        <v>7</v>
      </c>
      <c r="D816" s="66">
        <f>E816+F816+G816+H816+I816+J816+K816+L816+M816+N816+O816+W816</f>
        <v>670428.11499999999</v>
      </c>
      <c r="E816" s="66">
        <f t="shared" ref="E816:O816" si="482">E819+E817+E818+E820</f>
        <v>31873.5</v>
      </c>
      <c r="F816" s="66">
        <f t="shared" si="482"/>
        <v>32215.200000000001</v>
      </c>
      <c r="G816" s="66">
        <f t="shared" si="482"/>
        <v>32536.1</v>
      </c>
      <c r="H816" s="66">
        <f t="shared" si="482"/>
        <v>34467.4</v>
      </c>
      <c r="I816" s="66">
        <f t="shared" si="482"/>
        <v>42249.1</v>
      </c>
      <c r="J816" s="66">
        <f t="shared" si="482"/>
        <v>51925.4</v>
      </c>
      <c r="K816" s="66">
        <f t="shared" si="482"/>
        <v>66037.599999999991</v>
      </c>
      <c r="L816" s="66">
        <f t="shared" si="482"/>
        <v>68745.7</v>
      </c>
      <c r="M816" s="66">
        <f t="shared" si="482"/>
        <v>73911.114999999991</v>
      </c>
      <c r="N816" s="66">
        <f t="shared" si="482"/>
        <v>78050.600000000006</v>
      </c>
      <c r="O816" s="66">
        <f t="shared" si="482"/>
        <v>77746.900000000009</v>
      </c>
      <c r="P816" s="60">
        <f>D817+D818+D819+D820</f>
        <v>670428.11499999999</v>
      </c>
      <c r="Q816" s="60"/>
      <c r="W816" s="66">
        <f t="shared" ref="W816" si="483">W819+W817+W818+W820</f>
        <v>80669.5</v>
      </c>
    </row>
    <row r="817" spans="1:23" ht="17.25" customHeight="1" x14ac:dyDescent="0.2">
      <c r="A817" s="151"/>
      <c r="B817" s="161"/>
      <c r="C817" s="101" t="s">
        <v>10</v>
      </c>
      <c r="D817" s="69">
        <f>E817+F817+G817+H817+I817+J817+K817+L817+M817+N817+O817+W817</f>
        <v>0</v>
      </c>
      <c r="E817" s="69">
        <f t="shared" ref="E817:K820" si="484">E822</f>
        <v>0</v>
      </c>
      <c r="F817" s="69">
        <f t="shared" si="484"/>
        <v>0</v>
      </c>
      <c r="G817" s="69">
        <f t="shared" si="484"/>
        <v>0</v>
      </c>
      <c r="H817" s="69">
        <f t="shared" si="484"/>
        <v>0</v>
      </c>
      <c r="I817" s="69">
        <f t="shared" si="484"/>
        <v>0</v>
      </c>
      <c r="J817" s="69">
        <f t="shared" si="484"/>
        <v>0</v>
      </c>
      <c r="K817" s="69">
        <f t="shared" si="484"/>
        <v>0</v>
      </c>
      <c r="L817" s="69">
        <f t="shared" ref="L817:O818" si="485">L822</f>
        <v>0</v>
      </c>
      <c r="M817" s="69">
        <f t="shared" si="485"/>
        <v>0</v>
      </c>
      <c r="N817" s="69">
        <f t="shared" si="485"/>
        <v>0</v>
      </c>
      <c r="O817" s="69">
        <f t="shared" si="485"/>
        <v>0</v>
      </c>
      <c r="W817" s="69">
        <f t="shared" ref="W817" si="486">W822</f>
        <v>0</v>
      </c>
    </row>
    <row r="818" spans="1:23" ht="18" customHeight="1" x14ac:dyDescent="0.2">
      <c r="A818" s="151"/>
      <c r="B818" s="161"/>
      <c r="C818" s="101" t="s">
        <v>11</v>
      </c>
      <c r="D818" s="69">
        <f t="shared" ref="D818:D830" si="487">E818+F818+G818+H818+I818+J818+K818+L818+M818+N818+O818+W818</f>
        <v>0</v>
      </c>
      <c r="E818" s="69">
        <f t="shared" si="484"/>
        <v>0</v>
      </c>
      <c r="F818" s="69">
        <f t="shared" si="484"/>
        <v>0</v>
      </c>
      <c r="G818" s="69">
        <f t="shared" si="484"/>
        <v>0</v>
      </c>
      <c r="H818" s="69">
        <f t="shared" si="484"/>
        <v>0</v>
      </c>
      <c r="I818" s="69">
        <f t="shared" si="484"/>
        <v>0</v>
      </c>
      <c r="J818" s="69">
        <f>J823</f>
        <v>0</v>
      </c>
      <c r="K818" s="69">
        <f>K823</f>
        <v>0</v>
      </c>
      <c r="L818" s="69">
        <f t="shared" si="485"/>
        <v>0</v>
      </c>
      <c r="M818" s="69">
        <f t="shared" si="485"/>
        <v>0</v>
      </c>
      <c r="N818" s="69">
        <f t="shared" si="485"/>
        <v>0</v>
      </c>
      <c r="O818" s="69">
        <f t="shared" si="485"/>
        <v>0</v>
      </c>
      <c r="W818" s="69">
        <f t="shared" ref="W818" si="488">W823</f>
        <v>0</v>
      </c>
    </row>
    <row r="819" spans="1:23" ht="18" customHeight="1" x14ac:dyDescent="0.2">
      <c r="A819" s="151"/>
      <c r="B819" s="161"/>
      <c r="C819" s="101" t="s">
        <v>12</v>
      </c>
      <c r="D819" s="69">
        <f t="shared" si="487"/>
        <v>670428.11499999999</v>
      </c>
      <c r="E819" s="69">
        <f>E824</f>
        <v>31873.5</v>
      </c>
      <c r="F819" s="69">
        <f t="shared" si="484"/>
        <v>32215.200000000001</v>
      </c>
      <c r="G819" s="69">
        <f>G821</f>
        <v>32536.1</v>
      </c>
      <c r="H819" s="69">
        <f>H821</f>
        <v>34467.4</v>
      </c>
      <c r="I819" s="69">
        <f>I821</f>
        <v>42249.1</v>
      </c>
      <c r="J819" s="69">
        <f t="shared" ref="J819:M819" si="489">J824</f>
        <v>51925.4</v>
      </c>
      <c r="K819" s="69">
        <f t="shared" si="489"/>
        <v>66037.599999999991</v>
      </c>
      <c r="L819" s="69">
        <f t="shared" si="489"/>
        <v>68745.7</v>
      </c>
      <c r="M819" s="69">
        <f t="shared" si="489"/>
        <v>73911.114999999991</v>
      </c>
      <c r="N819" s="69">
        <f>N824</f>
        <v>78050.600000000006</v>
      </c>
      <c r="O819" s="69">
        <f>O824</f>
        <v>77746.900000000009</v>
      </c>
      <c r="W819" s="69">
        <f>W824</f>
        <v>80669.5</v>
      </c>
    </row>
    <row r="820" spans="1:23" ht="42.75" customHeight="1" x14ac:dyDescent="0.25">
      <c r="A820" s="151"/>
      <c r="B820" s="161"/>
      <c r="C820" s="101" t="s">
        <v>13</v>
      </c>
      <c r="D820" s="69">
        <f t="shared" si="487"/>
        <v>0</v>
      </c>
      <c r="E820" s="69">
        <f t="shared" si="484"/>
        <v>0</v>
      </c>
      <c r="F820" s="69">
        <f t="shared" si="484"/>
        <v>0</v>
      </c>
      <c r="G820" s="69">
        <f t="shared" si="484"/>
        <v>0</v>
      </c>
      <c r="H820" s="69">
        <f t="shared" si="484"/>
        <v>0</v>
      </c>
      <c r="I820" s="69">
        <f t="shared" si="484"/>
        <v>0</v>
      </c>
      <c r="J820" s="69">
        <f t="shared" ref="J820:O820" si="490">J825</f>
        <v>0</v>
      </c>
      <c r="K820" s="69">
        <f t="shared" si="490"/>
        <v>0</v>
      </c>
      <c r="L820" s="69">
        <f t="shared" si="490"/>
        <v>0</v>
      </c>
      <c r="M820" s="69">
        <f t="shared" si="490"/>
        <v>0</v>
      </c>
      <c r="N820" s="69">
        <f t="shared" si="490"/>
        <v>0</v>
      </c>
      <c r="O820" s="69">
        <f t="shared" si="490"/>
        <v>0</v>
      </c>
      <c r="P820" s="82"/>
      <c r="Q820" s="82"/>
      <c r="R820" s="82"/>
      <c r="S820" s="82"/>
      <c r="T820" s="82"/>
      <c r="U820" s="82"/>
      <c r="V820" s="82"/>
      <c r="W820" s="69">
        <f t="shared" ref="W820" si="491">W825</f>
        <v>0</v>
      </c>
    </row>
    <row r="821" spans="1:23" ht="15.75" x14ac:dyDescent="0.2">
      <c r="A821" s="137" t="s">
        <v>334</v>
      </c>
      <c r="B821" s="149" t="s">
        <v>144</v>
      </c>
      <c r="C821" s="101" t="s">
        <v>7</v>
      </c>
      <c r="D821" s="69">
        <f t="shared" si="487"/>
        <v>670428.11499999999</v>
      </c>
      <c r="E821" s="69">
        <f t="shared" ref="E821:O821" si="492">SUM(E822:E825)</f>
        <v>31873.5</v>
      </c>
      <c r="F821" s="69">
        <f t="shared" si="492"/>
        <v>32215.200000000001</v>
      </c>
      <c r="G821" s="69">
        <f t="shared" si="492"/>
        <v>32536.1</v>
      </c>
      <c r="H821" s="69">
        <f t="shared" si="492"/>
        <v>34467.4</v>
      </c>
      <c r="I821" s="69">
        <f t="shared" si="492"/>
        <v>42249.1</v>
      </c>
      <c r="J821" s="69">
        <f t="shared" si="492"/>
        <v>51925.4</v>
      </c>
      <c r="K821" s="69">
        <f t="shared" si="492"/>
        <v>66037.599999999991</v>
      </c>
      <c r="L821" s="69">
        <f t="shared" si="492"/>
        <v>68745.7</v>
      </c>
      <c r="M821" s="69">
        <f t="shared" si="492"/>
        <v>73911.114999999991</v>
      </c>
      <c r="N821" s="69">
        <f t="shared" si="492"/>
        <v>78050.600000000006</v>
      </c>
      <c r="O821" s="69">
        <f t="shared" si="492"/>
        <v>77746.900000000009</v>
      </c>
      <c r="W821" s="69">
        <f t="shared" ref="W821" si="493">SUM(W822:W825)</f>
        <v>80669.5</v>
      </c>
    </row>
    <row r="822" spans="1:23" ht="15.75" x14ac:dyDescent="0.2">
      <c r="A822" s="137"/>
      <c r="B822" s="149"/>
      <c r="C822" s="101" t="s">
        <v>10</v>
      </c>
      <c r="D822" s="69">
        <f t="shared" si="487"/>
        <v>0</v>
      </c>
      <c r="E822" s="69">
        <v>0</v>
      </c>
      <c r="F822" s="69">
        <v>0</v>
      </c>
      <c r="G822" s="69">
        <v>0</v>
      </c>
      <c r="H822" s="69">
        <v>0</v>
      </c>
      <c r="I822" s="69">
        <v>0</v>
      </c>
      <c r="J822" s="69">
        <v>0</v>
      </c>
      <c r="K822" s="69">
        <v>0</v>
      </c>
      <c r="L822" s="69">
        <v>0</v>
      </c>
      <c r="M822" s="69">
        <v>0</v>
      </c>
      <c r="N822" s="69">
        <v>0</v>
      </c>
      <c r="O822" s="69">
        <v>0</v>
      </c>
      <c r="W822" s="69">
        <v>0</v>
      </c>
    </row>
    <row r="823" spans="1:23" ht="15.75" x14ac:dyDescent="0.2">
      <c r="A823" s="137"/>
      <c r="B823" s="149"/>
      <c r="C823" s="101" t="s">
        <v>11</v>
      </c>
      <c r="D823" s="69">
        <f t="shared" si="487"/>
        <v>0</v>
      </c>
      <c r="E823" s="69">
        <v>0</v>
      </c>
      <c r="F823" s="69">
        <v>0</v>
      </c>
      <c r="G823" s="69">
        <v>0</v>
      </c>
      <c r="H823" s="69">
        <v>0</v>
      </c>
      <c r="I823" s="69">
        <v>0</v>
      </c>
      <c r="J823" s="69">
        <v>0</v>
      </c>
      <c r="K823" s="69">
        <v>0</v>
      </c>
      <c r="L823" s="69">
        <v>0</v>
      </c>
      <c r="M823" s="69">
        <v>0</v>
      </c>
      <c r="N823" s="69">
        <v>0</v>
      </c>
      <c r="O823" s="69">
        <v>0</v>
      </c>
      <c r="W823" s="69">
        <v>0</v>
      </c>
    </row>
    <row r="824" spans="1:23" ht="15.75" x14ac:dyDescent="0.2">
      <c r="A824" s="137"/>
      <c r="B824" s="149"/>
      <c r="C824" s="101" t="s">
        <v>12</v>
      </c>
      <c r="D824" s="69">
        <f t="shared" si="487"/>
        <v>670428.11499999999</v>
      </c>
      <c r="E824" s="69">
        <f>E829</f>
        <v>31873.5</v>
      </c>
      <c r="F824" s="69">
        <f>F829</f>
        <v>32215.200000000001</v>
      </c>
      <c r="G824" s="69">
        <f>G829</f>
        <v>32536.1</v>
      </c>
      <c r="H824" s="69">
        <f t="shared" ref="H824:O824" si="494">H829</f>
        <v>34467.4</v>
      </c>
      <c r="I824" s="69">
        <f t="shared" si="494"/>
        <v>42249.1</v>
      </c>
      <c r="J824" s="69">
        <f t="shared" si="494"/>
        <v>51925.4</v>
      </c>
      <c r="K824" s="69">
        <f t="shared" si="494"/>
        <v>66037.599999999991</v>
      </c>
      <c r="L824" s="69">
        <f t="shared" si="494"/>
        <v>68745.7</v>
      </c>
      <c r="M824" s="69">
        <f t="shared" si="494"/>
        <v>73911.114999999991</v>
      </c>
      <c r="N824" s="69">
        <f t="shared" si="494"/>
        <v>78050.600000000006</v>
      </c>
      <c r="O824" s="69">
        <f t="shared" si="494"/>
        <v>77746.900000000009</v>
      </c>
      <c r="W824" s="69">
        <f t="shared" ref="W824" si="495">W829</f>
        <v>80669.5</v>
      </c>
    </row>
    <row r="825" spans="1:23" ht="21.75" customHeight="1" x14ac:dyDescent="0.2">
      <c r="A825" s="137"/>
      <c r="B825" s="149"/>
      <c r="C825" s="101" t="s">
        <v>13</v>
      </c>
      <c r="D825" s="69">
        <f t="shared" si="487"/>
        <v>0</v>
      </c>
      <c r="E825" s="69">
        <v>0</v>
      </c>
      <c r="F825" s="69">
        <v>0</v>
      </c>
      <c r="G825" s="69">
        <v>0</v>
      </c>
      <c r="H825" s="69">
        <v>0</v>
      </c>
      <c r="I825" s="69">
        <v>0</v>
      </c>
      <c r="J825" s="69">
        <v>0</v>
      </c>
      <c r="K825" s="69">
        <v>0</v>
      </c>
      <c r="L825" s="69">
        <v>0</v>
      </c>
      <c r="M825" s="69">
        <v>0</v>
      </c>
      <c r="N825" s="69">
        <v>0</v>
      </c>
      <c r="O825" s="69">
        <v>0</v>
      </c>
      <c r="W825" s="69">
        <v>0</v>
      </c>
    </row>
    <row r="826" spans="1:23" ht="21.75" customHeight="1" x14ac:dyDescent="0.2">
      <c r="A826" s="137" t="s">
        <v>143</v>
      </c>
      <c r="B826" s="149" t="s">
        <v>56</v>
      </c>
      <c r="C826" s="101" t="s">
        <v>7</v>
      </c>
      <c r="D826" s="69">
        <f t="shared" si="487"/>
        <v>670428.11499999999</v>
      </c>
      <c r="E826" s="69">
        <f t="shared" ref="E826:O826" si="496">SUM(E827:E830)</f>
        <v>31873.5</v>
      </c>
      <c r="F826" s="69">
        <f t="shared" si="496"/>
        <v>32215.200000000001</v>
      </c>
      <c r="G826" s="69">
        <f t="shared" si="496"/>
        <v>32536.1</v>
      </c>
      <c r="H826" s="69">
        <f t="shared" si="496"/>
        <v>34467.4</v>
      </c>
      <c r="I826" s="69">
        <f t="shared" si="496"/>
        <v>42249.1</v>
      </c>
      <c r="J826" s="69">
        <f t="shared" si="496"/>
        <v>51925.4</v>
      </c>
      <c r="K826" s="69">
        <f t="shared" si="496"/>
        <v>66037.599999999991</v>
      </c>
      <c r="L826" s="69">
        <f t="shared" si="496"/>
        <v>68745.7</v>
      </c>
      <c r="M826" s="69">
        <f t="shared" si="496"/>
        <v>73911.114999999991</v>
      </c>
      <c r="N826" s="69">
        <f t="shared" si="496"/>
        <v>78050.600000000006</v>
      </c>
      <c r="O826" s="69">
        <f t="shared" si="496"/>
        <v>77746.900000000009</v>
      </c>
      <c r="W826" s="69">
        <f t="shared" ref="W826" si="497">SUM(W827:W830)</f>
        <v>80669.5</v>
      </c>
    </row>
    <row r="827" spans="1:23" ht="15.75" customHeight="1" x14ac:dyDescent="0.2">
      <c r="A827" s="137"/>
      <c r="B827" s="149"/>
      <c r="C827" s="101" t="s">
        <v>10</v>
      </c>
      <c r="D827" s="69">
        <f t="shared" si="487"/>
        <v>0</v>
      </c>
      <c r="E827" s="69">
        <v>0</v>
      </c>
      <c r="F827" s="69">
        <v>0</v>
      </c>
      <c r="G827" s="69">
        <v>0</v>
      </c>
      <c r="H827" s="69">
        <v>0</v>
      </c>
      <c r="I827" s="69">
        <v>0</v>
      </c>
      <c r="J827" s="69">
        <v>0</v>
      </c>
      <c r="K827" s="69">
        <v>0</v>
      </c>
      <c r="L827" s="69">
        <v>0</v>
      </c>
      <c r="M827" s="69">
        <v>0</v>
      </c>
      <c r="N827" s="69">
        <v>0</v>
      </c>
      <c r="O827" s="69">
        <v>0</v>
      </c>
      <c r="W827" s="69">
        <v>0</v>
      </c>
    </row>
    <row r="828" spans="1:23" ht="15.75" x14ac:dyDescent="0.2">
      <c r="A828" s="137"/>
      <c r="B828" s="149"/>
      <c r="C828" s="101" t="s">
        <v>11</v>
      </c>
      <c r="D828" s="69">
        <f t="shared" si="487"/>
        <v>0</v>
      </c>
      <c r="E828" s="69">
        <v>0</v>
      </c>
      <c r="F828" s="69">
        <v>0</v>
      </c>
      <c r="G828" s="69">
        <v>0</v>
      </c>
      <c r="H828" s="69">
        <v>0</v>
      </c>
      <c r="I828" s="69">
        <v>0</v>
      </c>
      <c r="J828" s="69">
        <v>0</v>
      </c>
      <c r="K828" s="69">
        <v>0</v>
      </c>
      <c r="L828" s="69">
        <v>0</v>
      </c>
      <c r="M828" s="69">
        <v>0</v>
      </c>
      <c r="N828" s="69">
        <v>0</v>
      </c>
      <c r="O828" s="69">
        <v>0</v>
      </c>
      <c r="W828" s="69">
        <v>0</v>
      </c>
    </row>
    <row r="829" spans="1:23" ht="15.75" x14ac:dyDescent="0.2">
      <c r="A829" s="137"/>
      <c r="B829" s="149"/>
      <c r="C829" s="101" t="s">
        <v>12</v>
      </c>
      <c r="D829" s="69">
        <f t="shared" si="487"/>
        <v>670428.11499999999</v>
      </c>
      <c r="E829" s="69">
        <v>31873.5</v>
      </c>
      <c r="F829" s="69">
        <v>32215.200000000001</v>
      </c>
      <c r="G829" s="69">
        <v>32536.1</v>
      </c>
      <c r="H829" s="69">
        <v>34467.4</v>
      </c>
      <c r="I829" s="69">
        <f>41599.1+650</f>
        <v>42249.1</v>
      </c>
      <c r="J829" s="69">
        <f>42649.1+750.8+7821.5+406.1+218.1+79.8</f>
        <v>51925.4</v>
      </c>
      <c r="K829" s="69">
        <f>57248.6+400.1+8388.9</f>
        <v>66037.599999999991</v>
      </c>
      <c r="L829" s="69">
        <f>67673.6+671.4-0.1+56.6+181.4+400-400-56.6-181.4-600+600+163+135.8+102</f>
        <v>68745.7</v>
      </c>
      <c r="M829" s="69">
        <f>70380+663.1+70.8+258.275+579.2-841.1+841.1-0.1+59.14+200+697.4+300+768.2-65+0.1</f>
        <v>73911.114999999991</v>
      </c>
      <c r="N829" s="1">
        <f>73150.6+1465.3+142.3+108.5+3183.9</f>
        <v>78050.600000000006</v>
      </c>
      <c r="O829" s="69">
        <f>73150.6+4893.3-297</f>
        <v>77746.900000000009</v>
      </c>
      <c r="W829" s="69">
        <v>80669.5</v>
      </c>
    </row>
    <row r="830" spans="1:23" ht="15.75" x14ac:dyDescent="0.2">
      <c r="A830" s="137"/>
      <c r="B830" s="149"/>
      <c r="C830" s="101" t="s">
        <v>13</v>
      </c>
      <c r="D830" s="69">
        <f t="shared" si="487"/>
        <v>0</v>
      </c>
      <c r="E830" s="69">
        <v>0</v>
      </c>
      <c r="F830" s="69">
        <v>0</v>
      </c>
      <c r="G830" s="69">
        <v>0</v>
      </c>
      <c r="H830" s="69">
        <v>0</v>
      </c>
      <c r="I830" s="69">
        <v>0</v>
      </c>
      <c r="J830" s="69">
        <v>0</v>
      </c>
      <c r="K830" s="69">
        <v>0</v>
      </c>
      <c r="L830" s="69">
        <v>0</v>
      </c>
      <c r="M830" s="69">
        <v>0</v>
      </c>
      <c r="N830" s="69">
        <v>0</v>
      </c>
      <c r="O830" s="69">
        <v>0</v>
      </c>
      <c r="W830" s="69">
        <v>0</v>
      </c>
    </row>
    <row r="831" spans="1:23" ht="37.5" customHeight="1" x14ac:dyDescent="0.2">
      <c r="A831" s="92" t="s">
        <v>477</v>
      </c>
      <c r="B831" s="93"/>
      <c r="C831" s="94"/>
      <c r="D831" s="75"/>
      <c r="E831" s="75"/>
      <c r="F831" s="75"/>
      <c r="G831" s="75"/>
      <c r="H831" s="75"/>
      <c r="I831" s="75"/>
      <c r="J831" s="75"/>
      <c r="K831" s="75"/>
      <c r="L831" s="75"/>
      <c r="M831" s="75"/>
      <c r="N831" s="75"/>
      <c r="O831" s="75"/>
      <c r="W831" s="75"/>
    </row>
    <row r="832" spans="1:23" ht="34.5" customHeight="1" x14ac:dyDescent="0.2">
      <c r="A832" s="135"/>
      <c r="B832" s="135"/>
      <c r="C832" s="135"/>
      <c r="D832" s="135"/>
      <c r="E832" s="135"/>
      <c r="F832" s="135"/>
      <c r="G832" s="135"/>
      <c r="H832" s="135"/>
      <c r="I832" s="135"/>
      <c r="J832" s="135"/>
      <c r="K832" s="135"/>
      <c r="L832" s="135"/>
      <c r="M832" s="135"/>
      <c r="N832" s="135"/>
      <c r="O832" s="135"/>
      <c r="P832" s="135"/>
      <c r="Q832" s="135"/>
      <c r="R832" s="135"/>
      <c r="S832" s="135"/>
      <c r="T832" s="135"/>
      <c r="U832" s="135"/>
      <c r="V832" s="135"/>
      <c r="W832" s="135"/>
    </row>
    <row r="833" spans="1:23" x14ac:dyDescent="0.2">
      <c r="A833" s="135"/>
      <c r="B833" s="135"/>
      <c r="C833" s="135"/>
      <c r="D833" s="135"/>
      <c r="E833" s="135"/>
      <c r="F833" s="135"/>
      <c r="G833" s="135"/>
      <c r="H833" s="135"/>
      <c r="I833" s="135"/>
      <c r="J833" s="135"/>
      <c r="K833" s="135"/>
      <c r="L833" s="135"/>
      <c r="M833" s="135"/>
      <c r="N833" s="135"/>
      <c r="O833" s="135"/>
      <c r="P833" s="135"/>
      <c r="Q833" s="135"/>
      <c r="R833" s="135"/>
      <c r="S833" s="135"/>
      <c r="T833" s="135"/>
      <c r="U833" s="135"/>
      <c r="V833" s="135"/>
      <c r="W833" s="135"/>
    </row>
    <row r="834" spans="1:23" ht="29.25" customHeight="1" x14ac:dyDescent="0.2">
      <c r="A834" s="135"/>
      <c r="B834" s="135"/>
      <c r="C834" s="135"/>
      <c r="D834" s="135"/>
      <c r="E834" s="135"/>
      <c r="F834" s="135"/>
      <c r="G834" s="135"/>
      <c r="H834" s="135"/>
      <c r="I834" s="135"/>
      <c r="J834" s="135"/>
      <c r="K834" s="135"/>
      <c r="L834" s="135"/>
      <c r="M834" s="135"/>
      <c r="N834" s="135"/>
      <c r="O834" s="135"/>
      <c r="P834" s="135"/>
      <c r="Q834" s="135"/>
      <c r="R834" s="135"/>
      <c r="S834" s="135"/>
      <c r="T834" s="135"/>
      <c r="U834" s="135"/>
      <c r="V834" s="135"/>
      <c r="W834" s="135"/>
    </row>
    <row r="835" spans="1:23" x14ac:dyDescent="0.2">
      <c r="A835" s="135"/>
      <c r="B835" s="135"/>
      <c r="C835" s="135"/>
      <c r="D835" s="135"/>
      <c r="E835" s="135"/>
      <c r="F835" s="135"/>
      <c r="G835" s="135"/>
      <c r="H835" s="135"/>
      <c r="I835" s="135"/>
      <c r="J835" s="135"/>
      <c r="K835" s="135"/>
      <c r="L835" s="135"/>
      <c r="M835" s="135"/>
      <c r="N835" s="135"/>
      <c r="O835" s="135"/>
      <c r="P835" s="135"/>
      <c r="Q835" s="135"/>
      <c r="R835" s="135"/>
      <c r="S835" s="135"/>
      <c r="T835" s="135"/>
      <c r="U835" s="135"/>
      <c r="V835" s="135"/>
      <c r="W835" s="135"/>
    </row>
    <row r="842" spans="1:23" x14ac:dyDescent="0.2">
      <c r="D842" s="60"/>
    </row>
    <row r="844" spans="1:23" x14ac:dyDescent="0.2">
      <c r="D844" s="60"/>
    </row>
  </sheetData>
  <autoFilter ref="A7:Y825"/>
  <mergeCells count="308">
    <mergeCell ref="A834:W835"/>
    <mergeCell ref="A767:A771"/>
    <mergeCell ref="B767:B771"/>
    <mergeCell ref="A50:A55"/>
    <mergeCell ref="B50:B55"/>
    <mergeCell ref="A801:A805"/>
    <mergeCell ref="B801:B805"/>
    <mergeCell ref="B542:B546"/>
    <mergeCell ref="A517:A521"/>
    <mergeCell ref="B614:B619"/>
    <mergeCell ref="A620:A624"/>
    <mergeCell ref="B620:B624"/>
    <mergeCell ref="A596:A600"/>
    <mergeCell ref="B596:B600"/>
    <mergeCell ref="B625:B629"/>
    <mergeCell ref="B576:B580"/>
    <mergeCell ref="A675:A679"/>
    <mergeCell ref="B670:B674"/>
    <mergeCell ref="B777:B783"/>
    <mergeCell ref="A727:A731"/>
    <mergeCell ref="B727:B731"/>
    <mergeCell ref="B144:B151"/>
    <mergeCell ref="B128:B136"/>
    <mergeCell ref="A424:A428"/>
    <mergeCell ref="B120:B127"/>
    <mergeCell ref="B178:B183"/>
    <mergeCell ref="A307:A311"/>
    <mergeCell ref="B307:B311"/>
    <mergeCell ref="B217:B221"/>
    <mergeCell ref="B206:B211"/>
    <mergeCell ref="B252:B256"/>
    <mergeCell ref="A237:A241"/>
    <mergeCell ref="B257:B261"/>
    <mergeCell ref="B237:B241"/>
    <mergeCell ref="B232:B236"/>
    <mergeCell ref="A257:A261"/>
    <mergeCell ref="B247:B251"/>
    <mergeCell ref="A247:A251"/>
    <mergeCell ref="B272:B276"/>
    <mergeCell ref="A272:A276"/>
    <mergeCell ref="A252:A256"/>
    <mergeCell ref="A267:A271"/>
    <mergeCell ref="B267:B271"/>
    <mergeCell ref="A262:A266"/>
    <mergeCell ref="B262:B266"/>
    <mergeCell ref="A302:A306"/>
    <mergeCell ref="B302:B306"/>
    <mergeCell ref="A722:A726"/>
    <mergeCell ref="B722:B726"/>
    <mergeCell ref="B635:B642"/>
    <mergeCell ref="A608:A613"/>
    <mergeCell ref="A635:A642"/>
    <mergeCell ref="A680:A684"/>
    <mergeCell ref="A630:A634"/>
    <mergeCell ref="A659:A663"/>
    <mergeCell ref="A625:A629"/>
    <mergeCell ref="B664:B669"/>
    <mergeCell ref="A670:A674"/>
    <mergeCell ref="A664:A669"/>
    <mergeCell ref="A643:A648"/>
    <mergeCell ref="A654:A658"/>
    <mergeCell ref="A700:A705"/>
    <mergeCell ref="B700:B705"/>
    <mergeCell ref="B712:B716"/>
    <mergeCell ref="A712:A716"/>
    <mergeCell ref="B675:B679"/>
    <mergeCell ref="B649:B653"/>
    <mergeCell ref="B630:B634"/>
    <mergeCell ref="L1:O1"/>
    <mergeCell ref="A232:A236"/>
    <mergeCell ref="A222:A226"/>
    <mergeCell ref="A227:A231"/>
    <mergeCell ref="B227:B231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B61:B67"/>
    <mergeCell ref="A38:A43"/>
    <mergeCell ref="B38:B43"/>
    <mergeCell ref="B44:B49"/>
    <mergeCell ref="A44:A49"/>
    <mergeCell ref="A206:A211"/>
    <mergeCell ref="A18:A27"/>
    <mergeCell ref="A499:A504"/>
    <mergeCell ref="B18:B27"/>
    <mergeCell ref="B56:B60"/>
    <mergeCell ref="B74:B80"/>
    <mergeCell ref="A353:A357"/>
    <mergeCell ref="A454:A458"/>
    <mergeCell ref="A449:A453"/>
    <mergeCell ref="A287:A291"/>
    <mergeCell ref="B282:B286"/>
    <mergeCell ref="B353:B357"/>
    <mergeCell ref="A343:A347"/>
    <mergeCell ref="B343:B347"/>
    <mergeCell ref="A312:A317"/>
    <mergeCell ref="B312:B317"/>
    <mergeCell ref="B297:B301"/>
    <mergeCell ref="A338:A342"/>
    <mergeCell ref="B338:B342"/>
    <mergeCell ref="A292:A296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8:A352"/>
    <mergeCell ref="B348:B352"/>
    <mergeCell ref="A318:A322"/>
    <mergeCell ref="A323:A327"/>
    <mergeCell ref="B323:B327"/>
    <mergeCell ref="A328:A332"/>
    <mergeCell ref="B328:B332"/>
    <mergeCell ref="A333:A337"/>
    <mergeCell ref="B333:B337"/>
    <mergeCell ref="B287:B291"/>
    <mergeCell ref="B212:B216"/>
    <mergeCell ref="A217:A221"/>
    <mergeCell ref="A199:A205"/>
    <mergeCell ref="A242:A246"/>
    <mergeCell ref="B318:B322"/>
    <mergeCell ref="A282:A286"/>
    <mergeCell ref="A826:A830"/>
    <mergeCell ref="B821:B825"/>
    <mergeCell ref="A821:A825"/>
    <mergeCell ref="B826:B830"/>
    <mergeCell ref="B690:B694"/>
    <mergeCell ref="A690:A694"/>
    <mergeCell ref="A791:A795"/>
    <mergeCell ref="B791:B795"/>
    <mergeCell ref="A816:A820"/>
    <mergeCell ref="B816:B820"/>
    <mergeCell ref="B784:B790"/>
    <mergeCell ref="A784:A790"/>
    <mergeCell ref="A796:A800"/>
    <mergeCell ref="B796:B800"/>
    <mergeCell ref="A706:A711"/>
    <mergeCell ref="B706:B711"/>
    <mergeCell ref="A777:A783"/>
    <mergeCell ref="A811:A815"/>
    <mergeCell ref="B811:B815"/>
    <mergeCell ref="A806:A810"/>
    <mergeCell ref="B806:B810"/>
    <mergeCell ref="A742:A746"/>
    <mergeCell ref="B742:B746"/>
    <mergeCell ref="A732:A736"/>
    <mergeCell ref="A56:A60"/>
    <mergeCell ref="B100:B105"/>
    <mergeCell ref="B87:B93"/>
    <mergeCell ref="B113:B119"/>
    <mergeCell ref="A94:A99"/>
    <mergeCell ref="A128:A136"/>
    <mergeCell ref="B242:B246"/>
    <mergeCell ref="B222:B226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2:A216"/>
    <mergeCell ref="B184:B188"/>
    <mergeCell ref="A68:A73"/>
    <mergeCell ref="A81:A86"/>
    <mergeCell ref="A171:A177"/>
    <mergeCell ref="A184:A188"/>
    <mergeCell ref="B81:B86"/>
    <mergeCell ref="B199:B205"/>
    <mergeCell ref="A61:A67"/>
    <mergeCell ref="B732:B736"/>
    <mergeCell ref="A737:A741"/>
    <mergeCell ref="B737:B741"/>
    <mergeCell ref="B517:B521"/>
    <mergeCell ref="A564:A568"/>
    <mergeCell ref="B505:B511"/>
    <mergeCell ref="B537:B541"/>
    <mergeCell ref="B643:B648"/>
    <mergeCell ref="B659:B663"/>
    <mergeCell ref="B654:B658"/>
    <mergeCell ref="A591:A595"/>
    <mergeCell ref="A586:A590"/>
    <mergeCell ref="A557:A563"/>
    <mergeCell ref="A601:A607"/>
    <mergeCell ref="B591:B595"/>
    <mergeCell ref="B601:B607"/>
    <mergeCell ref="B586:B590"/>
    <mergeCell ref="A695:A699"/>
    <mergeCell ref="B695:B699"/>
    <mergeCell ref="B564:B568"/>
    <mergeCell ref="A569:A575"/>
    <mergeCell ref="B581:B585"/>
    <mergeCell ref="A552:A556"/>
    <mergeCell ref="B449:B453"/>
    <mergeCell ref="B424:B428"/>
    <mergeCell ref="B474:B478"/>
    <mergeCell ref="A474:A478"/>
    <mergeCell ref="A484:A488"/>
    <mergeCell ref="B484:B488"/>
    <mergeCell ref="A527:A531"/>
    <mergeCell ref="B527:B531"/>
    <mergeCell ref="B512:B516"/>
    <mergeCell ref="B522:B526"/>
    <mergeCell ref="A489:A493"/>
    <mergeCell ref="B489:B493"/>
    <mergeCell ref="B499:B504"/>
    <mergeCell ref="A479:A483"/>
    <mergeCell ref="A429:A433"/>
    <mergeCell ref="B429:B433"/>
    <mergeCell ref="A434:A438"/>
    <mergeCell ref="B434:B438"/>
    <mergeCell ref="A464:A468"/>
    <mergeCell ref="B469:B473"/>
    <mergeCell ref="A439:A443"/>
    <mergeCell ref="B439:B443"/>
    <mergeCell ref="A444:A448"/>
    <mergeCell ref="B444:B448"/>
    <mergeCell ref="A398:A402"/>
    <mergeCell ref="B398:B402"/>
    <mergeCell ref="A393:A397"/>
    <mergeCell ref="B393:B397"/>
    <mergeCell ref="B277:B281"/>
    <mergeCell ref="A277:A281"/>
    <mergeCell ref="A388:A392"/>
    <mergeCell ref="B388:B392"/>
    <mergeCell ref="B464:B468"/>
    <mergeCell ref="A403:A408"/>
    <mergeCell ref="B403:B408"/>
    <mergeCell ref="A409:A413"/>
    <mergeCell ref="B409:B413"/>
    <mergeCell ref="A414:A418"/>
    <mergeCell ref="B414:B418"/>
    <mergeCell ref="A419:A423"/>
    <mergeCell ref="B419:B423"/>
    <mergeCell ref="A459:A463"/>
    <mergeCell ref="B459:B463"/>
    <mergeCell ref="B292:B296"/>
    <mergeCell ref="A297:A301"/>
    <mergeCell ref="A383:A387"/>
    <mergeCell ref="B383:B387"/>
    <mergeCell ref="B454:B458"/>
    <mergeCell ref="A532:A536"/>
    <mergeCell ref="B532:B536"/>
    <mergeCell ref="A363:A367"/>
    <mergeCell ref="B363:B367"/>
    <mergeCell ref="A576:A580"/>
    <mergeCell ref="A537:A541"/>
    <mergeCell ref="A747:A751"/>
    <mergeCell ref="B747:B751"/>
    <mergeCell ref="B368:B372"/>
    <mergeCell ref="A368:A372"/>
    <mergeCell ref="B373:B377"/>
    <mergeCell ref="B378:B382"/>
    <mergeCell ref="A373:A377"/>
    <mergeCell ref="A378:A382"/>
    <mergeCell ref="A512:A516"/>
    <mergeCell ref="A581:A585"/>
    <mergeCell ref="B569:B575"/>
    <mergeCell ref="A522:A526"/>
    <mergeCell ref="A505:A511"/>
    <mergeCell ref="A542:A546"/>
    <mergeCell ref="B608:B613"/>
    <mergeCell ref="B685:B689"/>
    <mergeCell ref="B680:B684"/>
    <mergeCell ref="A469:A473"/>
    <mergeCell ref="A832:W833"/>
    <mergeCell ref="D5:W5"/>
    <mergeCell ref="A494:A498"/>
    <mergeCell ref="B494:B498"/>
    <mergeCell ref="A772:A776"/>
    <mergeCell ref="B772:B776"/>
    <mergeCell ref="A757:A761"/>
    <mergeCell ref="B757:B761"/>
    <mergeCell ref="A762:A766"/>
    <mergeCell ref="B762:B766"/>
    <mergeCell ref="A752:A756"/>
    <mergeCell ref="B752:B756"/>
    <mergeCell ref="A358:A362"/>
    <mergeCell ref="B358:B362"/>
    <mergeCell ref="B479:B483"/>
    <mergeCell ref="A717:A721"/>
    <mergeCell ref="B717:B721"/>
    <mergeCell ref="A649:A653"/>
    <mergeCell ref="A685:A689"/>
    <mergeCell ref="A614:A619"/>
    <mergeCell ref="B552:B556"/>
    <mergeCell ref="B557:B563"/>
    <mergeCell ref="A547:A551"/>
    <mergeCell ref="B547:B551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Приложение № 3 к МП РИМ_</vt:lpstr>
      <vt:lpstr>'Приложение № 3 к МП РИМ_'!Область_печати</vt:lpstr>
      <vt:lpstr>'Таблица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2023-10-27T05:29:03Z</cp:lastPrinted>
  <dcterms:created xsi:type="dcterms:W3CDTF">1996-10-08T23:32:33Z</dcterms:created>
  <dcterms:modified xsi:type="dcterms:W3CDTF">2024-03-26T07:40:41Z</dcterms:modified>
</cp:coreProperties>
</file>