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95" yWindow="-195" windowWidth="22170" windowHeight="12585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РИМ_'!$A$7:$Y$756</definedName>
    <definedName name="_xlnm._FilterDatabase" localSheetId="0" hidden="1">'Таблица № 3'!$A$6:$S$120</definedName>
    <definedName name="_xlnm.Print_Area" localSheetId="1">'Приложение № 3 к МП РИМ_'!$A$1:$Z$760</definedName>
    <definedName name="_xlnm.Print_Area" localSheetId="0">'Таблица № 3'!$A$1:$S$120</definedName>
  </definedNames>
  <calcPr calcId="145621" iterate="1" iterateDelta="1.0000000000000001E-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03" i="6" l="1"/>
  <c r="N639" i="6" l="1"/>
  <c r="O24" i="6" l="1"/>
  <c r="M34" i="6"/>
  <c r="D400" i="6"/>
  <c r="N399" i="6"/>
  <c r="D399" i="6"/>
  <c r="D398" i="6"/>
  <c r="D397" i="6"/>
  <c r="O396" i="6"/>
  <c r="N396" i="6"/>
  <c r="L396" i="6"/>
  <c r="K396" i="6"/>
  <c r="J396" i="6"/>
  <c r="I396" i="6"/>
  <c r="H396" i="6"/>
  <c r="G396" i="6"/>
  <c r="F396" i="6"/>
  <c r="E396" i="6"/>
  <c r="D396" i="6" l="1"/>
  <c r="M396" i="6"/>
  <c r="M541" i="6" l="1"/>
  <c r="M388" i="6"/>
  <c r="M755" i="6" l="1"/>
  <c r="M592" i="6" l="1"/>
  <c r="M203" i="6"/>
  <c r="M409" i="6" l="1"/>
  <c r="M649" i="6" l="1"/>
  <c r="M639" i="6"/>
  <c r="M594" i="6"/>
  <c r="M587" i="6" s="1"/>
  <c r="N594" i="6"/>
  <c r="O594" i="6"/>
  <c r="E594" i="6"/>
  <c r="D594" i="6" s="1"/>
  <c r="F594" i="6"/>
  <c r="G594" i="6"/>
  <c r="H594" i="6"/>
  <c r="I594" i="6"/>
  <c r="J594" i="6"/>
  <c r="K594" i="6"/>
  <c r="L594" i="6"/>
  <c r="E587" i="6"/>
  <c r="F587" i="6"/>
  <c r="G587" i="6"/>
  <c r="H587" i="6"/>
  <c r="I587" i="6"/>
  <c r="J587" i="6"/>
  <c r="K587" i="6"/>
  <c r="L587" i="6"/>
  <c r="N587" i="6"/>
  <c r="O587" i="6"/>
  <c r="M676" i="6"/>
  <c r="M314" i="6"/>
  <c r="D587" i="6" l="1"/>
  <c r="D702" i="6"/>
  <c r="L701" i="6"/>
  <c r="D701" i="6" s="1"/>
  <c r="D700" i="6"/>
  <c r="D699" i="6"/>
  <c r="O698" i="6"/>
  <c r="N698" i="6"/>
  <c r="M698" i="6"/>
  <c r="L698" i="6"/>
  <c r="K698" i="6"/>
  <c r="J698" i="6"/>
  <c r="I698" i="6"/>
  <c r="H698" i="6"/>
  <c r="G698" i="6"/>
  <c r="F698" i="6"/>
  <c r="E698" i="6"/>
  <c r="D698" i="6" l="1"/>
  <c r="M384" i="6" l="1"/>
  <c r="M201" i="6" l="1"/>
  <c r="M624" i="6" l="1"/>
  <c r="M696" i="6" l="1"/>
  <c r="M364" i="6" l="1"/>
  <c r="M394" i="6"/>
  <c r="M564" i="6" l="1"/>
  <c r="M714" i="6" l="1"/>
  <c r="M712" i="6" l="1"/>
  <c r="N33" i="6" l="1"/>
  <c r="N26" i="6" s="1"/>
  <c r="O33" i="6"/>
  <c r="O26" i="6" s="1"/>
  <c r="M33" i="6"/>
  <c r="M26" i="6" s="1"/>
  <c r="F36" i="6"/>
  <c r="G36" i="6"/>
  <c r="H36" i="6"/>
  <c r="I36" i="6"/>
  <c r="J36" i="6"/>
  <c r="K36" i="6"/>
  <c r="L36" i="6"/>
  <c r="M36" i="6"/>
  <c r="N36" i="6"/>
  <c r="O36" i="6"/>
  <c r="E36" i="6"/>
  <c r="D204" i="6"/>
  <c r="D202" i="6"/>
  <c r="D36" i="6" l="1"/>
  <c r="M23" i="6"/>
  <c r="M614" i="6"/>
  <c r="E588" i="6" l="1"/>
  <c r="F588" i="6"/>
  <c r="G588" i="6"/>
  <c r="H588" i="6"/>
  <c r="I588" i="6"/>
  <c r="J588" i="6"/>
  <c r="K588" i="6"/>
  <c r="L588" i="6"/>
  <c r="N588" i="6"/>
  <c r="O588" i="6"/>
  <c r="M588" i="6"/>
  <c r="M16" i="6" s="1"/>
  <c r="E585" i="6"/>
  <c r="F585" i="6"/>
  <c r="G585" i="6"/>
  <c r="H585" i="6"/>
  <c r="I585" i="6"/>
  <c r="J585" i="6"/>
  <c r="K585" i="6"/>
  <c r="L585" i="6"/>
  <c r="N585" i="6"/>
  <c r="O585" i="6"/>
  <c r="M585" i="6"/>
  <c r="M13" i="6" s="1"/>
  <c r="D708" i="6"/>
  <c r="D706" i="6"/>
  <c r="D715" i="6"/>
  <c r="D713" i="6"/>
  <c r="D585" i="6" l="1"/>
  <c r="D588" i="6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D509" i="6"/>
  <c r="D26" i="6" s="1"/>
  <c r="D507" i="6"/>
  <c r="D521" i="6"/>
  <c r="D519" i="6"/>
  <c r="D16" i="6" l="1"/>
  <c r="O388" i="6"/>
  <c r="N388" i="6"/>
  <c r="M462" i="6"/>
  <c r="M444" i="6" l="1"/>
  <c r="D395" i="6" l="1"/>
  <c r="N394" i="6"/>
  <c r="D394" i="6" s="1"/>
  <c r="D393" i="6"/>
  <c r="D392" i="6"/>
  <c r="O391" i="6"/>
  <c r="L391" i="6"/>
  <c r="K391" i="6"/>
  <c r="J391" i="6"/>
  <c r="I391" i="6"/>
  <c r="H391" i="6"/>
  <c r="G391" i="6"/>
  <c r="F391" i="6"/>
  <c r="E391" i="6"/>
  <c r="N391" i="6" l="1"/>
  <c r="D391" i="6"/>
  <c r="M391" i="6"/>
  <c r="M740" i="6" l="1"/>
  <c r="D445" i="6" l="1"/>
  <c r="M441" i="6"/>
  <c r="K444" i="6"/>
  <c r="D444" i="6" s="1"/>
  <c r="D443" i="6"/>
  <c r="D442" i="6"/>
  <c r="O441" i="6"/>
  <c r="N441" i="6"/>
  <c r="L441" i="6"/>
  <c r="J441" i="6"/>
  <c r="I441" i="6"/>
  <c r="H441" i="6"/>
  <c r="G441" i="6"/>
  <c r="F441" i="6"/>
  <c r="E441" i="6"/>
  <c r="K441" i="6" l="1"/>
  <c r="D441" i="6" s="1"/>
  <c r="M209" i="6" l="1"/>
  <c r="M349" i="6" l="1"/>
  <c r="M348" i="6" l="1"/>
  <c r="O409" i="6" l="1"/>
  <c r="O203" i="6"/>
  <c r="M686" i="6" l="1"/>
  <c r="L364" i="6" l="1"/>
  <c r="L676" i="6" l="1"/>
  <c r="L639" i="6"/>
  <c r="L624" i="6"/>
  <c r="L570" i="6"/>
  <c r="L409" i="6" l="1"/>
  <c r="L388" i="6"/>
  <c r="L203" i="6"/>
  <c r="L755" i="6" l="1"/>
  <c r="L735" i="6"/>
  <c r="L201" i="6" l="1"/>
  <c r="L564" i="6" l="1"/>
  <c r="L65" i="6"/>
  <c r="L514" i="6"/>
  <c r="L314" i="6"/>
  <c r="L482" i="6" l="1"/>
  <c r="L655" i="6"/>
  <c r="L649" i="6" l="1"/>
  <c r="D390" i="6" l="1"/>
  <c r="N389" i="6"/>
  <c r="M389" i="6"/>
  <c r="M386" i="6" s="1"/>
  <c r="N386" i="6"/>
  <c r="D388" i="6"/>
  <c r="D387" i="6"/>
  <c r="O386" i="6"/>
  <c r="L386" i="6"/>
  <c r="K386" i="6"/>
  <c r="J386" i="6"/>
  <c r="I386" i="6"/>
  <c r="H386" i="6"/>
  <c r="G386" i="6"/>
  <c r="F386" i="6"/>
  <c r="E386" i="6"/>
  <c r="D389" i="6" l="1"/>
  <c r="D386" i="6" s="1"/>
  <c r="L714" i="6" l="1"/>
  <c r="L696" i="6" l="1"/>
  <c r="O639" i="6" l="1"/>
  <c r="L686" i="6" l="1"/>
  <c r="L614" i="6"/>
  <c r="L419" i="6" l="1"/>
  <c r="N201" i="6" l="1"/>
  <c r="O349" i="6" l="1"/>
  <c r="O348" i="6"/>
  <c r="N349" i="6"/>
  <c r="N348" i="6"/>
  <c r="O614" i="6" l="1"/>
  <c r="N564" i="6" l="1"/>
  <c r="O755" i="6"/>
  <c r="N755" i="6"/>
  <c r="M735" i="6"/>
  <c r="O686" i="6"/>
  <c r="N686" i="6"/>
  <c r="O676" i="6"/>
  <c r="N676" i="6"/>
  <c r="O655" i="6"/>
  <c r="N655" i="6"/>
  <c r="M655" i="6"/>
  <c r="M593" i="6" s="1"/>
  <c r="O649" i="6"/>
  <c r="N649" i="6"/>
  <c r="O624" i="6"/>
  <c r="N624" i="6"/>
  <c r="N614" i="6"/>
  <c r="O570" i="6" l="1"/>
  <c r="N570" i="6"/>
  <c r="M570" i="6"/>
  <c r="O541" i="6"/>
  <c r="N541" i="6"/>
  <c r="O462" i="6"/>
  <c r="N462" i="6"/>
  <c r="O455" i="6"/>
  <c r="N455" i="6"/>
  <c r="M455" i="6"/>
  <c r="N439" i="6"/>
  <c r="M439" i="6"/>
  <c r="O419" i="6"/>
  <c r="O404" i="6" s="1"/>
  <c r="N419" i="6"/>
  <c r="M419" i="6"/>
  <c r="N409" i="6"/>
  <c r="O381" i="6"/>
  <c r="O346" i="6"/>
  <c r="N404" i="6" l="1"/>
  <c r="M404" i="6"/>
  <c r="L681" i="6"/>
  <c r="L243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M346" i="6"/>
  <c r="D350" i="6"/>
  <c r="L349" i="6"/>
  <c r="D349" i="6" s="1"/>
  <c r="N346" i="6"/>
  <c r="L348" i="6"/>
  <c r="D348" i="6" s="1"/>
  <c r="D347" i="6"/>
  <c r="K346" i="6"/>
  <c r="J346" i="6"/>
  <c r="I346" i="6"/>
  <c r="H346" i="6"/>
  <c r="G346" i="6"/>
  <c r="F346" i="6"/>
  <c r="E346" i="6"/>
  <c r="D385" i="6"/>
  <c r="D384" i="6"/>
  <c r="D383" i="6"/>
  <c r="D382" i="6"/>
  <c r="N381" i="6"/>
  <c r="M381" i="6"/>
  <c r="L381" i="6"/>
  <c r="K381" i="6"/>
  <c r="J381" i="6"/>
  <c r="I381" i="6"/>
  <c r="H381" i="6"/>
  <c r="G381" i="6"/>
  <c r="F381" i="6"/>
  <c r="E381" i="6"/>
  <c r="L346" i="6" l="1"/>
  <c r="D346" i="6"/>
  <c r="D381" i="6"/>
  <c r="L462" i="6" l="1"/>
  <c r="L455" i="6"/>
  <c r="O187" i="6" l="1"/>
  <c r="L740" i="6" l="1"/>
  <c r="D483" i="6" l="1"/>
  <c r="D482" i="6"/>
  <c r="D481" i="6"/>
  <c r="D480" i="6"/>
  <c r="O479" i="6"/>
  <c r="N479" i="6"/>
  <c r="M479" i="6"/>
  <c r="L479" i="6"/>
  <c r="K479" i="6"/>
  <c r="J479" i="6"/>
  <c r="I479" i="6"/>
  <c r="H479" i="6"/>
  <c r="G479" i="6"/>
  <c r="F479" i="6"/>
  <c r="E479" i="6"/>
  <c r="E474" i="6"/>
  <c r="F474" i="6"/>
  <c r="G474" i="6"/>
  <c r="H474" i="6"/>
  <c r="I474" i="6"/>
  <c r="J474" i="6"/>
  <c r="K474" i="6"/>
  <c r="L474" i="6"/>
  <c r="M474" i="6"/>
  <c r="N474" i="6"/>
  <c r="O474" i="6"/>
  <c r="D475" i="6"/>
  <c r="D476" i="6"/>
  <c r="D477" i="6"/>
  <c r="D478" i="6"/>
  <c r="D474" i="6" l="1"/>
  <c r="D479" i="6"/>
  <c r="L671" i="6" l="1"/>
  <c r="D697" i="6" l="1"/>
  <c r="D696" i="6"/>
  <c r="D695" i="6"/>
  <c r="D694" i="6"/>
  <c r="O693" i="6"/>
  <c r="N693" i="6"/>
  <c r="M693" i="6"/>
  <c r="L693" i="6"/>
  <c r="K693" i="6"/>
  <c r="J693" i="6"/>
  <c r="I693" i="6"/>
  <c r="H693" i="6"/>
  <c r="G693" i="6"/>
  <c r="F693" i="6"/>
  <c r="E693" i="6"/>
  <c r="L593" i="6"/>
  <c r="D693" i="6" l="1"/>
  <c r="L541" i="6"/>
  <c r="L467" i="6" l="1"/>
  <c r="L449" i="6" l="1"/>
  <c r="L379" i="6" l="1"/>
  <c r="D379" i="6" s="1"/>
  <c r="L343" i="6"/>
  <c r="L333" i="6" s="1"/>
  <c r="L369" i="6"/>
  <c r="M334" i="6"/>
  <c r="N334" i="6"/>
  <c r="O334" i="6"/>
  <c r="M333" i="6"/>
  <c r="N333" i="6"/>
  <c r="O333" i="6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D380" i="6"/>
  <c r="D378" i="6"/>
  <c r="D377" i="6"/>
  <c r="O376" i="6"/>
  <c r="N376" i="6"/>
  <c r="M376" i="6"/>
  <c r="K376" i="6"/>
  <c r="J376" i="6"/>
  <c r="I376" i="6"/>
  <c r="H376" i="6"/>
  <c r="G376" i="6"/>
  <c r="F376" i="6"/>
  <c r="E376" i="6"/>
  <c r="D375" i="6"/>
  <c r="D374" i="6"/>
  <c r="D373" i="6"/>
  <c r="D372" i="6"/>
  <c r="O371" i="6"/>
  <c r="N371" i="6"/>
  <c r="M371" i="6"/>
  <c r="L371" i="6"/>
  <c r="K371" i="6"/>
  <c r="J371" i="6"/>
  <c r="I371" i="6"/>
  <c r="H371" i="6"/>
  <c r="G371" i="6"/>
  <c r="F371" i="6"/>
  <c r="E371" i="6"/>
  <c r="O31" i="6" l="1"/>
  <c r="L376" i="6"/>
  <c r="N366" i="6"/>
  <c r="N331" i="6"/>
  <c r="O331" i="6"/>
  <c r="D371" i="6"/>
  <c r="D369" i="6"/>
  <c r="M331" i="6"/>
  <c r="D376" i="6"/>
  <c r="L366" i="6"/>
  <c r="D368" i="6"/>
  <c r="D367" i="6"/>
  <c r="D370" i="6"/>
  <c r="D366" i="6" l="1"/>
  <c r="L283" i="6" l="1"/>
  <c r="D365" i="6" l="1"/>
  <c r="D364" i="6"/>
  <c r="D363" i="6"/>
  <c r="D362" i="6"/>
  <c r="O361" i="6"/>
  <c r="N361" i="6"/>
  <c r="M361" i="6"/>
  <c r="L361" i="6"/>
  <c r="K361" i="6"/>
  <c r="J361" i="6"/>
  <c r="I361" i="6"/>
  <c r="H361" i="6"/>
  <c r="G361" i="6"/>
  <c r="F361" i="6"/>
  <c r="E361" i="6"/>
  <c r="D361" i="6" l="1"/>
  <c r="K497" i="6"/>
  <c r="L284" i="6" l="1"/>
  <c r="M730" i="6" l="1"/>
  <c r="N730" i="6"/>
  <c r="O730" i="6"/>
  <c r="P730" i="6"/>
  <c r="Q730" i="6"/>
  <c r="R730" i="6"/>
  <c r="S730" i="6"/>
  <c r="L730" i="6"/>
  <c r="I741" i="6"/>
  <c r="H741" i="6"/>
  <c r="G741" i="6"/>
  <c r="F741" i="6"/>
  <c r="E741" i="6"/>
  <c r="D740" i="6"/>
  <c r="D739" i="6"/>
  <c r="O738" i="6"/>
  <c r="N738" i="6"/>
  <c r="N737" i="6" s="1"/>
  <c r="M738" i="6"/>
  <c r="L738" i="6"/>
  <c r="K738" i="6"/>
  <c r="K737" i="6" s="1"/>
  <c r="I738" i="6"/>
  <c r="I737" i="6" s="1"/>
  <c r="H738" i="6"/>
  <c r="H737" i="6" s="1"/>
  <c r="G738" i="6"/>
  <c r="F738" i="6"/>
  <c r="F737" i="6" s="1"/>
  <c r="E738" i="6"/>
  <c r="E737" i="6" s="1"/>
  <c r="M737" i="6"/>
  <c r="J737" i="6"/>
  <c r="D738" i="6" l="1"/>
  <c r="L737" i="6"/>
  <c r="D741" i="6"/>
  <c r="G737" i="6"/>
  <c r="D737" i="6" l="1"/>
  <c r="D345" i="6"/>
  <c r="D344" i="6"/>
  <c r="D343" i="6"/>
  <c r="D342" i="6"/>
  <c r="O341" i="6"/>
  <c r="N341" i="6"/>
  <c r="M341" i="6"/>
  <c r="L341" i="6"/>
  <c r="K341" i="6"/>
  <c r="J341" i="6"/>
  <c r="I341" i="6"/>
  <c r="H341" i="6"/>
  <c r="G341" i="6"/>
  <c r="F341" i="6"/>
  <c r="E341" i="6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6" i="6" l="1"/>
  <c r="D341" i="6"/>
  <c r="M514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N593" i="6"/>
  <c r="P34" i="6" l="1"/>
  <c r="Q34" i="6"/>
  <c r="R34" i="6"/>
  <c r="S34" i="6"/>
  <c r="T34" i="6"/>
  <c r="U34" i="6"/>
  <c r="V34" i="6"/>
  <c r="M303" i="6"/>
  <c r="N303" i="6"/>
  <c r="L303" i="6"/>
  <c r="M243" i="6"/>
  <c r="N243" i="6"/>
  <c r="M707" i="6" l="1"/>
  <c r="N707" i="6"/>
  <c r="O707" i="6"/>
  <c r="M705" i="6"/>
  <c r="M584" i="6" s="1"/>
  <c r="N705" i="6"/>
  <c r="O705" i="6"/>
  <c r="L707" i="6"/>
  <c r="L705" i="6"/>
  <c r="K289" i="6" l="1"/>
  <c r="K269" i="6"/>
  <c r="K266" i="6" s="1"/>
  <c r="K564" i="6" l="1"/>
  <c r="K243" i="6"/>
  <c r="K303" i="6"/>
  <c r="L331" i="6" l="1"/>
  <c r="D335" i="6"/>
  <c r="D334" i="6"/>
  <c r="D333" i="6"/>
  <c r="D332" i="6"/>
  <c r="K331" i="6"/>
  <c r="J331" i="6"/>
  <c r="I331" i="6"/>
  <c r="H331" i="6"/>
  <c r="G331" i="6"/>
  <c r="F331" i="6"/>
  <c r="E331" i="6"/>
  <c r="D331" i="6" l="1"/>
  <c r="K655" i="6"/>
  <c r="K624" i="6" l="1"/>
  <c r="K649" i="6" l="1"/>
  <c r="D330" i="6" l="1"/>
  <c r="D329" i="6"/>
  <c r="D328" i="6"/>
  <c r="D327" i="6"/>
  <c r="K326" i="6"/>
  <c r="J326" i="6"/>
  <c r="I326" i="6"/>
  <c r="H326" i="6"/>
  <c r="G326" i="6"/>
  <c r="F326" i="6"/>
  <c r="E326" i="6"/>
  <c r="D326" i="6" l="1"/>
  <c r="K735" i="6" l="1"/>
  <c r="K730" i="6" s="1"/>
  <c r="K686" i="6"/>
  <c r="K676" i="6"/>
  <c r="K639" i="6"/>
  <c r="K502" i="6"/>
  <c r="K455" i="6"/>
  <c r="K419" i="6"/>
  <c r="K324" i="6"/>
  <c r="K319" i="6"/>
  <c r="K214" i="6"/>
  <c r="K209" i="6"/>
  <c r="K520" i="6" l="1"/>
  <c r="K409" i="6" l="1"/>
  <c r="K462" i="6" l="1"/>
  <c r="K41" i="6"/>
  <c r="K229" i="6" l="1"/>
  <c r="K666" i="6" l="1"/>
  <c r="L439" i="6"/>
  <c r="K47" i="6"/>
  <c r="K570" i="6" l="1"/>
  <c r="K541" i="6"/>
  <c r="K299" i="6" l="1"/>
  <c r="K439" i="6" l="1"/>
  <c r="O593" i="6" l="1"/>
  <c r="O586" i="6" s="1"/>
  <c r="N586" i="6"/>
  <c r="M586" i="6"/>
  <c r="M582" i="6" s="1"/>
  <c r="L586" i="6"/>
  <c r="L558" i="6"/>
  <c r="M558" i="6"/>
  <c r="N558" i="6"/>
  <c r="O558" i="6"/>
  <c r="L531" i="6"/>
  <c r="L526" i="6" s="1"/>
  <c r="M531" i="6"/>
  <c r="M526" i="6" s="1"/>
  <c r="N531" i="6"/>
  <c r="N526" i="6" s="1"/>
  <c r="O531" i="6"/>
  <c r="O526" i="6" s="1"/>
  <c r="M449" i="6"/>
  <c r="N449" i="6"/>
  <c r="L404" i="6"/>
  <c r="K604" i="6" l="1"/>
  <c r="K321" i="6" l="1"/>
  <c r="J321" i="6"/>
  <c r="I321" i="6"/>
  <c r="H321" i="6"/>
  <c r="G321" i="6"/>
  <c r="F321" i="6"/>
  <c r="E321" i="6"/>
  <c r="D322" i="6"/>
  <c r="D323" i="6"/>
  <c r="D324" i="6"/>
  <c r="D325" i="6"/>
  <c r="D321" i="6" l="1"/>
  <c r="K487" i="6"/>
  <c r="D503" i="6"/>
  <c r="D502" i="6"/>
  <c r="D501" i="6"/>
  <c r="D500" i="6"/>
  <c r="O499" i="6"/>
  <c r="N499" i="6"/>
  <c r="M499" i="6"/>
  <c r="L499" i="6"/>
  <c r="K499" i="6"/>
  <c r="J499" i="6"/>
  <c r="I499" i="6"/>
  <c r="H499" i="6"/>
  <c r="G499" i="6"/>
  <c r="F499" i="6"/>
  <c r="E499" i="6"/>
  <c r="D499" i="6" l="1"/>
  <c r="K256" i="6"/>
  <c r="D692" i="6" l="1"/>
  <c r="D691" i="6"/>
  <c r="D690" i="6"/>
  <c r="D689" i="6"/>
  <c r="O688" i="6"/>
  <c r="N688" i="6"/>
  <c r="M688" i="6"/>
  <c r="L688" i="6"/>
  <c r="K688" i="6"/>
  <c r="J688" i="6"/>
  <c r="I688" i="6"/>
  <c r="H688" i="6"/>
  <c r="G688" i="6"/>
  <c r="F688" i="6"/>
  <c r="E688" i="6"/>
  <c r="D688" i="6" l="1"/>
  <c r="J730" i="6"/>
  <c r="J727" i="6" s="1"/>
  <c r="O733" i="6"/>
  <c r="N733" i="6"/>
  <c r="N732" i="6" s="1"/>
  <c r="M733" i="6"/>
  <c r="L733" i="6"/>
  <c r="L732" i="6" s="1"/>
  <c r="K733" i="6"/>
  <c r="K732" i="6" s="1"/>
  <c r="O728" i="6"/>
  <c r="O727" i="6" s="1"/>
  <c r="N728" i="6"/>
  <c r="N727" i="6" s="1"/>
  <c r="M728" i="6"/>
  <c r="M727" i="6" s="1"/>
  <c r="L728" i="6"/>
  <c r="L727" i="6" s="1"/>
  <c r="K728" i="6"/>
  <c r="I736" i="6"/>
  <c r="H736" i="6"/>
  <c r="G736" i="6"/>
  <c r="F736" i="6"/>
  <c r="E736" i="6"/>
  <c r="I733" i="6"/>
  <c r="H733" i="6"/>
  <c r="G733" i="6"/>
  <c r="F733" i="6"/>
  <c r="E733" i="6"/>
  <c r="I731" i="6"/>
  <c r="H731" i="6"/>
  <c r="G731" i="6"/>
  <c r="F731" i="6"/>
  <c r="E731" i="6"/>
  <c r="I728" i="6"/>
  <c r="H728" i="6"/>
  <c r="G728" i="6"/>
  <c r="F728" i="6"/>
  <c r="E728" i="6"/>
  <c r="D735" i="6"/>
  <c r="D734" i="6"/>
  <c r="M732" i="6"/>
  <c r="J732" i="6"/>
  <c r="D729" i="6"/>
  <c r="D687" i="6"/>
  <c r="D686" i="6"/>
  <c r="D685" i="6"/>
  <c r="D684" i="6"/>
  <c r="O683" i="6"/>
  <c r="N683" i="6"/>
  <c r="M683" i="6"/>
  <c r="L683" i="6"/>
  <c r="K683" i="6"/>
  <c r="J683" i="6"/>
  <c r="I683" i="6"/>
  <c r="H683" i="6"/>
  <c r="G683" i="6"/>
  <c r="F683" i="6"/>
  <c r="E683" i="6"/>
  <c r="D680" i="6"/>
  <c r="D682" i="6"/>
  <c r="D681" i="6"/>
  <c r="D679" i="6"/>
  <c r="O678" i="6"/>
  <c r="N678" i="6"/>
  <c r="M678" i="6"/>
  <c r="L678" i="6"/>
  <c r="K678" i="6"/>
  <c r="J678" i="6"/>
  <c r="I678" i="6"/>
  <c r="H678" i="6"/>
  <c r="G678" i="6"/>
  <c r="F678" i="6"/>
  <c r="E678" i="6"/>
  <c r="I727" i="6" l="1"/>
  <c r="G732" i="6"/>
  <c r="E727" i="6"/>
  <c r="G727" i="6"/>
  <c r="F727" i="6"/>
  <c r="H727" i="6"/>
  <c r="D733" i="6"/>
  <c r="I732" i="6"/>
  <c r="D683" i="6"/>
  <c r="D731" i="6"/>
  <c r="D728" i="6"/>
  <c r="E732" i="6"/>
  <c r="F732" i="6"/>
  <c r="H732" i="6"/>
  <c r="D736" i="6"/>
  <c r="D732" i="6" s="1"/>
  <c r="D730" i="6"/>
  <c r="K727" i="6"/>
  <c r="D678" i="6"/>
  <c r="D727" i="6" l="1"/>
  <c r="K31" i="6"/>
  <c r="E316" i="6" l="1"/>
  <c r="F316" i="6"/>
  <c r="G316" i="6"/>
  <c r="H316" i="6"/>
  <c r="I316" i="6"/>
  <c r="J316" i="6"/>
  <c r="D318" i="6"/>
  <c r="D319" i="6"/>
  <c r="D320" i="6"/>
  <c r="D317" i="6"/>
  <c r="K316" i="6"/>
  <c r="D316" i="6" l="1"/>
  <c r="K279" i="6"/>
  <c r="K449" i="6" l="1"/>
  <c r="K187" i="6" l="1"/>
  <c r="K34" i="6" s="1"/>
  <c r="O673" i="6" l="1"/>
  <c r="N673" i="6"/>
  <c r="M673" i="6"/>
  <c r="L673" i="6"/>
  <c r="K673" i="6"/>
  <c r="J673" i="6"/>
  <c r="I673" i="6"/>
  <c r="H673" i="6"/>
  <c r="G673" i="6"/>
  <c r="F673" i="6"/>
  <c r="E673" i="6"/>
  <c r="D677" i="6"/>
  <c r="D676" i="6"/>
  <c r="D675" i="6"/>
  <c r="D674" i="6"/>
  <c r="K755" i="6"/>
  <c r="K614" i="6"/>
  <c r="K404" i="6"/>
  <c r="D437" i="6"/>
  <c r="D438" i="6"/>
  <c r="D439" i="6"/>
  <c r="D440" i="6"/>
  <c r="F436" i="6"/>
  <c r="G436" i="6"/>
  <c r="H436" i="6"/>
  <c r="I436" i="6"/>
  <c r="J436" i="6"/>
  <c r="K436" i="6"/>
  <c r="L436" i="6"/>
  <c r="M436" i="6"/>
  <c r="N436" i="6"/>
  <c r="O436" i="6"/>
  <c r="E436" i="6"/>
  <c r="D673" i="6" l="1"/>
  <c r="D436" i="6"/>
  <c r="O668" i="6"/>
  <c r="N668" i="6"/>
  <c r="M668" i="6"/>
  <c r="L668" i="6"/>
  <c r="K668" i="6"/>
  <c r="J668" i="6"/>
  <c r="I668" i="6"/>
  <c r="H668" i="6"/>
  <c r="G668" i="6"/>
  <c r="F668" i="6"/>
  <c r="E668" i="6"/>
  <c r="D672" i="6"/>
  <c r="D671" i="6"/>
  <c r="D670" i="6"/>
  <c r="D669" i="6"/>
  <c r="D668" i="6" l="1"/>
  <c r="D315" i="6"/>
  <c r="D314" i="6"/>
  <c r="D313" i="6"/>
  <c r="D312" i="6"/>
  <c r="O311" i="6"/>
  <c r="N311" i="6"/>
  <c r="M311" i="6"/>
  <c r="L311" i="6"/>
  <c r="K311" i="6"/>
  <c r="J311" i="6"/>
  <c r="I311" i="6"/>
  <c r="H311" i="6"/>
  <c r="G311" i="6"/>
  <c r="F311" i="6"/>
  <c r="E311" i="6"/>
  <c r="D311" i="6" l="1"/>
  <c r="M306" i="6"/>
  <c r="N306" i="6"/>
  <c r="O306" i="6"/>
  <c r="L306" i="6"/>
  <c r="K306" i="6"/>
  <c r="F306" i="6"/>
  <c r="G306" i="6"/>
  <c r="H306" i="6"/>
  <c r="I306" i="6"/>
  <c r="J306" i="6"/>
  <c r="E306" i="6"/>
  <c r="D310" i="6"/>
  <c r="D309" i="6"/>
  <c r="D308" i="6"/>
  <c r="D307" i="6"/>
  <c r="D306" i="6" l="1"/>
  <c r="K593" i="6" l="1"/>
  <c r="K516" i="6" l="1"/>
  <c r="E485" i="6" l="1"/>
  <c r="F485" i="6"/>
  <c r="G485" i="6"/>
  <c r="H485" i="6"/>
  <c r="I485" i="6"/>
  <c r="J485" i="6"/>
  <c r="F488" i="6" l="1"/>
  <c r="G488" i="6"/>
  <c r="H488" i="6"/>
  <c r="I488" i="6"/>
  <c r="J488" i="6"/>
  <c r="K488" i="6"/>
  <c r="L488" i="6"/>
  <c r="M488" i="6"/>
  <c r="N488" i="6"/>
  <c r="O488" i="6"/>
  <c r="E488" i="6"/>
  <c r="F487" i="6"/>
  <c r="G487" i="6"/>
  <c r="H487" i="6"/>
  <c r="I487" i="6"/>
  <c r="L487" i="6"/>
  <c r="M487" i="6"/>
  <c r="N487" i="6"/>
  <c r="O487" i="6"/>
  <c r="E487" i="6"/>
  <c r="F486" i="6"/>
  <c r="G486" i="6"/>
  <c r="H486" i="6"/>
  <c r="I486" i="6"/>
  <c r="J486" i="6"/>
  <c r="K486" i="6"/>
  <c r="L486" i="6"/>
  <c r="M486" i="6"/>
  <c r="N486" i="6"/>
  <c r="O486" i="6"/>
  <c r="E486" i="6"/>
  <c r="K485" i="6"/>
  <c r="L485" i="6"/>
  <c r="M485" i="6"/>
  <c r="N485" i="6"/>
  <c r="O485" i="6"/>
  <c r="D495" i="6"/>
  <c r="D496" i="6"/>
  <c r="D497" i="6"/>
  <c r="D498" i="6"/>
  <c r="F494" i="6"/>
  <c r="G494" i="6"/>
  <c r="H494" i="6"/>
  <c r="I494" i="6"/>
  <c r="J494" i="6"/>
  <c r="K494" i="6"/>
  <c r="L494" i="6"/>
  <c r="M494" i="6"/>
  <c r="N494" i="6"/>
  <c r="O494" i="6"/>
  <c r="E494" i="6"/>
  <c r="F489" i="6"/>
  <c r="G489" i="6"/>
  <c r="H489" i="6"/>
  <c r="I489" i="6"/>
  <c r="K489" i="6"/>
  <c r="L489" i="6"/>
  <c r="M489" i="6"/>
  <c r="N489" i="6"/>
  <c r="O489" i="6"/>
  <c r="E489" i="6"/>
  <c r="D517" i="6"/>
  <c r="D518" i="6"/>
  <c r="D520" i="6"/>
  <c r="D522" i="6"/>
  <c r="F510" i="6"/>
  <c r="G510" i="6"/>
  <c r="H510" i="6"/>
  <c r="I510" i="6"/>
  <c r="J510" i="6"/>
  <c r="K510" i="6"/>
  <c r="L510" i="6"/>
  <c r="M510" i="6"/>
  <c r="N510" i="6"/>
  <c r="O510" i="6"/>
  <c r="E510" i="6"/>
  <c r="F508" i="6"/>
  <c r="G508" i="6"/>
  <c r="H508" i="6"/>
  <c r="I508" i="6"/>
  <c r="J508" i="6"/>
  <c r="K508" i="6"/>
  <c r="L508" i="6"/>
  <c r="M508" i="6"/>
  <c r="N508" i="6"/>
  <c r="O508" i="6"/>
  <c r="E508" i="6"/>
  <c r="F506" i="6"/>
  <c r="G506" i="6"/>
  <c r="H506" i="6"/>
  <c r="I506" i="6"/>
  <c r="J506" i="6"/>
  <c r="K506" i="6"/>
  <c r="L506" i="6"/>
  <c r="M506" i="6"/>
  <c r="N506" i="6"/>
  <c r="O506" i="6"/>
  <c r="E506" i="6"/>
  <c r="F505" i="6"/>
  <c r="G505" i="6"/>
  <c r="H505" i="6"/>
  <c r="I505" i="6"/>
  <c r="J505" i="6"/>
  <c r="K505" i="6"/>
  <c r="L505" i="6"/>
  <c r="M505" i="6"/>
  <c r="N505" i="6"/>
  <c r="O505" i="6"/>
  <c r="E505" i="6"/>
  <c r="F516" i="6"/>
  <c r="G516" i="6"/>
  <c r="H516" i="6"/>
  <c r="I516" i="6"/>
  <c r="J516" i="6"/>
  <c r="L516" i="6"/>
  <c r="M516" i="6"/>
  <c r="N516" i="6"/>
  <c r="O516" i="6"/>
  <c r="E516" i="6"/>
  <c r="D494" i="6" l="1"/>
  <c r="D516" i="6"/>
  <c r="F29" i="6"/>
  <c r="G29" i="6"/>
  <c r="H29" i="6"/>
  <c r="I29" i="6"/>
  <c r="J29" i="6"/>
  <c r="K29" i="6"/>
  <c r="K28" i="6" s="1"/>
  <c r="L29" i="6"/>
  <c r="M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D304" i="6"/>
  <c r="D305" i="6"/>
  <c r="D302" i="6"/>
  <c r="D303" i="6"/>
  <c r="D301" i="6" l="1"/>
  <c r="J655" i="6" l="1"/>
  <c r="J608" i="6"/>
  <c r="J269" i="6"/>
  <c r="J755" i="6" l="1"/>
  <c r="J649" i="6" l="1"/>
  <c r="J639" i="6"/>
  <c r="J604" i="6"/>
  <c r="J570" i="6"/>
  <c r="J541" i="6"/>
  <c r="J409" i="6"/>
  <c r="J614" i="6" l="1"/>
  <c r="J455" i="6"/>
  <c r="J419" i="6"/>
  <c r="J274" i="6"/>
  <c r="J187" i="6"/>
  <c r="J279" i="6"/>
  <c r="J41" i="6"/>
  <c r="J666" i="6"/>
  <c r="J224" i="6"/>
  <c r="J564" i="6" l="1"/>
  <c r="M199" i="6" l="1"/>
  <c r="L199" i="6"/>
  <c r="K199" i="6"/>
  <c r="O472" i="6"/>
  <c r="O449" i="6" s="1"/>
  <c r="L592" i="6"/>
  <c r="L584" i="6" s="1"/>
  <c r="N592" i="6"/>
  <c r="O592" i="6"/>
  <c r="K592" i="6"/>
  <c r="K705" i="6"/>
  <c r="D282" i="6"/>
  <c r="D283" i="6"/>
  <c r="D284" i="6"/>
  <c r="D285" i="6"/>
  <c r="D287" i="6"/>
  <c r="D288" i="6"/>
  <c r="D289" i="6"/>
  <c r="D290" i="6"/>
  <c r="D293" i="6"/>
  <c r="D294" i="6"/>
  <c r="D295" i="6"/>
  <c r="D297" i="6"/>
  <c r="D298" i="6"/>
  <c r="D299" i="6"/>
  <c r="D300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D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467" i="6"/>
  <c r="J492" i="6"/>
  <c r="D492" i="6" s="1"/>
  <c r="J705" i="6"/>
  <c r="J707" i="6"/>
  <c r="J709" i="6"/>
  <c r="J209" i="6"/>
  <c r="J206" i="6" s="1"/>
  <c r="E558" i="6"/>
  <c r="J558" i="6"/>
  <c r="J624" i="6"/>
  <c r="J462" i="6"/>
  <c r="J643" i="6"/>
  <c r="J628" i="6"/>
  <c r="D628" i="6" s="1"/>
  <c r="J423" i="6"/>
  <c r="J413" i="6"/>
  <c r="J199" i="6"/>
  <c r="J511" i="6"/>
  <c r="K511" i="6"/>
  <c r="L511" i="6"/>
  <c r="J65" i="6"/>
  <c r="D65" i="6" s="1"/>
  <c r="D143" i="6"/>
  <c r="J254" i="6"/>
  <c r="D254" i="6" s="1"/>
  <c r="I583" i="6"/>
  <c r="E583" i="6"/>
  <c r="I726" i="6"/>
  <c r="I721" i="6" s="1"/>
  <c r="H726" i="6"/>
  <c r="H721" i="6" s="1"/>
  <c r="G726" i="6"/>
  <c r="G721" i="6" s="1"/>
  <c r="F726" i="6"/>
  <c r="F721" i="6" s="1"/>
  <c r="E726" i="6"/>
  <c r="E721" i="6" s="1"/>
  <c r="D725" i="6"/>
  <c r="D724" i="6"/>
  <c r="O723" i="6"/>
  <c r="O722" i="6" s="1"/>
  <c r="N723" i="6"/>
  <c r="N722" i="6" s="1"/>
  <c r="M723" i="6"/>
  <c r="M722" i="6" s="1"/>
  <c r="L723" i="6"/>
  <c r="L722" i="6" s="1"/>
  <c r="K723" i="6"/>
  <c r="K722" i="6" s="1"/>
  <c r="J723" i="6"/>
  <c r="J722" i="6" s="1"/>
  <c r="I723" i="6"/>
  <c r="I718" i="6" s="1"/>
  <c r="H723" i="6"/>
  <c r="G723" i="6"/>
  <c r="F723" i="6"/>
  <c r="F718" i="6" s="1"/>
  <c r="E723" i="6"/>
  <c r="E718" i="6" s="1"/>
  <c r="K721" i="6"/>
  <c r="J721" i="6"/>
  <c r="K720" i="6"/>
  <c r="J720" i="6"/>
  <c r="I720" i="6"/>
  <c r="H720" i="6"/>
  <c r="G720" i="6"/>
  <c r="E720" i="6"/>
  <c r="F720" i="6"/>
  <c r="K719" i="6"/>
  <c r="J719" i="6"/>
  <c r="I719" i="6"/>
  <c r="H719" i="6"/>
  <c r="G719" i="6"/>
  <c r="F719" i="6"/>
  <c r="E719" i="6"/>
  <c r="O718" i="6"/>
  <c r="O717" i="6" s="1"/>
  <c r="N718" i="6"/>
  <c r="N717" i="6" s="1"/>
  <c r="M718" i="6"/>
  <c r="M717" i="6" s="1"/>
  <c r="L718" i="6"/>
  <c r="L717" i="6" s="1"/>
  <c r="J264" i="6"/>
  <c r="J261" i="6" s="1"/>
  <c r="E556" i="6"/>
  <c r="F556" i="6"/>
  <c r="G556" i="6"/>
  <c r="G573" i="6"/>
  <c r="H556" i="6"/>
  <c r="I556" i="6"/>
  <c r="J556" i="6"/>
  <c r="K556" i="6"/>
  <c r="K573" i="6"/>
  <c r="L556" i="6"/>
  <c r="M556" i="6"/>
  <c r="N556" i="6"/>
  <c r="O556" i="6"/>
  <c r="O573" i="6"/>
  <c r="E557" i="6"/>
  <c r="F557" i="6"/>
  <c r="G557" i="6"/>
  <c r="H557" i="6"/>
  <c r="H574" i="6"/>
  <c r="I557" i="6"/>
  <c r="J557" i="6"/>
  <c r="K557" i="6"/>
  <c r="L557" i="6"/>
  <c r="L560" i="6"/>
  <c r="L554" i="6" s="1"/>
  <c r="M557" i="6"/>
  <c r="N557" i="6"/>
  <c r="O557" i="6"/>
  <c r="F558" i="6"/>
  <c r="F575" i="6"/>
  <c r="G558" i="6"/>
  <c r="H558" i="6"/>
  <c r="I558" i="6"/>
  <c r="K558" i="6"/>
  <c r="K575" i="6"/>
  <c r="E559" i="6"/>
  <c r="E549" i="6" s="1"/>
  <c r="F559" i="6"/>
  <c r="F553" i="6" s="1"/>
  <c r="G559" i="6"/>
  <c r="H559" i="6"/>
  <c r="H553" i="6" s="1"/>
  <c r="I559" i="6"/>
  <c r="I553" i="6" s="1"/>
  <c r="J559" i="6"/>
  <c r="J553" i="6" s="1"/>
  <c r="K559" i="6"/>
  <c r="L559" i="6"/>
  <c r="L553" i="6" s="1"/>
  <c r="M559" i="6"/>
  <c r="M549" i="6" s="1"/>
  <c r="N559" i="6"/>
  <c r="N553" i="6" s="1"/>
  <c r="O559" i="6"/>
  <c r="E560" i="6"/>
  <c r="F560" i="6"/>
  <c r="G560" i="6"/>
  <c r="H560" i="6"/>
  <c r="I560" i="6"/>
  <c r="J560" i="6"/>
  <c r="K560" i="6"/>
  <c r="K554" i="6" s="1"/>
  <c r="M560" i="6"/>
  <c r="N560" i="6"/>
  <c r="N554" i="6" s="1"/>
  <c r="O560" i="6"/>
  <c r="O554" i="6" s="1"/>
  <c r="F573" i="6"/>
  <c r="H573" i="6"/>
  <c r="I573" i="6"/>
  <c r="J573" i="6"/>
  <c r="L573" i="6"/>
  <c r="M573" i="6"/>
  <c r="N573" i="6"/>
  <c r="F574" i="6"/>
  <c r="G574" i="6"/>
  <c r="I574" i="6"/>
  <c r="J574" i="6"/>
  <c r="K574" i="6"/>
  <c r="L574" i="6"/>
  <c r="M574" i="6"/>
  <c r="N574" i="6"/>
  <c r="O574" i="6"/>
  <c r="G575" i="6"/>
  <c r="H575" i="6"/>
  <c r="I575" i="6"/>
  <c r="J575" i="6"/>
  <c r="L575" i="6"/>
  <c r="L552" i="6" s="1"/>
  <c r="M575" i="6"/>
  <c r="M552" i="6" s="1"/>
  <c r="N575" i="6"/>
  <c r="N552" i="6" s="1"/>
  <c r="O575" i="6"/>
  <c r="O552" i="6" s="1"/>
  <c r="F576" i="6"/>
  <c r="G576" i="6"/>
  <c r="H576" i="6"/>
  <c r="I576" i="6"/>
  <c r="J576" i="6"/>
  <c r="K576" i="6"/>
  <c r="L576" i="6"/>
  <c r="M576" i="6"/>
  <c r="N576" i="6"/>
  <c r="O576" i="6"/>
  <c r="E576" i="6"/>
  <c r="E574" i="6"/>
  <c r="E575" i="6"/>
  <c r="E573" i="6"/>
  <c r="D581" i="6"/>
  <c r="D580" i="6"/>
  <c r="D579" i="6"/>
  <c r="D578" i="6"/>
  <c r="O577" i="6"/>
  <c r="N577" i="6"/>
  <c r="M577" i="6"/>
  <c r="L577" i="6"/>
  <c r="K577" i="6"/>
  <c r="J577" i="6"/>
  <c r="I577" i="6"/>
  <c r="H577" i="6"/>
  <c r="G577" i="6"/>
  <c r="F577" i="6"/>
  <c r="E577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93" i="6"/>
  <c r="J229" i="6"/>
  <c r="D229" i="6" s="1"/>
  <c r="J219" i="6"/>
  <c r="J214" i="6"/>
  <c r="J47" i="6"/>
  <c r="D280" i="6"/>
  <c r="D279" i="6"/>
  <c r="D278" i="6"/>
  <c r="D27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D247" i="6"/>
  <c r="D248" i="6"/>
  <c r="D249" i="6"/>
  <c r="D250" i="6"/>
  <c r="R17" i="5"/>
  <c r="Q17" i="5"/>
  <c r="P17" i="5"/>
  <c r="O17" i="5"/>
  <c r="N17" i="5"/>
  <c r="S17" i="5"/>
  <c r="I17" i="5"/>
  <c r="H57" i="5"/>
  <c r="H58" i="5"/>
  <c r="D275" i="6"/>
  <c r="D274" i="6"/>
  <c r="D273" i="6"/>
  <c r="D272" i="6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41" i="6"/>
  <c r="I663" i="6"/>
  <c r="Q663" i="6" s="1"/>
  <c r="I450" i="6"/>
  <c r="M19" i="5"/>
  <c r="H19" i="5" s="1"/>
  <c r="I47" i="6"/>
  <c r="D47" i="6" s="1"/>
  <c r="N118" i="5"/>
  <c r="N115" i="5" s="1"/>
  <c r="N69" i="5"/>
  <c r="H55" i="5"/>
  <c r="H56" i="5"/>
  <c r="L61" i="6"/>
  <c r="M61" i="6"/>
  <c r="N61" i="6"/>
  <c r="O61" i="6"/>
  <c r="J448" i="6"/>
  <c r="D270" i="6"/>
  <c r="D269" i="6"/>
  <c r="D268" i="6"/>
  <c r="D267" i="6"/>
  <c r="O266" i="6"/>
  <c r="N266" i="6"/>
  <c r="M266" i="6"/>
  <c r="L266" i="6"/>
  <c r="J266" i="6"/>
  <c r="I266" i="6"/>
  <c r="H266" i="6"/>
  <c r="G266" i="6"/>
  <c r="F266" i="6"/>
  <c r="E266" i="6"/>
  <c r="D265" i="6"/>
  <c r="D263" i="6"/>
  <c r="D262" i="6"/>
  <c r="O261" i="6"/>
  <c r="N261" i="6"/>
  <c r="M261" i="6"/>
  <c r="L261" i="6"/>
  <c r="K261" i="6"/>
  <c r="I261" i="6"/>
  <c r="H261" i="6"/>
  <c r="G261" i="6"/>
  <c r="F261" i="6"/>
  <c r="E261" i="6"/>
  <c r="D260" i="6"/>
  <c r="D259" i="6"/>
  <c r="D258" i="6"/>
  <c r="D257" i="6"/>
  <c r="O256" i="6"/>
  <c r="N256" i="6"/>
  <c r="M256" i="6"/>
  <c r="L256" i="6"/>
  <c r="J256" i="6"/>
  <c r="I256" i="6"/>
  <c r="H256" i="6"/>
  <c r="G256" i="6"/>
  <c r="F256" i="6"/>
  <c r="E256" i="6"/>
  <c r="D515" i="6"/>
  <c r="D514" i="6"/>
  <c r="D513" i="6"/>
  <c r="D512" i="6"/>
  <c r="O511" i="6"/>
  <c r="N511" i="6"/>
  <c r="M511" i="6"/>
  <c r="I511" i="6"/>
  <c r="H511" i="6"/>
  <c r="G511" i="6"/>
  <c r="F511" i="6"/>
  <c r="E511" i="6"/>
  <c r="I50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484" i="6"/>
  <c r="D493" i="6"/>
  <c r="D491" i="6"/>
  <c r="D490" i="6"/>
  <c r="M118" i="5"/>
  <c r="I755" i="6"/>
  <c r="I750" i="6" s="1"/>
  <c r="I747" i="6" s="1"/>
  <c r="I745" i="6" s="1"/>
  <c r="I639" i="6"/>
  <c r="I636" i="6" s="1"/>
  <c r="I624" i="6"/>
  <c r="I537" i="6"/>
  <c r="D537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67" i="6"/>
  <c r="I604" i="6"/>
  <c r="D604" i="6" s="1"/>
  <c r="I655" i="6"/>
  <c r="I614" i="6"/>
  <c r="D614" i="6" s="1"/>
  <c r="I413" i="6"/>
  <c r="I462" i="6"/>
  <c r="I459" i="6" s="1"/>
  <c r="I455" i="6"/>
  <c r="I423" i="6"/>
  <c r="I541" i="6"/>
  <c r="M76" i="5"/>
  <c r="H76" i="5" s="1"/>
  <c r="Q85" i="5"/>
  <c r="H85" i="5" s="1"/>
  <c r="I91" i="5"/>
  <c r="D666" i="6"/>
  <c r="D667" i="6"/>
  <c r="D665" i="6"/>
  <c r="D664" i="6"/>
  <c r="O663" i="6"/>
  <c r="N663" i="6"/>
  <c r="M663" i="6"/>
  <c r="L663" i="6"/>
  <c r="K663" i="6"/>
  <c r="J663" i="6"/>
  <c r="H663" i="6"/>
  <c r="G663" i="6"/>
  <c r="E663" i="6"/>
  <c r="F663" i="6"/>
  <c r="J91" i="5"/>
  <c r="K91" i="5"/>
  <c r="L91" i="5"/>
  <c r="O91" i="5"/>
  <c r="P91" i="5"/>
  <c r="Q91" i="5"/>
  <c r="R91" i="5"/>
  <c r="S91" i="5"/>
  <c r="H108" i="5"/>
  <c r="M40" i="5"/>
  <c r="M17" i="5" s="1"/>
  <c r="L421" i="6"/>
  <c r="M421" i="6"/>
  <c r="N421" i="6"/>
  <c r="O421" i="6"/>
  <c r="L411" i="6"/>
  <c r="M411" i="6"/>
  <c r="N411" i="6"/>
  <c r="O411" i="6"/>
  <c r="H52" i="5"/>
  <c r="M48" i="5"/>
  <c r="M47" i="5"/>
  <c r="H47" i="5" s="1"/>
  <c r="D242" i="6"/>
  <c r="D243" i="6"/>
  <c r="D244" i="6"/>
  <c r="D245" i="6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48" i="6"/>
  <c r="D749" i="6"/>
  <c r="D751" i="6"/>
  <c r="D753" i="6"/>
  <c r="D754" i="6"/>
  <c r="D756" i="6"/>
  <c r="D712" i="6"/>
  <c r="D714" i="6"/>
  <c r="D659" i="6"/>
  <c r="D660" i="6"/>
  <c r="D661" i="6"/>
  <c r="D662" i="6"/>
  <c r="D653" i="6"/>
  <c r="D654" i="6"/>
  <c r="D656" i="6"/>
  <c r="D657" i="6"/>
  <c r="D647" i="6"/>
  <c r="D648" i="6"/>
  <c r="D649" i="6"/>
  <c r="D650" i="6"/>
  <c r="D651" i="6"/>
  <c r="D642" i="6"/>
  <c r="D644" i="6"/>
  <c r="D645" i="6"/>
  <c r="D637" i="6"/>
  <c r="D638" i="6"/>
  <c r="D640" i="6"/>
  <c r="D632" i="6"/>
  <c r="D633" i="6"/>
  <c r="D634" i="6"/>
  <c r="D635" i="6"/>
  <c r="D627" i="6"/>
  <c r="D629" i="6"/>
  <c r="D630" i="6"/>
  <c r="D622" i="6"/>
  <c r="D623" i="6"/>
  <c r="D625" i="6"/>
  <c r="D617" i="6"/>
  <c r="D618" i="6"/>
  <c r="D619" i="6"/>
  <c r="D620" i="6"/>
  <c r="D612" i="6"/>
  <c r="D613" i="6"/>
  <c r="D615" i="6"/>
  <c r="D607" i="6"/>
  <c r="D608" i="6"/>
  <c r="D609" i="6"/>
  <c r="D610" i="6"/>
  <c r="D602" i="6"/>
  <c r="D603" i="6"/>
  <c r="D605" i="6"/>
  <c r="D568" i="6"/>
  <c r="D569" i="6"/>
  <c r="D570" i="6"/>
  <c r="D571" i="6"/>
  <c r="D562" i="6"/>
  <c r="D563" i="6"/>
  <c r="D564" i="6"/>
  <c r="D565" i="6"/>
  <c r="D566" i="6"/>
  <c r="D544" i="6"/>
  <c r="D545" i="6"/>
  <c r="D546" i="6"/>
  <c r="D547" i="6"/>
  <c r="D539" i="6"/>
  <c r="D540" i="6"/>
  <c r="D542" i="6"/>
  <c r="E543" i="6"/>
  <c r="F543" i="6"/>
  <c r="G543" i="6"/>
  <c r="H543" i="6"/>
  <c r="I543" i="6"/>
  <c r="J543" i="6"/>
  <c r="K543" i="6"/>
  <c r="L543" i="6"/>
  <c r="M543" i="6"/>
  <c r="N543" i="6"/>
  <c r="O543" i="6"/>
  <c r="D534" i="6"/>
  <c r="D535" i="6"/>
  <c r="D536" i="6"/>
  <c r="D470" i="6"/>
  <c r="D471" i="6"/>
  <c r="D473" i="6"/>
  <c r="D466" i="6"/>
  <c r="D468" i="6"/>
  <c r="D465" i="6"/>
  <c r="D460" i="6"/>
  <c r="D461" i="6"/>
  <c r="D463" i="6"/>
  <c r="D453" i="6"/>
  <c r="D454" i="6"/>
  <c r="D456" i="6"/>
  <c r="D457" i="6"/>
  <c r="D458" i="6"/>
  <c r="D451" i="6"/>
  <c r="D432" i="6"/>
  <c r="D433" i="6"/>
  <c r="D434" i="6"/>
  <c r="D435" i="6"/>
  <c r="D427" i="6"/>
  <c r="D428" i="6"/>
  <c r="D429" i="6"/>
  <c r="D430" i="6"/>
  <c r="D422" i="6"/>
  <c r="D424" i="6"/>
  <c r="D425" i="6"/>
  <c r="D417" i="6"/>
  <c r="D418" i="6"/>
  <c r="D419" i="6"/>
  <c r="D420" i="6"/>
  <c r="D412" i="6"/>
  <c r="D414" i="6"/>
  <c r="D415" i="6"/>
  <c r="D407" i="6"/>
  <c r="D408" i="6"/>
  <c r="D409" i="6"/>
  <c r="D410" i="6"/>
  <c r="D252" i="6"/>
  <c r="D253" i="6"/>
  <c r="D255" i="6"/>
  <c r="D238" i="6"/>
  <c r="D239" i="6"/>
  <c r="D240" i="6"/>
  <c r="D237" i="6"/>
  <c r="D233" i="6"/>
  <c r="D234" i="6"/>
  <c r="D235" i="6"/>
  <c r="D232" i="6"/>
  <c r="D228" i="6"/>
  <c r="D230" i="6"/>
  <c r="D227" i="6"/>
  <c r="D223" i="6"/>
  <c r="D224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5" i="6"/>
  <c r="D200" i="6"/>
  <c r="D186" i="6"/>
  <c r="D187" i="6"/>
  <c r="D188" i="6"/>
  <c r="D185" i="6"/>
  <c r="D70" i="6"/>
  <c r="D71" i="6"/>
  <c r="D72" i="6"/>
  <c r="D73" i="6"/>
  <c r="D63" i="6"/>
  <c r="D64" i="6"/>
  <c r="D66" i="6"/>
  <c r="D67" i="6"/>
  <c r="D58" i="6"/>
  <c r="D59" i="6"/>
  <c r="D60" i="6"/>
  <c r="D57" i="6"/>
  <c r="D46" i="6"/>
  <c r="D48" i="6"/>
  <c r="D49" i="6"/>
  <c r="D40" i="6"/>
  <c r="D41" i="6"/>
  <c r="D43" i="6"/>
  <c r="D39" i="6"/>
  <c r="D37" i="6"/>
  <c r="D2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52" i="6"/>
  <c r="M652" i="6"/>
  <c r="M750" i="6"/>
  <c r="M745" i="6" s="1"/>
  <c r="L750" i="6"/>
  <c r="L747" i="6" s="1"/>
  <c r="L752" i="6"/>
  <c r="L652" i="6"/>
  <c r="O652" i="6"/>
  <c r="M75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32" i="6"/>
  <c r="M532" i="6"/>
  <c r="M527" i="6" s="1"/>
  <c r="M17" i="6" s="1"/>
  <c r="N532" i="6"/>
  <c r="N527" i="6" s="1"/>
  <c r="N17" i="6" s="1"/>
  <c r="O532" i="6"/>
  <c r="O527" i="6" s="1"/>
  <c r="O17" i="6" s="1"/>
  <c r="L530" i="6"/>
  <c r="M530" i="6"/>
  <c r="N530" i="6"/>
  <c r="O530" i="6"/>
  <c r="L529" i="6"/>
  <c r="L524" i="6" s="1"/>
  <c r="M529" i="6"/>
  <c r="M524" i="6" s="1"/>
  <c r="N529" i="6"/>
  <c r="N524" i="6" s="1"/>
  <c r="O529" i="6"/>
  <c r="O524" i="6" s="1"/>
  <c r="L525" i="6"/>
  <c r="M525" i="6"/>
  <c r="N525" i="6"/>
  <c r="O525" i="6"/>
  <c r="L589" i="6"/>
  <c r="M589" i="6"/>
  <c r="N589" i="6"/>
  <c r="O589" i="6"/>
  <c r="L583" i="6"/>
  <c r="M583" i="6"/>
  <c r="N583" i="6"/>
  <c r="O583" i="6"/>
  <c r="N584" i="6"/>
  <c r="L591" i="6"/>
  <c r="M591" i="6"/>
  <c r="N591" i="6"/>
  <c r="O591" i="6"/>
  <c r="L611" i="6"/>
  <c r="M554" i="6"/>
  <c r="M553" i="6"/>
  <c r="O553" i="6"/>
  <c r="L567" i="6"/>
  <c r="M567" i="6"/>
  <c r="N567" i="6"/>
  <c r="O567" i="6"/>
  <c r="L561" i="6"/>
  <c r="M561" i="6"/>
  <c r="N561" i="6"/>
  <c r="O561" i="6"/>
  <c r="L538" i="6"/>
  <c r="M538" i="6"/>
  <c r="N538" i="6"/>
  <c r="O538" i="6"/>
  <c r="L533" i="6"/>
  <c r="M533" i="6"/>
  <c r="N533" i="6"/>
  <c r="O533" i="6"/>
  <c r="L469" i="6"/>
  <c r="M469" i="6"/>
  <c r="L464" i="6"/>
  <c r="M464" i="6"/>
  <c r="N464" i="6"/>
  <c r="O464" i="6"/>
  <c r="L459" i="6"/>
  <c r="M459" i="6"/>
  <c r="N459" i="6"/>
  <c r="O459" i="6"/>
  <c r="L447" i="6"/>
  <c r="M447" i="6"/>
  <c r="M402" i="6"/>
  <c r="N447" i="6"/>
  <c r="O447" i="6"/>
  <c r="L448" i="6"/>
  <c r="M448" i="6"/>
  <c r="N448" i="6"/>
  <c r="O448" i="6"/>
  <c r="L450" i="6"/>
  <c r="M450" i="6"/>
  <c r="N450" i="6"/>
  <c r="O450" i="6"/>
  <c r="L452" i="6"/>
  <c r="M452" i="6"/>
  <c r="N452" i="6"/>
  <c r="O452" i="6"/>
  <c r="L402" i="6"/>
  <c r="N402" i="6"/>
  <c r="O402" i="6"/>
  <c r="L405" i="6"/>
  <c r="M405" i="6"/>
  <c r="N405" i="6"/>
  <c r="O405" i="6"/>
  <c r="L403" i="6"/>
  <c r="M403" i="6"/>
  <c r="N403" i="6"/>
  <c r="O403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601" i="6"/>
  <c r="M601" i="6"/>
  <c r="N601" i="6"/>
  <c r="O601" i="6"/>
  <c r="L606" i="6"/>
  <c r="M606" i="6"/>
  <c r="N606" i="6"/>
  <c r="O606" i="6"/>
  <c r="L746" i="6"/>
  <c r="M746" i="6"/>
  <c r="N746" i="6"/>
  <c r="O746" i="6"/>
  <c r="L743" i="6"/>
  <c r="M743" i="6"/>
  <c r="N743" i="6"/>
  <c r="O743" i="6"/>
  <c r="L744" i="6"/>
  <c r="L704" i="6" s="1"/>
  <c r="L703" i="6" s="1"/>
  <c r="M744" i="6"/>
  <c r="M704" i="6" s="1"/>
  <c r="M703" i="6" s="1"/>
  <c r="N744" i="6"/>
  <c r="N704" i="6" s="1"/>
  <c r="N703" i="6" s="1"/>
  <c r="O744" i="6"/>
  <c r="O704" i="6" s="1"/>
  <c r="O703" i="6" s="1"/>
  <c r="L658" i="6"/>
  <c r="M658" i="6"/>
  <c r="N658" i="6"/>
  <c r="O658" i="6"/>
  <c r="L626" i="6"/>
  <c r="M626" i="6"/>
  <c r="N626" i="6"/>
  <c r="O626" i="6"/>
  <c r="L621" i="6"/>
  <c r="M621" i="6"/>
  <c r="N621" i="6"/>
  <c r="O621" i="6"/>
  <c r="L636" i="6"/>
  <c r="M636" i="6"/>
  <c r="N636" i="6"/>
  <c r="O636" i="6"/>
  <c r="L641" i="6"/>
  <c r="M641" i="6"/>
  <c r="N641" i="6"/>
  <c r="O641" i="6"/>
  <c r="L646" i="6"/>
  <c r="M646" i="6"/>
  <c r="N646" i="6"/>
  <c r="O646" i="6"/>
  <c r="O711" i="6"/>
  <c r="O710" i="6" s="1"/>
  <c r="N711" i="6"/>
  <c r="N710" i="6" s="1"/>
  <c r="M711" i="6"/>
  <c r="M710" i="6" s="1"/>
  <c r="L711" i="6"/>
  <c r="L710" i="6" s="1"/>
  <c r="O631" i="6"/>
  <c r="N631" i="6"/>
  <c r="M631" i="6"/>
  <c r="L631" i="6"/>
  <c r="O616" i="6"/>
  <c r="N616" i="6"/>
  <c r="M616" i="6"/>
  <c r="L616" i="6"/>
  <c r="N596" i="6"/>
  <c r="M596" i="6"/>
  <c r="L596" i="6"/>
  <c r="L416" i="6"/>
  <c r="M416" i="6"/>
  <c r="N416" i="6"/>
  <c r="O416" i="6"/>
  <c r="L406" i="6"/>
  <c r="M406" i="6"/>
  <c r="N406" i="6"/>
  <c r="O406" i="6"/>
  <c r="N750" i="6"/>
  <c r="N745" i="6" s="1"/>
  <c r="N469" i="6"/>
  <c r="L549" i="6"/>
  <c r="O549" i="6"/>
  <c r="N549" i="6"/>
  <c r="N752" i="6"/>
  <c r="L572" i="6"/>
  <c r="N572" i="6"/>
  <c r="O752" i="6"/>
  <c r="O750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31" i="6"/>
  <c r="N431" i="6"/>
  <c r="M431" i="6"/>
  <c r="L431" i="6"/>
  <c r="O426" i="6"/>
  <c r="N426" i="6"/>
  <c r="M426" i="6"/>
  <c r="L426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N175" i="6"/>
  <c r="N34" i="6" s="1"/>
  <c r="N24" i="6" s="1"/>
  <c r="M175" i="6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49" i="6"/>
  <c r="G449" i="6"/>
  <c r="H449" i="6"/>
  <c r="J449" i="6"/>
  <c r="K24" i="6"/>
  <c r="E449" i="6"/>
  <c r="K469" i="6"/>
  <c r="J469" i="6"/>
  <c r="I469" i="6"/>
  <c r="H469" i="6"/>
  <c r="G469" i="6"/>
  <c r="F469" i="6"/>
  <c r="E469" i="6"/>
  <c r="J66" i="5"/>
  <c r="K66" i="5"/>
  <c r="L66" i="5"/>
  <c r="N66" i="5"/>
  <c r="O66" i="5"/>
  <c r="I66" i="5"/>
  <c r="J658" i="6"/>
  <c r="D201" i="6"/>
  <c r="D203" i="6"/>
  <c r="U102" i="5"/>
  <c r="I592" i="6"/>
  <c r="E705" i="6"/>
  <c r="F705" i="6"/>
  <c r="F592" i="6" s="1"/>
  <c r="F584" i="6" s="1"/>
  <c r="G705" i="6"/>
  <c r="H705" i="6"/>
  <c r="H592" i="6" s="1"/>
  <c r="H584" i="6" s="1"/>
  <c r="I705" i="6"/>
  <c r="E707" i="6"/>
  <c r="F707" i="6"/>
  <c r="F593" i="6" s="1"/>
  <c r="G707" i="6"/>
  <c r="G593" i="6" s="1"/>
  <c r="H707" i="6"/>
  <c r="H593" i="6" s="1"/>
  <c r="I707" i="6"/>
  <c r="K707" i="6"/>
  <c r="K586" i="6" s="1"/>
  <c r="K709" i="6"/>
  <c r="I716" i="6"/>
  <c r="I709" i="6" s="1"/>
  <c r="H716" i="6"/>
  <c r="H709" i="6" s="1"/>
  <c r="G716" i="6"/>
  <c r="G709" i="6" s="1"/>
  <c r="F716" i="6"/>
  <c r="F709" i="6" s="1"/>
  <c r="E716" i="6"/>
  <c r="K711" i="6"/>
  <c r="K710" i="6" s="1"/>
  <c r="J711" i="6"/>
  <c r="J710" i="6" s="1"/>
  <c r="I711" i="6"/>
  <c r="I704" i="6" s="1"/>
  <c r="H711" i="6"/>
  <c r="G711" i="6"/>
  <c r="F711" i="6"/>
  <c r="F704" i="6" s="1"/>
  <c r="E711" i="6"/>
  <c r="K236" i="6"/>
  <c r="J236" i="6"/>
  <c r="I236" i="6"/>
  <c r="H236" i="6"/>
  <c r="G236" i="6"/>
  <c r="F236" i="6"/>
  <c r="E236" i="6"/>
  <c r="I448" i="6"/>
  <c r="E448" i="6"/>
  <c r="F448" i="6"/>
  <c r="G448" i="6"/>
  <c r="H448" i="6"/>
  <c r="K448" i="6"/>
  <c r="E450" i="6"/>
  <c r="F450" i="6"/>
  <c r="G450" i="6"/>
  <c r="H450" i="6"/>
  <c r="J450" i="6"/>
  <c r="K450" i="6"/>
  <c r="F447" i="6"/>
  <c r="G447" i="6"/>
  <c r="H447" i="6"/>
  <c r="I447" i="6"/>
  <c r="J447" i="6"/>
  <c r="K447" i="6"/>
  <c r="E447" i="6"/>
  <c r="K464" i="6"/>
  <c r="J464" i="6"/>
  <c r="H464" i="6"/>
  <c r="G464" i="6"/>
  <c r="F464" i="6"/>
  <c r="E464" i="6"/>
  <c r="K231" i="6"/>
  <c r="J231" i="6"/>
  <c r="I231" i="6"/>
  <c r="H231" i="6"/>
  <c r="G231" i="6"/>
  <c r="F231" i="6"/>
  <c r="E231" i="6"/>
  <c r="E404" i="6"/>
  <c r="H532" i="6"/>
  <c r="H527" i="6" s="1"/>
  <c r="F403" i="6"/>
  <c r="G403" i="6"/>
  <c r="H403" i="6"/>
  <c r="I402" i="6"/>
  <c r="I404" i="6"/>
  <c r="I405" i="6"/>
  <c r="K403" i="6"/>
  <c r="E403" i="6"/>
  <c r="F404" i="6"/>
  <c r="G404" i="6"/>
  <c r="H404" i="6"/>
  <c r="J404" i="6"/>
  <c r="K641" i="6"/>
  <c r="J641" i="6"/>
  <c r="H641" i="6"/>
  <c r="G641" i="6"/>
  <c r="F641" i="6"/>
  <c r="E641" i="6"/>
  <c r="K626" i="6"/>
  <c r="I626" i="6"/>
  <c r="H626" i="6"/>
  <c r="G626" i="6"/>
  <c r="F626" i="6"/>
  <c r="E626" i="6"/>
  <c r="E631" i="6"/>
  <c r="F631" i="6"/>
  <c r="G631" i="6"/>
  <c r="H631" i="6"/>
  <c r="I631" i="6"/>
  <c r="K606" i="6"/>
  <c r="J606" i="6"/>
  <c r="I606" i="6"/>
  <c r="H606" i="6"/>
  <c r="G606" i="6"/>
  <c r="F606" i="6"/>
  <c r="E606" i="6"/>
  <c r="K421" i="6"/>
  <c r="J421" i="6"/>
  <c r="H421" i="6"/>
  <c r="G421" i="6"/>
  <c r="F421" i="6"/>
  <c r="E421" i="6"/>
  <c r="K411" i="6"/>
  <c r="I411" i="6"/>
  <c r="H411" i="6"/>
  <c r="G411" i="6"/>
  <c r="F411" i="6"/>
  <c r="E411" i="6"/>
  <c r="L83" i="5"/>
  <c r="L79" i="5" s="1"/>
  <c r="G61" i="6"/>
  <c r="H61" i="6"/>
  <c r="I61" i="6"/>
  <c r="Q61" i="6" s="1"/>
  <c r="J61" i="6"/>
  <c r="K61" i="6"/>
  <c r="F61" i="6"/>
  <c r="I532" i="6"/>
  <c r="I527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589" i="6"/>
  <c r="K589" i="6"/>
  <c r="K583" i="6"/>
  <c r="K591" i="6"/>
  <c r="K590" i="6" s="1"/>
  <c r="J744" i="6"/>
  <c r="K744" i="6"/>
  <c r="J746" i="6"/>
  <c r="K746" i="6"/>
  <c r="K743" i="6"/>
  <c r="K750" i="6"/>
  <c r="K747" i="6" s="1"/>
  <c r="K752" i="6"/>
  <c r="K658" i="6"/>
  <c r="K652" i="6"/>
  <c r="K646" i="6"/>
  <c r="K636" i="6"/>
  <c r="K631" i="6"/>
  <c r="K621" i="6"/>
  <c r="K616" i="6"/>
  <c r="K611" i="6"/>
  <c r="K601" i="6"/>
  <c r="K553" i="6"/>
  <c r="K567" i="6"/>
  <c r="K561" i="6"/>
  <c r="K525" i="6"/>
  <c r="K532" i="6"/>
  <c r="K527" i="6" s="1"/>
  <c r="K17" i="6" s="1"/>
  <c r="K531" i="6"/>
  <c r="K526" i="6" s="1"/>
  <c r="K530" i="6"/>
  <c r="K529" i="6"/>
  <c r="K524" i="6" s="1"/>
  <c r="K533" i="6"/>
  <c r="J532" i="6"/>
  <c r="J527" i="6" s="1"/>
  <c r="J17" i="6" s="1"/>
  <c r="K538" i="6"/>
  <c r="K549" i="6"/>
  <c r="K184" i="6"/>
  <c r="K459" i="6"/>
  <c r="K452" i="6"/>
  <c r="K431" i="6"/>
  <c r="K426" i="6"/>
  <c r="K416" i="6"/>
  <c r="K402" i="6"/>
  <c r="K405" i="6"/>
  <c r="K406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30" i="6"/>
  <c r="G530" i="6"/>
  <c r="G529" i="6"/>
  <c r="G524" i="6" s="1"/>
  <c r="G531" i="6"/>
  <c r="G526" i="6" s="1"/>
  <c r="G532" i="6"/>
  <c r="G527" i="6" s="1"/>
  <c r="G17" i="6" s="1"/>
  <c r="H530" i="6"/>
  <c r="I530" i="6"/>
  <c r="J530" i="6"/>
  <c r="E530" i="6"/>
  <c r="E525" i="6" s="1"/>
  <c r="F531" i="6"/>
  <c r="F526" i="6" s="1"/>
  <c r="H531" i="6"/>
  <c r="H526" i="6" s="1"/>
  <c r="J531" i="6"/>
  <c r="J526" i="6" s="1"/>
  <c r="J529" i="6"/>
  <c r="J524" i="6" s="1"/>
  <c r="E531" i="6"/>
  <c r="E526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32" i="6"/>
  <c r="F527" i="6" s="1"/>
  <c r="F17" i="6" s="1"/>
  <c r="E532" i="6"/>
  <c r="E527" i="6" s="1"/>
  <c r="E17" i="6" s="1"/>
  <c r="F529" i="6"/>
  <c r="F524" i="6" s="1"/>
  <c r="H529" i="6"/>
  <c r="H524" i="6" s="1"/>
  <c r="I529" i="6"/>
  <c r="I524" i="6" s="1"/>
  <c r="E529" i="6"/>
  <c r="E524" i="6" s="1"/>
  <c r="H184" i="6"/>
  <c r="J750" i="6"/>
  <c r="J745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D192" i="6"/>
  <c r="G15" i="6"/>
  <c r="F658" i="6"/>
  <c r="G658" i="6"/>
  <c r="E658" i="6"/>
  <c r="H658" i="6"/>
  <c r="I658" i="6"/>
  <c r="G38" i="6"/>
  <c r="H652" i="6"/>
  <c r="I652" i="6"/>
  <c r="J652" i="6"/>
  <c r="F652" i="6"/>
  <c r="G652" i="6"/>
  <c r="J431" i="6"/>
  <c r="I431" i="6"/>
  <c r="H431" i="6"/>
  <c r="G431" i="6"/>
  <c r="F431" i="6"/>
  <c r="E431" i="6"/>
  <c r="E129" i="6"/>
  <c r="I35" i="6"/>
  <c r="J75" i="5"/>
  <c r="K75" i="5"/>
  <c r="L75" i="5"/>
  <c r="N75" i="5"/>
  <c r="I75" i="5"/>
  <c r="H750" i="6"/>
  <c r="H747" i="6" s="1"/>
  <c r="H745" i="6" s="1"/>
  <c r="G750" i="6"/>
  <c r="G747" i="6" s="1"/>
  <c r="G745" i="6" s="1"/>
  <c r="G611" i="6"/>
  <c r="D198" i="6"/>
  <c r="D197" i="6"/>
  <c r="D196" i="6"/>
  <c r="D195" i="6"/>
  <c r="J194" i="6"/>
  <c r="I194" i="6"/>
  <c r="H194" i="6"/>
  <c r="G194" i="6"/>
  <c r="F194" i="6"/>
  <c r="E194" i="6"/>
  <c r="D193" i="6"/>
  <c r="D191" i="6"/>
  <c r="D190" i="6"/>
  <c r="J189" i="6"/>
  <c r="I189" i="6"/>
  <c r="H189" i="6"/>
  <c r="G189" i="6"/>
  <c r="F189" i="6"/>
  <c r="E189" i="6"/>
  <c r="E184" i="6"/>
  <c r="F184" i="6"/>
  <c r="G184" i="6"/>
  <c r="I184" i="6"/>
  <c r="J184" i="6"/>
  <c r="D183" i="6"/>
  <c r="E33" i="6"/>
  <c r="E23" i="6" s="1"/>
  <c r="E32" i="6"/>
  <c r="E22" i="6" s="1"/>
  <c r="E750" i="6"/>
  <c r="E745" i="6" s="1"/>
  <c r="F750" i="6"/>
  <c r="F745" i="6" s="1"/>
  <c r="F178" i="6"/>
  <c r="G178" i="6"/>
  <c r="H178" i="6"/>
  <c r="I178" i="6"/>
  <c r="J178" i="6"/>
  <c r="E178" i="6"/>
  <c r="D180" i="6"/>
  <c r="D179" i="6"/>
  <c r="E182" i="6"/>
  <c r="E35" i="6" s="1"/>
  <c r="D181" i="6"/>
  <c r="E402" i="6"/>
  <c r="F402" i="6"/>
  <c r="G402" i="6"/>
  <c r="H402" i="6"/>
  <c r="J402" i="6"/>
  <c r="E405" i="6"/>
  <c r="F405" i="6"/>
  <c r="G405" i="6"/>
  <c r="H405" i="6"/>
  <c r="J405" i="6"/>
  <c r="E406" i="6"/>
  <c r="F406" i="6"/>
  <c r="G406" i="6"/>
  <c r="H406" i="6"/>
  <c r="I406" i="6"/>
  <c r="J406" i="6"/>
  <c r="E131" i="6"/>
  <c r="D132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16" i="6"/>
  <c r="F616" i="6"/>
  <c r="G616" i="6"/>
  <c r="H616" i="6"/>
  <c r="I616" i="6"/>
  <c r="J616" i="6"/>
  <c r="E611" i="6"/>
  <c r="F611" i="6"/>
  <c r="D600" i="6"/>
  <c r="J596" i="6"/>
  <c r="H596" i="6"/>
  <c r="G596" i="6"/>
  <c r="F596" i="6"/>
  <c r="E596" i="6"/>
  <c r="J752" i="6"/>
  <c r="H752" i="6"/>
  <c r="G752" i="6"/>
  <c r="F752" i="6"/>
  <c r="E752" i="6"/>
  <c r="E426" i="6"/>
  <c r="F426" i="6"/>
  <c r="G426" i="6"/>
  <c r="H426" i="6"/>
  <c r="I426" i="6"/>
  <c r="J426" i="6"/>
  <c r="D559" i="6"/>
  <c r="G553" i="6"/>
  <c r="G549" i="6"/>
  <c r="J549" i="6"/>
  <c r="H549" i="6"/>
  <c r="F549" i="6"/>
  <c r="E553" i="6"/>
  <c r="D599" i="6"/>
  <c r="I596" i="6"/>
  <c r="J80" i="5"/>
  <c r="J11" i="5" s="1"/>
  <c r="F595" i="6"/>
  <c r="G595" i="6"/>
  <c r="H595" i="6"/>
  <c r="I595" i="6"/>
  <c r="E595" i="6"/>
  <c r="F591" i="6"/>
  <c r="G591" i="6"/>
  <c r="H591" i="6"/>
  <c r="I591" i="6"/>
  <c r="J591" i="6"/>
  <c r="E591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31" i="6"/>
  <c r="E655" i="6"/>
  <c r="D655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61" i="6"/>
  <c r="F561" i="6"/>
  <c r="G561" i="6"/>
  <c r="H561" i="6"/>
  <c r="I561" i="6"/>
  <c r="J561" i="6"/>
  <c r="E567" i="6"/>
  <c r="F567" i="6"/>
  <c r="G567" i="6"/>
  <c r="H567" i="6"/>
  <c r="I567" i="6"/>
  <c r="J567" i="6"/>
  <c r="F554" i="6"/>
  <c r="G554" i="6"/>
  <c r="H554" i="6"/>
  <c r="I554" i="6"/>
  <c r="J554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D161" i="6"/>
  <c r="D160" i="6" s="1"/>
  <c r="D103" i="6"/>
  <c r="E646" i="6"/>
  <c r="J172" i="6"/>
  <c r="I172" i="6"/>
  <c r="H172" i="6"/>
  <c r="G172" i="6"/>
  <c r="E172" i="6"/>
  <c r="F172" i="6"/>
  <c r="D177" i="6"/>
  <c r="D176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D174" i="6"/>
  <c r="D173" i="6"/>
  <c r="E110" i="6"/>
  <c r="E106" i="6" s="1"/>
  <c r="D106" i="6" s="1"/>
  <c r="D55" i="6"/>
  <c r="D54" i="6"/>
  <c r="D53" i="6"/>
  <c r="D52" i="6"/>
  <c r="D51" i="6"/>
  <c r="J50" i="6"/>
  <c r="I50" i="6"/>
  <c r="H50" i="6"/>
  <c r="G50" i="6"/>
  <c r="F50" i="6"/>
  <c r="E50" i="6"/>
  <c r="F165" i="6"/>
  <c r="G165" i="6"/>
  <c r="H165" i="6"/>
  <c r="I165" i="6"/>
  <c r="J165" i="6"/>
  <c r="E165" i="6"/>
  <c r="D167" i="6"/>
  <c r="D166" i="6"/>
  <c r="F168" i="6"/>
  <c r="F34" i="6" s="1"/>
  <c r="G168" i="6"/>
  <c r="H168" i="6"/>
  <c r="H164" i="6" s="1"/>
  <c r="I168" i="6"/>
  <c r="I164" i="6" s="1"/>
  <c r="E168" i="6"/>
  <c r="E164" i="6" s="1"/>
  <c r="D170" i="6"/>
  <c r="D169" i="6"/>
  <c r="F138" i="6"/>
  <c r="G138" i="6"/>
  <c r="H138" i="6"/>
  <c r="I138" i="6"/>
  <c r="J138" i="6"/>
  <c r="E138" i="6"/>
  <c r="D142" i="6"/>
  <c r="E141" i="6"/>
  <c r="D141" i="6" s="1"/>
  <c r="D140" i="6"/>
  <c r="D135" i="6"/>
  <c r="D133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D126" i="6"/>
  <c r="D125" i="6"/>
  <c r="D124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D117" i="6" s="1"/>
  <c r="D118" i="6"/>
  <c r="D116" i="6"/>
  <c r="D99" i="6"/>
  <c r="D98" i="6"/>
  <c r="D97" i="6"/>
  <c r="D96" i="6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8" i="6"/>
  <c r="D150" i="6"/>
  <c r="D111" i="6"/>
  <c r="D109" i="6"/>
  <c r="D93" i="6"/>
  <c r="D92" i="6"/>
  <c r="D91" i="6"/>
  <c r="D90" i="6"/>
  <c r="E89" i="6"/>
  <c r="D89" i="6" s="1"/>
  <c r="J87" i="6"/>
  <c r="I87" i="6"/>
  <c r="H87" i="6"/>
  <c r="G87" i="6"/>
  <c r="F87" i="6"/>
  <c r="D86" i="6"/>
  <c r="D85" i="6"/>
  <c r="D84" i="6"/>
  <c r="D83" i="6"/>
  <c r="E82" i="6"/>
  <c r="D82" i="6" s="1"/>
  <c r="J81" i="6"/>
  <c r="I81" i="6"/>
  <c r="H81" i="6"/>
  <c r="G81" i="6"/>
  <c r="F81" i="6"/>
  <c r="D77" i="6"/>
  <c r="D80" i="6"/>
  <c r="D79" i="6"/>
  <c r="D78" i="6"/>
  <c r="D76" i="6"/>
  <c r="E75" i="6"/>
  <c r="D75" i="6" s="1"/>
  <c r="J74" i="6"/>
  <c r="I74" i="6"/>
  <c r="H74" i="6"/>
  <c r="G74" i="6"/>
  <c r="F74" i="6"/>
  <c r="D156" i="6"/>
  <c r="D163" i="6"/>
  <c r="D162" i="6"/>
  <c r="D159" i="6"/>
  <c r="D157" i="6"/>
  <c r="D155" i="6"/>
  <c r="D154" i="6"/>
  <c r="D153" i="6"/>
  <c r="J56" i="6"/>
  <c r="I56" i="6"/>
  <c r="H56" i="6"/>
  <c r="G56" i="6"/>
  <c r="F56" i="6"/>
  <c r="E56" i="6"/>
  <c r="E69" i="6"/>
  <c r="D69" i="6" s="1"/>
  <c r="G68" i="6"/>
  <c r="H68" i="6"/>
  <c r="I68" i="6"/>
  <c r="J68" i="6"/>
  <c r="F68" i="6"/>
  <c r="D105" i="6"/>
  <c r="D104" i="6"/>
  <c r="D102" i="6"/>
  <c r="D101" i="6"/>
  <c r="J100" i="6"/>
  <c r="I100" i="6"/>
  <c r="H100" i="6"/>
  <c r="G100" i="6"/>
  <c r="F100" i="6"/>
  <c r="E100" i="6"/>
  <c r="H743" i="6"/>
  <c r="H744" i="6"/>
  <c r="H746" i="6"/>
  <c r="G743" i="6"/>
  <c r="G744" i="6"/>
  <c r="G746" i="6"/>
  <c r="E747" i="6"/>
  <c r="I746" i="6"/>
  <c r="E746" i="6"/>
  <c r="F746" i="6"/>
  <c r="F743" i="6"/>
  <c r="F744" i="6"/>
  <c r="I744" i="6"/>
  <c r="E744" i="6"/>
  <c r="J743" i="6"/>
  <c r="I743" i="6"/>
  <c r="E743" i="6"/>
  <c r="G646" i="6"/>
  <c r="F646" i="6"/>
  <c r="E636" i="6"/>
  <c r="G621" i="6"/>
  <c r="E621" i="6"/>
  <c r="F621" i="6"/>
  <c r="H621" i="6"/>
  <c r="I621" i="6"/>
  <c r="J621" i="6"/>
  <c r="J601" i="6"/>
  <c r="G601" i="6"/>
  <c r="F601" i="6"/>
  <c r="E601" i="6"/>
  <c r="I589" i="6"/>
  <c r="G589" i="6"/>
  <c r="F589" i="6"/>
  <c r="E589" i="6"/>
  <c r="J583" i="6"/>
  <c r="H583" i="6"/>
  <c r="G583" i="6"/>
  <c r="F583" i="6"/>
  <c r="J538" i="6"/>
  <c r="I538" i="6"/>
  <c r="H538" i="6"/>
  <c r="G538" i="6"/>
  <c r="F538" i="6"/>
  <c r="E538" i="6"/>
  <c r="J533" i="6"/>
  <c r="I533" i="6"/>
  <c r="H533" i="6"/>
  <c r="G533" i="6"/>
  <c r="F533" i="6"/>
  <c r="E533" i="6"/>
  <c r="J525" i="6"/>
  <c r="I525" i="6"/>
  <c r="H525" i="6"/>
  <c r="G525" i="6"/>
  <c r="F525" i="6"/>
  <c r="J459" i="6"/>
  <c r="H459" i="6"/>
  <c r="G459" i="6"/>
  <c r="F459" i="6"/>
  <c r="E459" i="6"/>
  <c r="J452" i="6"/>
  <c r="I452" i="6"/>
  <c r="H452" i="6"/>
  <c r="G452" i="6"/>
  <c r="F452" i="6"/>
  <c r="E452" i="6"/>
  <c r="J416" i="6"/>
  <c r="I416" i="6"/>
  <c r="H416" i="6"/>
  <c r="G416" i="6"/>
  <c r="F416" i="6"/>
  <c r="E416" i="6"/>
  <c r="J113" i="5"/>
  <c r="K113" i="5"/>
  <c r="E555" i="6"/>
  <c r="D45" i="6"/>
  <c r="G592" i="6"/>
  <c r="G584" i="6" s="1"/>
  <c r="E592" i="6"/>
  <c r="E584" i="6" s="1"/>
  <c r="J164" i="6"/>
  <c r="D42" i="6"/>
  <c r="G636" i="6"/>
  <c r="H646" i="6"/>
  <c r="H601" i="6"/>
  <c r="F636" i="6"/>
  <c r="M113" i="5"/>
  <c r="F38" i="6"/>
  <c r="E38" i="6"/>
  <c r="H38" i="6"/>
  <c r="L113" i="5"/>
  <c r="I38" i="6"/>
  <c r="I646" i="6"/>
  <c r="J646" i="6"/>
  <c r="H636" i="6"/>
  <c r="I158" i="6"/>
  <c r="J35" i="6"/>
  <c r="J38" i="6"/>
  <c r="H611" i="6"/>
  <c r="I611" i="6"/>
  <c r="J636" i="6"/>
  <c r="J611" i="6"/>
  <c r="O78" i="5"/>
  <c r="I464" i="6"/>
  <c r="D467" i="6"/>
  <c r="H97" i="5"/>
  <c r="I79" i="5"/>
  <c r="L527" i="6"/>
  <c r="L17" i="6" s="1"/>
  <c r="L745" i="6"/>
  <c r="K90" i="5"/>
  <c r="G19" i="6"/>
  <c r="L114" i="5"/>
  <c r="L89" i="5"/>
  <c r="L171" i="6"/>
  <c r="N81" i="5"/>
  <c r="I89" i="5"/>
  <c r="D643" i="6"/>
  <c r="S15" i="5"/>
  <c r="K718" i="6"/>
  <c r="K717" i="6" s="1"/>
  <c r="D455" i="6"/>
  <c r="D726" i="6"/>
  <c r="G718" i="6"/>
  <c r="I717" i="6"/>
  <c r="I81" i="5"/>
  <c r="P79" i="5"/>
  <c r="M611" i="6"/>
  <c r="D134" i="6"/>
  <c r="I80" i="5"/>
  <c r="I11" i="5" s="1"/>
  <c r="O77" i="5"/>
  <c r="R90" i="5"/>
  <c r="J704" i="6"/>
  <c r="O584" i="6"/>
  <c r="N528" i="6"/>
  <c r="S79" i="5"/>
  <c r="R118" i="5"/>
  <c r="S118" i="5" s="1"/>
  <c r="S113" i="5" s="1"/>
  <c r="Q115" i="5"/>
  <c r="R115" i="5" s="1"/>
  <c r="I531" i="6"/>
  <c r="I526" i="6" s="1"/>
  <c r="D541" i="6"/>
  <c r="H68" i="5"/>
  <c r="M66" i="5"/>
  <c r="P626" i="6"/>
  <c r="D624" i="6"/>
  <c r="M115" i="5"/>
  <c r="M114" i="5" s="1"/>
  <c r="H19" i="6"/>
  <c r="H87" i="5"/>
  <c r="M84" i="5"/>
  <c r="M77" i="5" s="1"/>
  <c r="N611" i="6"/>
  <c r="O611" i="6"/>
  <c r="L582" i="6" l="1"/>
  <c r="E13" i="6"/>
  <c r="D13" i="6" s="1"/>
  <c r="D23" i="6"/>
  <c r="L31" i="6"/>
  <c r="N31" i="6"/>
  <c r="N21" i="6" s="1"/>
  <c r="M31" i="6"/>
  <c r="M21" i="6" s="1"/>
  <c r="H572" i="6"/>
  <c r="J403" i="6"/>
  <c r="G572" i="6"/>
  <c r="D596" i="6"/>
  <c r="D573" i="6"/>
  <c r="G555" i="6"/>
  <c r="I403" i="6"/>
  <c r="J703" i="6"/>
  <c r="M171" i="6"/>
  <c r="K704" i="6"/>
  <c r="I722" i="6"/>
  <c r="G717" i="6"/>
  <c r="I601" i="6"/>
  <c r="F24" i="6"/>
  <c r="I25" i="6"/>
  <c r="I15" i="6" s="1"/>
  <c r="J411" i="6"/>
  <c r="I421" i="6"/>
  <c r="D421" i="6" s="1"/>
  <c r="J626" i="6"/>
  <c r="D472" i="6"/>
  <c r="O469" i="6"/>
  <c r="D413" i="6"/>
  <c r="K21" i="6"/>
  <c r="H84" i="5"/>
  <c r="L14" i="5"/>
  <c r="J14" i="5"/>
  <c r="Q83" i="5"/>
  <c r="Q116" i="5"/>
  <c r="R116" i="5" s="1"/>
  <c r="S116" i="5" s="1"/>
  <c r="D462" i="6"/>
  <c r="H106" i="5"/>
  <c r="D264" i="6"/>
  <c r="J718" i="6"/>
  <c r="J717" i="6" s="1"/>
  <c r="G722" i="6"/>
  <c r="R14" i="5"/>
  <c r="P77" i="5"/>
  <c r="O572" i="6"/>
  <c r="N555" i="6"/>
  <c r="D182" i="6"/>
  <c r="L28" i="6"/>
  <c r="I551" i="6"/>
  <c r="E87" i="6"/>
  <c r="M523" i="6"/>
  <c r="O747" i="6"/>
  <c r="O745" i="6"/>
  <c r="H105" i="5"/>
  <c r="D423" i="6"/>
  <c r="O89" i="5"/>
  <c r="S14" i="5"/>
  <c r="S13" i="5" s="1"/>
  <c r="H46" i="5"/>
  <c r="E717" i="6"/>
  <c r="D558" i="6"/>
  <c r="H710" i="6"/>
  <c r="E137" i="6"/>
  <c r="N14" i="5"/>
  <c r="J89" i="5"/>
  <c r="N77" i="5"/>
  <c r="K77" i="5"/>
  <c r="J81" i="5"/>
  <c r="Q113" i="5"/>
  <c r="H48" i="5"/>
  <c r="H119" i="5"/>
  <c r="D646" i="6"/>
  <c r="E31" i="6"/>
  <c r="D616" i="6"/>
  <c r="O88" i="5"/>
  <c r="L77" i="5"/>
  <c r="K14" i="5"/>
  <c r="D606" i="6"/>
  <c r="D626" i="6"/>
  <c r="K446" i="6"/>
  <c r="H66" i="5"/>
  <c r="J114" i="5"/>
  <c r="N446" i="6"/>
  <c r="Q114" i="5"/>
  <c r="O114" i="5"/>
  <c r="F710" i="6"/>
  <c r="I584" i="6"/>
  <c r="Q90" i="5"/>
  <c r="V94" i="5"/>
  <c r="M80" i="5"/>
  <c r="M11" i="5" s="1"/>
  <c r="H92" i="5"/>
  <c r="D44" i="6"/>
  <c r="D595" i="6"/>
  <c r="I114" i="5"/>
  <c r="Q14" i="5"/>
  <c r="D543" i="6"/>
  <c r="D721" i="6"/>
  <c r="F717" i="6"/>
  <c r="I88" i="5"/>
  <c r="H83" i="5"/>
  <c r="D450" i="6"/>
  <c r="D755" i="6"/>
  <c r="L590" i="6"/>
  <c r="N590" i="6"/>
  <c r="M91" i="5"/>
  <c r="M90" i="5" s="1"/>
  <c r="H117" i="5"/>
  <c r="I449" i="6"/>
  <c r="D449" i="6" s="1"/>
  <c r="K81" i="5"/>
  <c r="J78" i="5"/>
  <c r="I752" i="6"/>
  <c r="F401" i="6"/>
  <c r="J79" i="5"/>
  <c r="M75" i="5"/>
  <c r="H75" i="5" s="1"/>
  <c r="K25" i="6"/>
  <c r="I77" i="5"/>
  <c r="S81" i="5"/>
  <c r="M747" i="6"/>
  <c r="M25" i="6"/>
  <c r="M15" i="6" s="1"/>
  <c r="S77" i="5"/>
  <c r="M89" i="5"/>
  <c r="D636" i="6"/>
  <c r="J15" i="5"/>
  <c r="J13" i="5" s="1"/>
  <c r="N16" i="5"/>
  <c r="N90" i="5"/>
  <c r="O551" i="6"/>
  <c r="F722" i="6"/>
  <c r="D591" i="6"/>
  <c r="Q89" i="5"/>
  <c r="Q88" i="5" s="1"/>
  <c r="I15" i="5"/>
  <c r="I12" i="5" s="1"/>
  <c r="J592" i="6"/>
  <c r="J584" i="6" s="1"/>
  <c r="D716" i="6"/>
  <c r="D705" i="6"/>
  <c r="S12" i="5"/>
  <c r="R77" i="5"/>
  <c r="F703" i="6"/>
  <c r="J31" i="6"/>
  <c r="M74" i="5"/>
  <c r="M73" i="5" s="1"/>
  <c r="H73" i="5" s="1"/>
  <c r="D631" i="6"/>
  <c r="D431" i="6"/>
  <c r="L88" i="5"/>
  <c r="H94" i="5"/>
  <c r="N523" i="6"/>
  <c r="Q77" i="5"/>
  <c r="L12" i="5"/>
  <c r="Q15" i="5"/>
  <c r="J44" i="6"/>
  <c r="J34" i="6"/>
  <c r="I528" i="6"/>
  <c r="H82" i="5"/>
  <c r="E94" i="6"/>
  <c r="G31" i="6"/>
  <c r="P114" i="5"/>
  <c r="G551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09" i="6"/>
  <c r="D709" i="6" s="1"/>
  <c r="P89" i="5"/>
  <c r="I703" i="6"/>
  <c r="N113" i="5"/>
  <c r="H113" i="5" s="1"/>
  <c r="D145" i="6"/>
  <c r="D94" i="6"/>
  <c r="H34" i="6"/>
  <c r="D567" i="6"/>
  <c r="I78" i="5"/>
  <c r="I10" i="5" s="1"/>
  <c r="E704" i="6"/>
  <c r="E710" i="6"/>
  <c r="U110" i="5"/>
  <c r="P90" i="5"/>
  <c r="D639" i="6"/>
  <c r="H40" i="5"/>
  <c r="K15" i="5"/>
  <c r="K12" i="5" s="1"/>
  <c r="E722" i="6"/>
  <c r="O15" i="5"/>
  <c r="O12" i="5" s="1"/>
  <c r="J489" i="6"/>
  <c r="D489" i="6" s="1"/>
  <c r="J487" i="6"/>
  <c r="J484" i="6" s="1"/>
  <c r="K88" i="5"/>
  <c r="G164" i="6"/>
  <c r="G34" i="6"/>
  <c r="I13" i="5"/>
  <c r="H118" i="5"/>
  <c r="I9" i="5"/>
  <c r="M14" i="5"/>
  <c r="H91" i="5"/>
  <c r="H61" i="5"/>
  <c r="D592" i="6"/>
  <c r="R81" i="5"/>
  <c r="O81" i="5"/>
  <c r="D110" i="6"/>
  <c r="D533" i="6"/>
  <c r="E742" i="6"/>
  <c r="D68" i="6"/>
  <c r="F31" i="6"/>
  <c r="F28" i="6" s="1"/>
  <c r="D129" i="6"/>
  <c r="J77" i="5"/>
  <c r="K114" i="5"/>
  <c r="K10" i="5" s="1"/>
  <c r="K9" i="5" s="1"/>
  <c r="H93" i="5"/>
  <c r="L81" i="5"/>
  <c r="G704" i="6"/>
  <c r="G710" i="6"/>
  <c r="L25" i="6"/>
  <c r="S88" i="5"/>
  <c r="M572" i="6"/>
  <c r="H555" i="6"/>
  <c r="H722" i="6"/>
  <c r="N401" i="6"/>
  <c r="R89" i="5"/>
  <c r="R88" i="5" s="1"/>
  <c r="N114" i="5"/>
  <c r="M81" i="5"/>
  <c r="M590" i="6"/>
  <c r="K703" i="6"/>
  <c r="D750" i="6"/>
  <c r="L528" i="6"/>
  <c r="O446" i="6"/>
  <c r="H31" i="6"/>
  <c r="H21" i="6" s="1"/>
  <c r="E528" i="6"/>
  <c r="J590" i="6"/>
  <c r="L80" i="5"/>
  <c r="L11" i="5" s="1"/>
  <c r="D62" i="6"/>
  <c r="P64" i="6" s="1"/>
  <c r="E29" i="6"/>
  <c r="E28" i="6" s="1"/>
  <c r="N89" i="5"/>
  <c r="H116" i="5"/>
  <c r="H25" i="6"/>
  <c r="O14" i="5"/>
  <c r="H17" i="5"/>
  <c r="I710" i="6"/>
  <c r="H18" i="5"/>
  <c r="R15" i="5"/>
  <c r="R13" i="5" s="1"/>
  <c r="I34" i="6"/>
  <c r="P15" i="5"/>
  <c r="P12" i="5" s="1"/>
  <c r="E552" i="6"/>
  <c r="H718" i="6"/>
  <c r="H717" i="6" s="1"/>
  <c r="I593" i="6"/>
  <c r="N15" i="5"/>
  <c r="K572" i="6"/>
  <c r="K555" i="6"/>
  <c r="D574" i="6"/>
  <c r="D707" i="6"/>
  <c r="J572" i="6"/>
  <c r="J555" i="6"/>
  <c r="J586" i="6"/>
  <c r="J582" i="6" s="1"/>
  <c r="K504" i="6"/>
  <c r="M504" i="6"/>
  <c r="D100" i="6"/>
  <c r="D56" i="6"/>
  <c r="D752" i="6"/>
  <c r="E25" i="6"/>
  <c r="E15" i="6" s="1"/>
  <c r="F446" i="6"/>
  <c r="D236" i="6"/>
  <c r="D241" i="6"/>
  <c r="D178" i="6"/>
  <c r="D184" i="6"/>
  <c r="D251" i="6"/>
  <c r="D206" i="6"/>
  <c r="K551" i="6"/>
  <c r="I555" i="6"/>
  <c r="O401" i="6"/>
  <c r="L446" i="6"/>
  <c r="F747" i="6"/>
  <c r="D583" i="6"/>
  <c r="M550" i="6"/>
  <c r="D576" i="6"/>
  <c r="D560" i="6"/>
  <c r="D575" i="6"/>
  <c r="M555" i="6"/>
  <c r="D556" i="6"/>
  <c r="D561" i="6"/>
  <c r="N551" i="6"/>
  <c r="J523" i="6"/>
  <c r="O528" i="6"/>
  <c r="D530" i="6"/>
  <c r="D131" i="6"/>
  <c r="D33" i="6"/>
  <c r="D175" i="6"/>
  <c r="D459" i="6"/>
  <c r="D165" i="6"/>
  <c r="H401" i="6"/>
  <c r="N19" i="6"/>
  <c r="E128" i="6"/>
  <c r="D128" i="6" s="1"/>
  <c r="D35" i="6"/>
  <c r="J25" i="6"/>
  <c r="E74" i="6"/>
  <c r="D38" i="6"/>
  <c r="D211" i="6"/>
  <c r="D221" i="6"/>
  <c r="D226" i="6"/>
  <c r="N25" i="6"/>
  <c r="E484" i="6"/>
  <c r="L484" i="6"/>
  <c r="H484" i="6"/>
  <c r="D505" i="6"/>
  <c r="D506" i="6"/>
  <c r="D114" i="6"/>
  <c r="D168" i="6"/>
  <c r="D50" i="6"/>
  <c r="G401" i="6"/>
  <c r="M446" i="6"/>
  <c r="M19" i="6"/>
  <c r="E291" i="6"/>
  <c r="D291" i="6" s="1"/>
  <c r="D266" i="6"/>
  <c r="D719" i="6"/>
  <c r="D589" i="6"/>
  <c r="M742" i="6"/>
  <c r="O742" i="6"/>
  <c r="N742" i="6"/>
  <c r="K584" i="6"/>
  <c r="D529" i="6"/>
  <c r="K528" i="6"/>
  <c r="F528" i="6"/>
  <c r="D487" i="6"/>
  <c r="D531" i="6"/>
  <c r="D485" i="6"/>
  <c r="H528" i="6"/>
  <c r="J24" i="6"/>
  <c r="F25" i="6"/>
  <c r="F15" i="6" s="1"/>
  <c r="G446" i="6"/>
  <c r="G523" i="6"/>
  <c r="D532" i="6"/>
  <c r="M528" i="6"/>
  <c r="J21" i="6"/>
  <c r="J11" i="6" s="1"/>
  <c r="J446" i="6"/>
  <c r="D553" i="6"/>
  <c r="O555" i="6"/>
  <c r="I572" i="6"/>
  <c r="F555" i="6"/>
  <c r="I549" i="6"/>
  <c r="D549" i="6" s="1"/>
  <c r="I550" i="6"/>
  <c r="O550" i="6"/>
  <c r="J552" i="6"/>
  <c r="D557" i="6"/>
  <c r="G550" i="6"/>
  <c r="F572" i="6"/>
  <c r="E572" i="6"/>
  <c r="L550" i="6"/>
  <c r="D121" i="6"/>
  <c r="N171" i="6"/>
  <c r="E68" i="6"/>
  <c r="D32" i="6"/>
  <c r="D30" i="6"/>
  <c r="D147" i="6"/>
  <c r="D137" i="6"/>
  <c r="O25" i="6"/>
  <c r="J747" i="6"/>
  <c r="L742" i="6"/>
  <c r="D711" i="6"/>
  <c r="D744" i="6"/>
  <c r="D720" i="6"/>
  <c r="I552" i="6"/>
  <c r="F550" i="6"/>
  <c r="F9" i="6" s="1"/>
  <c r="H552" i="6"/>
  <c r="N550" i="6"/>
  <c r="K552" i="6"/>
  <c r="O523" i="6"/>
  <c r="G528" i="6"/>
  <c r="L401" i="6"/>
  <c r="D452" i="6"/>
  <c r="D81" i="6"/>
  <c r="D74" i="6"/>
  <c r="H586" i="6"/>
  <c r="H582" i="6" s="1"/>
  <c r="H590" i="6"/>
  <c r="D611" i="6"/>
  <c r="D601" i="6"/>
  <c r="E81" i="6"/>
  <c r="E144" i="6"/>
  <c r="D144" i="6" s="1"/>
  <c r="D171" i="6"/>
  <c r="I523" i="6"/>
  <c r="D216" i="6"/>
  <c r="K523" i="6"/>
  <c r="H704" i="6"/>
  <c r="H703" i="6" s="1"/>
  <c r="H446" i="6"/>
  <c r="G484" i="6"/>
  <c r="F504" i="6"/>
  <c r="J504" i="6"/>
  <c r="D271" i="6"/>
  <c r="M551" i="6"/>
  <c r="D404" i="6"/>
  <c r="D464" i="6"/>
  <c r="D448" i="6"/>
  <c r="E504" i="6"/>
  <c r="D296" i="6"/>
  <c r="D416" i="6"/>
  <c r="D743" i="6"/>
  <c r="F742" i="6"/>
  <c r="D172" i="6"/>
  <c r="D411" i="6"/>
  <c r="E21" i="6"/>
  <c r="O484" i="6"/>
  <c r="L555" i="6"/>
  <c r="N582" i="6"/>
  <c r="G742" i="6"/>
  <c r="D87" i="6"/>
  <c r="D120" i="6"/>
  <c r="D123" i="6"/>
  <c r="E652" i="6"/>
  <c r="D652" i="6" s="1"/>
  <c r="D426" i="6"/>
  <c r="J401" i="6"/>
  <c r="E401" i="6"/>
  <c r="K401" i="6"/>
  <c r="D641" i="6"/>
  <c r="E446" i="6"/>
  <c r="I446" i="6"/>
  <c r="N747" i="6"/>
  <c r="D663" i="6"/>
  <c r="N484" i="6"/>
  <c r="I484" i="6"/>
  <c r="D488" i="6"/>
  <c r="N504" i="6"/>
  <c r="G504" i="6"/>
  <c r="F551" i="6"/>
  <c r="L551" i="6"/>
  <c r="D281" i="6"/>
  <c r="D286" i="6"/>
  <c r="J742" i="6"/>
  <c r="D746" i="6"/>
  <c r="K745" i="6"/>
  <c r="K742" i="6" s="1"/>
  <c r="H742" i="6"/>
  <c r="G586" i="6"/>
  <c r="G582" i="6" s="1"/>
  <c r="G590" i="6"/>
  <c r="F586" i="6"/>
  <c r="F582" i="6" s="1"/>
  <c r="F590" i="6"/>
  <c r="D621" i="6"/>
  <c r="E593" i="6"/>
  <c r="D658" i="6"/>
  <c r="O590" i="6"/>
  <c r="E550" i="6"/>
  <c r="F552" i="6"/>
  <c r="H551" i="6"/>
  <c r="D577" i="6"/>
  <c r="G552" i="6"/>
  <c r="H550" i="6"/>
  <c r="E551" i="6"/>
  <c r="K550" i="6"/>
  <c r="D527" i="6"/>
  <c r="H17" i="6"/>
  <c r="D17" i="6" s="1"/>
  <c r="F523" i="6"/>
  <c r="D524" i="6"/>
  <c r="D525" i="6"/>
  <c r="E523" i="6"/>
  <c r="L523" i="6"/>
  <c r="D526" i="6"/>
  <c r="D538" i="6"/>
  <c r="J528" i="6"/>
  <c r="H523" i="6"/>
  <c r="H504" i="6"/>
  <c r="D510" i="6"/>
  <c r="D469" i="6"/>
  <c r="L504" i="6"/>
  <c r="D511" i="6"/>
  <c r="G9" i="6"/>
  <c r="L19" i="6"/>
  <c r="J19" i="6"/>
  <c r="J9" i="6" s="1"/>
  <c r="K19" i="6"/>
  <c r="I401" i="6"/>
  <c r="M24" i="6"/>
  <c r="M14" i="6" s="1"/>
  <c r="O21" i="6"/>
  <c r="O11" i="6" s="1"/>
  <c r="O19" i="6"/>
  <c r="D508" i="6"/>
  <c r="D406" i="6"/>
  <c r="F484" i="6"/>
  <c r="D486" i="6"/>
  <c r="D447" i="6"/>
  <c r="D402" i="6"/>
  <c r="M401" i="6"/>
  <c r="D405" i="6"/>
  <c r="O504" i="6"/>
  <c r="F10" i="6"/>
  <c r="D10" i="6" s="1"/>
  <c r="D20" i="6"/>
  <c r="E12" i="6"/>
  <c r="D12" i="6" s="1"/>
  <c r="D22" i="6"/>
  <c r="O28" i="6"/>
  <c r="O14" i="6"/>
  <c r="D113" i="6"/>
  <c r="D194" i="6"/>
  <c r="D199" i="6"/>
  <c r="D256" i="6"/>
  <c r="D246" i="6"/>
  <c r="D276" i="6"/>
  <c r="D152" i="6"/>
  <c r="D189" i="6"/>
  <c r="D158" i="6"/>
  <c r="D231" i="6"/>
  <c r="D261" i="6"/>
  <c r="K484" i="6"/>
  <c r="O582" i="6"/>
  <c r="I742" i="6"/>
  <c r="J12" i="5"/>
  <c r="D138" i="6"/>
  <c r="E61" i="6"/>
  <c r="D61" i="6" s="1"/>
  <c r="H54" i="5"/>
  <c r="P81" i="5"/>
  <c r="D723" i="6"/>
  <c r="M16" i="5"/>
  <c r="I19" i="6"/>
  <c r="D15" i="6" l="1"/>
  <c r="D403" i="6"/>
  <c r="D401" i="6" s="1"/>
  <c r="L9" i="6"/>
  <c r="I21" i="6"/>
  <c r="I11" i="6" s="1"/>
  <c r="N548" i="6"/>
  <c r="D29" i="6"/>
  <c r="F21" i="6"/>
  <c r="F18" i="6" s="1"/>
  <c r="Q79" i="5"/>
  <c r="H79" i="5" s="1"/>
  <c r="Q81" i="5"/>
  <c r="E24" i="6"/>
  <c r="D34" i="6"/>
  <c r="K14" i="6"/>
  <c r="K582" i="6"/>
  <c r="K11" i="6"/>
  <c r="L21" i="6"/>
  <c r="L11" i="6" s="1"/>
  <c r="O9" i="6"/>
  <c r="O8" i="6" s="1"/>
  <c r="I24" i="6"/>
  <c r="L9" i="5"/>
  <c r="H77" i="5"/>
  <c r="Q13" i="5"/>
  <c r="D717" i="6"/>
  <c r="D718" i="6"/>
  <c r="H115" i="5"/>
  <c r="J28" i="6"/>
  <c r="G28" i="6"/>
  <c r="D446" i="6"/>
  <c r="U11" i="5"/>
  <c r="M9" i="6"/>
  <c r="H114" i="5"/>
  <c r="J10" i="5"/>
  <c r="P10" i="5"/>
  <c r="D164" i="6"/>
  <c r="G548" i="6"/>
  <c r="H80" i="5"/>
  <c r="N88" i="5"/>
  <c r="K13" i="5"/>
  <c r="H14" i="5"/>
  <c r="P13" i="5"/>
  <c r="E703" i="6"/>
  <c r="H74" i="5"/>
  <c r="H78" i="5"/>
  <c r="S9" i="5"/>
  <c r="H11" i="5"/>
  <c r="P9" i="5"/>
  <c r="N11" i="6"/>
  <c r="O548" i="6"/>
  <c r="D704" i="6"/>
  <c r="D710" i="6"/>
  <c r="H90" i="5"/>
  <c r="G703" i="6"/>
  <c r="N28" i="6"/>
  <c r="R12" i="5"/>
  <c r="R9" i="5" s="1"/>
  <c r="H81" i="5"/>
  <c r="P88" i="5"/>
  <c r="H88" i="5" s="1"/>
  <c r="G24" i="6"/>
  <c r="G14" i="6" s="1"/>
  <c r="I590" i="6"/>
  <c r="I586" i="6"/>
  <c r="I582" i="6" s="1"/>
  <c r="M10" i="5"/>
  <c r="D722" i="6"/>
  <c r="K548" i="6"/>
  <c r="I28" i="6"/>
  <c r="N12" i="5"/>
  <c r="O13" i="5"/>
  <c r="N10" i="5"/>
  <c r="H89" i="5"/>
  <c r="O10" i="5"/>
  <c r="O9" i="5" s="1"/>
  <c r="N13" i="5"/>
  <c r="D484" i="6"/>
  <c r="D551" i="6"/>
  <c r="D25" i="6"/>
  <c r="H11" i="6"/>
  <c r="M548" i="6"/>
  <c r="J14" i="6"/>
  <c r="J8" i="6" s="1"/>
  <c r="G21" i="6"/>
  <c r="E19" i="6"/>
  <c r="D745" i="6"/>
  <c r="P742" i="6" s="1"/>
  <c r="D747" i="6"/>
  <c r="D550" i="6"/>
  <c r="I548" i="6"/>
  <c r="N9" i="6"/>
  <c r="L548" i="6"/>
  <c r="D555" i="6"/>
  <c r="E554" i="6"/>
  <c r="D554" i="6" s="1"/>
  <c r="D572" i="6"/>
  <c r="E11" i="6"/>
  <c r="D528" i="6"/>
  <c r="L24" i="6"/>
  <c r="L14" i="6" s="1"/>
  <c r="N18" i="6"/>
  <c r="J548" i="6"/>
  <c r="N14" i="6"/>
  <c r="D584" i="6"/>
  <c r="D523" i="6"/>
  <c r="D742" i="6"/>
  <c r="D504" i="6"/>
  <c r="D31" i="6"/>
  <c r="M11" i="6"/>
  <c r="M28" i="6"/>
  <c r="E586" i="6"/>
  <c r="E590" i="6"/>
  <c r="D593" i="6"/>
  <c r="F14" i="6"/>
  <c r="D552" i="6"/>
  <c r="F548" i="6"/>
  <c r="K9" i="6"/>
  <c r="H548" i="6"/>
  <c r="H9" i="6"/>
  <c r="K18" i="6"/>
  <c r="J18" i="6"/>
  <c r="O18" i="6"/>
  <c r="M15" i="5"/>
  <c r="H16" i="5"/>
  <c r="J9" i="5"/>
  <c r="I9" i="6"/>
  <c r="H24" i="6"/>
  <c r="H28" i="6"/>
  <c r="H10" i="5"/>
  <c r="M8" i="6" l="1"/>
  <c r="I18" i="6"/>
  <c r="E14" i="6"/>
  <c r="F11" i="6"/>
  <c r="E18" i="6"/>
  <c r="Q12" i="5"/>
  <c r="Q9" i="5" s="1"/>
  <c r="K8" i="6"/>
  <c r="L8" i="6"/>
  <c r="I14" i="6"/>
  <c r="I8" i="6" s="1"/>
  <c r="D21" i="6"/>
  <c r="D703" i="6"/>
  <c r="D28" i="6"/>
  <c r="L18" i="6"/>
  <c r="N9" i="5"/>
  <c r="D19" i="6"/>
  <c r="D590" i="6"/>
  <c r="E9" i="6"/>
  <c r="D9" i="6" s="1"/>
  <c r="G18" i="6"/>
  <c r="G11" i="6"/>
  <c r="G8" i="6" s="1"/>
  <c r="N8" i="6"/>
  <c r="F8" i="6"/>
  <c r="E548" i="6"/>
  <c r="D548" i="6" s="1"/>
  <c r="D24" i="6"/>
  <c r="M18" i="6"/>
  <c r="E582" i="6"/>
  <c r="D582" i="6" s="1"/>
  <c r="D586" i="6"/>
  <c r="H15" i="5"/>
  <c r="M12" i="5"/>
  <c r="M13" i="5"/>
  <c r="H13" i="5" s="1"/>
  <c r="H14" i="6"/>
  <c r="H8" i="6" s="1"/>
  <c r="H18" i="6"/>
  <c r="D14" i="6" l="1"/>
  <c r="E8" i="6"/>
  <c r="D11" i="6"/>
  <c r="D1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Журавлёва Татьяна Викторовна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M20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деньги 14 млн. выделили а на что еще не определено в досоглашении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40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7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7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9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37" authorId="4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4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6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7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7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71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12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1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74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<sst xmlns="http://schemas.openxmlformats.org/spreadsheetml/2006/main" count="1661" uniqueCount="455">
  <si>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</si>
  <si>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</si>
  <si>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</si>
  <si>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</si>
  <si>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</si>
  <si>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</si>
  <si>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</si>
  <si>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</si>
  <si>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</si>
  <si>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</si>
  <si>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</si>
  <si>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</si>
  <si>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</si>
  <si>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</si>
  <si>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</si>
  <si>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</si>
  <si>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</si>
  <si>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</si>
  <si>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</si>
  <si>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</si>
  <si>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</si>
  <si>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</si>
  <si>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</si>
  <si>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</si>
  <si>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</si>
  <si>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</si>
  <si>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</si>
  <si>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</si>
  <si>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</si>
  <si>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</si>
  <si>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</si>
  <si>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</si>
  <si>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</si>
  <si>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</si>
  <si>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</si>
  <si>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</si>
  <si>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</si>
  <si>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</si>
  <si>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</si>
  <si>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</si>
  <si>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</si>
  <si>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</si>
  <si>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</si>
  <si>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</si>
  <si>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</si>
  <si>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</si>
  <si>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</si>
  <si>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</si>
  <si>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</si>
  <si>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</si>
  <si>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</si>
  <si>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</si>
  <si>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</si>
  <si>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</si>
  <si>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</si>
  <si>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</si>
  <si>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</si>
  <si>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</si>
  <si>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</si>
  <si>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</si>
  <si>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</si>
  <si>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</si>
  <si>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</si>
  <si>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</si>
  <si>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</si>
  <si>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</si>
  <si>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</si>
  <si>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</si>
  <si>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</si>
  <si>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</si>
  <si>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</si>
  <si>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</si>
  <si>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</si>
  <si>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</si>
  <si>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</si>
  <si>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</si>
  <si>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</si>
  <si>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</si>
  <si>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</si>
  <si>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</si>
  <si>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</si>
  <si>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</si>
  <si>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</si>
  <si>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</si>
  <si>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</si>
  <si>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</si>
  <si>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</si>
  <si>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</si>
  <si>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</si>
  <si>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</si>
  <si>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</si>
  <si>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</si>
  <si>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</si>
  <si>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</si>
  <si>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</si>
  <si>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</si>
  <si>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</si>
  <si>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</si>
  <si>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</si>
  <si>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</si>
  <si>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</si>
  <si>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</si>
  <si>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</si>
  <si>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</si>
  <si>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</si>
  <si>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</si>
  <si>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</si>
  <si>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</si>
  <si>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</si>
  <si>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</si>
  <si>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</si>
  <si>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</si>
  <si>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</si>
  <si>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</si>
  <si>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</si>
  <si>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</si>
  <si>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</si>
  <si>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</si>
  <si>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</si>
  <si>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</si>
  <si>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</si>
  <si>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</si>
  <si>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</si>
  <si>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</si>
  <si>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</si>
  <si>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</si>
  <si>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</si>
  <si>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</si>
  <si>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</si>
  <si>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</si>
  <si>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</si>
  <si>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</si>
  <si>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</si>
  <si>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</si>
  <si>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</si>
  <si>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</si>
  <si>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</si>
  <si>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</si>
  <si>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</si>
  <si>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</si>
  <si>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</si>
  <si>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</si>
  <si>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</si>
  <si>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</si>
  <si>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</si>
  <si>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</si>
  <si>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</si>
  <si>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</si>
  <si>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</si>
  <si>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</si>
  <si>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</si>
  <si>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</si>
  <si>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</si>
  <si>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</si>
  <si>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</si>
  <si>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</si>
  <si>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</si>
  <si>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</si>
  <si>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</si>
  <si>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</si>
  <si>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</si>
  <si>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</si>
  <si>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</si>
  <si>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</si>
  <si>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</si>
  <si>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</si>
  <si>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</si>
  <si>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</si>
  <si>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</si>
  <si>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</si>
  <si>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</si>
  <si>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</si>
  <si>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</si>
  <si>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</si>
  <si>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</si>
  <si>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</si>
  <si>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</si>
  <si>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</si>
  <si>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</si>
  <si>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</si>
  <si>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</si>
  <si>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</si>
  <si>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</si>
  <si>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</si>
  <si>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</si>
  <si>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</si>
  <si>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</si>
  <si>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</si>
  <si>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</si>
  <si>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</si>
  <si>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</si>
  <si>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</si>
  <si>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</si>
  <si>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</si>
  <si>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</si>
  <si>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</si>
  <si>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</si>
  <si>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</si>
  <si>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</si>
  <si>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</si>
  <si>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</si>
  <si>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</si>
  <si>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</si>
  <si>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</si>
  <si>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</si>
  <si>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</si>
  <si>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</si>
  <si>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</si>
  <si>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</si>
  <si>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</si>
  <si>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</si>
  <si>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</si>
  <si>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</si>
  <si>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</si>
  <si>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</si>
  <si>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</si>
  <si>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</si>
  <si>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</si>
  <si>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</si>
  <si>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</si>
  <si>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</si>
  <si>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</si>
  <si>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</si>
  <si>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</si>
  <si>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</si>
  <si>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</si>
  <si>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</si>
  <si>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</si>
  <si>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</si>
  <si>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</si>
  <si>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</si>
  <si>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</si>
  <si>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</si>
  <si>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</si>
  <si>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</si>
  <si>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</si>
  <si>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</si>
  <si>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</si>
  <si>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</si>
  <si>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</si>
  <si>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</si>
  <si>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</si>
  <si>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</si>
  <si>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</si>
  <si>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</si>
  <si>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</si>
  <si>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</si>
  <si>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</si>
  <si>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</si>
  <si>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</si>
  <si>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</si>
  <si>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</si>
  <si>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</si>
  <si>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</si>
  <si>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</si>
  <si>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</si>
  <si>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</si>
  <si>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</si>
  <si>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</si>
  <si>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</si>
  <si>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</si>
  <si>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</si>
  <si>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</si>
  <si>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</si>
  <si>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</si>
  <si>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</si>
  <si>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</si>
  <si>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</si>
  <si>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</si>
  <si>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</si>
  <si>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</si>
  <si>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</si>
  <si>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</si>
  <si>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</si>
  <si>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</si>
  <si>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</si>
  <si>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</si>
  <si>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</si>
  <si>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</si>
  <si>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</si>
  <si>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</si>
  <si>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</si>
  <si>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</si>
  <si>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</si>
  <si>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</si>
  <si>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</si>
  <si>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</si>
  <si>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</si>
  <si>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</si>
  <si>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</si>
  <si>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</si>
  <si>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</si>
  <si>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</si>
  <si>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</si>
  <si>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</si>
  <si>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</si>
  <si>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</si>
  <si>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</si>
  <si>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</si>
  <si>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</si>
  <si>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</si>
  <si>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</si>
  <si>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</si>
  <si>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</si>
  <si>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</si>
  <si>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</si>
  <si>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</si>
  <si>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</si>
  <si>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</si>
  <si>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</si>
  <si>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</si>
  <si>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</si>
  <si>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</si>
  <si>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</si>
  <si>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</si>
  <si>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</si>
  <si>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</si>
  <si>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</si>
  <si>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</si>
  <si>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</si>
  <si>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</si>
  <si>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</si>
  <si>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</si>
  <si>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</si>
  <si>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</si>
  <si>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</si>
  <si>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</si>
  <si>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</si>
  <si>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</si>
  <si>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</si>
  <si>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</si>
  <si>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</si>
  <si>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</si>
  <si>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</si>
  <si>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</si>
  <si>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</si>
  <si>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</si>
  <si>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</si>
  <si>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</si>
  <si>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</si>
  <si>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</si>
  <si>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</si>
  <si>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</si>
  <si>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</si>
  <si>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</si>
  <si>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</si>
  <si>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</si>
  <si>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</si>
  <si>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</si>
  <si>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</si>
  <si>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</si>
  <si>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</si>
  <si>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</si>
  <si>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</si>
  <si>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</si>
  <si>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</si>
  <si>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</si>
  <si>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</si>
  <si>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</si>
  <si>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</si>
  <si>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</si>
  <si>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</si>
  <si>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</si>
  <si>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</si>
  <si>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</si>
  <si>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</si>
  <si>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</si>
  <si>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</si>
  <si>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</si>
  <si>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</si>
  <si>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</si>
  <si>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</si>
  <si>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</si>
  <si>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</si>
  <si>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</si>
  <si>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</si>
  <si>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</si>
  <si>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</si>
  <si>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</si>
  <si>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</si>
  <si>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</si>
  <si>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</si>
  <si>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</si>
  <si>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</si>
  <si>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</si>
  <si>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</si>
  <si>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</si>
  <si>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</si>
  <si>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</si>
  <si>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</si>
  <si>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</si>
  <si>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</si>
  <si>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</si>
  <si>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</si>
  <si>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</si>
  <si>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</si>
  <si>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</si>
  <si>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</si>
  <si>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</si>
  <si>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</si>
  <si>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</si>
  <si>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</si>
  <si>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</si>
  <si>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</si>
  <si>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</si>
  <si>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</si>
  <si>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</si>
  <si>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</si>
  <si>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</si>
  <si>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</si>
  <si>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</si>
  <si>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</si>
  <si>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</si>
  <si>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</si>
  <si>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</si>
  <si>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</si>
  <si>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</si>
  <si>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</si>
  <si>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</si>
  <si>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</si>
  <si>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</si>
  <si>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</si>
  <si>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</si>
  <si>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</si>
  <si>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</si>
  <si>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</si>
  <si>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</si>
  <si>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</si>
  <si>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</si>
  <si>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</si>
  <si>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</si>
  <si>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</si>
  <si>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</si>
  <si>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</si>
  <si>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</si>
  <si>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</si>
  <si>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</si>
  <si>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</si>
  <si>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</si>
  <si>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</si>
  <si>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</si>
  <si>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</si>
  <si>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</si>
  <si>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</si>
  <si>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</si>
  <si>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</si>
  <si>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</si>
  <si>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</si>
  <si>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</si>
  <si>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</si>
  <si>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</si>
  <si>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</si>
  <si>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</si>
  <si>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</si>
  <si>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Приложение № 6  к постановлению администрации города Благовещенска   от 03.08.2023 № 4081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</si>
</sst>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79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 applyAlignment="1"/>
    <xf numFmtId="0" fontId="16" fillId="0" borderId="0" xfId="0" applyFont="1" applyFill="1" applyBorder="1"/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vertical="top"/>
    </xf>
    <xf numFmtId="4" fontId="17" fillId="0" borderId="0" xfId="0" applyNumberFormat="1" applyFont="1" applyFill="1" applyBorder="1" applyAlignment="1">
      <alignment vertical="top"/>
    </xf>
    <xf numFmtId="167" fontId="17" fillId="0" borderId="0" xfId="0" applyNumberFormat="1" applyFont="1" applyFill="1" applyBorder="1" applyAlignment="1">
      <alignment vertical="top"/>
    </xf>
    <xf numFmtId="165" fontId="24" fillId="0" borderId="0" xfId="0" applyNumberFormat="1" applyFont="1" applyFill="1" applyBorder="1"/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0" xfId="0" applyFont="1" applyFill="1" applyAlignment="1">
      <alignment horizontal="left" vertical="top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32" t="s">
        <v>310</v>
      </c>
      <c r="P1" s="132"/>
      <c r="Q1" s="132"/>
      <c r="R1" s="132"/>
      <c r="S1" s="132"/>
      <c r="T1" s="9"/>
    </row>
    <row r="2" spans="1:21" ht="35.25" customHeight="1" x14ac:dyDescent="0.25">
      <c r="B2" s="7"/>
      <c r="O2" s="132" t="s">
        <v>311</v>
      </c>
      <c r="P2" s="132"/>
      <c r="Q2" s="132"/>
      <c r="R2" s="132"/>
      <c r="S2" s="132"/>
      <c r="T2" s="9"/>
    </row>
    <row r="3" spans="1:21" ht="17.25" customHeight="1" x14ac:dyDescent="0.25">
      <c r="B3" s="133" t="s">
        <v>0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21" ht="16.5" customHeight="1" x14ac:dyDescent="0.25">
      <c r="B4" s="134" t="s">
        <v>1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</row>
    <row r="5" spans="1:21" ht="3" customHeight="1" x14ac:dyDescent="0.25">
      <c r="B5" s="11"/>
      <c r="M5" s="12"/>
      <c r="N5" s="33"/>
    </row>
    <row r="6" spans="1:21" ht="53.25" customHeight="1" x14ac:dyDescent="0.2">
      <c r="A6" s="129" t="s">
        <v>25</v>
      </c>
      <c r="B6" s="129" t="s">
        <v>93</v>
      </c>
      <c r="C6" s="129" t="s">
        <v>129</v>
      </c>
      <c r="D6" s="129" t="s">
        <v>2</v>
      </c>
      <c r="E6" s="129"/>
      <c r="F6" s="129"/>
      <c r="G6" s="129"/>
      <c r="H6" s="122" t="s">
        <v>3</v>
      </c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4"/>
    </row>
    <row r="7" spans="1:21" x14ac:dyDescent="0.2">
      <c r="A7" s="129"/>
      <c r="B7" s="129"/>
      <c r="C7" s="129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8" t="s">
        <v>26</v>
      </c>
      <c r="B9" s="118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8"/>
      <c r="B10" s="118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8"/>
      <c r="B11" s="118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8"/>
      <c r="B12" s="118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5" t="s">
        <v>30</v>
      </c>
      <c r="B13" s="118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30"/>
      <c r="B14" s="118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31"/>
      <c r="B15" s="118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6" t="s">
        <v>235</v>
      </c>
      <c r="B16" s="116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21"/>
      <c r="B17" s="121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5" t="s">
        <v>118</v>
      </c>
      <c r="B43" s="105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7"/>
      <c r="B44" s="107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8" t="s">
        <v>33</v>
      </c>
      <c r="B73" s="118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8"/>
      <c r="B74" s="128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8" t="s">
        <v>39</v>
      </c>
      <c r="B77" s="125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8"/>
      <c r="B78" s="126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8"/>
      <c r="B79" s="126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7"/>
      <c r="B80" s="127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6" t="s">
        <v>40</v>
      </c>
      <c r="B81" s="105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7"/>
      <c r="B82" s="119"/>
      <c r="C82" s="47" t="s">
        <v>84</v>
      </c>
      <c r="D82" s="43" t="s">
        <v>14</v>
      </c>
      <c r="E82" s="43" t="s">
        <v>23</v>
      </c>
      <c r="F82" s="112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7"/>
      <c r="B83" s="119"/>
      <c r="C83" s="47" t="s">
        <v>89</v>
      </c>
      <c r="D83" s="43" t="s">
        <v>47</v>
      </c>
      <c r="E83" s="43" t="s">
        <v>23</v>
      </c>
      <c r="F83" s="113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7"/>
      <c r="B84" s="120"/>
      <c r="C84" s="47" t="s">
        <v>86</v>
      </c>
      <c r="D84" s="43" t="s">
        <v>48</v>
      </c>
      <c r="E84" s="43" t="s">
        <v>23</v>
      </c>
      <c r="F84" s="113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6" t="s">
        <v>133</v>
      </c>
      <c r="B85" s="116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6"/>
      <c r="B86" s="116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8" t="s">
        <v>31</v>
      </c>
      <c r="B88" s="118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8"/>
      <c r="B89" s="118"/>
      <c r="C89" s="42" t="s">
        <v>89</v>
      </c>
      <c r="D89" s="43" t="s">
        <v>47</v>
      </c>
      <c r="E89" s="56" t="s">
        <v>244</v>
      </c>
      <c r="F89" s="114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8"/>
      <c r="B90" s="118"/>
      <c r="C90" s="47" t="s">
        <v>84</v>
      </c>
      <c r="D90" s="43" t="s">
        <v>14</v>
      </c>
      <c r="E90" s="56" t="s">
        <v>244</v>
      </c>
      <c r="F90" s="115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5" t="s">
        <v>34</v>
      </c>
      <c r="B91" s="105" t="s">
        <v>122</v>
      </c>
      <c r="C91" s="47" t="s">
        <v>84</v>
      </c>
      <c r="D91" s="43" t="s">
        <v>14</v>
      </c>
      <c r="E91" s="43" t="s">
        <v>35</v>
      </c>
      <c r="F91" s="112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6"/>
      <c r="B92" s="106"/>
      <c r="C92" s="47" t="s">
        <v>84</v>
      </c>
      <c r="D92" s="43" t="s">
        <v>14</v>
      </c>
      <c r="E92" s="43" t="s">
        <v>49</v>
      </c>
      <c r="F92" s="112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6"/>
      <c r="B93" s="106"/>
      <c r="C93" s="47" t="s">
        <v>89</v>
      </c>
      <c r="D93" s="43" t="s">
        <v>47</v>
      </c>
      <c r="E93" s="43" t="s">
        <v>35</v>
      </c>
      <c r="F93" s="112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7"/>
      <c r="B94" s="107"/>
      <c r="C94" s="47" t="s">
        <v>89</v>
      </c>
      <c r="D94" s="43" t="s">
        <v>47</v>
      </c>
      <c r="E94" s="43" t="s">
        <v>49</v>
      </c>
      <c r="F94" s="112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5" t="s">
        <v>267</v>
      </c>
      <c r="B103" s="105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6"/>
      <c r="B104" s="106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6"/>
      <c r="B105" s="106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7"/>
      <c r="B106" s="107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5" t="s">
        <v>282</v>
      </c>
      <c r="B109" s="105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7"/>
      <c r="B110" s="107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5" t="s">
        <v>284</v>
      </c>
      <c r="B111" s="105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7"/>
      <c r="B112" s="107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8" t="s">
        <v>42</v>
      </c>
      <c r="B113" s="104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8"/>
      <c r="B114" s="104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6" t="s">
        <v>334</v>
      </c>
      <c r="B115" s="108" t="s">
        <v>144</v>
      </c>
      <c r="C115" s="111" t="s">
        <v>84</v>
      </c>
      <c r="D115" s="103" t="s">
        <v>14</v>
      </c>
      <c r="E115" s="103" t="s">
        <v>41</v>
      </c>
      <c r="F115" s="113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6"/>
      <c r="B116" s="109"/>
      <c r="C116" s="111"/>
      <c r="D116" s="103"/>
      <c r="E116" s="103"/>
      <c r="F116" s="113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6"/>
      <c r="B117" s="110"/>
      <c r="C117" s="111"/>
      <c r="D117" s="103"/>
      <c r="E117" s="103"/>
      <c r="F117" s="113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5" t="s">
        <v>143</v>
      </c>
      <c r="B118" s="105" t="s">
        <v>56</v>
      </c>
      <c r="C118" s="116" t="s">
        <v>84</v>
      </c>
      <c r="D118" s="103" t="s">
        <v>14</v>
      </c>
      <c r="E118" s="103" t="s">
        <v>41</v>
      </c>
      <c r="F118" s="112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6"/>
      <c r="B119" s="106"/>
      <c r="C119" s="116"/>
      <c r="D119" s="103"/>
      <c r="E119" s="103"/>
      <c r="F119" s="112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7"/>
      <c r="B120" s="107"/>
      <c r="C120" s="116"/>
      <c r="D120" s="103"/>
      <c r="E120" s="103"/>
      <c r="F120" s="112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767"/>
  <sheetViews>
    <sheetView tabSelected="1" view="pageBreakPreview" zoomScale="70" zoomScaleNormal="85" zoomScaleSheetLayoutView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59" customWidth="1"/>
    <col min="2" max="2" width="54.28515625" style="60" customWidth="1"/>
    <col min="3" max="3" width="27.5703125" style="59" customWidth="1"/>
    <col min="4" max="4" width="17" style="63" customWidth="1"/>
    <col min="5" max="5" width="12.5703125" style="63" customWidth="1"/>
    <col min="6" max="6" width="11.42578125" style="63" customWidth="1"/>
    <col min="7" max="7" width="11.85546875" style="63" customWidth="1"/>
    <col min="8" max="8" width="13.140625" style="63" customWidth="1"/>
    <col min="9" max="9" width="11.42578125" style="63" customWidth="1"/>
    <col min="10" max="10" width="14" style="63" customWidth="1"/>
    <col min="11" max="11" width="13.42578125" style="63" customWidth="1"/>
    <col min="12" max="12" width="15.85546875" style="63" customWidth="1"/>
    <col min="13" max="13" width="14.7109375" style="63" customWidth="1"/>
    <col min="14" max="14" width="13.140625" style="63" customWidth="1"/>
    <col min="15" max="15" width="12.85546875" style="63" customWidth="1"/>
    <col min="16" max="17" width="23.140625" style="63" hidden="1" customWidth="1"/>
    <col min="18" max="18" width="9.140625" style="63" hidden="1" customWidth="1"/>
    <col min="19" max="19" width="15.42578125" style="63" hidden="1" customWidth="1"/>
    <col min="20" max="20" width="20.5703125" style="63" hidden="1" customWidth="1"/>
    <col min="21" max="21" width="15.140625" style="63" hidden="1" customWidth="1"/>
    <col min="22" max="22" width="0" style="63" hidden="1" customWidth="1"/>
    <col min="23" max="23" width="17.7109375" style="63" customWidth="1"/>
    <col min="24" max="24" width="13.28515625" style="63" customWidth="1"/>
    <col min="25" max="16384" width="9.140625" style="63"/>
  </cols>
  <sheetData>
    <row r="1" spans="1:25" ht="40.5" customHeight="1" x14ac:dyDescent="0.2">
      <c r="D1" s="61"/>
      <c r="E1" s="62"/>
      <c r="G1" s="62"/>
      <c r="L1" s="157" t="s">
        <v>454</v>
      </c>
      <c r="M1" s="157"/>
      <c r="N1" s="157"/>
      <c r="O1" s="157"/>
    </row>
    <row r="2" spans="1:25" ht="27.75" customHeight="1" x14ac:dyDescent="0.2">
      <c r="E2" s="62"/>
      <c r="G2" s="62"/>
      <c r="I2" s="64"/>
      <c r="K2" s="63" t="s">
        <v>403</v>
      </c>
      <c r="L2" s="157" t="s">
        <v>311</v>
      </c>
      <c r="M2" s="157"/>
      <c r="N2" s="157"/>
      <c r="O2" s="157"/>
    </row>
    <row r="3" spans="1:25" ht="18.75" x14ac:dyDescent="0.3">
      <c r="B3" s="158" t="s">
        <v>368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25" x14ac:dyDescent="0.2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65"/>
      <c r="L4" s="65"/>
      <c r="M4" s="66"/>
    </row>
    <row r="5" spans="1:25" ht="20.25" customHeight="1" x14ac:dyDescent="0.2">
      <c r="A5" s="163" t="s">
        <v>25</v>
      </c>
      <c r="B5" s="162" t="s">
        <v>93</v>
      </c>
      <c r="C5" s="162" t="s">
        <v>8</v>
      </c>
      <c r="D5" s="162" t="s">
        <v>343</v>
      </c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</row>
    <row r="6" spans="1:25" ht="49.5" customHeight="1" x14ac:dyDescent="0.2">
      <c r="A6" s="163"/>
      <c r="B6" s="162"/>
      <c r="C6" s="162"/>
      <c r="D6" s="67" t="s">
        <v>9</v>
      </c>
      <c r="E6" s="67" t="s">
        <v>16</v>
      </c>
      <c r="F6" s="67" t="s">
        <v>24</v>
      </c>
      <c r="G6" s="67" t="s">
        <v>18</v>
      </c>
      <c r="H6" s="67" t="s">
        <v>19</v>
      </c>
      <c r="I6" s="67" t="s">
        <v>20</v>
      </c>
      <c r="J6" s="67" t="s">
        <v>21</v>
      </c>
      <c r="K6" s="67" t="s">
        <v>251</v>
      </c>
      <c r="L6" s="67" t="s">
        <v>294</v>
      </c>
      <c r="M6" s="67" t="s">
        <v>295</v>
      </c>
      <c r="N6" s="67" t="s">
        <v>296</v>
      </c>
      <c r="O6" s="67" t="s">
        <v>297</v>
      </c>
    </row>
    <row r="7" spans="1:25" ht="16.5" customHeight="1" x14ac:dyDescent="0.2">
      <c r="A7" s="68">
        <v>1</v>
      </c>
      <c r="B7" s="67">
        <v>2</v>
      </c>
      <c r="C7" s="68">
        <v>3</v>
      </c>
      <c r="D7" s="67">
        <v>4</v>
      </c>
      <c r="E7" s="68">
        <v>5</v>
      </c>
      <c r="F7" s="67">
        <v>6</v>
      </c>
      <c r="G7" s="68">
        <v>7</v>
      </c>
      <c r="H7" s="67">
        <v>8</v>
      </c>
      <c r="I7" s="68">
        <v>9</v>
      </c>
      <c r="J7" s="67">
        <v>10</v>
      </c>
      <c r="K7" s="67">
        <v>11</v>
      </c>
      <c r="L7" s="67">
        <v>12</v>
      </c>
      <c r="M7" s="67">
        <v>13</v>
      </c>
      <c r="N7" s="67">
        <v>14</v>
      </c>
      <c r="O7" s="67">
        <v>15</v>
      </c>
    </row>
    <row r="8" spans="1:25" ht="15.75" x14ac:dyDescent="0.2">
      <c r="A8" s="165" t="s">
        <v>26</v>
      </c>
      <c r="B8" s="164" t="s">
        <v>344</v>
      </c>
      <c r="C8" s="69" t="s">
        <v>7</v>
      </c>
      <c r="D8" s="70">
        <f>D9+D11+D14+D17</f>
        <v>18006521.266999997</v>
      </c>
      <c r="E8" s="70">
        <f>E9+E11+E14+E17</f>
        <v>512896.39999999997</v>
      </c>
      <c r="F8" s="70">
        <f t="shared" ref="F8:O8" si="0">F9+F11+F14+F17</f>
        <v>382692.8</v>
      </c>
      <c r="G8" s="70">
        <f t="shared" si="0"/>
        <v>383942.1</v>
      </c>
      <c r="H8" s="70">
        <f>H9+H11+H14+H17</f>
        <v>456612.2</v>
      </c>
      <c r="I8" s="70">
        <f t="shared" si="0"/>
        <v>513509.20000000007</v>
      </c>
      <c r="J8" s="70">
        <f>J9+J11+J14+J17</f>
        <v>1405769.2999999998</v>
      </c>
      <c r="K8" s="70">
        <f>K9+K11+K14+K17</f>
        <v>2236267.5920000002</v>
      </c>
      <c r="L8" s="70">
        <f>L9+L11+L14+L17</f>
        <v>3777326.5999999996</v>
      </c>
      <c r="M8" s="70">
        <f>M9+M11+M14+M17</f>
        <v>4289860.9749999996</v>
      </c>
      <c r="N8" s="70">
        <f t="shared" si="0"/>
        <v>3183901</v>
      </c>
      <c r="O8" s="70">
        <f t="shared" si="0"/>
        <v>863743.1</v>
      </c>
      <c r="P8" s="71"/>
      <c r="Q8" s="61"/>
      <c r="W8" s="61"/>
      <c r="X8" s="61"/>
      <c r="Y8" s="61"/>
    </row>
    <row r="9" spans="1:25" ht="31.5" x14ac:dyDescent="0.2">
      <c r="A9" s="165"/>
      <c r="B9" s="164"/>
      <c r="C9" s="72" t="s">
        <v>80</v>
      </c>
      <c r="D9" s="73">
        <f>E9+F9+G9+H9+I9+J9+K9+L9+M9+N9+O9</f>
        <v>213817.09999999998</v>
      </c>
      <c r="E9" s="73">
        <f t="shared" ref="E9:O9" si="1">E19+E524+E550+E583+E743</f>
        <v>98793.9</v>
      </c>
      <c r="F9" s="73">
        <f t="shared" si="1"/>
        <v>0</v>
      </c>
      <c r="G9" s="73">
        <f t="shared" si="1"/>
        <v>0</v>
      </c>
      <c r="H9" s="73">
        <f t="shared" si="1"/>
        <v>0</v>
      </c>
      <c r="I9" s="73">
        <f t="shared" si="1"/>
        <v>0</v>
      </c>
      <c r="J9" s="73">
        <f t="shared" si="1"/>
        <v>0</v>
      </c>
      <c r="K9" s="73">
        <f t="shared" si="1"/>
        <v>115023.2</v>
      </c>
      <c r="L9" s="73">
        <f t="shared" si="1"/>
        <v>0</v>
      </c>
      <c r="M9" s="73">
        <f t="shared" si="1"/>
        <v>0</v>
      </c>
      <c r="N9" s="73">
        <f t="shared" si="1"/>
        <v>0</v>
      </c>
      <c r="O9" s="73">
        <f t="shared" si="1"/>
        <v>0</v>
      </c>
    </row>
    <row r="10" spans="1:25" ht="31.5" x14ac:dyDescent="0.2">
      <c r="A10" s="165"/>
      <c r="B10" s="164"/>
      <c r="C10" s="74" t="s">
        <v>81</v>
      </c>
      <c r="D10" s="73">
        <f t="shared" ref="D10:D11" si="2">E10+F10+G10+H10+I10+J10+K10+L10+M10+N10+O10</f>
        <v>98793.9</v>
      </c>
      <c r="E10" s="75">
        <f t="shared" ref="E10:O10" si="3">E20</f>
        <v>98793.9</v>
      </c>
      <c r="F10" s="75">
        <f t="shared" si="3"/>
        <v>0</v>
      </c>
      <c r="G10" s="75">
        <f t="shared" si="3"/>
        <v>0</v>
      </c>
      <c r="H10" s="75">
        <f t="shared" si="3"/>
        <v>0</v>
      </c>
      <c r="I10" s="75">
        <f t="shared" si="3"/>
        <v>0</v>
      </c>
      <c r="J10" s="75">
        <f t="shared" si="3"/>
        <v>0</v>
      </c>
      <c r="K10" s="75">
        <f t="shared" si="3"/>
        <v>0</v>
      </c>
      <c r="L10" s="75">
        <f t="shared" si="3"/>
        <v>0</v>
      </c>
      <c r="M10" s="75">
        <f t="shared" si="3"/>
        <v>0</v>
      </c>
      <c r="N10" s="75">
        <f t="shared" si="3"/>
        <v>0</v>
      </c>
      <c r="O10" s="75">
        <f t="shared" si="3"/>
        <v>0</v>
      </c>
    </row>
    <row r="11" spans="1:25" ht="31.5" x14ac:dyDescent="0.2">
      <c r="A11" s="166"/>
      <c r="B11" s="164"/>
      <c r="C11" s="72" t="s">
        <v>69</v>
      </c>
      <c r="D11" s="73">
        <f t="shared" si="2"/>
        <v>13262518.309999999</v>
      </c>
      <c r="E11" s="73">
        <f t="shared" ref="E11:O11" si="4">E21+E525+E551+E584+E744</f>
        <v>68697.599999999991</v>
      </c>
      <c r="F11" s="73">
        <f t="shared" si="4"/>
        <v>15000</v>
      </c>
      <c r="G11" s="73">
        <f t="shared" si="4"/>
        <v>26276.799999999999</v>
      </c>
      <c r="H11" s="73">
        <f t="shared" si="4"/>
        <v>47416.2</v>
      </c>
      <c r="I11" s="73">
        <f t="shared" si="4"/>
        <v>203223.40000000002</v>
      </c>
      <c r="J11" s="73">
        <f t="shared" si="4"/>
        <v>1002052.3999999999</v>
      </c>
      <c r="K11" s="73">
        <f t="shared" si="4"/>
        <v>1513799.91</v>
      </c>
      <c r="L11" s="73">
        <f t="shared" si="4"/>
        <v>3229486.8</v>
      </c>
      <c r="M11" s="73">
        <f t="shared" si="4"/>
        <v>3808067.5</v>
      </c>
      <c r="N11" s="73">
        <f t="shared" si="4"/>
        <v>2828376.5</v>
      </c>
      <c r="O11" s="73">
        <f t="shared" si="4"/>
        <v>520121.2</v>
      </c>
    </row>
    <row r="12" spans="1:25" ht="31.5" x14ac:dyDescent="0.2">
      <c r="A12" s="166"/>
      <c r="B12" s="164"/>
      <c r="C12" s="74" t="s">
        <v>79</v>
      </c>
      <c r="D12" s="73">
        <f t="shared" ref="D12:D19" si="5">E12+F12+G12+H12+I12+J12+K12+L12+M12+N12+O12</f>
        <v>43117.100000000006</v>
      </c>
      <c r="E12" s="75">
        <f>E22</f>
        <v>43117.100000000006</v>
      </c>
      <c r="F12" s="75">
        <f t="shared" ref="F12:K12" si="6">F22</f>
        <v>0</v>
      </c>
      <c r="G12" s="75">
        <f t="shared" si="6"/>
        <v>0</v>
      </c>
      <c r="H12" s="75">
        <f t="shared" si="6"/>
        <v>0</v>
      </c>
      <c r="I12" s="75">
        <f t="shared" si="6"/>
        <v>0</v>
      </c>
      <c r="J12" s="75">
        <f t="shared" si="6"/>
        <v>0</v>
      </c>
      <c r="K12" s="75">
        <f t="shared" si="6"/>
        <v>0</v>
      </c>
      <c r="L12" s="75">
        <f t="shared" ref="L12:O12" si="7">L22</f>
        <v>0</v>
      </c>
      <c r="M12" s="75">
        <f t="shared" si="7"/>
        <v>0</v>
      </c>
      <c r="N12" s="75">
        <f t="shared" si="7"/>
        <v>0</v>
      </c>
      <c r="O12" s="75">
        <f t="shared" si="7"/>
        <v>0</v>
      </c>
      <c r="R12" s="61"/>
    </row>
    <row r="13" spans="1:25" ht="31.5" x14ac:dyDescent="0.2">
      <c r="A13" s="166"/>
      <c r="B13" s="164"/>
      <c r="C13" s="74" t="s">
        <v>81</v>
      </c>
      <c r="D13" s="75">
        <f t="shared" si="5"/>
        <v>85806.399999999994</v>
      </c>
      <c r="E13" s="75">
        <f t="shared" ref="E13:L13" si="8">E23</f>
        <v>20580.5</v>
      </c>
      <c r="F13" s="75">
        <f t="shared" si="8"/>
        <v>0</v>
      </c>
      <c r="G13" s="75">
        <f t="shared" si="8"/>
        <v>0</v>
      </c>
      <c r="H13" s="75">
        <f t="shared" si="8"/>
        <v>0</v>
      </c>
      <c r="I13" s="75">
        <f t="shared" si="8"/>
        <v>0</v>
      </c>
      <c r="J13" s="75">
        <f t="shared" si="8"/>
        <v>0</v>
      </c>
      <c r="K13" s="75">
        <f t="shared" si="8"/>
        <v>0</v>
      </c>
      <c r="L13" s="75">
        <f t="shared" si="8"/>
        <v>21808</v>
      </c>
      <c r="M13" s="75">
        <f>M23+M585</f>
        <v>43417.899999999994</v>
      </c>
      <c r="N13" s="75">
        <f>N23+N585</f>
        <v>0</v>
      </c>
      <c r="O13" s="75">
        <f>O23+O585</f>
        <v>0</v>
      </c>
    </row>
    <row r="14" spans="1:25" ht="31.5" x14ac:dyDescent="0.2">
      <c r="A14" s="166"/>
      <c r="B14" s="164"/>
      <c r="C14" s="72" t="s">
        <v>65</v>
      </c>
      <c r="D14" s="73">
        <f t="shared" si="5"/>
        <v>4499920.8569999998</v>
      </c>
      <c r="E14" s="73">
        <f t="shared" ref="E14:O14" si="9">E24+E526+E552+E586+E745</f>
        <v>325404.89999999997</v>
      </c>
      <c r="F14" s="73">
        <f t="shared" si="9"/>
        <v>364692.8</v>
      </c>
      <c r="G14" s="73">
        <f t="shared" si="9"/>
        <v>356065.3</v>
      </c>
      <c r="H14" s="73">
        <f t="shared" si="9"/>
        <v>405742.4</v>
      </c>
      <c r="I14" s="73">
        <f t="shared" si="9"/>
        <v>308074.40000000002</v>
      </c>
      <c r="J14" s="73">
        <f t="shared" si="9"/>
        <v>403716.9</v>
      </c>
      <c r="K14" s="73">
        <f t="shared" si="9"/>
        <v>607444.48200000008</v>
      </c>
      <c r="L14" s="73">
        <f t="shared" si="9"/>
        <v>547839.79999999993</v>
      </c>
      <c r="M14" s="73">
        <f t="shared" si="9"/>
        <v>481793.47500000009</v>
      </c>
      <c r="N14" s="73">
        <f t="shared" si="9"/>
        <v>355524.5</v>
      </c>
      <c r="O14" s="73">
        <f t="shared" si="9"/>
        <v>343621.89999999997</v>
      </c>
    </row>
    <row r="15" spans="1:25" ht="31.5" x14ac:dyDescent="0.2">
      <c r="A15" s="166"/>
      <c r="B15" s="164"/>
      <c r="C15" s="74" t="s">
        <v>79</v>
      </c>
      <c r="D15" s="73">
        <f t="shared" si="5"/>
        <v>85206.799999999988</v>
      </c>
      <c r="E15" s="75">
        <f>E25+E587+E553</f>
        <v>48729.7</v>
      </c>
      <c r="F15" s="75">
        <f>F25+F587+F553</f>
        <v>30651</v>
      </c>
      <c r="G15" s="75">
        <f>G42+G565</f>
        <v>5127.3999999999996</v>
      </c>
      <c r="H15" s="75">
        <v>0</v>
      </c>
      <c r="I15" s="75">
        <f>I25</f>
        <v>698.7</v>
      </c>
      <c r="J15" s="75">
        <v>0</v>
      </c>
      <c r="K15" s="75">
        <v>0</v>
      </c>
      <c r="L15" s="75">
        <v>0</v>
      </c>
      <c r="M15" s="75">
        <f>M25+M559+M587</f>
        <v>0</v>
      </c>
      <c r="N15" s="75">
        <v>0</v>
      </c>
      <c r="O15" s="75">
        <v>0</v>
      </c>
    </row>
    <row r="16" spans="1:25" ht="36.75" customHeight="1" x14ac:dyDescent="0.2">
      <c r="A16" s="166"/>
      <c r="B16" s="164"/>
      <c r="C16" s="76" t="s">
        <v>449</v>
      </c>
      <c r="D16" s="75">
        <f t="shared" si="5"/>
        <v>13834.5</v>
      </c>
      <c r="E16" s="75">
        <f t="shared" ref="E16:K16" si="10">E26</f>
        <v>0</v>
      </c>
      <c r="F16" s="75">
        <f t="shared" si="10"/>
        <v>0</v>
      </c>
      <c r="G16" s="75">
        <f t="shared" si="10"/>
        <v>0</v>
      </c>
      <c r="H16" s="75">
        <f t="shared" si="10"/>
        <v>0</v>
      </c>
      <c r="I16" s="75">
        <f t="shared" si="10"/>
        <v>0</v>
      </c>
      <c r="J16" s="75">
        <f t="shared" si="10"/>
        <v>0</v>
      </c>
      <c r="K16" s="75">
        <f t="shared" si="10"/>
        <v>0</v>
      </c>
      <c r="L16" s="75">
        <f>L26</f>
        <v>1392</v>
      </c>
      <c r="M16" s="75">
        <f>M26+M588</f>
        <v>12442.5</v>
      </c>
      <c r="N16" s="75">
        <f>N26+N588</f>
        <v>0</v>
      </c>
      <c r="O16" s="75">
        <f>O26+O588</f>
        <v>0</v>
      </c>
      <c r="P16" s="75">
        <f t="shared" ref="P16:V16" si="11">P26</f>
        <v>0</v>
      </c>
      <c r="Q16" s="75">
        <f t="shared" si="11"/>
        <v>0</v>
      </c>
      <c r="R16" s="75">
        <f t="shared" si="11"/>
        <v>0</v>
      </c>
      <c r="S16" s="75">
        <f t="shared" si="11"/>
        <v>0</v>
      </c>
      <c r="T16" s="75">
        <f t="shared" si="11"/>
        <v>0</v>
      </c>
      <c r="U16" s="75">
        <f t="shared" si="11"/>
        <v>0</v>
      </c>
      <c r="V16" s="75">
        <f t="shared" si="11"/>
        <v>0</v>
      </c>
    </row>
    <row r="17" spans="1:21" ht="17.25" customHeight="1" x14ac:dyDescent="0.2">
      <c r="A17" s="166"/>
      <c r="B17" s="164"/>
      <c r="C17" s="72" t="s">
        <v>13</v>
      </c>
      <c r="D17" s="73">
        <f t="shared" si="5"/>
        <v>30265</v>
      </c>
      <c r="E17" s="73">
        <f>E527</f>
        <v>20000</v>
      </c>
      <c r="F17" s="73">
        <f t="shared" ref="F17:K17" si="12">F527</f>
        <v>3000</v>
      </c>
      <c r="G17" s="73">
        <f t="shared" si="12"/>
        <v>1600</v>
      </c>
      <c r="H17" s="73">
        <f t="shared" si="12"/>
        <v>3453.6</v>
      </c>
      <c r="I17" s="73">
        <f t="shared" si="12"/>
        <v>2211.4</v>
      </c>
      <c r="J17" s="73">
        <f t="shared" si="12"/>
        <v>0</v>
      </c>
      <c r="K17" s="73">
        <f t="shared" si="12"/>
        <v>0</v>
      </c>
      <c r="L17" s="73">
        <f>L527</f>
        <v>0</v>
      </c>
      <c r="M17" s="73">
        <f>M527</f>
        <v>0</v>
      </c>
      <c r="N17" s="73">
        <f>N527</f>
        <v>0</v>
      </c>
      <c r="O17" s="73">
        <f>O527</f>
        <v>0</v>
      </c>
    </row>
    <row r="18" spans="1:21" ht="15.75" x14ac:dyDescent="0.2">
      <c r="A18" s="159" t="s">
        <v>27</v>
      </c>
      <c r="B18" s="159" t="s">
        <v>28</v>
      </c>
      <c r="C18" s="77" t="s">
        <v>7</v>
      </c>
      <c r="D18" s="70">
        <f t="shared" si="5"/>
        <v>13226398.530000001</v>
      </c>
      <c r="E18" s="70">
        <f>E19+E21+E24+E27</f>
        <v>218606.2</v>
      </c>
      <c r="F18" s="70">
        <f t="shared" ref="F18:K18" si="13">F19+F21+F24+F27</f>
        <v>51837.9</v>
      </c>
      <c r="G18" s="70">
        <f t="shared" si="13"/>
        <v>71967.7</v>
      </c>
      <c r="H18" s="70">
        <f>H19+H21+H24+H27</f>
        <v>137590.59999999998</v>
      </c>
      <c r="I18" s="70">
        <f t="shared" si="13"/>
        <v>93705.7</v>
      </c>
      <c r="J18" s="70">
        <f t="shared" si="13"/>
        <v>861013.6</v>
      </c>
      <c r="K18" s="70">
        <f t="shared" si="13"/>
        <v>1369692.33</v>
      </c>
      <c r="L18" s="70">
        <f>L19+L21+L24+L27</f>
        <v>3128932.9</v>
      </c>
      <c r="M18" s="70">
        <f>M19+M21+M24+M27</f>
        <v>3843351.3</v>
      </c>
      <c r="N18" s="70">
        <f>N19+N21+N24+N27</f>
        <v>2887519</v>
      </c>
      <c r="O18" s="70">
        <f>O19+O21+O24+O27</f>
        <v>562181.30000000005</v>
      </c>
      <c r="P18" s="71"/>
      <c r="Q18" s="61"/>
    </row>
    <row r="19" spans="1:21" ht="31.5" x14ac:dyDescent="0.2">
      <c r="A19" s="160"/>
      <c r="B19" s="160"/>
      <c r="C19" s="78" t="s">
        <v>80</v>
      </c>
      <c r="D19" s="73">
        <f t="shared" si="5"/>
        <v>213817.09999999998</v>
      </c>
      <c r="E19" s="73">
        <f>E29+E485</f>
        <v>98793.9</v>
      </c>
      <c r="F19" s="73">
        <f>F29+F485</f>
        <v>0</v>
      </c>
      <c r="G19" s="73">
        <f>G29+G485</f>
        <v>0</v>
      </c>
      <c r="H19" s="73">
        <f>H29+H485</f>
        <v>0</v>
      </c>
      <c r="I19" s="73">
        <f>I29+I485</f>
        <v>0</v>
      </c>
      <c r="J19" s="73">
        <f t="shared" ref="J19:O19" si="14">J29+J485+J402+J447+J505</f>
        <v>0</v>
      </c>
      <c r="K19" s="73">
        <f t="shared" si="14"/>
        <v>115023.2</v>
      </c>
      <c r="L19" s="73">
        <f t="shared" si="14"/>
        <v>0</v>
      </c>
      <c r="M19" s="73">
        <f t="shared" si="14"/>
        <v>0</v>
      </c>
      <c r="N19" s="73">
        <f t="shared" si="14"/>
        <v>0</v>
      </c>
      <c r="O19" s="73">
        <f t="shared" si="14"/>
        <v>0</v>
      </c>
    </row>
    <row r="20" spans="1:21" ht="31.5" x14ac:dyDescent="0.2">
      <c r="A20" s="160"/>
      <c r="B20" s="160"/>
      <c r="C20" s="79" t="s">
        <v>81</v>
      </c>
      <c r="D20" s="73">
        <f t="shared" ref="D20:D27" si="15">E20+F20+G20+H20+I20+J20+K20+L20+M20+N20+O20</f>
        <v>98793.9</v>
      </c>
      <c r="E20" s="75">
        <f>E30</f>
        <v>98793.9</v>
      </c>
      <c r="F20" s="75">
        <f t="shared" ref="F20:K20" si="16">F30</f>
        <v>0</v>
      </c>
      <c r="G20" s="75">
        <f t="shared" si="16"/>
        <v>0</v>
      </c>
      <c r="H20" s="75">
        <f t="shared" si="16"/>
        <v>0</v>
      </c>
      <c r="I20" s="75">
        <f t="shared" si="16"/>
        <v>0</v>
      </c>
      <c r="J20" s="75">
        <f t="shared" si="16"/>
        <v>0</v>
      </c>
      <c r="K20" s="75">
        <f t="shared" si="16"/>
        <v>0</v>
      </c>
      <c r="L20" s="75">
        <f>L30</f>
        <v>0</v>
      </c>
      <c r="M20" s="75">
        <f>M30</f>
        <v>0</v>
      </c>
      <c r="N20" s="75">
        <f>N30</f>
        <v>0</v>
      </c>
      <c r="O20" s="75">
        <f>O30</f>
        <v>0</v>
      </c>
    </row>
    <row r="21" spans="1:21" ht="31.5" customHeight="1" x14ac:dyDescent="0.2">
      <c r="A21" s="160"/>
      <c r="B21" s="160"/>
      <c r="C21" s="78" t="s">
        <v>69</v>
      </c>
      <c r="D21" s="73">
        <f>E21+F21+G21+H21+I21+J21+K21+L21+M21+N21+O21</f>
        <v>12170557.009999998</v>
      </c>
      <c r="E21" s="73">
        <f>E31+E403+E448+E486</f>
        <v>68697.599999999991</v>
      </c>
      <c r="F21" s="73">
        <f>F31+F403+F448+F486</f>
        <v>15000</v>
      </c>
      <c r="G21" s="73">
        <f>G31+G403+G448+G486</f>
        <v>26276.799999999999</v>
      </c>
      <c r="H21" s="73">
        <f>H31+H403+H448+H486</f>
        <v>47416.2</v>
      </c>
      <c r="I21" s="73">
        <f>I31+I403+I448+I486</f>
        <v>43469.7</v>
      </c>
      <c r="J21" s="73">
        <f t="shared" ref="J21:O21" si="17">J31+J403+J448+J486+J506</f>
        <v>718423.5</v>
      </c>
      <c r="K21" s="73">
        <f t="shared" si="17"/>
        <v>1144814.71</v>
      </c>
      <c r="L21" s="73">
        <f t="shared" si="17"/>
        <v>3033866.3</v>
      </c>
      <c r="M21" s="73">
        <f t="shared" si="17"/>
        <v>3724094.5</v>
      </c>
      <c r="N21" s="73">
        <f t="shared" si="17"/>
        <v>2828376.5</v>
      </c>
      <c r="O21" s="73">
        <f t="shared" si="17"/>
        <v>520121.2</v>
      </c>
    </row>
    <row r="22" spans="1:21" ht="31.5" x14ac:dyDescent="0.2">
      <c r="A22" s="160"/>
      <c r="B22" s="160"/>
      <c r="C22" s="79" t="s">
        <v>79</v>
      </c>
      <c r="D22" s="73">
        <f t="shared" si="15"/>
        <v>43117.100000000006</v>
      </c>
      <c r="E22" s="75">
        <f>E32</f>
        <v>43117.100000000006</v>
      </c>
      <c r="F22" s="75">
        <f t="shared" ref="F22:K22" si="18">F32</f>
        <v>0</v>
      </c>
      <c r="G22" s="75">
        <f t="shared" si="18"/>
        <v>0</v>
      </c>
      <c r="H22" s="75">
        <f t="shared" si="18"/>
        <v>0</v>
      </c>
      <c r="I22" s="75">
        <f t="shared" si="18"/>
        <v>0</v>
      </c>
      <c r="J22" s="75">
        <f t="shared" si="18"/>
        <v>0</v>
      </c>
      <c r="K22" s="75">
        <f t="shared" si="18"/>
        <v>0</v>
      </c>
      <c r="L22" s="75">
        <f t="shared" ref="L22:O22" si="19">L32</f>
        <v>0</v>
      </c>
      <c r="M22" s="75">
        <f t="shared" si="19"/>
        <v>0</v>
      </c>
      <c r="N22" s="75">
        <f t="shared" si="19"/>
        <v>0</v>
      </c>
      <c r="O22" s="75">
        <f t="shared" si="19"/>
        <v>0</v>
      </c>
    </row>
    <row r="23" spans="1:21" ht="31.5" x14ac:dyDescent="0.2">
      <c r="A23" s="160"/>
      <c r="B23" s="160"/>
      <c r="C23" s="79" t="s">
        <v>81</v>
      </c>
      <c r="D23" s="75">
        <f>E23+F23+G23+H23+I23+J23+K23+L23+M23+N23+O23</f>
        <v>74527.100000000006</v>
      </c>
      <c r="E23" s="75">
        <f>E33</f>
        <v>20580.5</v>
      </c>
      <c r="F23" s="75">
        <f t="shared" ref="F23:K23" si="20">F33</f>
        <v>0</v>
      </c>
      <c r="G23" s="75">
        <f t="shared" si="20"/>
        <v>0</v>
      </c>
      <c r="H23" s="75">
        <f t="shared" si="20"/>
        <v>0</v>
      </c>
      <c r="I23" s="75">
        <f t="shared" si="20"/>
        <v>0</v>
      </c>
      <c r="J23" s="75">
        <f t="shared" si="20"/>
        <v>0</v>
      </c>
      <c r="K23" s="75">
        <f t="shared" si="20"/>
        <v>0</v>
      </c>
      <c r="L23" s="75">
        <f>L33+L507</f>
        <v>21808</v>
      </c>
      <c r="M23" s="75">
        <f>M33+M507</f>
        <v>32138.6</v>
      </c>
      <c r="N23" s="75">
        <f>N33+N507</f>
        <v>0</v>
      </c>
      <c r="O23" s="75">
        <f>O33+O507</f>
        <v>0</v>
      </c>
    </row>
    <row r="24" spans="1:21" ht="31.5" x14ac:dyDescent="0.2">
      <c r="A24" s="160"/>
      <c r="B24" s="160"/>
      <c r="C24" s="78" t="s">
        <v>65</v>
      </c>
      <c r="D24" s="73">
        <f>E24+F24+G24+H24+I24+J24+K24+L24+M24+N24+O24</f>
        <v>842024.42</v>
      </c>
      <c r="E24" s="73">
        <f>E34+E404+E449+E487</f>
        <v>51114.700000000004</v>
      </c>
      <c r="F24" s="73">
        <f>F34+F404+F449+F487</f>
        <v>36837.9</v>
      </c>
      <c r="G24" s="73">
        <f>G34+G404+G449+G487</f>
        <v>45690.899999999994</v>
      </c>
      <c r="H24" s="73">
        <f>H34+H404+H449+H487</f>
        <v>90174.399999999994</v>
      </c>
      <c r="I24" s="73">
        <f>I34+I404+I449+I487</f>
        <v>50236</v>
      </c>
      <c r="J24" s="73">
        <f>J34+J404+J449+J487+J508</f>
        <v>142590.1</v>
      </c>
      <c r="K24" s="73">
        <f>K34+K404+K449+K487+K508</f>
        <v>109854.42000000004</v>
      </c>
      <c r="L24" s="73">
        <f>L34+L404+L449+L487+L508</f>
        <v>95066.599999999977</v>
      </c>
      <c r="M24" s="73">
        <f>M34+M404+M449+M487+M508</f>
        <v>119256.79999999999</v>
      </c>
      <c r="N24" s="73">
        <f t="shared" ref="N24:O24" si="21">N34+N404+N449+N487+N508</f>
        <v>59142.499999999993</v>
      </c>
      <c r="O24" s="73">
        <f t="shared" si="21"/>
        <v>42060.1</v>
      </c>
      <c r="P24" s="61"/>
      <c r="Q24" s="61"/>
    </row>
    <row r="25" spans="1:21" ht="31.5" customHeight="1" x14ac:dyDescent="0.2">
      <c r="A25" s="160"/>
      <c r="B25" s="160"/>
      <c r="C25" s="79" t="s">
        <v>79</v>
      </c>
      <c r="D25" s="73">
        <f t="shared" si="15"/>
        <v>24185.399999999998</v>
      </c>
      <c r="E25" s="75">
        <f t="shared" ref="E25:O25" si="22">E35+E450</f>
        <v>17427.399999999998</v>
      </c>
      <c r="F25" s="75">
        <f t="shared" si="22"/>
        <v>2151</v>
      </c>
      <c r="G25" s="75">
        <f t="shared" si="22"/>
        <v>3908.3</v>
      </c>
      <c r="H25" s="75">
        <f t="shared" si="22"/>
        <v>0</v>
      </c>
      <c r="I25" s="75">
        <f t="shared" si="22"/>
        <v>698.7</v>
      </c>
      <c r="J25" s="75">
        <f t="shared" si="22"/>
        <v>0</v>
      </c>
      <c r="K25" s="75">
        <f t="shared" si="22"/>
        <v>0</v>
      </c>
      <c r="L25" s="75">
        <f t="shared" si="22"/>
        <v>0</v>
      </c>
      <c r="M25" s="75">
        <f t="shared" si="22"/>
        <v>0</v>
      </c>
      <c r="N25" s="75">
        <f t="shared" si="22"/>
        <v>0</v>
      </c>
      <c r="O25" s="75">
        <f t="shared" si="22"/>
        <v>0</v>
      </c>
    </row>
    <row r="26" spans="1:21" ht="31.5" customHeight="1" x14ac:dyDescent="0.2">
      <c r="A26" s="160"/>
      <c r="B26" s="160"/>
      <c r="C26" s="76" t="s">
        <v>449</v>
      </c>
      <c r="D26" s="75">
        <f t="shared" ref="D26:K26" si="23">D509</f>
        <v>2784</v>
      </c>
      <c r="E26" s="75">
        <f t="shared" si="23"/>
        <v>0</v>
      </c>
      <c r="F26" s="75">
        <f t="shared" si="23"/>
        <v>0</v>
      </c>
      <c r="G26" s="75">
        <f t="shared" si="23"/>
        <v>0</v>
      </c>
      <c r="H26" s="75">
        <f t="shared" si="23"/>
        <v>0</v>
      </c>
      <c r="I26" s="75">
        <f t="shared" si="23"/>
        <v>0</v>
      </c>
      <c r="J26" s="75">
        <f t="shared" si="23"/>
        <v>0</v>
      </c>
      <c r="K26" s="75">
        <f t="shared" si="23"/>
        <v>0</v>
      </c>
      <c r="L26" s="75">
        <f>L509</f>
        <v>1392</v>
      </c>
      <c r="M26" s="75">
        <f>M33+M509</f>
        <v>11722.6</v>
      </c>
      <c r="N26" s="75">
        <f>N33+N509</f>
        <v>0</v>
      </c>
      <c r="O26" s="75">
        <f>O33+O509</f>
        <v>0</v>
      </c>
    </row>
    <row r="27" spans="1:21" ht="17.25" customHeight="1" x14ac:dyDescent="0.2">
      <c r="A27" s="161"/>
      <c r="B27" s="161"/>
      <c r="C27" s="78" t="s">
        <v>13</v>
      </c>
      <c r="D27" s="73">
        <f t="shared" si="15"/>
        <v>0</v>
      </c>
      <c r="E27" s="73">
        <v>0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</row>
    <row r="28" spans="1:21" ht="15.75" x14ac:dyDescent="0.2">
      <c r="A28" s="168" t="s">
        <v>235</v>
      </c>
      <c r="B28" s="171" t="s">
        <v>142</v>
      </c>
      <c r="C28" s="78" t="s">
        <v>7</v>
      </c>
      <c r="D28" s="73">
        <f t="shared" ref="D28:O28" si="24">D29+D31+D34+D37</f>
        <v>12464727.5</v>
      </c>
      <c r="E28" s="73">
        <f t="shared" si="24"/>
        <v>190159.7</v>
      </c>
      <c r="F28" s="73">
        <f t="shared" si="24"/>
        <v>25969.5</v>
      </c>
      <c r="G28" s="73">
        <f t="shared" si="24"/>
        <v>41615.9</v>
      </c>
      <c r="H28" s="73">
        <f t="shared" si="24"/>
        <v>112179.9</v>
      </c>
      <c r="I28" s="73">
        <f t="shared" si="24"/>
        <v>55446.6</v>
      </c>
      <c r="J28" s="73">
        <f t="shared" si="24"/>
        <v>621253.9</v>
      </c>
      <c r="K28" s="73">
        <f t="shared" si="24"/>
        <v>1099158.2</v>
      </c>
      <c r="L28" s="73">
        <f t="shared" si="24"/>
        <v>3086603.5</v>
      </c>
      <c r="M28" s="73">
        <f t="shared" si="24"/>
        <v>3806381.3</v>
      </c>
      <c r="N28" s="73">
        <f t="shared" si="24"/>
        <v>2875408.8</v>
      </c>
      <c r="O28" s="73">
        <f t="shared" si="24"/>
        <v>550550.19999999995</v>
      </c>
      <c r="P28" s="71"/>
      <c r="Q28" s="61"/>
    </row>
    <row r="29" spans="1:21" ht="31.5" customHeight="1" x14ac:dyDescent="0.2">
      <c r="A29" s="169"/>
      <c r="B29" s="172"/>
      <c r="C29" s="78" t="s">
        <v>80</v>
      </c>
      <c r="D29" s="73">
        <f>E29+F29+G29+H29+I29+J29+K29+L29+M29+N29+O29</f>
        <v>98793.9</v>
      </c>
      <c r="E29" s="73">
        <f>E39+E45+E51+E57+E62+E69+E75+E82+E89+E95+E101+E108+E115+E122+E130+E139+E146+E153+E159+E166+E173+E179+E185+E190+E195+E200+E207+E212+E217+E222+E227+E232+E237+E242+E247+E252+E257+E262+E267+E272+E302</f>
        <v>98793.9</v>
      </c>
      <c r="F29" s="73">
        <f t="shared" ref="F29:O29" si="25">F39+F45+F51+F57+F62+F69+F75+F82+F89+F95+F101+F108+F115+F122+F130+F139+F146+F153+F159+F166+F173+F179+F185+F190+F195+F200+F207+F212+F217+F222+F227+F232+F237+F242+F247+F252+F257+F262+F267+F272+F302</f>
        <v>0</v>
      </c>
      <c r="G29" s="73">
        <f t="shared" si="25"/>
        <v>0</v>
      </c>
      <c r="H29" s="73">
        <f t="shared" si="25"/>
        <v>0</v>
      </c>
      <c r="I29" s="73">
        <f t="shared" si="25"/>
        <v>0</v>
      </c>
      <c r="J29" s="73">
        <f t="shared" si="25"/>
        <v>0</v>
      </c>
      <c r="K29" s="73">
        <f t="shared" si="25"/>
        <v>0</v>
      </c>
      <c r="L29" s="73">
        <f t="shared" si="25"/>
        <v>0</v>
      </c>
      <c r="M29" s="73">
        <f t="shared" si="25"/>
        <v>0</v>
      </c>
      <c r="N29" s="73">
        <f t="shared" si="25"/>
        <v>0</v>
      </c>
      <c r="O29" s="73">
        <f t="shared" si="25"/>
        <v>0</v>
      </c>
    </row>
    <row r="30" spans="1:21" ht="31.5" x14ac:dyDescent="0.2">
      <c r="A30" s="169"/>
      <c r="B30" s="172"/>
      <c r="C30" s="79" t="s">
        <v>81</v>
      </c>
      <c r="D30" s="73">
        <f t="shared" ref="D30:D37" si="26">E30+F30+G30+H30+I30+J30+K30+L30+M30+N30+O30</f>
        <v>98793.9</v>
      </c>
      <c r="E30" s="75">
        <f>E63</f>
        <v>98793.9</v>
      </c>
      <c r="F30" s="75">
        <f t="shared" ref="F30:K30" si="27">F63</f>
        <v>0</v>
      </c>
      <c r="G30" s="75">
        <f t="shared" si="27"/>
        <v>0</v>
      </c>
      <c r="H30" s="75">
        <f t="shared" si="27"/>
        <v>0</v>
      </c>
      <c r="I30" s="75">
        <f t="shared" si="27"/>
        <v>0</v>
      </c>
      <c r="J30" s="75">
        <f t="shared" si="27"/>
        <v>0</v>
      </c>
      <c r="K30" s="75">
        <f t="shared" si="27"/>
        <v>0</v>
      </c>
      <c r="L30" s="75">
        <f>L63</f>
        <v>0</v>
      </c>
      <c r="M30" s="75">
        <f>M63</f>
        <v>0</v>
      </c>
      <c r="N30" s="75">
        <f>N63</f>
        <v>0</v>
      </c>
      <c r="O30" s="75">
        <f>O63</f>
        <v>0</v>
      </c>
      <c r="R30" s="61"/>
      <c r="S30" s="61"/>
      <c r="T30" s="61"/>
      <c r="U30" s="61"/>
    </row>
    <row r="31" spans="1:21" ht="31.5" x14ac:dyDescent="0.2">
      <c r="A31" s="169"/>
      <c r="B31" s="172"/>
      <c r="C31" s="78" t="s">
        <v>69</v>
      </c>
      <c r="D31" s="73">
        <f t="shared" si="26"/>
        <v>11769260.6</v>
      </c>
      <c r="E31" s="73">
        <f>E40+E46+E52+E58+E64+E70+E76+E83+E90+E96+E102+E109+E116+E123+E131+E140+E147+E154+E160+E167+E174+E180+E186+E191+E196+E201+E208+E218+E223+E228++E233+E238+E243+E248+E253+E258+E263+E268+E273+E303</f>
        <v>68697.599999999991</v>
      </c>
      <c r="F31" s="73">
        <f t="shared" ref="F31:I31" si="28">F40+F46+F52+F58+F64+F70+F76+F83+F90+F96+F102+F109+F116+F123+F131+F140+F147+F154+F160+F167+F174+F180+F186+F191+F196+F201+F208+F218+F223+F228++F233+F238+F243+F248+F253+F258+F263+F268+F273+F303</f>
        <v>15000</v>
      </c>
      <c r="G31" s="73">
        <f t="shared" si="28"/>
        <v>26276.799999999999</v>
      </c>
      <c r="H31" s="73">
        <f t="shared" si="28"/>
        <v>47416.2</v>
      </c>
      <c r="I31" s="73">
        <f t="shared" si="28"/>
        <v>16128.9</v>
      </c>
      <c r="J31" s="73">
        <f>J40+J46+J52+J58+J64+J70+J76+J83+J90+J96+J102+J109+J116+J123+J131+J140+J147+J154+J160+J167+J174+J180+J186+J191+J196+J201+J208+J218+J223+J228++J233+J238+J243+J248+J253+J258+J263+J268+J273+J303+J278</f>
        <v>510517.9</v>
      </c>
      <c r="K31" s="73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73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73">
        <f t="shared" ref="M31:O31" si="29">M40+M46+M52+M58+M64+M70+M76+M83+M90+M96+M102+M109+M116+M123+M131+M140+M147+M154+M160+M167+M174+M180+M186+M191+M196+M201+M208+M218+M223+M228++M233+M238+M243+M248+M253+M258+M263+M268+M273+M303+M278+M283+M288+M293+M298+M333+M348+M353+M363+M368+M383+M388</f>
        <v>3702286.5</v>
      </c>
      <c r="N31" s="73">
        <f t="shared" si="29"/>
        <v>2828376.5</v>
      </c>
      <c r="O31" s="73">
        <f t="shared" si="29"/>
        <v>520121.2</v>
      </c>
    </row>
    <row r="32" spans="1:21" ht="31.5" x14ac:dyDescent="0.2">
      <c r="A32" s="169"/>
      <c r="B32" s="172"/>
      <c r="C32" s="79" t="s">
        <v>79</v>
      </c>
      <c r="D32" s="73">
        <f t="shared" si="26"/>
        <v>43117.100000000006</v>
      </c>
      <c r="E32" s="75">
        <f t="shared" ref="E32:K32" si="30">E77+E124+E133+E148</f>
        <v>43117.100000000006</v>
      </c>
      <c r="F32" s="75">
        <f t="shared" si="30"/>
        <v>0</v>
      </c>
      <c r="G32" s="75">
        <f t="shared" si="30"/>
        <v>0</v>
      </c>
      <c r="H32" s="75">
        <f t="shared" si="30"/>
        <v>0</v>
      </c>
      <c r="I32" s="75">
        <f t="shared" si="30"/>
        <v>0</v>
      </c>
      <c r="J32" s="75">
        <f t="shared" si="30"/>
        <v>0</v>
      </c>
      <c r="K32" s="75">
        <f t="shared" si="30"/>
        <v>0</v>
      </c>
      <c r="L32" s="75">
        <f>L77+L124+L133+L148</f>
        <v>0</v>
      </c>
      <c r="M32" s="75">
        <f>M77+M124+M133+M148</f>
        <v>0</v>
      </c>
      <c r="N32" s="75">
        <f>N77+N124+N133+N148</f>
        <v>0</v>
      </c>
      <c r="O32" s="75">
        <f>O77+O124+O133+O148</f>
        <v>0</v>
      </c>
    </row>
    <row r="33" spans="1:22" ht="31.5" customHeight="1" x14ac:dyDescent="0.2">
      <c r="A33" s="169"/>
      <c r="B33" s="172"/>
      <c r="C33" s="79" t="s">
        <v>81</v>
      </c>
      <c r="D33" s="73">
        <f t="shared" si="26"/>
        <v>30911.1</v>
      </c>
      <c r="E33" s="75">
        <f>E103+E161+E132</f>
        <v>20580.5</v>
      </c>
      <c r="F33" s="75">
        <f t="shared" ref="F33:K33" si="31">F103+F161</f>
        <v>0</v>
      </c>
      <c r="G33" s="75">
        <f t="shared" si="31"/>
        <v>0</v>
      </c>
      <c r="H33" s="75">
        <f t="shared" si="31"/>
        <v>0</v>
      </c>
      <c r="I33" s="75">
        <f t="shared" si="31"/>
        <v>0</v>
      </c>
      <c r="J33" s="75">
        <f t="shared" si="31"/>
        <v>0</v>
      </c>
      <c r="K33" s="75">
        <f t="shared" si="31"/>
        <v>0</v>
      </c>
      <c r="L33" s="75">
        <f>L103+L161</f>
        <v>0</v>
      </c>
      <c r="M33" s="75">
        <f>M103+M161+M202</f>
        <v>10330.6</v>
      </c>
      <c r="N33" s="75">
        <f t="shared" ref="N33:O33" si="32">N103+N161+N202</f>
        <v>0</v>
      </c>
      <c r="O33" s="75">
        <f t="shared" si="32"/>
        <v>0</v>
      </c>
    </row>
    <row r="34" spans="1:22" ht="31.5" x14ac:dyDescent="0.2">
      <c r="A34" s="169"/>
      <c r="B34" s="172"/>
      <c r="C34" s="78" t="s">
        <v>65</v>
      </c>
      <c r="D34" s="73">
        <f>E34+F34+G34+H34+I34+J34+K34+L34+M34+N34+O34</f>
        <v>596673</v>
      </c>
      <c r="E34" s="73">
        <f>E41+E47+E53+E59+E65+E71+E78+E84+E91+E97+E104+E110+E117+E125+E134+E141+E149+E155+E162+E168+E175+E181+E187+E192+E197+E203+E209+E214+E219+E224+E229+E234+E239+E244+E254+E249+E259+E264+E269+E274+E304</f>
        <v>22668.2</v>
      </c>
      <c r="F34" s="73">
        <f t="shared" ref="F34:I34" si="33">F41+F47+F53+F59+F65+F71+F78+F84+F91+F97+F104+F110+F117+F125+F134+F141+F149+F155+F162+F168+F175+F181+F187+F192+F197+F203+F209+F214+F219+F224+F229+F234+F239+F244+F254+F249+F259+F264+F269+F274+F304</f>
        <v>10969.5</v>
      </c>
      <c r="G34" s="73">
        <f t="shared" si="33"/>
        <v>15339.1</v>
      </c>
      <c r="H34" s="73">
        <f t="shared" si="33"/>
        <v>64763.7</v>
      </c>
      <c r="I34" s="73">
        <f t="shared" si="33"/>
        <v>39317.699999999997</v>
      </c>
      <c r="J34" s="73">
        <f>J41+J47+J53+J59+J65+J71+J78+J84+J91+J97+J104+J110+J117+J125+J134+J141+J149+J155+J162+J168+J175+J181+J187+J192+J197+J203+J209+J214+J219+J224+J229+J234+J239+J244+J254+J249+J259+J264+J269+J274+J304+J279</f>
        <v>110736</v>
      </c>
      <c r="K34" s="73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73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73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+M399</f>
        <v>104094.79999999999</v>
      </c>
      <c r="N34" s="73">
        <f t="shared" ref="N34:O34" si="34">N41+N47+N53+N59+N65+N71+N78+N84+N91+N97+N104+N110+N117+N125+N134+N141+N149+N155+N162+N168+N175+N181+N187+N192+N197+N203+N209+N214+N219+N224+N229+N234+N239+N244+N254+N249+N259+N264+N269+N274+N279+N304+N284+N289+N294+N299+N309+N314+N319+N324+N334+N349+N354+N364+N369+N384+N389</f>
        <v>47032.299999999996</v>
      </c>
      <c r="O34" s="73">
        <f t="shared" si="34"/>
        <v>30429</v>
      </c>
      <c r="P34" s="73">
        <f t="shared" ref="P34:V34" si="35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73">
        <f t="shared" si="35"/>
        <v>0</v>
      </c>
      <c r="R34" s="73">
        <f t="shared" si="35"/>
        <v>0</v>
      </c>
      <c r="S34" s="73">
        <f t="shared" si="35"/>
        <v>0</v>
      </c>
      <c r="T34" s="73">
        <f t="shared" si="35"/>
        <v>0</v>
      </c>
      <c r="U34" s="73">
        <f t="shared" si="35"/>
        <v>0</v>
      </c>
      <c r="V34" s="73">
        <f t="shared" si="35"/>
        <v>0</v>
      </c>
    </row>
    <row r="35" spans="1:22" ht="31.5" x14ac:dyDescent="0.2">
      <c r="A35" s="169"/>
      <c r="B35" s="172"/>
      <c r="C35" s="79" t="s">
        <v>79</v>
      </c>
      <c r="D35" s="73">
        <f t="shared" si="26"/>
        <v>20554.099999999999</v>
      </c>
      <c r="E35" s="75">
        <f>E48+E54+E72+E79+E85+E92+E98+E111+E118+E126+E135+E142+E150+E156+E169+E176+E182+E42+E66</f>
        <v>14494.8</v>
      </c>
      <c r="F35" s="75">
        <f t="shared" ref="F35:K35" si="36">F48+F54+F72+F79+F85+F92+F98+F111+F118+F126+F135+F142+F150+F156+F169+F176+F182+F42+F66</f>
        <v>2151</v>
      </c>
      <c r="G35" s="75">
        <f t="shared" si="36"/>
        <v>3908.3</v>
      </c>
      <c r="H35" s="75">
        <f t="shared" si="36"/>
        <v>0</v>
      </c>
      <c r="I35" s="75">
        <f t="shared" si="36"/>
        <v>0</v>
      </c>
      <c r="J35" s="75">
        <f t="shared" si="36"/>
        <v>0</v>
      </c>
      <c r="K35" s="75">
        <f t="shared" si="36"/>
        <v>0</v>
      </c>
      <c r="L35" s="75">
        <f>L48+L54+L72+L79+L85+L92+L98+L111+L118+L126+L135+L142+L150+L156+L169+L176+L182+L42+L66</f>
        <v>0</v>
      </c>
      <c r="M35" s="75">
        <f>M48+M54+M72+M79+M85+M92+M98+M111+M118+M126+M135+M142+M150+M156+M169+M176+M182+M42+M66</f>
        <v>0</v>
      </c>
      <c r="N35" s="75">
        <f>N48+N54+N72+N79+N85+N92+N98+N111+N118+N126+N135+N142+N150+N156+N169+N176+N182+N42+N66</f>
        <v>0</v>
      </c>
      <c r="O35" s="75">
        <f>O48+O54+O72+O79+O85+O92+O98+O111+O118+O126+O135+O142+O150+O156+O169+O176+O182+O42+O66</f>
        <v>0</v>
      </c>
    </row>
    <row r="36" spans="1:22" ht="31.5" x14ac:dyDescent="0.2">
      <c r="A36" s="169"/>
      <c r="B36" s="172"/>
      <c r="C36" s="79" t="s">
        <v>449</v>
      </c>
      <c r="D36" s="75">
        <f t="shared" si="26"/>
        <v>659.4</v>
      </c>
      <c r="E36" s="75">
        <f>E204</f>
        <v>0</v>
      </c>
      <c r="F36" s="75">
        <f t="shared" ref="F36:O36" si="37">F204</f>
        <v>0</v>
      </c>
      <c r="G36" s="75">
        <f t="shared" si="37"/>
        <v>0</v>
      </c>
      <c r="H36" s="75">
        <f t="shared" si="37"/>
        <v>0</v>
      </c>
      <c r="I36" s="75">
        <f t="shared" si="37"/>
        <v>0</v>
      </c>
      <c r="J36" s="75">
        <f t="shared" si="37"/>
        <v>0</v>
      </c>
      <c r="K36" s="75">
        <f t="shared" si="37"/>
        <v>0</v>
      </c>
      <c r="L36" s="75">
        <f t="shared" si="37"/>
        <v>0</v>
      </c>
      <c r="M36" s="75">
        <f t="shared" si="37"/>
        <v>659.4</v>
      </c>
      <c r="N36" s="75">
        <f t="shared" si="37"/>
        <v>0</v>
      </c>
      <c r="O36" s="75">
        <f t="shared" si="37"/>
        <v>0</v>
      </c>
    </row>
    <row r="37" spans="1:22" ht="18.75" customHeight="1" x14ac:dyDescent="0.2">
      <c r="A37" s="170"/>
      <c r="B37" s="173"/>
      <c r="C37" s="78" t="s">
        <v>13</v>
      </c>
      <c r="D37" s="73">
        <f t="shared" si="26"/>
        <v>0</v>
      </c>
      <c r="E37" s="73">
        <v>0</v>
      </c>
      <c r="F37" s="73">
        <v>0</v>
      </c>
      <c r="G37" s="73">
        <v>0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</row>
    <row r="38" spans="1:22" ht="15.75" x14ac:dyDescent="0.2">
      <c r="A38" s="135" t="s">
        <v>94</v>
      </c>
      <c r="B38" s="147" t="s">
        <v>371</v>
      </c>
      <c r="C38" s="80" t="s">
        <v>7</v>
      </c>
      <c r="D38" s="73">
        <f t="shared" ref="D38:D43" si="38">E38+F38+G38+H38+I38+J38+K38+L38+M38+N38+O38</f>
        <v>20898.7</v>
      </c>
      <c r="E38" s="73">
        <f t="shared" ref="E38:J38" si="39">SUM(E39:E43)</f>
        <v>279.3</v>
      </c>
      <c r="F38" s="73">
        <f t="shared" si="39"/>
        <v>7999</v>
      </c>
      <c r="G38" s="73">
        <f>G39+G40+G41+G43</f>
        <v>3908.3</v>
      </c>
      <c r="H38" s="73">
        <f t="shared" si="39"/>
        <v>0</v>
      </c>
      <c r="I38" s="73">
        <f t="shared" si="39"/>
        <v>7695.7</v>
      </c>
      <c r="J38" s="73">
        <f t="shared" si="39"/>
        <v>1016.4000000000001</v>
      </c>
      <c r="K38" s="73">
        <f>K39+K40+K41+K42+K43</f>
        <v>0</v>
      </c>
      <c r="L38" s="73">
        <f>L39+L40+L41+L42+L43</f>
        <v>0</v>
      </c>
      <c r="M38" s="73">
        <f>M39+M40+M41+M42+M43</f>
        <v>0</v>
      </c>
      <c r="N38" s="73">
        <f>N39+N40+N41+N42+N43</f>
        <v>0</v>
      </c>
      <c r="O38" s="73">
        <f>O39+O40+O41+O42+O43</f>
        <v>0</v>
      </c>
      <c r="P38" s="63" t="s">
        <v>354</v>
      </c>
    </row>
    <row r="39" spans="1:22" ht="15.75" x14ac:dyDescent="0.2">
      <c r="A39" s="135"/>
      <c r="B39" s="148"/>
      <c r="C39" s="78" t="s">
        <v>10</v>
      </c>
      <c r="D39" s="73">
        <f t="shared" si="38"/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</row>
    <row r="40" spans="1:22" ht="15.75" x14ac:dyDescent="0.2">
      <c r="A40" s="135"/>
      <c r="B40" s="148"/>
      <c r="C40" s="78" t="s">
        <v>11</v>
      </c>
      <c r="D40" s="73">
        <f t="shared" si="38"/>
        <v>0</v>
      </c>
      <c r="E40" s="73">
        <v>0</v>
      </c>
      <c r="F40" s="73">
        <v>0</v>
      </c>
      <c r="G40" s="73">
        <v>0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</row>
    <row r="41" spans="1:22" ht="15.75" x14ac:dyDescent="0.2">
      <c r="A41" s="135"/>
      <c r="B41" s="148"/>
      <c r="C41" s="78" t="s">
        <v>12</v>
      </c>
      <c r="D41" s="73">
        <f t="shared" si="38"/>
        <v>20898.7</v>
      </c>
      <c r="E41" s="73">
        <v>279.3</v>
      </c>
      <c r="F41" s="73">
        <v>7999</v>
      </c>
      <c r="G41" s="73">
        <v>3908.3</v>
      </c>
      <c r="H41" s="73">
        <v>0</v>
      </c>
      <c r="I41" s="73">
        <v>7695.7</v>
      </c>
      <c r="J41" s="73">
        <f>13000-10000-91-1800-1.6-235+144</f>
        <v>1016.4000000000001</v>
      </c>
      <c r="K41" s="73">
        <f>1620.7-553.4-1067.3</f>
        <v>0</v>
      </c>
      <c r="L41" s="73">
        <v>0</v>
      </c>
      <c r="M41" s="73">
        <v>0</v>
      </c>
      <c r="N41" s="73">
        <v>0</v>
      </c>
      <c r="O41" s="73">
        <v>0</v>
      </c>
    </row>
    <row r="42" spans="1:22" ht="31.5" x14ac:dyDescent="0.2">
      <c r="A42" s="135"/>
      <c r="B42" s="148"/>
      <c r="C42" s="79" t="s">
        <v>79</v>
      </c>
      <c r="D42" s="75">
        <f t="shared" si="38"/>
        <v>3908.3</v>
      </c>
      <c r="E42" s="75">
        <v>0</v>
      </c>
      <c r="F42" s="75">
        <v>0</v>
      </c>
      <c r="G42" s="75">
        <v>3908.3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</row>
    <row r="43" spans="1:22" ht="20.25" customHeight="1" x14ac:dyDescent="0.2">
      <c r="A43" s="135"/>
      <c r="B43" s="149"/>
      <c r="C43" s="78" t="s">
        <v>13</v>
      </c>
      <c r="D43" s="73">
        <f t="shared" si="38"/>
        <v>0</v>
      </c>
      <c r="E43" s="73">
        <v>0</v>
      </c>
      <c r="F43" s="73">
        <v>0</v>
      </c>
      <c r="G43" s="73">
        <v>0</v>
      </c>
      <c r="H43" s="73">
        <v>0</v>
      </c>
      <c r="I43" s="73">
        <v>0</v>
      </c>
      <c r="J43" s="73">
        <v>0</v>
      </c>
      <c r="K43" s="73">
        <v>0</v>
      </c>
      <c r="L43" s="73">
        <v>0</v>
      </c>
      <c r="M43" s="73">
        <v>0</v>
      </c>
      <c r="N43" s="73">
        <v>0</v>
      </c>
      <c r="O43" s="73">
        <v>0</v>
      </c>
    </row>
    <row r="44" spans="1:22" ht="15.75" x14ac:dyDescent="0.2">
      <c r="A44" s="135" t="s">
        <v>95</v>
      </c>
      <c r="B44" s="143" t="s">
        <v>247</v>
      </c>
      <c r="C44" s="78" t="s">
        <v>7</v>
      </c>
      <c r="D44" s="73">
        <f>D45+D46+D47+D49</f>
        <v>89901.1</v>
      </c>
      <c r="E44" s="73">
        <f t="shared" ref="E44:O44" si="40">E45+E46+E47+E49</f>
        <v>2524.5</v>
      </c>
      <c r="F44" s="73">
        <f t="shared" si="40"/>
        <v>0</v>
      </c>
      <c r="G44" s="73">
        <f t="shared" si="40"/>
        <v>9700</v>
      </c>
      <c r="H44" s="73">
        <f t="shared" si="40"/>
        <v>55770.7</v>
      </c>
      <c r="I44" s="73">
        <f t="shared" si="40"/>
        <v>20706</v>
      </c>
      <c r="J44" s="73">
        <f>J45+J46+J47+J49</f>
        <v>1153.1000000000004</v>
      </c>
      <c r="K44" s="73">
        <f t="shared" si="40"/>
        <v>46.800000000000004</v>
      </c>
      <c r="L44" s="73">
        <f t="shared" si="40"/>
        <v>0</v>
      </c>
      <c r="M44" s="73">
        <f t="shared" si="40"/>
        <v>0</v>
      </c>
      <c r="N44" s="73">
        <f t="shared" si="40"/>
        <v>0</v>
      </c>
      <c r="O44" s="73">
        <f t="shared" si="40"/>
        <v>0</v>
      </c>
      <c r="P44" s="63" t="s">
        <v>354</v>
      </c>
    </row>
    <row r="45" spans="1:22" ht="17.25" customHeight="1" x14ac:dyDescent="0.2">
      <c r="A45" s="135"/>
      <c r="B45" s="143"/>
      <c r="C45" s="78" t="s">
        <v>10</v>
      </c>
      <c r="D45" s="73">
        <f>E45+F45+G45+H45+I45+J45+K45+L45+M45+N45+O45</f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  <c r="O45" s="73">
        <v>0</v>
      </c>
    </row>
    <row r="46" spans="1:22" ht="15.75" x14ac:dyDescent="0.2">
      <c r="A46" s="135"/>
      <c r="B46" s="143"/>
      <c r="C46" s="78" t="s">
        <v>11</v>
      </c>
      <c r="D46" s="73">
        <f>E46+F46+G46+H46+I46+J46+K46+L46+M46+N46+O46</f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</row>
    <row r="47" spans="1:22" ht="31.5" x14ac:dyDescent="0.2">
      <c r="A47" s="135"/>
      <c r="B47" s="143"/>
      <c r="C47" s="78" t="s">
        <v>65</v>
      </c>
      <c r="D47" s="73">
        <f>E47+F47+G47+H47+I47+J47+K47+L47+M47+N47+O47</f>
        <v>89901.1</v>
      </c>
      <c r="E47" s="73">
        <v>2524.5</v>
      </c>
      <c r="F47" s="73">
        <v>0</v>
      </c>
      <c r="G47" s="73">
        <v>9700</v>
      </c>
      <c r="H47" s="73">
        <v>55770.7</v>
      </c>
      <c r="I47" s="73">
        <f>23156-2450</f>
        <v>20706</v>
      </c>
      <c r="J47" s="73">
        <f>10000-8846.9</f>
        <v>1153.1000000000004</v>
      </c>
      <c r="K47" s="73">
        <f>49.2-2.4</f>
        <v>46.800000000000004</v>
      </c>
      <c r="L47" s="73">
        <v>0</v>
      </c>
      <c r="M47" s="73">
        <v>0</v>
      </c>
      <c r="N47" s="73">
        <v>0</v>
      </c>
      <c r="O47" s="73">
        <v>0</v>
      </c>
    </row>
    <row r="48" spans="1:22" ht="31.5" x14ac:dyDescent="0.2">
      <c r="A48" s="135"/>
      <c r="B48" s="143"/>
      <c r="C48" s="79" t="s">
        <v>79</v>
      </c>
      <c r="D48" s="73">
        <f>E48+F48+G48+H48+I48+J48+K48+L48+M48+N48+O48</f>
        <v>1837.2</v>
      </c>
      <c r="E48" s="75">
        <v>1837.2</v>
      </c>
      <c r="F48" s="75">
        <v>0</v>
      </c>
      <c r="G48" s="75">
        <v>0</v>
      </c>
      <c r="H48" s="75">
        <v>0</v>
      </c>
      <c r="I48" s="75">
        <v>0</v>
      </c>
      <c r="J48" s="75">
        <v>0</v>
      </c>
      <c r="K48" s="75">
        <v>0</v>
      </c>
      <c r="L48" s="75">
        <v>0</v>
      </c>
      <c r="M48" s="75">
        <v>0</v>
      </c>
      <c r="N48" s="75">
        <v>0</v>
      </c>
      <c r="O48" s="75">
        <v>0</v>
      </c>
    </row>
    <row r="49" spans="1:17" ht="18" customHeight="1" x14ac:dyDescent="0.2">
      <c r="A49" s="135"/>
      <c r="B49" s="143"/>
      <c r="C49" s="78" t="s">
        <v>13</v>
      </c>
      <c r="D49" s="73">
        <f>E49+F49+G49+H49+I49+J49+K49+L49+M49+N49+O49</f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</row>
    <row r="50" spans="1:17" ht="15.75" x14ac:dyDescent="0.2">
      <c r="A50" s="139" t="s">
        <v>131</v>
      </c>
      <c r="B50" s="147" t="s">
        <v>227</v>
      </c>
      <c r="C50" s="78" t="s">
        <v>7</v>
      </c>
      <c r="D50" s="73">
        <f>E50+F50+G50+H50+I50+J50</f>
        <v>342.5</v>
      </c>
      <c r="E50" s="73">
        <f t="shared" ref="E50:K50" si="41">E51+E52+E53+E55</f>
        <v>330.5</v>
      </c>
      <c r="F50" s="73">
        <f t="shared" si="41"/>
        <v>12</v>
      </c>
      <c r="G50" s="73">
        <f t="shared" si="41"/>
        <v>0</v>
      </c>
      <c r="H50" s="73">
        <f t="shared" si="41"/>
        <v>0</v>
      </c>
      <c r="I50" s="73">
        <f t="shared" si="41"/>
        <v>0</v>
      </c>
      <c r="J50" s="73">
        <f t="shared" si="41"/>
        <v>0</v>
      </c>
      <c r="K50" s="73">
        <f t="shared" si="41"/>
        <v>0</v>
      </c>
      <c r="L50" s="73">
        <f>L51+L52+L53+L55</f>
        <v>0</v>
      </c>
      <c r="M50" s="73">
        <f>M51+M52+M53+M55</f>
        <v>0</v>
      </c>
      <c r="N50" s="73">
        <f>N51+N52+N53+N55</f>
        <v>0</v>
      </c>
      <c r="O50" s="73">
        <f>O51+O52+O53+O55</f>
        <v>0</v>
      </c>
    </row>
    <row r="51" spans="1:17" ht="15.75" x14ac:dyDescent="0.2">
      <c r="A51" s="140"/>
      <c r="B51" s="148"/>
      <c r="C51" s="78" t="s">
        <v>10</v>
      </c>
      <c r="D51" s="73">
        <f>E51+F51+G51+H51+I51+J51</f>
        <v>0</v>
      </c>
      <c r="E51" s="73">
        <v>0</v>
      </c>
      <c r="F51" s="73">
        <v>0</v>
      </c>
      <c r="G51" s="73">
        <v>0</v>
      </c>
      <c r="H51" s="73">
        <v>0</v>
      </c>
      <c r="I51" s="73">
        <v>0</v>
      </c>
      <c r="J51" s="73">
        <v>0</v>
      </c>
      <c r="K51" s="73">
        <v>0</v>
      </c>
      <c r="L51" s="73">
        <v>0</v>
      </c>
      <c r="M51" s="73">
        <v>0</v>
      </c>
      <c r="N51" s="73">
        <v>0</v>
      </c>
      <c r="O51" s="73">
        <v>0</v>
      </c>
    </row>
    <row r="52" spans="1:17" ht="15.75" x14ac:dyDescent="0.2">
      <c r="A52" s="140"/>
      <c r="B52" s="148"/>
      <c r="C52" s="78" t="s">
        <v>11</v>
      </c>
      <c r="D52" s="73">
        <f>E52+F52+G52+H52+I52+J52</f>
        <v>0</v>
      </c>
      <c r="E52" s="73">
        <v>0</v>
      </c>
      <c r="F52" s="73">
        <v>0</v>
      </c>
      <c r="G52" s="73">
        <v>0</v>
      </c>
      <c r="H52" s="73">
        <v>0</v>
      </c>
      <c r="I52" s="73">
        <v>0</v>
      </c>
      <c r="J52" s="73">
        <v>0</v>
      </c>
      <c r="K52" s="73">
        <v>0</v>
      </c>
      <c r="L52" s="73">
        <v>0</v>
      </c>
      <c r="M52" s="73">
        <v>0</v>
      </c>
      <c r="N52" s="73">
        <v>0</v>
      </c>
      <c r="O52" s="73">
        <v>0</v>
      </c>
    </row>
    <row r="53" spans="1:17" ht="30.75" customHeight="1" x14ac:dyDescent="0.2">
      <c r="A53" s="140"/>
      <c r="B53" s="148"/>
      <c r="C53" s="78" t="s">
        <v>65</v>
      </c>
      <c r="D53" s="73">
        <f>E53+F53+G53+H53+I53+J53</f>
        <v>342.5</v>
      </c>
      <c r="E53" s="73">
        <v>330.5</v>
      </c>
      <c r="F53" s="73">
        <v>12</v>
      </c>
      <c r="G53" s="73">
        <v>0</v>
      </c>
      <c r="H53" s="73">
        <v>0</v>
      </c>
      <c r="I53" s="73">
        <v>0</v>
      </c>
      <c r="J53" s="73">
        <v>0</v>
      </c>
      <c r="K53" s="73">
        <v>0</v>
      </c>
      <c r="L53" s="73">
        <v>0</v>
      </c>
      <c r="M53" s="73">
        <v>0</v>
      </c>
      <c r="N53" s="73">
        <v>0</v>
      </c>
      <c r="O53" s="73">
        <v>0</v>
      </c>
    </row>
    <row r="54" spans="1:17" ht="32.25" customHeight="1" x14ac:dyDescent="0.2">
      <c r="A54" s="140"/>
      <c r="B54" s="148"/>
      <c r="C54" s="79" t="s">
        <v>79</v>
      </c>
      <c r="D54" s="75">
        <f>E54</f>
        <v>330.5</v>
      </c>
      <c r="E54" s="75">
        <v>330.5</v>
      </c>
      <c r="F54" s="75">
        <v>0</v>
      </c>
      <c r="G54" s="75">
        <v>0</v>
      </c>
      <c r="H54" s="75">
        <v>0</v>
      </c>
      <c r="I54" s="75">
        <v>0</v>
      </c>
      <c r="J54" s="75">
        <v>0</v>
      </c>
      <c r="K54" s="73">
        <v>0</v>
      </c>
      <c r="L54" s="75">
        <v>0</v>
      </c>
      <c r="M54" s="75">
        <v>0</v>
      </c>
      <c r="N54" s="75">
        <v>0</v>
      </c>
      <c r="O54" s="73">
        <v>0</v>
      </c>
    </row>
    <row r="55" spans="1:17" ht="26.25" customHeight="1" x14ac:dyDescent="0.2">
      <c r="A55" s="141"/>
      <c r="B55" s="149"/>
      <c r="C55" s="78" t="s">
        <v>13</v>
      </c>
      <c r="D55" s="73">
        <f>E55+F55+G55+H55+I55+J55</f>
        <v>0</v>
      </c>
      <c r="E55" s="73">
        <v>0</v>
      </c>
      <c r="F55" s="73">
        <v>0</v>
      </c>
      <c r="G55" s="73">
        <v>0</v>
      </c>
      <c r="H55" s="73">
        <v>0</v>
      </c>
      <c r="I55" s="73">
        <v>0</v>
      </c>
      <c r="J55" s="73">
        <v>0</v>
      </c>
      <c r="K55" s="73">
        <v>0</v>
      </c>
      <c r="L55" s="73">
        <v>0</v>
      </c>
      <c r="M55" s="73">
        <v>0</v>
      </c>
      <c r="N55" s="73">
        <v>0</v>
      </c>
      <c r="O55" s="73">
        <v>0</v>
      </c>
    </row>
    <row r="56" spans="1:17" ht="15.75" x14ac:dyDescent="0.2">
      <c r="A56" s="135" t="s">
        <v>96</v>
      </c>
      <c r="B56" s="143" t="s">
        <v>88</v>
      </c>
      <c r="C56" s="78" t="s">
        <v>7</v>
      </c>
      <c r="D56" s="73">
        <f>E56+F56+G56+H56+I56+J56+K56+L56+M56+N56+O56</f>
        <v>5540</v>
      </c>
      <c r="E56" s="73">
        <f t="shared" ref="E56:K56" si="42">E57+E58+E59+E60</f>
        <v>5540</v>
      </c>
      <c r="F56" s="73">
        <f t="shared" si="42"/>
        <v>0</v>
      </c>
      <c r="G56" s="73">
        <f t="shared" si="42"/>
        <v>0</v>
      </c>
      <c r="H56" s="73">
        <f t="shared" si="42"/>
        <v>0</v>
      </c>
      <c r="I56" s="73">
        <f t="shared" si="42"/>
        <v>0</v>
      </c>
      <c r="J56" s="73">
        <f t="shared" si="42"/>
        <v>0</v>
      </c>
      <c r="K56" s="73">
        <f t="shared" si="42"/>
        <v>0</v>
      </c>
      <c r="L56" s="73">
        <f>L57+L58+L59+L60</f>
        <v>0</v>
      </c>
      <c r="M56" s="73">
        <f>M57+M58+M59+M60</f>
        <v>0</v>
      </c>
      <c r="N56" s="73">
        <f>N57+N58+N59+N60</f>
        <v>0</v>
      </c>
      <c r="O56" s="73">
        <f>O57+O58+O59+O60</f>
        <v>0</v>
      </c>
    </row>
    <row r="57" spans="1:17" ht="17.25" customHeight="1" x14ac:dyDescent="0.2">
      <c r="A57" s="135"/>
      <c r="B57" s="143"/>
      <c r="C57" s="78" t="s">
        <v>10</v>
      </c>
      <c r="D57" s="73">
        <f>E57+F57+G57+H57+I57+J57+K57+L57+M57+N57+O57</f>
        <v>0</v>
      </c>
      <c r="E57" s="73">
        <v>0</v>
      </c>
      <c r="F57" s="73">
        <v>0</v>
      </c>
      <c r="G57" s="73">
        <v>0</v>
      </c>
      <c r="H57" s="73">
        <v>0</v>
      </c>
      <c r="I57" s="73">
        <v>0</v>
      </c>
      <c r="J57" s="73">
        <v>0</v>
      </c>
      <c r="K57" s="73">
        <v>0</v>
      </c>
      <c r="L57" s="73">
        <v>0</v>
      </c>
      <c r="M57" s="73">
        <v>0</v>
      </c>
      <c r="N57" s="73">
        <v>0</v>
      </c>
      <c r="O57" s="73">
        <v>0</v>
      </c>
    </row>
    <row r="58" spans="1:17" ht="15.75" x14ac:dyDescent="0.2">
      <c r="A58" s="135"/>
      <c r="B58" s="143"/>
      <c r="C58" s="78" t="s">
        <v>11</v>
      </c>
      <c r="D58" s="73">
        <f>E58+F58+G58+H58+I58+J58+K58+L58+M58+N58+O58</f>
        <v>5000</v>
      </c>
      <c r="E58" s="73">
        <v>5000</v>
      </c>
      <c r="F58" s="73">
        <v>0</v>
      </c>
      <c r="G58" s="73">
        <v>0</v>
      </c>
      <c r="H58" s="73">
        <v>0</v>
      </c>
      <c r="I58" s="73">
        <v>0</v>
      </c>
      <c r="J58" s="73">
        <v>0</v>
      </c>
      <c r="K58" s="73">
        <v>0</v>
      </c>
      <c r="L58" s="73">
        <v>0</v>
      </c>
      <c r="M58" s="73">
        <v>0</v>
      </c>
      <c r="N58" s="73">
        <v>0</v>
      </c>
      <c r="O58" s="73">
        <v>0</v>
      </c>
    </row>
    <row r="59" spans="1:17" ht="15.75" x14ac:dyDescent="0.2">
      <c r="A59" s="135"/>
      <c r="B59" s="143"/>
      <c r="C59" s="78" t="s">
        <v>12</v>
      </c>
      <c r="D59" s="73">
        <f>E59+F59+G59+H59+I59+J59+K59+L59+M59+N59+O59</f>
        <v>540</v>
      </c>
      <c r="E59" s="73">
        <v>540</v>
      </c>
      <c r="F59" s="73">
        <v>0</v>
      </c>
      <c r="G59" s="73">
        <v>0</v>
      </c>
      <c r="H59" s="73">
        <v>0</v>
      </c>
      <c r="I59" s="73">
        <v>0</v>
      </c>
      <c r="J59" s="73">
        <v>0</v>
      </c>
      <c r="K59" s="73">
        <v>0</v>
      </c>
      <c r="L59" s="73">
        <v>0</v>
      </c>
      <c r="M59" s="73">
        <v>0</v>
      </c>
      <c r="N59" s="73">
        <v>0</v>
      </c>
      <c r="O59" s="73">
        <v>0</v>
      </c>
    </row>
    <row r="60" spans="1:17" ht="19.5" customHeight="1" x14ac:dyDescent="0.2">
      <c r="A60" s="135"/>
      <c r="B60" s="143"/>
      <c r="C60" s="78" t="s">
        <v>13</v>
      </c>
      <c r="D60" s="73">
        <f>E60+F60+G60+H60+I60+J60+K60+L60+M60+N60+O60</f>
        <v>0</v>
      </c>
      <c r="E60" s="73">
        <v>0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73">
        <v>0</v>
      </c>
      <c r="M60" s="73">
        <v>0</v>
      </c>
      <c r="N60" s="73">
        <v>0</v>
      </c>
      <c r="O60" s="73">
        <v>0</v>
      </c>
    </row>
    <row r="61" spans="1:17" ht="15.75" x14ac:dyDescent="0.2">
      <c r="A61" s="135" t="s">
        <v>97</v>
      </c>
      <c r="B61" s="147" t="s">
        <v>421</v>
      </c>
      <c r="C61" s="78" t="s">
        <v>7</v>
      </c>
      <c r="D61" s="73">
        <f>E61+F61+G61+H61+I61+J61</f>
        <v>103147.9</v>
      </c>
      <c r="E61" s="73">
        <f>E62+E64+E65+E67</f>
        <v>101289</v>
      </c>
      <c r="F61" s="73">
        <f>F62+F64+F65+F67</f>
        <v>1200</v>
      </c>
      <c r="G61" s="73">
        <f t="shared" ref="G61:O61" si="43">G62+G64+G65+G67</f>
        <v>0</v>
      </c>
      <c r="H61" s="73">
        <f t="shared" si="43"/>
        <v>600</v>
      </c>
      <c r="I61" s="73">
        <f t="shared" si="43"/>
        <v>35.5</v>
      </c>
      <c r="J61" s="73">
        <f t="shared" si="43"/>
        <v>23.4</v>
      </c>
      <c r="K61" s="73">
        <f t="shared" si="43"/>
        <v>0</v>
      </c>
      <c r="L61" s="73">
        <f t="shared" si="43"/>
        <v>153.6</v>
      </c>
      <c r="M61" s="73">
        <f t="shared" si="43"/>
        <v>180</v>
      </c>
      <c r="N61" s="73">
        <f t="shared" si="43"/>
        <v>0</v>
      </c>
      <c r="O61" s="73">
        <f t="shared" si="43"/>
        <v>0</v>
      </c>
      <c r="P61" s="59">
        <v>35.4</v>
      </c>
      <c r="Q61" s="71">
        <f>I61-P61</f>
        <v>0.10000000000000142</v>
      </c>
    </row>
    <row r="62" spans="1:17" ht="31.5" x14ac:dyDescent="0.2">
      <c r="A62" s="135"/>
      <c r="B62" s="148"/>
      <c r="C62" s="78" t="s">
        <v>80</v>
      </c>
      <c r="D62" s="73">
        <f t="shared" ref="D62:D67" si="44">E62+F62+G62+H62+I62+J62+K62+L62+M62+N62+O62</f>
        <v>98793.9</v>
      </c>
      <c r="E62" s="73">
        <f>E63</f>
        <v>98793.9</v>
      </c>
      <c r="F62" s="73">
        <v>0</v>
      </c>
      <c r="G62" s="73">
        <v>0</v>
      </c>
      <c r="H62" s="73">
        <v>0</v>
      </c>
      <c r="I62" s="73">
        <v>0</v>
      </c>
      <c r="J62" s="73">
        <v>0</v>
      </c>
      <c r="K62" s="73">
        <v>0</v>
      </c>
      <c r="L62" s="73">
        <v>0</v>
      </c>
      <c r="M62" s="73">
        <v>0</v>
      </c>
      <c r="N62" s="73">
        <v>0</v>
      </c>
      <c r="O62" s="73">
        <v>0</v>
      </c>
    </row>
    <row r="63" spans="1:17" ht="31.5" x14ac:dyDescent="0.2">
      <c r="A63" s="135"/>
      <c r="B63" s="148"/>
      <c r="C63" s="79" t="s">
        <v>81</v>
      </c>
      <c r="D63" s="73">
        <f t="shared" si="44"/>
        <v>98793.9</v>
      </c>
      <c r="E63" s="75">
        <v>98793.9</v>
      </c>
      <c r="F63" s="75">
        <v>0</v>
      </c>
      <c r="G63" s="75">
        <v>0</v>
      </c>
      <c r="H63" s="75">
        <v>0</v>
      </c>
      <c r="I63" s="75">
        <v>0</v>
      </c>
      <c r="J63" s="75">
        <v>0</v>
      </c>
      <c r="K63" s="75">
        <v>0</v>
      </c>
      <c r="L63" s="75">
        <v>0</v>
      </c>
      <c r="M63" s="75">
        <v>0</v>
      </c>
      <c r="N63" s="75">
        <v>0</v>
      </c>
      <c r="O63" s="75">
        <v>0</v>
      </c>
    </row>
    <row r="64" spans="1:17" ht="15.75" x14ac:dyDescent="0.2">
      <c r="A64" s="135"/>
      <c r="B64" s="148"/>
      <c r="C64" s="78" t="s">
        <v>11</v>
      </c>
      <c r="D64" s="73">
        <f t="shared" si="44"/>
        <v>0</v>
      </c>
      <c r="E64" s="73">
        <v>0</v>
      </c>
      <c r="F64" s="73">
        <v>0</v>
      </c>
      <c r="G64" s="73">
        <v>0</v>
      </c>
      <c r="H64" s="73">
        <v>0</v>
      </c>
      <c r="I64" s="73">
        <v>0</v>
      </c>
      <c r="J64" s="73">
        <v>0</v>
      </c>
      <c r="K64" s="73">
        <v>0</v>
      </c>
      <c r="L64" s="73">
        <v>0</v>
      </c>
      <c r="M64" s="73">
        <v>0</v>
      </c>
      <c r="N64" s="73">
        <v>0</v>
      </c>
      <c r="O64" s="73">
        <v>0</v>
      </c>
      <c r="P64" s="61">
        <f>D62+D64+D65+D67</f>
        <v>103481.5</v>
      </c>
      <c r="Q64" s="61"/>
    </row>
    <row r="65" spans="1:15" ht="15.75" x14ac:dyDescent="0.2">
      <c r="A65" s="135"/>
      <c r="B65" s="148"/>
      <c r="C65" s="78" t="s">
        <v>12</v>
      </c>
      <c r="D65" s="73">
        <f t="shared" si="44"/>
        <v>4687.6000000000004</v>
      </c>
      <c r="E65" s="73">
        <v>2495.1</v>
      </c>
      <c r="F65" s="73">
        <v>1200</v>
      </c>
      <c r="G65" s="73">
        <v>0</v>
      </c>
      <c r="H65" s="73">
        <v>600</v>
      </c>
      <c r="I65" s="73">
        <v>35.5</v>
      </c>
      <c r="J65" s="73">
        <f>0+23.4</f>
        <v>23.4</v>
      </c>
      <c r="K65" s="73">
        <v>0</v>
      </c>
      <c r="L65" s="73">
        <f>221.5-67.9</f>
        <v>153.6</v>
      </c>
      <c r="M65" s="73">
        <v>180</v>
      </c>
      <c r="N65" s="73">
        <v>0</v>
      </c>
      <c r="O65" s="73">
        <v>0</v>
      </c>
    </row>
    <row r="66" spans="1:15" ht="31.5" x14ac:dyDescent="0.2">
      <c r="A66" s="135"/>
      <c r="B66" s="148"/>
      <c r="C66" s="79" t="s">
        <v>79</v>
      </c>
      <c r="D66" s="75">
        <f t="shared" si="44"/>
        <v>1200</v>
      </c>
      <c r="E66" s="75">
        <v>0</v>
      </c>
      <c r="F66" s="75">
        <v>1200</v>
      </c>
      <c r="G66" s="75">
        <v>0</v>
      </c>
      <c r="H66" s="75">
        <v>0</v>
      </c>
      <c r="I66" s="75">
        <v>0</v>
      </c>
      <c r="J66" s="75">
        <v>0</v>
      </c>
      <c r="K66" s="73">
        <v>0</v>
      </c>
      <c r="L66" s="73">
        <v>0</v>
      </c>
      <c r="M66" s="73">
        <v>0</v>
      </c>
      <c r="N66" s="73">
        <v>0</v>
      </c>
      <c r="O66" s="73">
        <v>0</v>
      </c>
    </row>
    <row r="67" spans="1:15" ht="21" customHeight="1" x14ac:dyDescent="0.2">
      <c r="A67" s="135"/>
      <c r="B67" s="149"/>
      <c r="C67" s="78" t="s">
        <v>13</v>
      </c>
      <c r="D67" s="73">
        <f t="shared" si="44"/>
        <v>0</v>
      </c>
      <c r="E67" s="73">
        <v>0</v>
      </c>
      <c r="F67" s="73">
        <v>0</v>
      </c>
      <c r="G67" s="73">
        <v>0</v>
      </c>
      <c r="H67" s="73">
        <v>0</v>
      </c>
      <c r="I67" s="73">
        <v>0</v>
      </c>
      <c r="J67" s="73">
        <v>0</v>
      </c>
      <c r="K67" s="73">
        <v>0</v>
      </c>
      <c r="L67" s="73">
        <v>0</v>
      </c>
      <c r="M67" s="73">
        <v>0</v>
      </c>
      <c r="N67" s="73">
        <v>0</v>
      </c>
      <c r="O67" s="73">
        <v>0</v>
      </c>
    </row>
    <row r="68" spans="1:15" ht="15.75" x14ac:dyDescent="0.2">
      <c r="A68" s="135" t="s">
        <v>98</v>
      </c>
      <c r="B68" s="143" t="s">
        <v>61</v>
      </c>
      <c r="C68" s="78" t="s">
        <v>7</v>
      </c>
      <c r="D68" s="73">
        <f>D69+D70+D71+D73</f>
        <v>2863</v>
      </c>
      <c r="E68" s="73">
        <f t="shared" ref="E68:K68" si="45">E69+E70+E71+E73</f>
        <v>2863</v>
      </c>
      <c r="F68" s="73">
        <f t="shared" si="45"/>
        <v>0</v>
      </c>
      <c r="G68" s="73">
        <f t="shared" si="45"/>
        <v>0</v>
      </c>
      <c r="H68" s="73">
        <f t="shared" si="45"/>
        <v>0</v>
      </c>
      <c r="I68" s="73">
        <f t="shared" si="45"/>
        <v>0</v>
      </c>
      <c r="J68" s="73">
        <f t="shared" si="45"/>
        <v>0</v>
      </c>
      <c r="K68" s="73">
        <f t="shared" si="45"/>
        <v>0</v>
      </c>
      <c r="L68" s="73">
        <f>L69+L70+L71+L73</f>
        <v>0</v>
      </c>
      <c r="M68" s="73">
        <f>M69+M70+M71+M73</f>
        <v>0</v>
      </c>
      <c r="N68" s="73">
        <f>N69+N70+N71+N73</f>
        <v>0</v>
      </c>
      <c r="O68" s="73">
        <f>O69+O70+O71+O73</f>
        <v>0</v>
      </c>
    </row>
    <row r="69" spans="1:15" ht="15.75" x14ac:dyDescent="0.2">
      <c r="A69" s="135"/>
      <c r="B69" s="143"/>
      <c r="C69" s="78" t="s">
        <v>10</v>
      </c>
      <c r="D69" s="73">
        <f>E69+F69+G69+H69+I69+J69+K69+L69+M69+N69+O69</f>
        <v>0</v>
      </c>
      <c r="E69" s="73">
        <f>F69+G69+H69+I69+J69</f>
        <v>0</v>
      </c>
      <c r="F69" s="73">
        <v>0</v>
      </c>
      <c r="G69" s="73">
        <v>0</v>
      </c>
      <c r="H69" s="73">
        <v>0</v>
      </c>
      <c r="I69" s="73">
        <v>0</v>
      </c>
      <c r="J69" s="73">
        <v>0</v>
      </c>
      <c r="K69" s="73">
        <v>0</v>
      </c>
      <c r="L69" s="73">
        <v>0</v>
      </c>
      <c r="M69" s="73">
        <v>0</v>
      </c>
      <c r="N69" s="73">
        <v>0</v>
      </c>
      <c r="O69" s="73">
        <v>0</v>
      </c>
    </row>
    <row r="70" spans="1:15" ht="15.75" x14ac:dyDescent="0.2">
      <c r="A70" s="135"/>
      <c r="B70" s="143"/>
      <c r="C70" s="78" t="s">
        <v>11</v>
      </c>
      <c r="D70" s="73">
        <f>E70+F70+G70+H70+I70+J70+K70+L70+M70+N70+O70</f>
        <v>0</v>
      </c>
      <c r="E70" s="73">
        <v>0</v>
      </c>
      <c r="F70" s="73">
        <v>0</v>
      </c>
      <c r="G70" s="73">
        <v>0</v>
      </c>
      <c r="H70" s="73">
        <v>0</v>
      </c>
      <c r="I70" s="73">
        <v>0</v>
      </c>
      <c r="J70" s="73">
        <v>0</v>
      </c>
      <c r="K70" s="73">
        <v>0</v>
      </c>
      <c r="L70" s="73">
        <v>0</v>
      </c>
      <c r="M70" s="73">
        <v>0</v>
      </c>
      <c r="N70" s="73">
        <v>0</v>
      </c>
      <c r="O70" s="73">
        <v>0</v>
      </c>
    </row>
    <row r="71" spans="1:15" ht="31.5" x14ac:dyDescent="0.2">
      <c r="A71" s="135"/>
      <c r="B71" s="143"/>
      <c r="C71" s="78" t="s">
        <v>65</v>
      </c>
      <c r="D71" s="73">
        <f>E71+F71+G71+H71+I71+J71+K71+L71+M71+N71+O71</f>
        <v>2863</v>
      </c>
      <c r="E71" s="73">
        <v>2863</v>
      </c>
      <c r="F71" s="73">
        <v>0</v>
      </c>
      <c r="G71" s="73">
        <v>0</v>
      </c>
      <c r="H71" s="73">
        <v>0</v>
      </c>
      <c r="I71" s="73">
        <v>0</v>
      </c>
      <c r="J71" s="73">
        <v>0</v>
      </c>
      <c r="K71" s="73">
        <v>0</v>
      </c>
      <c r="L71" s="73">
        <v>0</v>
      </c>
      <c r="M71" s="73">
        <v>0</v>
      </c>
      <c r="N71" s="73">
        <v>0</v>
      </c>
      <c r="O71" s="73">
        <v>0</v>
      </c>
    </row>
    <row r="72" spans="1:15" ht="33" customHeight="1" x14ac:dyDescent="0.2">
      <c r="A72" s="135"/>
      <c r="B72" s="143"/>
      <c r="C72" s="79" t="s">
        <v>79</v>
      </c>
      <c r="D72" s="73">
        <f>E72+F72+G72+H72+I72+J72+K72+L72+M72+N72+O72</f>
        <v>2863</v>
      </c>
      <c r="E72" s="75">
        <v>2863</v>
      </c>
      <c r="F72" s="75">
        <v>0</v>
      </c>
      <c r="G72" s="75">
        <v>0</v>
      </c>
      <c r="H72" s="75">
        <v>0</v>
      </c>
      <c r="I72" s="75">
        <v>0</v>
      </c>
      <c r="J72" s="75">
        <v>0</v>
      </c>
      <c r="K72" s="73">
        <v>0</v>
      </c>
      <c r="L72" s="75">
        <v>0</v>
      </c>
      <c r="M72" s="75">
        <v>0</v>
      </c>
      <c r="N72" s="75">
        <v>0</v>
      </c>
      <c r="O72" s="73">
        <v>0</v>
      </c>
    </row>
    <row r="73" spans="1:15" ht="20.25" customHeight="1" x14ac:dyDescent="0.2">
      <c r="A73" s="135"/>
      <c r="B73" s="143"/>
      <c r="C73" s="78" t="s">
        <v>13</v>
      </c>
      <c r="D73" s="73">
        <f>E73+F73+G73+H73+I73+J73+K73+L73+M73+N73+O73</f>
        <v>0</v>
      </c>
      <c r="E73" s="73">
        <v>0</v>
      </c>
      <c r="F73" s="73">
        <v>0</v>
      </c>
      <c r="G73" s="73">
        <v>0</v>
      </c>
      <c r="H73" s="73">
        <v>0</v>
      </c>
      <c r="I73" s="73">
        <v>0</v>
      </c>
      <c r="J73" s="73">
        <v>0</v>
      </c>
      <c r="K73" s="73">
        <v>0</v>
      </c>
      <c r="L73" s="73">
        <v>0</v>
      </c>
      <c r="M73" s="73">
        <v>0</v>
      </c>
      <c r="N73" s="73">
        <v>0</v>
      </c>
      <c r="O73" s="73">
        <v>0</v>
      </c>
    </row>
    <row r="74" spans="1:15" ht="15.75" x14ac:dyDescent="0.2">
      <c r="A74" s="135" t="s">
        <v>99</v>
      </c>
      <c r="B74" s="143" t="s">
        <v>138</v>
      </c>
      <c r="C74" s="78" t="s">
        <v>7</v>
      </c>
      <c r="D74" s="73">
        <f t="shared" ref="D74:K74" si="46">D75+D76+D78+D80</f>
        <v>19253.100000000002</v>
      </c>
      <c r="E74" s="73">
        <f t="shared" si="46"/>
        <v>19253.100000000002</v>
      </c>
      <c r="F74" s="73">
        <f t="shared" si="46"/>
        <v>0</v>
      </c>
      <c r="G74" s="73">
        <f t="shared" si="46"/>
        <v>0</v>
      </c>
      <c r="H74" s="73">
        <f t="shared" si="46"/>
        <v>0</v>
      </c>
      <c r="I74" s="73">
        <f t="shared" si="46"/>
        <v>0</v>
      </c>
      <c r="J74" s="73">
        <f t="shared" si="46"/>
        <v>0</v>
      </c>
      <c r="K74" s="73">
        <f t="shared" si="46"/>
        <v>0</v>
      </c>
      <c r="L74" s="73">
        <f>L75+L76+L78+L80</f>
        <v>0</v>
      </c>
      <c r="M74" s="73">
        <f>M75+M76+M78+M80</f>
        <v>0</v>
      </c>
      <c r="N74" s="73">
        <f>N75+N76+N78+N80</f>
        <v>0</v>
      </c>
      <c r="O74" s="73">
        <f>O75+O76+O78+O80</f>
        <v>0</v>
      </c>
    </row>
    <row r="75" spans="1:15" ht="15.75" x14ac:dyDescent="0.2">
      <c r="A75" s="135"/>
      <c r="B75" s="143"/>
      <c r="C75" s="78" t="s">
        <v>10</v>
      </c>
      <c r="D75" s="73">
        <f>E75+F75+G75+H75+I75+J75</f>
        <v>0</v>
      </c>
      <c r="E75" s="73">
        <f>F75+G75+H75+I75+J75</f>
        <v>0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</v>
      </c>
      <c r="L75" s="73">
        <v>0</v>
      </c>
      <c r="M75" s="73">
        <v>0</v>
      </c>
      <c r="N75" s="73">
        <v>0</v>
      </c>
      <c r="O75" s="73">
        <v>0</v>
      </c>
    </row>
    <row r="76" spans="1:15" ht="33" customHeight="1" x14ac:dyDescent="0.2">
      <c r="A76" s="135"/>
      <c r="B76" s="143"/>
      <c r="C76" s="78" t="s">
        <v>69</v>
      </c>
      <c r="D76" s="73">
        <f>E76+F76+G76+H76+I76+J76</f>
        <v>18290.400000000001</v>
      </c>
      <c r="E76" s="73">
        <v>18290.400000000001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0</v>
      </c>
      <c r="M76" s="73">
        <v>0</v>
      </c>
      <c r="N76" s="73">
        <v>0</v>
      </c>
      <c r="O76" s="73">
        <v>0</v>
      </c>
    </row>
    <row r="77" spans="1:15" ht="32.25" customHeight="1" x14ac:dyDescent="0.2">
      <c r="A77" s="135"/>
      <c r="B77" s="143"/>
      <c r="C77" s="79" t="s">
        <v>79</v>
      </c>
      <c r="D77" s="75">
        <f>E77</f>
        <v>18290.400000000001</v>
      </c>
      <c r="E77" s="75">
        <v>18290.400000000001</v>
      </c>
      <c r="F77" s="75">
        <v>0</v>
      </c>
      <c r="G77" s="75">
        <v>0</v>
      </c>
      <c r="H77" s="75">
        <v>0</v>
      </c>
      <c r="I77" s="75">
        <v>0</v>
      </c>
      <c r="J77" s="75">
        <v>0</v>
      </c>
      <c r="K77" s="73">
        <v>0</v>
      </c>
      <c r="L77" s="75">
        <v>0</v>
      </c>
      <c r="M77" s="75">
        <v>0</v>
      </c>
      <c r="N77" s="75">
        <v>0</v>
      </c>
      <c r="O77" s="73">
        <v>0</v>
      </c>
    </row>
    <row r="78" spans="1:15" ht="33.75" customHeight="1" x14ac:dyDescent="0.2">
      <c r="A78" s="135"/>
      <c r="B78" s="143"/>
      <c r="C78" s="78" t="s">
        <v>65</v>
      </c>
      <c r="D78" s="73">
        <f>E78+F78+G78+H78+I78+J78</f>
        <v>962.7</v>
      </c>
      <c r="E78" s="73">
        <v>962.7</v>
      </c>
      <c r="F78" s="73">
        <v>0</v>
      </c>
      <c r="G78" s="73">
        <v>0</v>
      </c>
      <c r="H78" s="73">
        <v>0</v>
      </c>
      <c r="I78" s="73">
        <v>0</v>
      </c>
      <c r="J78" s="73">
        <v>0</v>
      </c>
      <c r="K78" s="73">
        <v>0</v>
      </c>
      <c r="L78" s="73">
        <v>0</v>
      </c>
      <c r="M78" s="73">
        <v>0</v>
      </c>
      <c r="N78" s="73">
        <v>0</v>
      </c>
      <c r="O78" s="73">
        <v>0</v>
      </c>
    </row>
    <row r="79" spans="1:15" ht="30.75" customHeight="1" x14ac:dyDescent="0.2">
      <c r="A79" s="135"/>
      <c r="B79" s="143"/>
      <c r="C79" s="79" t="s">
        <v>79</v>
      </c>
      <c r="D79" s="75">
        <f>E79</f>
        <v>962.7</v>
      </c>
      <c r="E79" s="75">
        <v>962.7</v>
      </c>
      <c r="F79" s="75">
        <v>0</v>
      </c>
      <c r="G79" s="75">
        <v>0</v>
      </c>
      <c r="H79" s="75">
        <v>0</v>
      </c>
      <c r="I79" s="75">
        <v>0</v>
      </c>
      <c r="J79" s="75">
        <v>0</v>
      </c>
      <c r="K79" s="73">
        <v>0</v>
      </c>
      <c r="L79" s="75">
        <v>0</v>
      </c>
      <c r="M79" s="75">
        <v>0</v>
      </c>
      <c r="N79" s="75">
        <v>0</v>
      </c>
      <c r="O79" s="73">
        <v>0</v>
      </c>
    </row>
    <row r="80" spans="1:15" ht="18.75" customHeight="1" x14ac:dyDescent="0.2">
      <c r="A80" s="135"/>
      <c r="B80" s="143"/>
      <c r="C80" s="78" t="s">
        <v>13</v>
      </c>
      <c r="D80" s="73">
        <f>E80+F80+G80+H80+I80+J80</f>
        <v>0</v>
      </c>
      <c r="E80" s="73">
        <v>0</v>
      </c>
      <c r="F80" s="73">
        <v>0</v>
      </c>
      <c r="G80" s="73">
        <v>0</v>
      </c>
      <c r="H80" s="73">
        <v>0</v>
      </c>
      <c r="I80" s="73">
        <v>0</v>
      </c>
      <c r="J80" s="73">
        <v>0</v>
      </c>
      <c r="K80" s="73">
        <v>0</v>
      </c>
      <c r="L80" s="73">
        <v>0</v>
      </c>
      <c r="M80" s="73">
        <v>0</v>
      </c>
      <c r="N80" s="73">
        <v>0</v>
      </c>
      <c r="O80" s="73">
        <v>0</v>
      </c>
    </row>
    <row r="81" spans="1:15" ht="15.75" x14ac:dyDescent="0.2">
      <c r="A81" s="135" t="s">
        <v>100</v>
      </c>
      <c r="B81" s="147" t="s">
        <v>68</v>
      </c>
      <c r="C81" s="78" t="s">
        <v>7</v>
      </c>
      <c r="D81" s="73">
        <f t="shared" ref="D81:I81" si="47">D82+D83+D84+D86</f>
        <v>79.5</v>
      </c>
      <c r="E81" s="73">
        <f t="shared" si="47"/>
        <v>79.5</v>
      </c>
      <c r="F81" s="73">
        <f t="shared" si="47"/>
        <v>0</v>
      </c>
      <c r="G81" s="73">
        <f t="shared" si="47"/>
        <v>0</v>
      </c>
      <c r="H81" s="73">
        <f t="shared" si="47"/>
        <v>0</v>
      </c>
      <c r="I81" s="73">
        <f t="shared" si="47"/>
        <v>0</v>
      </c>
      <c r="J81" s="73">
        <f t="shared" ref="J81:O81" si="48">J82+J83+J84+J86</f>
        <v>0</v>
      </c>
      <c r="K81" s="73">
        <f t="shared" si="48"/>
        <v>0</v>
      </c>
      <c r="L81" s="73">
        <f t="shared" si="48"/>
        <v>0</v>
      </c>
      <c r="M81" s="73">
        <f t="shared" si="48"/>
        <v>0</v>
      </c>
      <c r="N81" s="73">
        <f t="shared" si="48"/>
        <v>0</v>
      </c>
      <c r="O81" s="73">
        <f t="shared" si="48"/>
        <v>0</v>
      </c>
    </row>
    <row r="82" spans="1:15" ht="18.75" customHeight="1" x14ac:dyDescent="0.2">
      <c r="A82" s="135"/>
      <c r="B82" s="148"/>
      <c r="C82" s="78" t="s">
        <v>10</v>
      </c>
      <c r="D82" s="73">
        <f>E82+F82+G82+H82+I82+J82</f>
        <v>0</v>
      </c>
      <c r="E82" s="73">
        <f>F82+G82+H82+I82+J82</f>
        <v>0</v>
      </c>
      <c r="F82" s="73">
        <v>0</v>
      </c>
      <c r="G82" s="73">
        <v>0</v>
      </c>
      <c r="H82" s="73">
        <v>0</v>
      </c>
      <c r="I82" s="73">
        <v>0</v>
      </c>
      <c r="J82" s="73">
        <v>0</v>
      </c>
      <c r="K82" s="73">
        <v>0</v>
      </c>
      <c r="L82" s="73">
        <v>0</v>
      </c>
      <c r="M82" s="73">
        <v>0</v>
      </c>
      <c r="N82" s="73">
        <v>0</v>
      </c>
      <c r="O82" s="73">
        <v>0</v>
      </c>
    </row>
    <row r="83" spans="1:15" ht="16.5" customHeight="1" x14ac:dyDescent="0.2">
      <c r="A83" s="135"/>
      <c r="B83" s="148"/>
      <c r="C83" s="78" t="s">
        <v>11</v>
      </c>
      <c r="D83" s="73">
        <f>E83+F83+G83+H83+I83+J83</f>
        <v>0</v>
      </c>
      <c r="E83" s="73">
        <v>0</v>
      </c>
      <c r="F83" s="73">
        <v>0</v>
      </c>
      <c r="G83" s="73">
        <v>0</v>
      </c>
      <c r="H83" s="73">
        <v>0</v>
      </c>
      <c r="I83" s="73">
        <v>0</v>
      </c>
      <c r="J83" s="73">
        <v>0</v>
      </c>
      <c r="K83" s="73">
        <v>0</v>
      </c>
      <c r="L83" s="73">
        <v>0</v>
      </c>
      <c r="M83" s="73">
        <v>0</v>
      </c>
      <c r="N83" s="73">
        <v>0</v>
      </c>
      <c r="O83" s="73">
        <v>0</v>
      </c>
    </row>
    <row r="84" spans="1:15" ht="31.5" x14ac:dyDescent="0.2">
      <c r="A84" s="135"/>
      <c r="B84" s="148"/>
      <c r="C84" s="78" t="s">
        <v>65</v>
      </c>
      <c r="D84" s="73">
        <f>E84+F84+G84+H84+I84+J84</f>
        <v>79.5</v>
      </c>
      <c r="E84" s="73">
        <v>79.5</v>
      </c>
      <c r="F84" s="73">
        <v>0</v>
      </c>
      <c r="G84" s="73">
        <v>0</v>
      </c>
      <c r="H84" s="73">
        <v>0</v>
      </c>
      <c r="I84" s="73">
        <v>0</v>
      </c>
      <c r="J84" s="73">
        <v>0</v>
      </c>
      <c r="K84" s="73">
        <v>0</v>
      </c>
      <c r="L84" s="73">
        <v>0</v>
      </c>
      <c r="M84" s="73">
        <v>0</v>
      </c>
      <c r="N84" s="73">
        <v>0</v>
      </c>
      <c r="O84" s="73">
        <v>0</v>
      </c>
    </row>
    <row r="85" spans="1:15" ht="30.75" customHeight="1" x14ac:dyDescent="0.2">
      <c r="A85" s="135"/>
      <c r="B85" s="148"/>
      <c r="C85" s="79" t="s">
        <v>79</v>
      </c>
      <c r="D85" s="75">
        <f>E85</f>
        <v>79.5</v>
      </c>
      <c r="E85" s="75">
        <v>79.5</v>
      </c>
      <c r="F85" s="75">
        <v>0</v>
      </c>
      <c r="G85" s="75">
        <v>0</v>
      </c>
      <c r="H85" s="75">
        <v>0</v>
      </c>
      <c r="I85" s="75">
        <v>0</v>
      </c>
      <c r="J85" s="75">
        <v>0</v>
      </c>
      <c r="K85" s="73">
        <v>0</v>
      </c>
      <c r="L85" s="75">
        <v>0</v>
      </c>
      <c r="M85" s="75">
        <v>0</v>
      </c>
      <c r="N85" s="75">
        <v>0</v>
      </c>
      <c r="O85" s="73">
        <v>0</v>
      </c>
    </row>
    <row r="86" spans="1:15" ht="19.5" customHeight="1" x14ac:dyDescent="0.2">
      <c r="A86" s="135"/>
      <c r="B86" s="149"/>
      <c r="C86" s="78" t="s">
        <v>13</v>
      </c>
      <c r="D86" s="73">
        <f>E86+F86+G86+H86+I86+J86</f>
        <v>0</v>
      </c>
      <c r="E86" s="73">
        <v>0</v>
      </c>
      <c r="F86" s="73">
        <v>0</v>
      </c>
      <c r="G86" s="73">
        <v>0</v>
      </c>
      <c r="H86" s="73">
        <v>0</v>
      </c>
      <c r="I86" s="73">
        <v>0</v>
      </c>
      <c r="J86" s="73">
        <v>0</v>
      </c>
      <c r="K86" s="73">
        <v>0</v>
      </c>
      <c r="L86" s="73">
        <v>0</v>
      </c>
      <c r="M86" s="73">
        <v>0</v>
      </c>
      <c r="N86" s="73">
        <v>0</v>
      </c>
      <c r="O86" s="73">
        <v>0</v>
      </c>
    </row>
    <row r="87" spans="1:15" ht="15.75" x14ac:dyDescent="0.2">
      <c r="A87" s="135" t="s">
        <v>101</v>
      </c>
      <c r="B87" s="143" t="s">
        <v>70</v>
      </c>
      <c r="C87" s="78" t="s">
        <v>7</v>
      </c>
      <c r="D87" s="73">
        <f t="shared" ref="D87:K87" si="49">D89+D90+D91+D93</f>
        <v>31.7</v>
      </c>
      <c r="E87" s="73">
        <f t="shared" si="49"/>
        <v>31.7</v>
      </c>
      <c r="F87" s="73">
        <f t="shared" si="49"/>
        <v>0</v>
      </c>
      <c r="G87" s="73">
        <f t="shared" si="49"/>
        <v>0</v>
      </c>
      <c r="H87" s="73">
        <f t="shared" si="49"/>
        <v>0</v>
      </c>
      <c r="I87" s="73">
        <f t="shared" si="49"/>
        <v>0</v>
      </c>
      <c r="J87" s="73">
        <f t="shared" si="49"/>
        <v>0</v>
      </c>
      <c r="K87" s="73">
        <f t="shared" si="49"/>
        <v>0</v>
      </c>
      <c r="L87" s="73">
        <f>L89+L90+L91+L93</f>
        <v>0</v>
      </c>
      <c r="M87" s="73">
        <f>M89+M90+M91+M93</f>
        <v>0</v>
      </c>
      <c r="N87" s="73">
        <f>N89+N90+N91+N93</f>
        <v>0</v>
      </c>
      <c r="O87" s="73">
        <f>O89+O90+O91+O93</f>
        <v>0</v>
      </c>
    </row>
    <row r="88" spans="1:15" ht="31.5" x14ac:dyDescent="0.2">
      <c r="A88" s="135"/>
      <c r="B88" s="143"/>
      <c r="C88" s="79" t="s">
        <v>79</v>
      </c>
      <c r="D88" s="75">
        <f>E88</f>
        <v>31.7</v>
      </c>
      <c r="E88" s="75">
        <f>E92</f>
        <v>31.7</v>
      </c>
      <c r="F88" s="75">
        <v>0</v>
      </c>
      <c r="G88" s="75">
        <v>0</v>
      </c>
      <c r="H88" s="75">
        <v>0</v>
      </c>
      <c r="I88" s="75">
        <v>0</v>
      </c>
      <c r="J88" s="75">
        <v>0</v>
      </c>
      <c r="K88" s="75">
        <v>0</v>
      </c>
      <c r="L88" s="75">
        <v>0</v>
      </c>
      <c r="M88" s="75">
        <v>0</v>
      </c>
      <c r="N88" s="75">
        <v>0</v>
      </c>
      <c r="O88" s="75">
        <v>0</v>
      </c>
    </row>
    <row r="89" spans="1:15" ht="15.75" x14ac:dyDescent="0.2">
      <c r="A89" s="135"/>
      <c r="B89" s="143"/>
      <c r="C89" s="78" t="s">
        <v>10</v>
      </c>
      <c r="D89" s="73">
        <f>E89+F89+G89+H89+I89+J89</f>
        <v>0</v>
      </c>
      <c r="E89" s="73">
        <f>F89+G89+H89+I89+J89</f>
        <v>0</v>
      </c>
      <c r="F89" s="73">
        <v>0</v>
      </c>
      <c r="G89" s="73">
        <v>0</v>
      </c>
      <c r="H89" s="73">
        <v>0</v>
      </c>
      <c r="I89" s="73">
        <v>0</v>
      </c>
      <c r="J89" s="73">
        <v>0</v>
      </c>
      <c r="K89" s="73">
        <v>0</v>
      </c>
      <c r="L89" s="73">
        <v>0</v>
      </c>
      <c r="M89" s="73">
        <v>0</v>
      </c>
      <c r="N89" s="73">
        <v>0</v>
      </c>
      <c r="O89" s="73">
        <v>0</v>
      </c>
    </row>
    <row r="90" spans="1:15" ht="15.75" x14ac:dyDescent="0.2">
      <c r="A90" s="135"/>
      <c r="B90" s="143"/>
      <c r="C90" s="78" t="s">
        <v>11</v>
      </c>
      <c r="D90" s="73">
        <f>E90+F90+G90+H90+I90+J90</f>
        <v>0</v>
      </c>
      <c r="E90" s="73">
        <v>0</v>
      </c>
      <c r="F90" s="73">
        <v>0</v>
      </c>
      <c r="G90" s="73">
        <v>0</v>
      </c>
      <c r="H90" s="73">
        <v>0</v>
      </c>
      <c r="I90" s="73">
        <v>0</v>
      </c>
      <c r="J90" s="73">
        <v>0</v>
      </c>
      <c r="K90" s="73">
        <v>0</v>
      </c>
      <c r="L90" s="73">
        <v>0</v>
      </c>
      <c r="M90" s="73">
        <v>0</v>
      </c>
      <c r="N90" s="73">
        <v>0</v>
      </c>
      <c r="O90" s="73">
        <v>0</v>
      </c>
    </row>
    <row r="91" spans="1:15" ht="32.25" customHeight="1" x14ac:dyDescent="0.2">
      <c r="A91" s="135"/>
      <c r="B91" s="143"/>
      <c r="C91" s="78" t="s">
        <v>65</v>
      </c>
      <c r="D91" s="73">
        <f>E91+F91+G91+H91+I91+J91</f>
        <v>31.7</v>
      </c>
      <c r="E91" s="73">
        <v>31.7</v>
      </c>
      <c r="F91" s="73">
        <v>0</v>
      </c>
      <c r="G91" s="73">
        <v>0</v>
      </c>
      <c r="H91" s="73">
        <v>0</v>
      </c>
      <c r="I91" s="73">
        <v>0</v>
      </c>
      <c r="J91" s="73">
        <v>0</v>
      </c>
      <c r="K91" s="73">
        <v>0</v>
      </c>
      <c r="L91" s="73">
        <v>0</v>
      </c>
      <c r="M91" s="73">
        <v>0</v>
      </c>
      <c r="N91" s="73">
        <v>0</v>
      </c>
      <c r="O91" s="73">
        <v>0</v>
      </c>
    </row>
    <row r="92" spans="1:15" ht="31.5" customHeight="1" x14ac:dyDescent="0.2">
      <c r="A92" s="135"/>
      <c r="B92" s="143"/>
      <c r="C92" s="79" t="s">
        <v>79</v>
      </c>
      <c r="D92" s="75">
        <f>E92</f>
        <v>31.7</v>
      </c>
      <c r="E92" s="75">
        <v>31.7</v>
      </c>
      <c r="F92" s="75">
        <v>0</v>
      </c>
      <c r="G92" s="75">
        <v>0</v>
      </c>
      <c r="H92" s="75">
        <v>0</v>
      </c>
      <c r="I92" s="75">
        <v>0</v>
      </c>
      <c r="J92" s="75">
        <v>0</v>
      </c>
      <c r="K92" s="73">
        <v>0</v>
      </c>
      <c r="L92" s="75">
        <v>0</v>
      </c>
      <c r="M92" s="75">
        <v>0</v>
      </c>
      <c r="N92" s="75">
        <v>0</v>
      </c>
      <c r="O92" s="73">
        <v>0</v>
      </c>
    </row>
    <row r="93" spans="1:15" ht="18" customHeight="1" x14ac:dyDescent="0.2">
      <c r="A93" s="135"/>
      <c r="B93" s="143"/>
      <c r="C93" s="78" t="s">
        <v>13</v>
      </c>
      <c r="D93" s="73">
        <f>E93+F93+G93+H93+I93+J93</f>
        <v>0</v>
      </c>
      <c r="E93" s="73">
        <v>0</v>
      </c>
      <c r="F93" s="73">
        <v>0</v>
      </c>
      <c r="G93" s="73">
        <v>0</v>
      </c>
      <c r="H93" s="73">
        <v>0</v>
      </c>
      <c r="I93" s="73">
        <v>0</v>
      </c>
      <c r="J93" s="73">
        <v>0</v>
      </c>
      <c r="K93" s="73">
        <v>0</v>
      </c>
      <c r="L93" s="73">
        <v>0</v>
      </c>
      <c r="M93" s="73">
        <v>0</v>
      </c>
      <c r="N93" s="73">
        <v>0</v>
      </c>
      <c r="O93" s="73">
        <v>0</v>
      </c>
    </row>
    <row r="94" spans="1:15" ht="15.75" x14ac:dyDescent="0.2">
      <c r="A94" s="135" t="s">
        <v>102</v>
      </c>
      <c r="B94" s="135" t="s">
        <v>208</v>
      </c>
      <c r="C94" s="78" t="s">
        <v>7</v>
      </c>
      <c r="D94" s="73">
        <f t="shared" ref="D94:K94" si="50">D95+D96+D97+D99</f>
        <v>7.8</v>
      </c>
      <c r="E94" s="73">
        <f t="shared" si="50"/>
        <v>7.8</v>
      </c>
      <c r="F94" s="73">
        <f t="shared" si="50"/>
        <v>0</v>
      </c>
      <c r="G94" s="73">
        <f t="shared" si="50"/>
        <v>0</v>
      </c>
      <c r="H94" s="73">
        <f t="shared" si="50"/>
        <v>0</v>
      </c>
      <c r="I94" s="73">
        <f t="shared" si="50"/>
        <v>0</v>
      </c>
      <c r="J94" s="73">
        <f t="shared" si="50"/>
        <v>0</v>
      </c>
      <c r="K94" s="73">
        <f t="shared" si="50"/>
        <v>0</v>
      </c>
      <c r="L94" s="73">
        <f>L96+L97+L98+L100</f>
        <v>0</v>
      </c>
      <c r="M94" s="73">
        <f>M96+M97+M98+M100</f>
        <v>0</v>
      </c>
      <c r="N94" s="73">
        <f>N96+N97+N98+N100</f>
        <v>0</v>
      </c>
      <c r="O94" s="73">
        <f>O96+O97+O98+O100</f>
        <v>0</v>
      </c>
    </row>
    <row r="95" spans="1:15" ht="15.75" x14ac:dyDescent="0.2">
      <c r="A95" s="135"/>
      <c r="B95" s="135"/>
      <c r="C95" s="78" t="s">
        <v>10</v>
      </c>
      <c r="D95" s="73">
        <f>E95+F95+G95+H95+I95+J95</f>
        <v>0</v>
      </c>
      <c r="E95" s="73">
        <f>F95+G95+H95+I95+J95</f>
        <v>0</v>
      </c>
      <c r="F95" s="73">
        <v>0</v>
      </c>
      <c r="G95" s="73">
        <v>0</v>
      </c>
      <c r="H95" s="73">
        <v>0</v>
      </c>
      <c r="I95" s="73">
        <v>0</v>
      </c>
      <c r="J95" s="73">
        <v>0</v>
      </c>
      <c r="K95" s="73">
        <v>0</v>
      </c>
      <c r="L95" s="75">
        <v>0</v>
      </c>
      <c r="M95" s="75">
        <v>0</v>
      </c>
      <c r="N95" s="75">
        <v>0</v>
      </c>
      <c r="O95" s="75">
        <v>0</v>
      </c>
    </row>
    <row r="96" spans="1:15" ht="18" customHeight="1" x14ac:dyDescent="0.2">
      <c r="A96" s="135"/>
      <c r="B96" s="135"/>
      <c r="C96" s="78" t="s">
        <v>11</v>
      </c>
      <c r="D96" s="73">
        <f>E96+F96+G96+H96+I96+J96</f>
        <v>0</v>
      </c>
      <c r="E96" s="73">
        <v>0</v>
      </c>
      <c r="F96" s="73">
        <v>0</v>
      </c>
      <c r="G96" s="73">
        <v>0</v>
      </c>
      <c r="H96" s="73">
        <v>0</v>
      </c>
      <c r="I96" s="73">
        <v>0</v>
      </c>
      <c r="J96" s="73">
        <v>0</v>
      </c>
      <c r="K96" s="73">
        <v>0</v>
      </c>
      <c r="L96" s="73">
        <v>0</v>
      </c>
      <c r="M96" s="73">
        <v>0</v>
      </c>
      <c r="N96" s="73">
        <v>0</v>
      </c>
      <c r="O96" s="73">
        <v>0</v>
      </c>
    </row>
    <row r="97" spans="1:15" ht="31.5" x14ac:dyDescent="0.2">
      <c r="A97" s="135"/>
      <c r="B97" s="135"/>
      <c r="C97" s="78" t="s">
        <v>65</v>
      </c>
      <c r="D97" s="73">
        <f>E97+F97+G97+H97+I97+J97</f>
        <v>7.8</v>
      </c>
      <c r="E97" s="73">
        <v>7.8</v>
      </c>
      <c r="F97" s="73">
        <v>0</v>
      </c>
      <c r="G97" s="73">
        <v>0</v>
      </c>
      <c r="H97" s="73">
        <v>0</v>
      </c>
      <c r="I97" s="73">
        <v>0</v>
      </c>
      <c r="J97" s="73">
        <v>0</v>
      </c>
      <c r="K97" s="73">
        <v>0</v>
      </c>
      <c r="L97" s="73">
        <v>0</v>
      </c>
      <c r="M97" s="73">
        <v>0</v>
      </c>
      <c r="N97" s="73">
        <v>0</v>
      </c>
      <c r="O97" s="73">
        <v>0</v>
      </c>
    </row>
    <row r="98" spans="1:15" ht="31.5" customHeight="1" x14ac:dyDescent="0.2">
      <c r="A98" s="135"/>
      <c r="B98" s="135"/>
      <c r="C98" s="79" t="s">
        <v>79</v>
      </c>
      <c r="D98" s="75">
        <f>E98</f>
        <v>7.8</v>
      </c>
      <c r="E98" s="75">
        <v>7.8</v>
      </c>
      <c r="F98" s="75">
        <v>0</v>
      </c>
      <c r="G98" s="75">
        <v>0</v>
      </c>
      <c r="H98" s="75">
        <v>0</v>
      </c>
      <c r="I98" s="75">
        <v>0</v>
      </c>
      <c r="J98" s="75">
        <v>0</v>
      </c>
      <c r="K98" s="73">
        <v>0</v>
      </c>
      <c r="L98" s="73">
        <v>0</v>
      </c>
      <c r="M98" s="73">
        <v>0</v>
      </c>
      <c r="N98" s="73">
        <v>0</v>
      </c>
      <c r="O98" s="73">
        <v>0</v>
      </c>
    </row>
    <row r="99" spans="1:15" ht="18" customHeight="1" x14ac:dyDescent="0.2">
      <c r="A99" s="135"/>
      <c r="B99" s="135"/>
      <c r="C99" s="78" t="s">
        <v>13</v>
      </c>
      <c r="D99" s="73">
        <f t="shared" ref="D99:D107" si="51">E99+F99+G99+H99+I99+J99</f>
        <v>0</v>
      </c>
      <c r="E99" s="73">
        <v>0</v>
      </c>
      <c r="F99" s="73">
        <v>0</v>
      </c>
      <c r="G99" s="73">
        <v>0</v>
      </c>
      <c r="H99" s="73">
        <v>0</v>
      </c>
      <c r="I99" s="73">
        <v>0</v>
      </c>
      <c r="J99" s="73">
        <v>0</v>
      </c>
      <c r="K99" s="73">
        <v>0</v>
      </c>
      <c r="L99" s="75">
        <v>0</v>
      </c>
      <c r="M99" s="75">
        <v>0</v>
      </c>
      <c r="N99" s="75">
        <v>0</v>
      </c>
      <c r="O99" s="73">
        <v>0</v>
      </c>
    </row>
    <row r="100" spans="1:15" ht="15.75" x14ac:dyDescent="0.2">
      <c r="A100" s="135" t="s">
        <v>103</v>
      </c>
      <c r="B100" s="143" t="s">
        <v>234</v>
      </c>
      <c r="C100" s="78" t="s">
        <v>7</v>
      </c>
      <c r="D100" s="73">
        <f t="shared" si="51"/>
        <v>12272.3</v>
      </c>
      <c r="E100" s="73">
        <f t="shared" ref="E100:K100" si="52">E101+E102+E104+E105</f>
        <v>12243.8</v>
      </c>
      <c r="F100" s="73">
        <f t="shared" si="52"/>
        <v>17.5</v>
      </c>
      <c r="G100" s="73">
        <f t="shared" si="52"/>
        <v>11</v>
      </c>
      <c r="H100" s="73">
        <f t="shared" si="52"/>
        <v>0</v>
      </c>
      <c r="I100" s="73">
        <f t="shared" si="52"/>
        <v>0</v>
      </c>
      <c r="J100" s="73">
        <f t="shared" si="52"/>
        <v>0</v>
      </c>
      <c r="K100" s="73">
        <f t="shared" si="52"/>
        <v>0</v>
      </c>
      <c r="L100" s="73">
        <v>0</v>
      </c>
      <c r="M100" s="73">
        <v>0</v>
      </c>
      <c r="N100" s="73">
        <v>0</v>
      </c>
      <c r="O100" s="73">
        <v>0</v>
      </c>
    </row>
    <row r="101" spans="1:15" ht="15.75" x14ac:dyDescent="0.2">
      <c r="A101" s="142"/>
      <c r="B101" s="143"/>
      <c r="C101" s="78" t="s">
        <v>10</v>
      </c>
      <c r="D101" s="73">
        <f t="shared" si="51"/>
        <v>0</v>
      </c>
      <c r="E101" s="73">
        <v>0</v>
      </c>
      <c r="F101" s="73">
        <v>0</v>
      </c>
      <c r="G101" s="73">
        <v>0</v>
      </c>
      <c r="H101" s="73">
        <v>0</v>
      </c>
      <c r="I101" s="73">
        <v>0</v>
      </c>
      <c r="J101" s="73">
        <v>0</v>
      </c>
      <c r="K101" s="73">
        <v>0</v>
      </c>
      <c r="L101" s="73">
        <v>0</v>
      </c>
      <c r="M101" s="73">
        <v>0</v>
      </c>
      <c r="N101" s="73">
        <v>0</v>
      </c>
      <c r="O101" s="73">
        <v>0</v>
      </c>
    </row>
    <row r="102" spans="1:15" ht="31.5" x14ac:dyDescent="0.2">
      <c r="A102" s="142"/>
      <c r="B102" s="143"/>
      <c r="C102" s="78" t="s">
        <v>69</v>
      </c>
      <c r="D102" s="73">
        <f t="shared" si="51"/>
        <v>9842.7999999999993</v>
      </c>
      <c r="E102" s="73">
        <v>9842.7999999999993</v>
      </c>
      <c r="F102" s="73">
        <v>0</v>
      </c>
      <c r="G102" s="73">
        <v>0</v>
      </c>
      <c r="H102" s="73">
        <v>0</v>
      </c>
      <c r="I102" s="73">
        <v>0</v>
      </c>
      <c r="J102" s="73">
        <v>0</v>
      </c>
      <c r="K102" s="73">
        <v>0</v>
      </c>
      <c r="L102" s="73">
        <v>0</v>
      </c>
      <c r="M102" s="73">
        <v>0</v>
      </c>
      <c r="N102" s="73">
        <v>0</v>
      </c>
      <c r="O102" s="73">
        <v>0</v>
      </c>
    </row>
    <row r="103" spans="1:15" ht="31.5" customHeight="1" x14ac:dyDescent="0.2">
      <c r="A103" s="142"/>
      <c r="B103" s="143"/>
      <c r="C103" s="79" t="s">
        <v>81</v>
      </c>
      <c r="D103" s="75">
        <f t="shared" si="51"/>
        <v>9842.7999999999993</v>
      </c>
      <c r="E103" s="75">
        <v>9842.7999999999993</v>
      </c>
      <c r="F103" s="75">
        <v>0</v>
      </c>
      <c r="G103" s="75">
        <v>0</v>
      </c>
      <c r="H103" s="75">
        <v>0</v>
      </c>
      <c r="I103" s="75">
        <v>0</v>
      </c>
      <c r="J103" s="75">
        <v>0</v>
      </c>
      <c r="K103" s="73">
        <v>0</v>
      </c>
      <c r="L103" s="75">
        <v>0</v>
      </c>
      <c r="M103" s="75">
        <v>0</v>
      </c>
      <c r="N103" s="75">
        <v>0</v>
      </c>
      <c r="O103" s="73">
        <v>0</v>
      </c>
    </row>
    <row r="104" spans="1:15" ht="16.5" customHeight="1" x14ac:dyDescent="0.2">
      <c r="A104" s="142"/>
      <c r="B104" s="143"/>
      <c r="C104" s="78" t="s">
        <v>12</v>
      </c>
      <c r="D104" s="73">
        <f t="shared" si="51"/>
        <v>2429.5</v>
      </c>
      <c r="E104" s="73">
        <v>2401</v>
      </c>
      <c r="F104" s="73">
        <v>17.5</v>
      </c>
      <c r="G104" s="73">
        <v>11</v>
      </c>
      <c r="H104" s="73">
        <v>0</v>
      </c>
      <c r="I104" s="73">
        <v>0</v>
      </c>
      <c r="J104" s="73">
        <v>0</v>
      </c>
      <c r="K104" s="73">
        <v>0</v>
      </c>
      <c r="L104" s="73">
        <v>0</v>
      </c>
      <c r="M104" s="73">
        <v>0</v>
      </c>
      <c r="N104" s="73">
        <v>0</v>
      </c>
      <c r="O104" s="73">
        <v>0</v>
      </c>
    </row>
    <row r="105" spans="1:15" ht="18.75" customHeight="1" x14ac:dyDescent="0.2">
      <c r="A105" s="142"/>
      <c r="B105" s="143"/>
      <c r="C105" s="78" t="s">
        <v>13</v>
      </c>
      <c r="D105" s="73">
        <f t="shared" si="51"/>
        <v>0</v>
      </c>
      <c r="E105" s="73">
        <v>0</v>
      </c>
      <c r="F105" s="73">
        <v>0</v>
      </c>
      <c r="G105" s="73">
        <v>0</v>
      </c>
      <c r="H105" s="73">
        <v>0</v>
      </c>
      <c r="I105" s="73">
        <v>0</v>
      </c>
      <c r="J105" s="73">
        <v>0</v>
      </c>
      <c r="K105" s="73">
        <v>0</v>
      </c>
      <c r="L105" s="73">
        <v>0</v>
      </c>
      <c r="M105" s="73">
        <v>0</v>
      </c>
      <c r="N105" s="73">
        <v>0</v>
      </c>
      <c r="O105" s="73">
        <v>0</v>
      </c>
    </row>
    <row r="106" spans="1:15" ht="15.75" x14ac:dyDescent="0.2">
      <c r="A106" s="139" t="s">
        <v>104</v>
      </c>
      <c r="B106" s="147" t="s">
        <v>139</v>
      </c>
      <c r="C106" s="78" t="s">
        <v>7</v>
      </c>
      <c r="D106" s="73">
        <f t="shared" si="51"/>
        <v>1053.9000000000001</v>
      </c>
      <c r="E106" s="73">
        <f>E109+E108+E110+E112</f>
        <v>1053.9000000000001</v>
      </c>
      <c r="F106" s="73">
        <v>0</v>
      </c>
      <c r="G106" s="73">
        <v>0</v>
      </c>
      <c r="H106" s="73">
        <v>0</v>
      </c>
      <c r="I106" s="73">
        <v>0</v>
      </c>
      <c r="J106" s="73">
        <v>0</v>
      </c>
      <c r="K106" s="73">
        <v>0</v>
      </c>
      <c r="L106" s="73">
        <v>0</v>
      </c>
      <c r="M106" s="73">
        <v>0</v>
      </c>
      <c r="N106" s="73">
        <v>0</v>
      </c>
      <c r="O106" s="73">
        <v>0</v>
      </c>
    </row>
    <row r="107" spans="1:15" ht="35.25" customHeight="1" x14ac:dyDescent="0.2">
      <c r="A107" s="140"/>
      <c r="B107" s="148"/>
      <c r="C107" s="79" t="s">
        <v>79</v>
      </c>
      <c r="D107" s="75">
        <f t="shared" si="51"/>
        <v>1053.9000000000001</v>
      </c>
      <c r="E107" s="75">
        <f>E111</f>
        <v>1053.9000000000001</v>
      </c>
      <c r="F107" s="75">
        <v>0</v>
      </c>
      <c r="G107" s="75">
        <v>0</v>
      </c>
      <c r="H107" s="75">
        <v>0</v>
      </c>
      <c r="I107" s="75">
        <v>0</v>
      </c>
      <c r="J107" s="75">
        <v>0</v>
      </c>
      <c r="K107" s="75">
        <v>0</v>
      </c>
      <c r="L107" s="75">
        <v>0</v>
      </c>
      <c r="M107" s="75">
        <v>0</v>
      </c>
      <c r="N107" s="75">
        <v>0</v>
      </c>
      <c r="O107" s="75">
        <v>0</v>
      </c>
    </row>
    <row r="108" spans="1:15" ht="15.75" x14ac:dyDescent="0.2">
      <c r="A108" s="154"/>
      <c r="B108" s="148"/>
      <c r="C108" s="78" t="s">
        <v>10</v>
      </c>
      <c r="D108" s="73">
        <v>0</v>
      </c>
      <c r="E108" s="73">
        <v>0</v>
      </c>
      <c r="F108" s="73">
        <v>0</v>
      </c>
      <c r="G108" s="73">
        <v>0</v>
      </c>
      <c r="H108" s="73">
        <v>0</v>
      </c>
      <c r="I108" s="73">
        <v>0</v>
      </c>
      <c r="J108" s="73">
        <v>0</v>
      </c>
      <c r="K108" s="73">
        <v>0</v>
      </c>
      <c r="L108" s="73">
        <v>0</v>
      </c>
      <c r="M108" s="73">
        <v>0</v>
      </c>
      <c r="N108" s="73">
        <v>0</v>
      </c>
      <c r="O108" s="73">
        <v>0</v>
      </c>
    </row>
    <row r="109" spans="1:15" ht="15.75" x14ac:dyDescent="0.2">
      <c r="A109" s="154"/>
      <c r="B109" s="148"/>
      <c r="C109" s="78" t="s">
        <v>11</v>
      </c>
      <c r="D109" s="75">
        <f>E109+F109+G109+H109+I109+J109</f>
        <v>0</v>
      </c>
      <c r="E109" s="73">
        <v>0</v>
      </c>
      <c r="F109" s="73">
        <v>0</v>
      </c>
      <c r="G109" s="73">
        <v>0</v>
      </c>
      <c r="H109" s="73">
        <v>0</v>
      </c>
      <c r="I109" s="73">
        <v>0</v>
      </c>
      <c r="J109" s="73">
        <v>0</v>
      </c>
      <c r="K109" s="73">
        <v>0</v>
      </c>
      <c r="L109" s="73">
        <v>0</v>
      </c>
      <c r="M109" s="73">
        <v>0</v>
      </c>
      <c r="N109" s="73">
        <v>0</v>
      </c>
      <c r="O109" s="73">
        <v>0</v>
      </c>
    </row>
    <row r="110" spans="1:15" ht="31.5" x14ac:dyDescent="0.2">
      <c r="A110" s="154"/>
      <c r="B110" s="148"/>
      <c r="C110" s="78" t="s">
        <v>65</v>
      </c>
      <c r="D110" s="73">
        <f>E110+F110+G110+H110+I110+J110</f>
        <v>1053.9000000000001</v>
      </c>
      <c r="E110" s="73">
        <f>E111</f>
        <v>1053.9000000000001</v>
      </c>
      <c r="F110" s="73">
        <v>0</v>
      </c>
      <c r="G110" s="73">
        <v>0</v>
      </c>
      <c r="H110" s="73">
        <v>0</v>
      </c>
      <c r="I110" s="73">
        <v>0</v>
      </c>
      <c r="J110" s="73">
        <v>0</v>
      </c>
      <c r="K110" s="73">
        <v>0</v>
      </c>
      <c r="L110" s="73">
        <v>0</v>
      </c>
      <c r="M110" s="73">
        <v>0</v>
      </c>
      <c r="N110" s="73">
        <v>0</v>
      </c>
      <c r="O110" s="73">
        <v>0</v>
      </c>
    </row>
    <row r="111" spans="1:15" ht="31.5" customHeight="1" x14ac:dyDescent="0.2">
      <c r="A111" s="154"/>
      <c r="B111" s="148"/>
      <c r="C111" s="79" t="s">
        <v>79</v>
      </c>
      <c r="D111" s="75">
        <f>E111+F111+G111+H111+I111+J111</f>
        <v>1053.9000000000001</v>
      </c>
      <c r="E111" s="75">
        <v>1053.9000000000001</v>
      </c>
      <c r="F111" s="75">
        <v>0</v>
      </c>
      <c r="G111" s="75">
        <v>0</v>
      </c>
      <c r="H111" s="75">
        <v>0</v>
      </c>
      <c r="I111" s="75">
        <v>0</v>
      </c>
      <c r="J111" s="75">
        <v>0</v>
      </c>
      <c r="K111" s="73">
        <v>0</v>
      </c>
      <c r="L111" s="75">
        <v>0</v>
      </c>
      <c r="M111" s="75">
        <v>0</v>
      </c>
      <c r="N111" s="75">
        <v>0</v>
      </c>
      <c r="O111" s="73">
        <v>0</v>
      </c>
    </row>
    <row r="112" spans="1:15" ht="18" customHeight="1" x14ac:dyDescent="0.2">
      <c r="A112" s="155"/>
      <c r="B112" s="149"/>
      <c r="C112" s="78" t="s">
        <v>13</v>
      </c>
      <c r="D112" s="73">
        <v>0</v>
      </c>
      <c r="E112" s="73">
        <v>0</v>
      </c>
      <c r="F112" s="73">
        <v>0</v>
      </c>
      <c r="G112" s="73">
        <v>0</v>
      </c>
      <c r="H112" s="73">
        <v>0</v>
      </c>
      <c r="I112" s="73">
        <v>0</v>
      </c>
      <c r="J112" s="73">
        <v>0</v>
      </c>
      <c r="K112" s="73">
        <v>0</v>
      </c>
      <c r="L112" s="73">
        <v>0</v>
      </c>
      <c r="M112" s="73">
        <v>0</v>
      </c>
      <c r="N112" s="73">
        <v>0</v>
      </c>
      <c r="O112" s="73">
        <v>0</v>
      </c>
    </row>
    <row r="113" spans="1:15" ht="15.75" x14ac:dyDescent="0.2">
      <c r="A113" s="135" t="s">
        <v>105</v>
      </c>
      <c r="B113" s="139" t="s">
        <v>72</v>
      </c>
      <c r="C113" s="78" t="s">
        <v>7</v>
      </c>
      <c r="D113" s="73">
        <f>E113+F113+G113+H113+I113+J113</f>
        <v>92.2</v>
      </c>
      <c r="E113" s="73">
        <f t="shared" ref="E113:O113" si="53">E114</f>
        <v>92.2</v>
      </c>
      <c r="F113" s="73">
        <f t="shared" si="53"/>
        <v>0</v>
      </c>
      <c r="G113" s="73">
        <f t="shared" si="53"/>
        <v>0</v>
      </c>
      <c r="H113" s="73">
        <f t="shared" si="53"/>
        <v>0</v>
      </c>
      <c r="I113" s="73">
        <f t="shared" si="53"/>
        <v>0</v>
      </c>
      <c r="J113" s="73">
        <f t="shared" si="53"/>
        <v>0</v>
      </c>
      <c r="K113" s="73">
        <f t="shared" si="53"/>
        <v>0</v>
      </c>
      <c r="L113" s="73">
        <f t="shared" si="53"/>
        <v>0</v>
      </c>
      <c r="M113" s="73">
        <f t="shared" si="53"/>
        <v>0</v>
      </c>
      <c r="N113" s="73">
        <f t="shared" si="53"/>
        <v>0</v>
      </c>
      <c r="O113" s="73">
        <f t="shared" si="53"/>
        <v>0</v>
      </c>
    </row>
    <row r="114" spans="1:15" ht="31.5" customHeight="1" x14ac:dyDescent="0.2">
      <c r="A114" s="135"/>
      <c r="B114" s="140"/>
      <c r="C114" s="79" t="s">
        <v>79</v>
      </c>
      <c r="D114" s="75">
        <f>E114+F114+G114+H114+I114+J114</f>
        <v>92.2</v>
      </c>
      <c r="E114" s="75">
        <f t="shared" ref="E114:K114" si="54">E118</f>
        <v>92.2</v>
      </c>
      <c r="F114" s="75">
        <f t="shared" si="54"/>
        <v>0</v>
      </c>
      <c r="G114" s="75">
        <f t="shared" si="54"/>
        <v>0</v>
      </c>
      <c r="H114" s="75">
        <f t="shared" si="54"/>
        <v>0</v>
      </c>
      <c r="I114" s="75">
        <f t="shared" si="54"/>
        <v>0</v>
      </c>
      <c r="J114" s="75">
        <f t="shared" si="54"/>
        <v>0</v>
      </c>
      <c r="K114" s="75">
        <f t="shared" si="54"/>
        <v>0</v>
      </c>
      <c r="L114" s="75">
        <f>L118</f>
        <v>0</v>
      </c>
      <c r="M114" s="75">
        <f>M118</f>
        <v>0</v>
      </c>
      <c r="N114" s="75">
        <f>N118</f>
        <v>0</v>
      </c>
      <c r="O114" s="75">
        <f>O118</f>
        <v>0</v>
      </c>
    </row>
    <row r="115" spans="1:15" ht="15.75" x14ac:dyDescent="0.2">
      <c r="A115" s="142"/>
      <c r="B115" s="140"/>
      <c r="C115" s="78" t="s">
        <v>10</v>
      </c>
      <c r="D115" s="73">
        <v>0</v>
      </c>
      <c r="E115" s="73">
        <v>0</v>
      </c>
      <c r="F115" s="73">
        <v>0</v>
      </c>
      <c r="G115" s="73">
        <v>0</v>
      </c>
      <c r="H115" s="73">
        <v>0</v>
      </c>
      <c r="I115" s="73">
        <v>0</v>
      </c>
      <c r="J115" s="73">
        <v>0</v>
      </c>
      <c r="K115" s="73">
        <v>0</v>
      </c>
      <c r="L115" s="73">
        <v>0</v>
      </c>
      <c r="M115" s="73">
        <v>0</v>
      </c>
      <c r="N115" s="73">
        <v>0</v>
      </c>
      <c r="O115" s="73">
        <v>0</v>
      </c>
    </row>
    <row r="116" spans="1:15" ht="15.75" x14ac:dyDescent="0.2">
      <c r="A116" s="142"/>
      <c r="B116" s="140"/>
      <c r="C116" s="78" t="s">
        <v>11</v>
      </c>
      <c r="D116" s="73">
        <f>E116+F116+G116+H116+I116+J116</f>
        <v>0</v>
      </c>
      <c r="E116" s="73">
        <v>0</v>
      </c>
      <c r="F116" s="73">
        <v>0</v>
      </c>
      <c r="G116" s="73">
        <v>0</v>
      </c>
      <c r="H116" s="73">
        <v>0</v>
      </c>
      <c r="I116" s="73">
        <v>0</v>
      </c>
      <c r="J116" s="73">
        <v>0</v>
      </c>
      <c r="K116" s="73">
        <v>0</v>
      </c>
      <c r="L116" s="73">
        <v>0</v>
      </c>
      <c r="M116" s="73">
        <v>0</v>
      </c>
      <c r="N116" s="73">
        <v>0</v>
      </c>
      <c r="O116" s="73">
        <v>0</v>
      </c>
    </row>
    <row r="117" spans="1:15" ht="31.5" x14ac:dyDescent="0.2">
      <c r="A117" s="142"/>
      <c r="B117" s="140"/>
      <c r="C117" s="78" t="s">
        <v>65</v>
      </c>
      <c r="D117" s="73">
        <f>E117+F117+G117+H117+I117+J117</f>
        <v>92.2</v>
      </c>
      <c r="E117" s="73">
        <f>E118</f>
        <v>92.2</v>
      </c>
      <c r="F117" s="73">
        <v>0</v>
      </c>
      <c r="G117" s="73">
        <v>0</v>
      </c>
      <c r="H117" s="73">
        <v>0</v>
      </c>
      <c r="I117" s="73">
        <v>0</v>
      </c>
      <c r="J117" s="73">
        <v>0</v>
      </c>
      <c r="K117" s="73">
        <v>0</v>
      </c>
      <c r="L117" s="73">
        <v>0</v>
      </c>
      <c r="M117" s="73">
        <v>0</v>
      </c>
      <c r="N117" s="73">
        <v>0</v>
      </c>
      <c r="O117" s="73">
        <v>0</v>
      </c>
    </row>
    <row r="118" spans="1:15" ht="31.5" customHeight="1" x14ac:dyDescent="0.2">
      <c r="A118" s="142"/>
      <c r="B118" s="140"/>
      <c r="C118" s="79" t="s">
        <v>79</v>
      </c>
      <c r="D118" s="75">
        <f>E118</f>
        <v>92.2</v>
      </c>
      <c r="E118" s="75">
        <v>92.2</v>
      </c>
      <c r="F118" s="75">
        <v>0</v>
      </c>
      <c r="G118" s="75">
        <v>0</v>
      </c>
      <c r="H118" s="75">
        <v>0</v>
      </c>
      <c r="I118" s="75">
        <v>0</v>
      </c>
      <c r="J118" s="75">
        <v>0</v>
      </c>
      <c r="K118" s="73">
        <v>0</v>
      </c>
      <c r="L118" s="75">
        <v>0</v>
      </c>
      <c r="M118" s="75">
        <v>0</v>
      </c>
      <c r="N118" s="75">
        <v>0</v>
      </c>
      <c r="O118" s="73">
        <v>0</v>
      </c>
    </row>
    <row r="119" spans="1:15" ht="18.75" customHeight="1" x14ac:dyDescent="0.2">
      <c r="A119" s="142"/>
      <c r="B119" s="141"/>
      <c r="C119" s="78" t="s">
        <v>13</v>
      </c>
      <c r="D119" s="73">
        <v>0</v>
      </c>
      <c r="E119" s="73">
        <v>0</v>
      </c>
      <c r="F119" s="73">
        <v>0</v>
      </c>
      <c r="G119" s="73">
        <v>0</v>
      </c>
      <c r="H119" s="73">
        <v>0</v>
      </c>
      <c r="I119" s="73">
        <v>0</v>
      </c>
      <c r="J119" s="73">
        <v>0</v>
      </c>
      <c r="K119" s="73">
        <v>0</v>
      </c>
      <c r="L119" s="73">
        <v>0</v>
      </c>
      <c r="M119" s="73">
        <v>0</v>
      </c>
      <c r="N119" s="73">
        <v>0</v>
      </c>
      <c r="O119" s="73">
        <v>0</v>
      </c>
    </row>
    <row r="120" spans="1:15" ht="15.75" x14ac:dyDescent="0.2">
      <c r="A120" s="135" t="s">
        <v>106</v>
      </c>
      <c r="B120" s="135" t="s">
        <v>77</v>
      </c>
      <c r="C120" s="78" t="s">
        <v>7</v>
      </c>
      <c r="D120" s="73">
        <f>E120+F120+G120+H120+I120+J120</f>
        <v>1186.7</v>
      </c>
      <c r="E120" s="73">
        <f t="shared" ref="E120:O120" si="55">E121</f>
        <v>1186.7</v>
      </c>
      <c r="F120" s="73">
        <f t="shared" si="55"/>
        <v>0</v>
      </c>
      <c r="G120" s="73">
        <f t="shared" si="55"/>
        <v>0</v>
      </c>
      <c r="H120" s="73">
        <f t="shared" si="55"/>
        <v>0</v>
      </c>
      <c r="I120" s="73">
        <f t="shared" si="55"/>
        <v>0</v>
      </c>
      <c r="J120" s="73">
        <f t="shared" si="55"/>
        <v>0</v>
      </c>
      <c r="K120" s="73">
        <f t="shared" si="55"/>
        <v>0</v>
      </c>
      <c r="L120" s="73">
        <f t="shared" si="55"/>
        <v>0</v>
      </c>
      <c r="M120" s="73">
        <f t="shared" si="55"/>
        <v>0</v>
      </c>
      <c r="N120" s="73">
        <f t="shared" si="55"/>
        <v>0</v>
      </c>
      <c r="O120" s="73">
        <f t="shared" si="55"/>
        <v>0</v>
      </c>
    </row>
    <row r="121" spans="1:15" ht="31.5" x14ac:dyDescent="0.2">
      <c r="A121" s="135"/>
      <c r="B121" s="135"/>
      <c r="C121" s="79" t="s">
        <v>79</v>
      </c>
      <c r="D121" s="75">
        <f>E121+F121+G121+H121+I121+J121</f>
        <v>1186.7</v>
      </c>
      <c r="E121" s="75">
        <f t="shared" ref="E121:K121" si="56">E124+E126</f>
        <v>1186.7</v>
      </c>
      <c r="F121" s="75">
        <f t="shared" si="56"/>
        <v>0</v>
      </c>
      <c r="G121" s="75">
        <f t="shared" si="56"/>
        <v>0</v>
      </c>
      <c r="H121" s="75">
        <f t="shared" si="56"/>
        <v>0</v>
      </c>
      <c r="I121" s="75">
        <f t="shared" si="56"/>
        <v>0</v>
      </c>
      <c r="J121" s="75">
        <f t="shared" si="56"/>
        <v>0</v>
      </c>
      <c r="K121" s="75">
        <f t="shared" si="56"/>
        <v>0</v>
      </c>
      <c r="L121" s="75">
        <f>L124+L126</f>
        <v>0</v>
      </c>
      <c r="M121" s="75">
        <f>M124+M126</f>
        <v>0</v>
      </c>
      <c r="N121" s="75">
        <f>N124+N126</f>
        <v>0</v>
      </c>
      <c r="O121" s="75">
        <f>O124+O126</f>
        <v>0</v>
      </c>
    </row>
    <row r="122" spans="1:15" ht="15.75" x14ac:dyDescent="0.2">
      <c r="A122" s="142"/>
      <c r="B122" s="135"/>
      <c r="C122" s="78" t="s">
        <v>10</v>
      </c>
      <c r="D122" s="73">
        <v>0</v>
      </c>
      <c r="E122" s="73">
        <v>0</v>
      </c>
      <c r="F122" s="73">
        <v>0</v>
      </c>
      <c r="G122" s="73">
        <v>0</v>
      </c>
      <c r="H122" s="73">
        <v>0</v>
      </c>
      <c r="I122" s="73">
        <v>0</v>
      </c>
      <c r="J122" s="73">
        <v>0</v>
      </c>
      <c r="K122" s="73">
        <v>0</v>
      </c>
      <c r="L122" s="73">
        <v>0</v>
      </c>
      <c r="M122" s="73">
        <v>0</v>
      </c>
      <c r="N122" s="73">
        <v>0</v>
      </c>
      <c r="O122" s="73">
        <v>0</v>
      </c>
    </row>
    <row r="123" spans="1:15" ht="31.5" x14ac:dyDescent="0.2">
      <c r="A123" s="142"/>
      <c r="B123" s="135"/>
      <c r="C123" s="78" t="s">
        <v>69</v>
      </c>
      <c r="D123" s="73">
        <f>E123+F123+G123+H123+I123+J123</f>
        <v>619.70000000000005</v>
      </c>
      <c r="E123" s="73">
        <f t="shared" ref="E123:N123" si="57">E124</f>
        <v>619.70000000000005</v>
      </c>
      <c r="F123" s="73">
        <f t="shared" si="57"/>
        <v>0</v>
      </c>
      <c r="G123" s="73">
        <f t="shared" si="57"/>
        <v>0</v>
      </c>
      <c r="H123" s="73">
        <f t="shared" si="57"/>
        <v>0</v>
      </c>
      <c r="I123" s="73">
        <f t="shared" si="57"/>
        <v>0</v>
      </c>
      <c r="J123" s="73">
        <f t="shared" si="57"/>
        <v>0</v>
      </c>
      <c r="K123" s="73">
        <v>0</v>
      </c>
      <c r="L123" s="73">
        <f t="shared" si="57"/>
        <v>0</v>
      </c>
      <c r="M123" s="73">
        <f t="shared" si="57"/>
        <v>0</v>
      </c>
      <c r="N123" s="73">
        <f t="shared" si="57"/>
        <v>0</v>
      </c>
      <c r="O123" s="73">
        <v>0</v>
      </c>
    </row>
    <row r="124" spans="1:15" ht="31.5" x14ac:dyDescent="0.2">
      <c r="A124" s="142"/>
      <c r="B124" s="135"/>
      <c r="C124" s="79" t="s">
        <v>79</v>
      </c>
      <c r="D124" s="75">
        <f>E124+F124+G124+H124+I124+J124</f>
        <v>619.70000000000005</v>
      </c>
      <c r="E124" s="75">
        <v>619.70000000000005</v>
      </c>
      <c r="F124" s="75">
        <v>0</v>
      </c>
      <c r="G124" s="75">
        <v>0</v>
      </c>
      <c r="H124" s="75">
        <v>0</v>
      </c>
      <c r="I124" s="75">
        <v>0</v>
      </c>
      <c r="J124" s="75">
        <v>0</v>
      </c>
      <c r="K124" s="73">
        <v>0</v>
      </c>
      <c r="L124" s="75">
        <v>0</v>
      </c>
      <c r="M124" s="75">
        <v>0</v>
      </c>
      <c r="N124" s="75">
        <v>0</v>
      </c>
      <c r="O124" s="73">
        <v>0</v>
      </c>
    </row>
    <row r="125" spans="1:15" ht="31.5" x14ac:dyDescent="0.2">
      <c r="A125" s="142"/>
      <c r="B125" s="135"/>
      <c r="C125" s="78" t="s">
        <v>65</v>
      </c>
      <c r="D125" s="73">
        <f>E125+F125+G125+H125+I125+J125</f>
        <v>567</v>
      </c>
      <c r="E125" s="73">
        <v>567</v>
      </c>
      <c r="F125" s="73">
        <v>0</v>
      </c>
      <c r="G125" s="73">
        <v>0</v>
      </c>
      <c r="H125" s="73">
        <v>0</v>
      </c>
      <c r="I125" s="73">
        <v>0</v>
      </c>
      <c r="J125" s="73">
        <v>0</v>
      </c>
      <c r="K125" s="73">
        <v>0</v>
      </c>
      <c r="L125" s="73">
        <v>0</v>
      </c>
      <c r="M125" s="73">
        <v>0</v>
      </c>
      <c r="N125" s="73">
        <v>0</v>
      </c>
      <c r="O125" s="73">
        <v>0</v>
      </c>
    </row>
    <row r="126" spans="1:15" ht="31.5" x14ac:dyDescent="0.2">
      <c r="A126" s="142"/>
      <c r="B126" s="135"/>
      <c r="C126" s="79" t="s">
        <v>79</v>
      </c>
      <c r="D126" s="75">
        <f>E126</f>
        <v>567</v>
      </c>
      <c r="E126" s="75">
        <v>567</v>
      </c>
      <c r="F126" s="75">
        <v>0</v>
      </c>
      <c r="G126" s="75">
        <v>0</v>
      </c>
      <c r="H126" s="75">
        <v>0</v>
      </c>
      <c r="I126" s="75">
        <v>0</v>
      </c>
      <c r="J126" s="75">
        <v>0</v>
      </c>
      <c r="K126" s="73">
        <v>0</v>
      </c>
      <c r="L126" s="75">
        <v>0</v>
      </c>
      <c r="M126" s="75">
        <v>0</v>
      </c>
      <c r="N126" s="75">
        <v>0</v>
      </c>
      <c r="O126" s="73">
        <v>0</v>
      </c>
    </row>
    <row r="127" spans="1:15" ht="18" customHeight="1" x14ac:dyDescent="0.2">
      <c r="A127" s="142"/>
      <c r="B127" s="135"/>
      <c r="C127" s="78" t="s">
        <v>13</v>
      </c>
      <c r="D127" s="73">
        <v>0</v>
      </c>
      <c r="E127" s="73">
        <v>0</v>
      </c>
      <c r="F127" s="73">
        <v>0</v>
      </c>
      <c r="G127" s="73">
        <v>0</v>
      </c>
      <c r="H127" s="73">
        <v>0</v>
      </c>
      <c r="I127" s="73">
        <v>0</v>
      </c>
      <c r="J127" s="73">
        <v>0</v>
      </c>
      <c r="K127" s="73">
        <v>0</v>
      </c>
      <c r="L127" s="73">
        <v>0</v>
      </c>
      <c r="M127" s="73">
        <v>0</v>
      </c>
      <c r="N127" s="73">
        <v>0</v>
      </c>
      <c r="O127" s="73">
        <v>0</v>
      </c>
    </row>
    <row r="128" spans="1:15" ht="15.75" x14ac:dyDescent="0.2">
      <c r="A128" s="139" t="s">
        <v>107</v>
      </c>
      <c r="B128" s="143" t="s">
        <v>140</v>
      </c>
      <c r="C128" s="78" t="s">
        <v>7</v>
      </c>
      <c r="D128" s="73">
        <f>E128+F128+G128+H128+I128+J128</f>
        <v>25000</v>
      </c>
      <c r="E128" s="73">
        <f>E130+E131+E134+E136</f>
        <v>25000</v>
      </c>
      <c r="F128" s="73">
        <f t="shared" ref="F128:K128" si="58">F130+F131+F134+F136</f>
        <v>0</v>
      </c>
      <c r="G128" s="73">
        <f t="shared" si="58"/>
        <v>0</v>
      </c>
      <c r="H128" s="73">
        <f t="shared" si="58"/>
        <v>0</v>
      </c>
      <c r="I128" s="73">
        <f t="shared" si="58"/>
        <v>0</v>
      </c>
      <c r="J128" s="73">
        <f t="shared" si="58"/>
        <v>0</v>
      </c>
      <c r="K128" s="73">
        <f t="shared" si="58"/>
        <v>0</v>
      </c>
      <c r="L128" s="73">
        <f>L130+L131+L134+L136</f>
        <v>0</v>
      </c>
      <c r="M128" s="73">
        <f>M130+M131+M134+M136</f>
        <v>0</v>
      </c>
      <c r="N128" s="73">
        <f>N130+N131+N134+N136</f>
        <v>0</v>
      </c>
      <c r="O128" s="73">
        <f>O130+O131+O134+O136</f>
        <v>0</v>
      </c>
    </row>
    <row r="129" spans="1:15" ht="31.5" x14ac:dyDescent="0.2">
      <c r="A129" s="140"/>
      <c r="B129" s="143"/>
      <c r="C129" s="79" t="s">
        <v>79</v>
      </c>
      <c r="D129" s="75">
        <f>E129+F129+G129+H129+I129+J129</f>
        <v>15579.7</v>
      </c>
      <c r="E129" s="75">
        <f>E133+E135</f>
        <v>15579.7</v>
      </c>
      <c r="F129" s="75">
        <f t="shared" ref="F129:K129" si="59">F133+F135</f>
        <v>0</v>
      </c>
      <c r="G129" s="75">
        <f t="shared" si="59"/>
        <v>0</v>
      </c>
      <c r="H129" s="75">
        <f t="shared" si="59"/>
        <v>0</v>
      </c>
      <c r="I129" s="75">
        <f t="shared" si="59"/>
        <v>0</v>
      </c>
      <c r="J129" s="75">
        <f t="shared" si="59"/>
        <v>0</v>
      </c>
      <c r="K129" s="75">
        <f t="shared" si="59"/>
        <v>0</v>
      </c>
      <c r="L129" s="75">
        <f>L133+L135</f>
        <v>0</v>
      </c>
      <c r="M129" s="75">
        <f>M133+M135</f>
        <v>0</v>
      </c>
      <c r="N129" s="75">
        <f>N133+N135</f>
        <v>0</v>
      </c>
      <c r="O129" s="75">
        <f>O133+O135</f>
        <v>0</v>
      </c>
    </row>
    <row r="130" spans="1:15" ht="15.75" x14ac:dyDescent="0.2">
      <c r="A130" s="154"/>
      <c r="B130" s="143"/>
      <c r="C130" s="78" t="s">
        <v>10</v>
      </c>
      <c r="D130" s="73">
        <v>0</v>
      </c>
      <c r="E130" s="73">
        <v>0</v>
      </c>
      <c r="F130" s="73">
        <v>0</v>
      </c>
      <c r="G130" s="73">
        <v>0</v>
      </c>
      <c r="H130" s="73">
        <v>0</v>
      </c>
      <c r="I130" s="73">
        <v>0</v>
      </c>
      <c r="J130" s="73">
        <v>0</v>
      </c>
      <c r="K130" s="73">
        <v>0</v>
      </c>
      <c r="L130" s="73">
        <v>0</v>
      </c>
      <c r="M130" s="73">
        <v>0</v>
      </c>
      <c r="N130" s="73">
        <v>0</v>
      </c>
      <c r="O130" s="73">
        <v>0</v>
      </c>
    </row>
    <row r="131" spans="1:15" ht="31.5" x14ac:dyDescent="0.2">
      <c r="A131" s="154"/>
      <c r="B131" s="143"/>
      <c r="C131" s="78" t="s">
        <v>69</v>
      </c>
      <c r="D131" s="73">
        <f>E131+F131+G131+H131+I131+J131</f>
        <v>23141.4</v>
      </c>
      <c r="E131" s="73">
        <f>E133+8045.7</f>
        <v>23141.4</v>
      </c>
      <c r="F131" s="73">
        <f>F133</f>
        <v>0</v>
      </c>
      <c r="G131" s="73">
        <f>G133</f>
        <v>0</v>
      </c>
      <c r="H131" s="73">
        <f>H133</f>
        <v>0</v>
      </c>
      <c r="I131" s="73">
        <f>I133</f>
        <v>0</v>
      </c>
      <c r="J131" s="73">
        <f>J133</f>
        <v>0</v>
      </c>
      <c r="K131" s="73">
        <v>0</v>
      </c>
      <c r="L131" s="73">
        <f>L133</f>
        <v>0</v>
      </c>
      <c r="M131" s="73">
        <f>M133</f>
        <v>0</v>
      </c>
      <c r="N131" s="73">
        <f>N133</f>
        <v>0</v>
      </c>
      <c r="O131" s="73">
        <v>0</v>
      </c>
    </row>
    <row r="132" spans="1:15" ht="31.5" x14ac:dyDescent="0.2">
      <c r="A132" s="154"/>
      <c r="B132" s="143"/>
      <c r="C132" s="79" t="s">
        <v>81</v>
      </c>
      <c r="D132" s="75">
        <f>E132+F132+G132+H132+I132+J132</f>
        <v>8045.7</v>
      </c>
      <c r="E132" s="75">
        <v>8045.7</v>
      </c>
      <c r="F132" s="75">
        <v>0</v>
      </c>
      <c r="G132" s="75">
        <v>0</v>
      </c>
      <c r="H132" s="75">
        <v>0</v>
      </c>
      <c r="I132" s="75">
        <v>0</v>
      </c>
      <c r="J132" s="75">
        <v>0</v>
      </c>
      <c r="K132" s="73">
        <v>0</v>
      </c>
      <c r="L132" s="75">
        <v>0</v>
      </c>
      <c r="M132" s="75">
        <v>0</v>
      </c>
      <c r="N132" s="75">
        <v>0</v>
      </c>
      <c r="O132" s="73">
        <v>0</v>
      </c>
    </row>
    <row r="133" spans="1:15" ht="32.25" customHeight="1" x14ac:dyDescent="0.2">
      <c r="A133" s="154"/>
      <c r="B133" s="143"/>
      <c r="C133" s="79" t="s">
        <v>79</v>
      </c>
      <c r="D133" s="75">
        <f>E133+F133+G133+H133+I133+J133</f>
        <v>15095.7</v>
      </c>
      <c r="E133" s="75">
        <v>15095.7</v>
      </c>
      <c r="F133" s="75">
        <v>0</v>
      </c>
      <c r="G133" s="75">
        <v>0</v>
      </c>
      <c r="H133" s="75">
        <v>0</v>
      </c>
      <c r="I133" s="75">
        <v>0</v>
      </c>
      <c r="J133" s="75">
        <v>0</v>
      </c>
      <c r="K133" s="73">
        <v>0</v>
      </c>
      <c r="L133" s="75">
        <v>0</v>
      </c>
      <c r="M133" s="75">
        <v>0</v>
      </c>
      <c r="N133" s="75">
        <v>0</v>
      </c>
      <c r="O133" s="73">
        <v>0</v>
      </c>
    </row>
    <row r="134" spans="1:15" ht="31.5" x14ac:dyDescent="0.2">
      <c r="A134" s="154"/>
      <c r="B134" s="143"/>
      <c r="C134" s="78" t="s">
        <v>65</v>
      </c>
      <c r="D134" s="73">
        <f>E134+F134+G134+H134+I134+J134</f>
        <v>1858.6</v>
      </c>
      <c r="E134" s="73">
        <f>484+1374.6</f>
        <v>1858.6</v>
      </c>
      <c r="F134" s="73">
        <v>0</v>
      </c>
      <c r="G134" s="73">
        <v>0</v>
      </c>
      <c r="H134" s="73">
        <v>0</v>
      </c>
      <c r="I134" s="73">
        <v>0</v>
      </c>
      <c r="J134" s="73">
        <v>0</v>
      </c>
      <c r="K134" s="73">
        <v>0</v>
      </c>
      <c r="L134" s="73">
        <v>0</v>
      </c>
      <c r="M134" s="73">
        <v>0</v>
      </c>
      <c r="N134" s="73">
        <v>0</v>
      </c>
      <c r="O134" s="73">
        <v>0</v>
      </c>
    </row>
    <row r="135" spans="1:15" ht="31.5" x14ac:dyDescent="0.2">
      <c r="A135" s="154"/>
      <c r="B135" s="143"/>
      <c r="C135" s="79" t="s">
        <v>79</v>
      </c>
      <c r="D135" s="75">
        <f>E135</f>
        <v>484</v>
      </c>
      <c r="E135" s="75">
        <v>484</v>
      </c>
      <c r="F135" s="75">
        <v>0</v>
      </c>
      <c r="G135" s="75">
        <v>0</v>
      </c>
      <c r="H135" s="75">
        <v>0</v>
      </c>
      <c r="I135" s="75">
        <v>0</v>
      </c>
      <c r="J135" s="75">
        <v>0</v>
      </c>
      <c r="K135" s="73">
        <v>0</v>
      </c>
      <c r="L135" s="75">
        <v>0</v>
      </c>
      <c r="M135" s="75">
        <v>0</v>
      </c>
      <c r="N135" s="75">
        <v>0</v>
      </c>
      <c r="O135" s="73">
        <v>0</v>
      </c>
    </row>
    <row r="136" spans="1:15" ht="15.75" x14ac:dyDescent="0.2">
      <c r="A136" s="155"/>
      <c r="B136" s="143"/>
      <c r="C136" s="78" t="s">
        <v>13</v>
      </c>
      <c r="D136" s="73">
        <v>0</v>
      </c>
      <c r="E136" s="73">
        <v>0</v>
      </c>
      <c r="F136" s="73">
        <v>0</v>
      </c>
      <c r="G136" s="73">
        <v>0</v>
      </c>
      <c r="H136" s="73">
        <v>0</v>
      </c>
      <c r="I136" s="73">
        <v>0</v>
      </c>
      <c r="J136" s="73">
        <v>0</v>
      </c>
      <c r="K136" s="73">
        <v>0</v>
      </c>
      <c r="L136" s="73">
        <v>0</v>
      </c>
      <c r="M136" s="73">
        <v>0</v>
      </c>
      <c r="N136" s="73">
        <v>0</v>
      </c>
      <c r="O136" s="73">
        <v>0</v>
      </c>
    </row>
    <row r="137" spans="1:15" ht="15.75" x14ac:dyDescent="0.2">
      <c r="A137" s="135" t="s">
        <v>108</v>
      </c>
      <c r="B137" s="143" t="s">
        <v>74</v>
      </c>
      <c r="C137" s="78" t="s">
        <v>7</v>
      </c>
      <c r="D137" s="73">
        <f>E137+F137+G137+H137+I137+J137</f>
        <v>155</v>
      </c>
      <c r="E137" s="73">
        <f>E139+E140+E141+E143</f>
        <v>155</v>
      </c>
      <c r="F137" s="73">
        <f t="shared" ref="F137:K137" si="60">F139+F140+F141+F143</f>
        <v>0</v>
      </c>
      <c r="G137" s="73">
        <f t="shared" si="60"/>
        <v>0</v>
      </c>
      <c r="H137" s="73">
        <f t="shared" si="60"/>
        <v>0</v>
      </c>
      <c r="I137" s="73">
        <f t="shared" si="60"/>
        <v>0</v>
      </c>
      <c r="J137" s="73">
        <f t="shared" si="60"/>
        <v>0</v>
      </c>
      <c r="K137" s="73">
        <f t="shared" si="60"/>
        <v>0</v>
      </c>
      <c r="L137" s="73">
        <f>L139+L140+L141+L143</f>
        <v>0</v>
      </c>
      <c r="M137" s="73">
        <f>M139+M140+M141+M143</f>
        <v>0</v>
      </c>
      <c r="N137" s="73">
        <f>N139+N140+N141+N143</f>
        <v>0</v>
      </c>
      <c r="O137" s="73">
        <f>O139+O140+O141+O143</f>
        <v>0</v>
      </c>
    </row>
    <row r="138" spans="1:15" ht="31.5" x14ac:dyDescent="0.2">
      <c r="A138" s="135"/>
      <c r="B138" s="143"/>
      <c r="C138" s="79" t="s">
        <v>79</v>
      </c>
      <c r="D138" s="75">
        <f>E138+F138+G138+H138+I138+J138</f>
        <v>155</v>
      </c>
      <c r="E138" s="75">
        <f t="shared" ref="E138:K138" si="61">E142</f>
        <v>155</v>
      </c>
      <c r="F138" s="75">
        <f t="shared" si="61"/>
        <v>0</v>
      </c>
      <c r="G138" s="75">
        <f t="shared" si="61"/>
        <v>0</v>
      </c>
      <c r="H138" s="75">
        <f t="shared" si="61"/>
        <v>0</v>
      </c>
      <c r="I138" s="75">
        <f t="shared" si="61"/>
        <v>0</v>
      </c>
      <c r="J138" s="75">
        <f t="shared" si="61"/>
        <v>0</v>
      </c>
      <c r="K138" s="75">
        <f t="shared" si="61"/>
        <v>0</v>
      </c>
      <c r="L138" s="75">
        <f>L142</f>
        <v>0</v>
      </c>
      <c r="M138" s="75">
        <f>M142</f>
        <v>0</v>
      </c>
      <c r="N138" s="75">
        <f>N142</f>
        <v>0</v>
      </c>
      <c r="O138" s="75">
        <f>O142</f>
        <v>0</v>
      </c>
    </row>
    <row r="139" spans="1:15" ht="18" customHeight="1" x14ac:dyDescent="0.2">
      <c r="A139" s="142"/>
      <c r="B139" s="143"/>
      <c r="C139" s="78" t="s">
        <v>10</v>
      </c>
      <c r="D139" s="73">
        <v>0</v>
      </c>
      <c r="E139" s="73">
        <v>0</v>
      </c>
      <c r="F139" s="73">
        <v>0</v>
      </c>
      <c r="G139" s="73">
        <v>0</v>
      </c>
      <c r="H139" s="73">
        <v>0</v>
      </c>
      <c r="I139" s="73">
        <v>0</v>
      </c>
      <c r="J139" s="73">
        <v>0</v>
      </c>
      <c r="K139" s="73">
        <v>0</v>
      </c>
      <c r="L139" s="73">
        <v>0</v>
      </c>
      <c r="M139" s="73">
        <v>0</v>
      </c>
      <c r="N139" s="73">
        <v>0</v>
      </c>
      <c r="O139" s="73">
        <v>0</v>
      </c>
    </row>
    <row r="140" spans="1:15" ht="15.75" x14ac:dyDescent="0.2">
      <c r="A140" s="142"/>
      <c r="B140" s="143"/>
      <c r="C140" s="78" t="s">
        <v>11</v>
      </c>
      <c r="D140" s="73">
        <f>E140+F140+G140+H140+I140+J140</f>
        <v>0</v>
      </c>
      <c r="E140" s="73">
        <v>0</v>
      </c>
      <c r="F140" s="73">
        <v>0</v>
      </c>
      <c r="G140" s="73">
        <v>0</v>
      </c>
      <c r="H140" s="73">
        <v>0</v>
      </c>
      <c r="I140" s="73">
        <v>0</v>
      </c>
      <c r="J140" s="73">
        <v>0</v>
      </c>
      <c r="K140" s="73">
        <v>0</v>
      </c>
      <c r="L140" s="73">
        <v>0</v>
      </c>
      <c r="M140" s="73">
        <v>0</v>
      </c>
      <c r="N140" s="73">
        <v>0</v>
      </c>
      <c r="O140" s="73">
        <v>0</v>
      </c>
    </row>
    <row r="141" spans="1:15" ht="31.5" x14ac:dyDescent="0.2">
      <c r="A141" s="142"/>
      <c r="B141" s="143"/>
      <c r="C141" s="78" t="s">
        <v>65</v>
      </c>
      <c r="D141" s="73">
        <f>E141+F141+G141+H141+I141+J141</f>
        <v>155</v>
      </c>
      <c r="E141" s="73">
        <f>E142</f>
        <v>155</v>
      </c>
      <c r="F141" s="73">
        <v>0</v>
      </c>
      <c r="G141" s="73">
        <v>0</v>
      </c>
      <c r="H141" s="73">
        <v>0</v>
      </c>
      <c r="I141" s="73">
        <v>0</v>
      </c>
      <c r="J141" s="73">
        <v>0</v>
      </c>
      <c r="K141" s="73">
        <v>0</v>
      </c>
      <c r="L141" s="73">
        <v>0</v>
      </c>
      <c r="M141" s="73">
        <v>0</v>
      </c>
      <c r="N141" s="73">
        <v>0</v>
      </c>
      <c r="O141" s="73">
        <v>0</v>
      </c>
    </row>
    <row r="142" spans="1:15" ht="32.25" customHeight="1" x14ac:dyDescent="0.2">
      <c r="A142" s="142"/>
      <c r="B142" s="143"/>
      <c r="C142" s="79" t="s">
        <v>79</v>
      </c>
      <c r="D142" s="75">
        <f>E142</f>
        <v>155</v>
      </c>
      <c r="E142" s="75">
        <v>155</v>
      </c>
      <c r="F142" s="75">
        <v>0</v>
      </c>
      <c r="G142" s="75">
        <v>0</v>
      </c>
      <c r="H142" s="75">
        <v>0</v>
      </c>
      <c r="I142" s="75">
        <v>0</v>
      </c>
      <c r="J142" s="75">
        <v>0</v>
      </c>
      <c r="K142" s="73">
        <v>0</v>
      </c>
      <c r="L142" s="75">
        <v>0</v>
      </c>
      <c r="M142" s="75">
        <v>0</v>
      </c>
      <c r="N142" s="75">
        <v>0</v>
      </c>
      <c r="O142" s="73">
        <v>0</v>
      </c>
    </row>
    <row r="143" spans="1:15" ht="18" customHeight="1" x14ac:dyDescent="0.2">
      <c r="A143" s="142"/>
      <c r="B143" s="143"/>
      <c r="C143" s="78" t="s">
        <v>13</v>
      </c>
      <c r="D143" s="75">
        <f>E143</f>
        <v>0</v>
      </c>
      <c r="E143" s="73">
        <v>0</v>
      </c>
      <c r="F143" s="73">
        <v>0</v>
      </c>
      <c r="G143" s="73">
        <v>0</v>
      </c>
      <c r="H143" s="73">
        <v>0</v>
      </c>
      <c r="I143" s="73">
        <v>0</v>
      </c>
      <c r="J143" s="73">
        <v>0</v>
      </c>
      <c r="K143" s="73">
        <v>0</v>
      </c>
      <c r="L143" s="73">
        <v>0</v>
      </c>
      <c r="M143" s="73">
        <v>0</v>
      </c>
      <c r="N143" s="73">
        <v>0</v>
      </c>
      <c r="O143" s="73">
        <v>0</v>
      </c>
    </row>
    <row r="144" spans="1:15" ht="15.75" x14ac:dyDescent="0.2">
      <c r="A144" s="174" t="s">
        <v>109</v>
      </c>
      <c r="B144" s="178" t="s">
        <v>73</v>
      </c>
      <c r="C144" s="78" t="s">
        <v>7</v>
      </c>
      <c r="D144" s="73">
        <f>E144+F144+G144+H144+I144+J144</f>
        <v>9590.7999999999993</v>
      </c>
      <c r="E144" s="73">
        <f>E146+E147+E149+E151</f>
        <v>9590.7999999999993</v>
      </c>
      <c r="F144" s="73">
        <f t="shared" ref="F144:K144" si="62">F146+F147+F149+F151</f>
        <v>0</v>
      </c>
      <c r="G144" s="73">
        <f t="shared" si="62"/>
        <v>0</v>
      </c>
      <c r="H144" s="73">
        <f t="shared" si="62"/>
        <v>0</v>
      </c>
      <c r="I144" s="73">
        <f t="shared" si="62"/>
        <v>0</v>
      </c>
      <c r="J144" s="73">
        <f t="shared" si="62"/>
        <v>0</v>
      </c>
      <c r="K144" s="73">
        <f t="shared" si="62"/>
        <v>0</v>
      </c>
      <c r="L144" s="73">
        <f>L146+L147+L149+L151</f>
        <v>0</v>
      </c>
      <c r="M144" s="73">
        <f>M146+M147+M149+M151</f>
        <v>0</v>
      </c>
      <c r="N144" s="73">
        <f>N146+N147+N149+N151</f>
        <v>0</v>
      </c>
      <c r="O144" s="73">
        <f>O146+O147+O149+O151</f>
        <v>0</v>
      </c>
    </row>
    <row r="145" spans="1:15" ht="31.5" x14ac:dyDescent="0.2">
      <c r="A145" s="174"/>
      <c r="B145" s="178"/>
      <c r="C145" s="79" t="s">
        <v>79</v>
      </c>
      <c r="D145" s="75">
        <f>E145+F145+G145+H145+I145+J145</f>
        <v>9590.7999999999993</v>
      </c>
      <c r="E145" s="75">
        <f t="shared" ref="E145:K145" si="63">E148+E150</f>
        <v>9590.7999999999993</v>
      </c>
      <c r="F145" s="75">
        <f t="shared" si="63"/>
        <v>0</v>
      </c>
      <c r="G145" s="75">
        <f t="shared" si="63"/>
        <v>0</v>
      </c>
      <c r="H145" s="75">
        <f t="shared" si="63"/>
        <v>0</v>
      </c>
      <c r="I145" s="75">
        <f t="shared" si="63"/>
        <v>0</v>
      </c>
      <c r="J145" s="75">
        <f t="shared" si="63"/>
        <v>0</v>
      </c>
      <c r="K145" s="75">
        <f t="shared" si="63"/>
        <v>0</v>
      </c>
      <c r="L145" s="75">
        <f>L148+L150</f>
        <v>0</v>
      </c>
      <c r="M145" s="75">
        <f>M148+M150</f>
        <v>0</v>
      </c>
      <c r="N145" s="75">
        <f>N148+N150</f>
        <v>0</v>
      </c>
      <c r="O145" s="75">
        <f>O148+O150</f>
        <v>0</v>
      </c>
    </row>
    <row r="146" spans="1:15" ht="16.5" customHeight="1" x14ac:dyDescent="0.2">
      <c r="A146" s="175"/>
      <c r="B146" s="178"/>
      <c r="C146" s="78" t="s">
        <v>10</v>
      </c>
      <c r="D146" s="73">
        <v>0</v>
      </c>
      <c r="E146" s="73">
        <v>0</v>
      </c>
      <c r="F146" s="73">
        <v>0</v>
      </c>
      <c r="G146" s="73">
        <v>0</v>
      </c>
      <c r="H146" s="73">
        <v>0</v>
      </c>
      <c r="I146" s="73">
        <v>0</v>
      </c>
      <c r="J146" s="73">
        <v>0</v>
      </c>
      <c r="K146" s="73">
        <v>0</v>
      </c>
      <c r="L146" s="73">
        <v>0</v>
      </c>
      <c r="M146" s="73">
        <v>0</v>
      </c>
      <c r="N146" s="73">
        <v>0</v>
      </c>
      <c r="O146" s="73">
        <v>0</v>
      </c>
    </row>
    <row r="147" spans="1:15" ht="30.75" customHeight="1" x14ac:dyDescent="0.2">
      <c r="A147" s="175"/>
      <c r="B147" s="178"/>
      <c r="C147" s="78" t="s">
        <v>69</v>
      </c>
      <c r="D147" s="73">
        <f>E147+F147+G147+H147+I147+J147</f>
        <v>9111.2999999999993</v>
      </c>
      <c r="E147" s="73">
        <f t="shared" ref="E147:N147" si="64">E148</f>
        <v>9111.2999999999993</v>
      </c>
      <c r="F147" s="73">
        <f t="shared" si="64"/>
        <v>0</v>
      </c>
      <c r="G147" s="73">
        <f t="shared" si="64"/>
        <v>0</v>
      </c>
      <c r="H147" s="73">
        <f t="shared" si="64"/>
        <v>0</v>
      </c>
      <c r="I147" s="73">
        <f t="shared" si="64"/>
        <v>0</v>
      </c>
      <c r="J147" s="73">
        <f t="shared" si="64"/>
        <v>0</v>
      </c>
      <c r="K147" s="73">
        <v>0</v>
      </c>
      <c r="L147" s="73">
        <f t="shared" si="64"/>
        <v>0</v>
      </c>
      <c r="M147" s="73">
        <f t="shared" si="64"/>
        <v>0</v>
      </c>
      <c r="N147" s="73">
        <f t="shared" si="64"/>
        <v>0</v>
      </c>
      <c r="O147" s="73">
        <v>0</v>
      </c>
    </row>
    <row r="148" spans="1:15" ht="31.5" x14ac:dyDescent="0.2">
      <c r="A148" s="175"/>
      <c r="B148" s="178"/>
      <c r="C148" s="79" t="s">
        <v>79</v>
      </c>
      <c r="D148" s="75">
        <f>E148+F148+G148+H148+I148+J148</f>
        <v>9111.2999999999993</v>
      </c>
      <c r="E148" s="75">
        <v>9111.2999999999993</v>
      </c>
      <c r="F148" s="75">
        <v>0</v>
      </c>
      <c r="G148" s="75">
        <v>0</v>
      </c>
      <c r="H148" s="75">
        <v>0</v>
      </c>
      <c r="I148" s="75">
        <v>0</v>
      </c>
      <c r="J148" s="75">
        <v>0</v>
      </c>
      <c r="K148" s="73">
        <v>0</v>
      </c>
      <c r="L148" s="75">
        <v>0</v>
      </c>
      <c r="M148" s="75">
        <v>0</v>
      </c>
      <c r="N148" s="75">
        <v>0</v>
      </c>
      <c r="O148" s="73">
        <v>0</v>
      </c>
    </row>
    <row r="149" spans="1:15" ht="31.5" x14ac:dyDescent="0.2">
      <c r="A149" s="175"/>
      <c r="B149" s="178"/>
      <c r="C149" s="78" t="s">
        <v>65</v>
      </c>
      <c r="D149" s="73">
        <f>E149+F149+G149+H149+I149+J149</f>
        <v>479.5</v>
      </c>
      <c r="E149" s="73">
        <f>E150</f>
        <v>479.5</v>
      </c>
      <c r="F149" s="73">
        <v>0</v>
      </c>
      <c r="G149" s="73">
        <v>0</v>
      </c>
      <c r="H149" s="73">
        <v>0</v>
      </c>
      <c r="I149" s="73">
        <v>0</v>
      </c>
      <c r="J149" s="73">
        <v>0</v>
      </c>
      <c r="K149" s="73">
        <v>0</v>
      </c>
      <c r="L149" s="73">
        <v>0</v>
      </c>
      <c r="M149" s="73">
        <v>0</v>
      </c>
      <c r="N149" s="73">
        <v>0</v>
      </c>
      <c r="O149" s="73">
        <v>0</v>
      </c>
    </row>
    <row r="150" spans="1:15" ht="30.75" customHeight="1" x14ac:dyDescent="0.2">
      <c r="A150" s="175"/>
      <c r="B150" s="178"/>
      <c r="C150" s="79" t="s">
        <v>79</v>
      </c>
      <c r="D150" s="75">
        <f>E150</f>
        <v>479.5</v>
      </c>
      <c r="E150" s="75">
        <v>479.5</v>
      </c>
      <c r="F150" s="75">
        <v>0</v>
      </c>
      <c r="G150" s="75">
        <v>0</v>
      </c>
      <c r="H150" s="75">
        <v>0</v>
      </c>
      <c r="I150" s="75">
        <v>0</v>
      </c>
      <c r="J150" s="75">
        <v>0</v>
      </c>
      <c r="K150" s="73">
        <v>0</v>
      </c>
      <c r="L150" s="75">
        <v>0</v>
      </c>
      <c r="M150" s="75">
        <v>0</v>
      </c>
      <c r="N150" s="75">
        <v>0</v>
      </c>
      <c r="O150" s="73">
        <v>0</v>
      </c>
    </row>
    <row r="151" spans="1:15" ht="15.75" x14ac:dyDescent="0.2">
      <c r="A151" s="175"/>
      <c r="B151" s="178"/>
      <c r="C151" s="78" t="s">
        <v>13</v>
      </c>
      <c r="D151" s="73">
        <v>0</v>
      </c>
      <c r="E151" s="73">
        <v>0</v>
      </c>
      <c r="F151" s="73">
        <v>0</v>
      </c>
      <c r="G151" s="73">
        <v>0</v>
      </c>
      <c r="H151" s="73">
        <v>0</v>
      </c>
      <c r="I151" s="73">
        <v>0</v>
      </c>
      <c r="J151" s="73">
        <v>0</v>
      </c>
      <c r="K151" s="73">
        <v>0</v>
      </c>
      <c r="L151" s="73">
        <v>0</v>
      </c>
      <c r="M151" s="73">
        <v>0</v>
      </c>
      <c r="N151" s="73">
        <v>0</v>
      </c>
      <c r="O151" s="73">
        <v>0</v>
      </c>
    </row>
    <row r="152" spans="1:15" ht="15.75" x14ac:dyDescent="0.2">
      <c r="A152" s="135" t="s">
        <v>110</v>
      </c>
      <c r="B152" s="147" t="s">
        <v>67</v>
      </c>
      <c r="C152" s="78" t="s">
        <v>7</v>
      </c>
      <c r="D152" s="73">
        <f>D153+D154+D155+D157</f>
        <v>1600.3</v>
      </c>
      <c r="E152" s="73">
        <f t="shared" ref="E152:K152" si="65">E153+E154+E155+E157</f>
        <v>1600.3</v>
      </c>
      <c r="F152" s="73">
        <f t="shared" si="65"/>
        <v>0</v>
      </c>
      <c r="G152" s="73">
        <f t="shared" si="65"/>
        <v>0</v>
      </c>
      <c r="H152" s="73">
        <f t="shared" si="65"/>
        <v>0</v>
      </c>
      <c r="I152" s="73">
        <f t="shared" si="65"/>
        <v>0</v>
      </c>
      <c r="J152" s="73">
        <f t="shared" si="65"/>
        <v>0</v>
      </c>
      <c r="K152" s="73">
        <f t="shared" si="65"/>
        <v>0</v>
      </c>
      <c r="L152" s="73">
        <f>L153+L154+L155+L157</f>
        <v>0</v>
      </c>
      <c r="M152" s="73">
        <f>M153+M154+M155+M157</f>
        <v>0</v>
      </c>
      <c r="N152" s="73">
        <f>N153+N154+N155+N157</f>
        <v>0</v>
      </c>
      <c r="O152" s="73">
        <f>O153+O154+O155+O157</f>
        <v>0</v>
      </c>
    </row>
    <row r="153" spans="1:15" ht="15.75" x14ac:dyDescent="0.2">
      <c r="A153" s="142"/>
      <c r="B153" s="148"/>
      <c r="C153" s="78" t="s">
        <v>10</v>
      </c>
      <c r="D153" s="73">
        <f>E153+F153+G153+H153+I153+J153</f>
        <v>0</v>
      </c>
      <c r="E153" s="73">
        <v>0</v>
      </c>
      <c r="F153" s="73">
        <v>0</v>
      </c>
      <c r="G153" s="73">
        <v>0</v>
      </c>
      <c r="H153" s="73">
        <v>0</v>
      </c>
      <c r="I153" s="73">
        <v>0</v>
      </c>
      <c r="J153" s="73">
        <v>0</v>
      </c>
      <c r="K153" s="73">
        <v>0</v>
      </c>
      <c r="L153" s="73">
        <v>0</v>
      </c>
      <c r="M153" s="73">
        <v>0</v>
      </c>
      <c r="N153" s="73">
        <v>0</v>
      </c>
      <c r="O153" s="73">
        <v>0</v>
      </c>
    </row>
    <row r="154" spans="1:15" ht="15.75" x14ac:dyDescent="0.2">
      <c r="A154" s="142"/>
      <c r="B154" s="148"/>
      <c r="C154" s="78" t="s">
        <v>11</v>
      </c>
      <c r="D154" s="73">
        <f>E154+F154+G154+H154+I154+J154</f>
        <v>0</v>
      </c>
      <c r="E154" s="73">
        <v>0</v>
      </c>
      <c r="F154" s="73">
        <v>0</v>
      </c>
      <c r="G154" s="73">
        <v>0</v>
      </c>
      <c r="H154" s="73">
        <v>0</v>
      </c>
      <c r="I154" s="73">
        <v>0</v>
      </c>
      <c r="J154" s="73">
        <v>0</v>
      </c>
      <c r="K154" s="73">
        <v>0</v>
      </c>
      <c r="L154" s="73">
        <v>0</v>
      </c>
      <c r="M154" s="73">
        <v>0</v>
      </c>
      <c r="N154" s="73">
        <v>0</v>
      </c>
      <c r="O154" s="73">
        <v>0</v>
      </c>
    </row>
    <row r="155" spans="1:15" ht="31.5" x14ac:dyDescent="0.2">
      <c r="A155" s="142"/>
      <c r="B155" s="148"/>
      <c r="C155" s="78" t="s">
        <v>65</v>
      </c>
      <c r="D155" s="73">
        <f>E155+F155+G155+H155+I155+J155</f>
        <v>1600.3</v>
      </c>
      <c r="E155" s="73">
        <v>1600.3</v>
      </c>
      <c r="F155" s="73">
        <v>0</v>
      </c>
      <c r="G155" s="73">
        <v>0</v>
      </c>
      <c r="H155" s="73">
        <v>0</v>
      </c>
      <c r="I155" s="73">
        <v>0</v>
      </c>
      <c r="J155" s="73">
        <v>0</v>
      </c>
      <c r="K155" s="73">
        <v>0</v>
      </c>
      <c r="L155" s="73">
        <v>0</v>
      </c>
      <c r="M155" s="73">
        <v>0</v>
      </c>
      <c r="N155" s="73">
        <v>0</v>
      </c>
      <c r="O155" s="73">
        <v>0</v>
      </c>
    </row>
    <row r="156" spans="1:15" ht="31.5" x14ac:dyDescent="0.2">
      <c r="A156" s="142"/>
      <c r="B156" s="148"/>
      <c r="C156" s="79" t="s">
        <v>79</v>
      </c>
      <c r="D156" s="75">
        <f>E156</f>
        <v>1600.3</v>
      </c>
      <c r="E156" s="75">
        <v>1600.3</v>
      </c>
      <c r="F156" s="75">
        <v>0</v>
      </c>
      <c r="G156" s="75">
        <v>0</v>
      </c>
      <c r="H156" s="75">
        <v>0</v>
      </c>
      <c r="I156" s="75">
        <v>0</v>
      </c>
      <c r="J156" s="75">
        <v>0</v>
      </c>
      <c r="K156" s="73">
        <v>0</v>
      </c>
      <c r="L156" s="75">
        <v>0</v>
      </c>
      <c r="M156" s="75">
        <v>0</v>
      </c>
      <c r="N156" s="75">
        <v>0</v>
      </c>
      <c r="O156" s="73">
        <v>0</v>
      </c>
    </row>
    <row r="157" spans="1:15" ht="21.75" customHeight="1" x14ac:dyDescent="0.2">
      <c r="A157" s="142"/>
      <c r="B157" s="149"/>
      <c r="C157" s="78" t="s">
        <v>13</v>
      </c>
      <c r="D157" s="73">
        <f>E157+F157+G157+H157+I157+J157</f>
        <v>0</v>
      </c>
      <c r="E157" s="73">
        <v>0</v>
      </c>
      <c r="F157" s="73">
        <v>0</v>
      </c>
      <c r="G157" s="73">
        <v>0</v>
      </c>
      <c r="H157" s="73">
        <v>0</v>
      </c>
      <c r="I157" s="73">
        <v>0</v>
      </c>
      <c r="J157" s="73">
        <v>0</v>
      </c>
      <c r="K157" s="73">
        <v>0</v>
      </c>
      <c r="L157" s="73">
        <v>0</v>
      </c>
      <c r="M157" s="73">
        <v>0</v>
      </c>
      <c r="N157" s="73">
        <v>0</v>
      </c>
      <c r="O157" s="73">
        <v>0</v>
      </c>
    </row>
    <row r="158" spans="1:15" ht="18" customHeight="1" x14ac:dyDescent="0.2">
      <c r="A158" s="135" t="s">
        <v>111</v>
      </c>
      <c r="B158" s="143" t="s">
        <v>141</v>
      </c>
      <c r="C158" s="78" t="s">
        <v>7</v>
      </c>
      <c r="D158" s="73">
        <f>D159+D160+D162+D163</f>
        <v>3488.1</v>
      </c>
      <c r="E158" s="73">
        <f t="shared" ref="E158:K158" si="66">E159+E160+E162+E163</f>
        <v>3088.1</v>
      </c>
      <c r="F158" s="73">
        <f t="shared" si="66"/>
        <v>0</v>
      </c>
      <c r="G158" s="73">
        <f t="shared" si="66"/>
        <v>0</v>
      </c>
      <c r="H158" s="73">
        <f t="shared" si="66"/>
        <v>400</v>
      </c>
      <c r="I158" s="73">
        <f t="shared" si="66"/>
        <v>0</v>
      </c>
      <c r="J158" s="73">
        <f t="shared" si="66"/>
        <v>0</v>
      </c>
      <c r="K158" s="73">
        <f t="shared" si="66"/>
        <v>0</v>
      </c>
      <c r="L158" s="73">
        <f>L159+L160+L162+L163</f>
        <v>0</v>
      </c>
      <c r="M158" s="73">
        <f>M159+M160+M162+M163</f>
        <v>0</v>
      </c>
      <c r="N158" s="73">
        <f>N159+N160+N162+N163</f>
        <v>0</v>
      </c>
      <c r="O158" s="73">
        <f>O159+O160+O162+O163</f>
        <v>0</v>
      </c>
    </row>
    <row r="159" spans="1:15" ht="15.75" x14ac:dyDescent="0.2">
      <c r="A159" s="142"/>
      <c r="B159" s="143"/>
      <c r="C159" s="78" t="s">
        <v>10</v>
      </c>
      <c r="D159" s="73">
        <f>E159+F159+G159+H159+I159+J159</f>
        <v>0</v>
      </c>
      <c r="E159" s="73">
        <v>0</v>
      </c>
      <c r="F159" s="73">
        <v>0</v>
      </c>
      <c r="G159" s="73">
        <v>0</v>
      </c>
      <c r="H159" s="73">
        <v>0</v>
      </c>
      <c r="I159" s="73">
        <v>0</v>
      </c>
      <c r="J159" s="73">
        <v>0</v>
      </c>
      <c r="K159" s="73">
        <v>0</v>
      </c>
      <c r="L159" s="73">
        <v>0</v>
      </c>
      <c r="M159" s="73">
        <v>0</v>
      </c>
      <c r="N159" s="73">
        <v>0</v>
      </c>
      <c r="O159" s="73">
        <v>0</v>
      </c>
    </row>
    <row r="160" spans="1:15" ht="30.75" customHeight="1" x14ac:dyDescent="0.2">
      <c r="A160" s="142"/>
      <c r="B160" s="143"/>
      <c r="C160" s="78" t="s">
        <v>69</v>
      </c>
      <c r="D160" s="73">
        <f>D161</f>
        <v>2692</v>
      </c>
      <c r="E160" s="73">
        <f t="shared" ref="E160:M160" si="67">E161</f>
        <v>2692</v>
      </c>
      <c r="F160" s="73">
        <f t="shared" si="67"/>
        <v>0</v>
      </c>
      <c r="G160" s="73">
        <f t="shared" si="67"/>
        <v>0</v>
      </c>
      <c r="H160" s="73">
        <f t="shared" si="67"/>
        <v>0</v>
      </c>
      <c r="I160" s="73">
        <f t="shared" si="67"/>
        <v>0</v>
      </c>
      <c r="J160" s="73">
        <f t="shared" si="67"/>
        <v>0</v>
      </c>
      <c r="K160" s="73">
        <v>0</v>
      </c>
      <c r="L160" s="73">
        <f t="shared" si="67"/>
        <v>0</v>
      </c>
      <c r="M160" s="73">
        <f t="shared" si="67"/>
        <v>0</v>
      </c>
      <c r="N160" s="73">
        <v>0</v>
      </c>
      <c r="O160" s="73">
        <v>0</v>
      </c>
    </row>
    <row r="161" spans="1:18" ht="31.5" x14ac:dyDescent="0.2">
      <c r="A161" s="142"/>
      <c r="B161" s="143"/>
      <c r="C161" s="79" t="s">
        <v>81</v>
      </c>
      <c r="D161" s="75">
        <f>E161+F161+G161+H161+I161+J161</f>
        <v>2692</v>
      </c>
      <c r="E161" s="75">
        <v>2692</v>
      </c>
      <c r="F161" s="75">
        <v>0</v>
      </c>
      <c r="G161" s="75">
        <v>0</v>
      </c>
      <c r="H161" s="75">
        <v>0</v>
      </c>
      <c r="I161" s="75">
        <v>0</v>
      </c>
      <c r="J161" s="75">
        <v>0</v>
      </c>
      <c r="K161" s="73">
        <v>0</v>
      </c>
      <c r="L161" s="75">
        <v>0</v>
      </c>
      <c r="M161" s="75">
        <v>0</v>
      </c>
      <c r="N161" s="73">
        <v>0</v>
      </c>
      <c r="O161" s="73">
        <v>0</v>
      </c>
    </row>
    <row r="162" spans="1:18" ht="15.75" x14ac:dyDescent="0.2">
      <c r="A162" s="142"/>
      <c r="B162" s="143"/>
      <c r="C162" s="78" t="s">
        <v>12</v>
      </c>
      <c r="D162" s="73">
        <f>E162+F162+G162+H162+I162+J162</f>
        <v>796.1</v>
      </c>
      <c r="E162" s="73">
        <v>396.1</v>
      </c>
      <c r="F162" s="73">
        <v>0</v>
      </c>
      <c r="G162" s="73">
        <v>0</v>
      </c>
      <c r="H162" s="73">
        <v>400</v>
      </c>
      <c r="I162" s="73">
        <v>0</v>
      </c>
      <c r="J162" s="73">
        <v>0</v>
      </c>
      <c r="K162" s="73">
        <v>0</v>
      </c>
      <c r="L162" s="73">
        <v>0</v>
      </c>
      <c r="M162" s="73">
        <v>0</v>
      </c>
      <c r="N162" s="73">
        <v>0</v>
      </c>
      <c r="O162" s="73">
        <v>0</v>
      </c>
    </row>
    <row r="163" spans="1:18" ht="15.75" x14ac:dyDescent="0.2">
      <c r="A163" s="142"/>
      <c r="B163" s="143"/>
      <c r="C163" s="78" t="s">
        <v>13</v>
      </c>
      <c r="D163" s="73">
        <f>E163+F163+G163+H163+I163+J163</f>
        <v>0</v>
      </c>
      <c r="E163" s="73">
        <v>0</v>
      </c>
      <c r="F163" s="73">
        <v>0</v>
      </c>
      <c r="G163" s="73">
        <v>0</v>
      </c>
      <c r="H163" s="73">
        <v>0</v>
      </c>
      <c r="I163" s="73">
        <v>0</v>
      </c>
      <c r="J163" s="73">
        <v>0</v>
      </c>
      <c r="K163" s="73">
        <v>0</v>
      </c>
      <c r="L163" s="73">
        <v>0</v>
      </c>
      <c r="M163" s="73">
        <v>0</v>
      </c>
      <c r="N163" s="73">
        <v>0</v>
      </c>
      <c r="O163" s="73">
        <v>0</v>
      </c>
    </row>
    <row r="164" spans="1:18" ht="15.75" x14ac:dyDescent="0.2">
      <c r="A164" s="135" t="s">
        <v>112</v>
      </c>
      <c r="B164" s="147" t="s">
        <v>75</v>
      </c>
      <c r="C164" s="80" t="s">
        <v>7</v>
      </c>
      <c r="D164" s="73">
        <f t="shared" ref="D164:D170" si="68">E164+F164+G164+H164+I164+J164</f>
        <v>123.9</v>
      </c>
      <c r="E164" s="73">
        <f t="shared" ref="E164:O164" si="69">E166+E167+E168+E170</f>
        <v>123.9</v>
      </c>
      <c r="F164" s="73">
        <f t="shared" si="69"/>
        <v>0</v>
      </c>
      <c r="G164" s="73">
        <f t="shared" si="69"/>
        <v>0</v>
      </c>
      <c r="H164" s="73">
        <f t="shared" si="69"/>
        <v>0</v>
      </c>
      <c r="I164" s="73">
        <f t="shared" si="69"/>
        <v>0</v>
      </c>
      <c r="J164" s="73">
        <f t="shared" si="69"/>
        <v>0</v>
      </c>
      <c r="K164" s="73">
        <f t="shared" si="69"/>
        <v>0</v>
      </c>
      <c r="L164" s="73">
        <f t="shared" si="69"/>
        <v>0</v>
      </c>
      <c r="M164" s="73">
        <f t="shared" si="69"/>
        <v>0</v>
      </c>
      <c r="N164" s="73">
        <f t="shared" si="69"/>
        <v>0</v>
      </c>
      <c r="O164" s="73">
        <f t="shared" si="69"/>
        <v>0</v>
      </c>
    </row>
    <row r="165" spans="1:18" ht="31.5" x14ac:dyDescent="0.2">
      <c r="A165" s="135"/>
      <c r="B165" s="148"/>
      <c r="C165" s="76" t="s">
        <v>79</v>
      </c>
      <c r="D165" s="75">
        <f t="shared" si="68"/>
        <v>123.9</v>
      </c>
      <c r="E165" s="75">
        <f t="shared" ref="E165:O165" si="70">E169</f>
        <v>123.9</v>
      </c>
      <c r="F165" s="75">
        <f t="shared" si="70"/>
        <v>0</v>
      </c>
      <c r="G165" s="75">
        <f t="shared" si="70"/>
        <v>0</v>
      </c>
      <c r="H165" s="75">
        <f t="shared" si="70"/>
        <v>0</v>
      </c>
      <c r="I165" s="75">
        <f t="shared" si="70"/>
        <v>0</v>
      </c>
      <c r="J165" s="75">
        <f t="shared" si="70"/>
        <v>0</v>
      </c>
      <c r="K165" s="75">
        <f t="shared" si="70"/>
        <v>0</v>
      </c>
      <c r="L165" s="75">
        <f t="shared" si="70"/>
        <v>0</v>
      </c>
      <c r="M165" s="75">
        <f t="shared" si="70"/>
        <v>0</v>
      </c>
      <c r="N165" s="75">
        <f t="shared" si="70"/>
        <v>0</v>
      </c>
      <c r="O165" s="75">
        <f t="shared" si="70"/>
        <v>0</v>
      </c>
    </row>
    <row r="166" spans="1:18" ht="15.75" x14ac:dyDescent="0.2">
      <c r="A166" s="135"/>
      <c r="B166" s="148"/>
      <c r="C166" s="80" t="s">
        <v>10</v>
      </c>
      <c r="D166" s="73">
        <f t="shared" si="68"/>
        <v>0</v>
      </c>
      <c r="E166" s="73">
        <v>0</v>
      </c>
      <c r="F166" s="73">
        <v>0</v>
      </c>
      <c r="G166" s="73">
        <v>0</v>
      </c>
      <c r="H166" s="73">
        <v>0</v>
      </c>
      <c r="I166" s="73">
        <v>0</v>
      </c>
      <c r="J166" s="73">
        <v>0</v>
      </c>
      <c r="K166" s="73">
        <v>0</v>
      </c>
      <c r="L166" s="73">
        <v>0</v>
      </c>
      <c r="M166" s="73">
        <v>0</v>
      </c>
      <c r="N166" s="73">
        <v>0</v>
      </c>
      <c r="O166" s="73">
        <v>0</v>
      </c>
    </row>
    <row r="167" spans="1:18" ht="15.75" x14ac:dyDescent="0.2">
      <c r="A167" s="135"/>
      <c r="B167" s="148"/>
      <c r="C167" s="80" t="s">
        <v>11</v>
      </c>
      <c r="D167" s="73">
        <f t="shared" si="68"/>
        <v>0</v>
      </c>
      <c r="E167" s="73">
        <v>0</v>
      </c>
      <c r="F167" s="73">
        <v>0</v>
      </c>
      <c r="G167" s="73">
        <v>0</v>
      </c>
      <c r="H167" s="73">
        <v>0</v>
      </c>
      <c r="I167" s="73">
        <v>0</v>
      </c>
      <c r="J167" s="73">
        <v>0</v>
      </c>
      <c r="K167" s="73">
        <v>0</v>
      </c>
      <c r="L167" s="73">
        <v>0</v>
      </c>
      <c r="M167" s="73">
        <v>0</v>
      </c>
      <c r="N167" s="73">
        <v>0</v>
      </c>
      <c r="O167" s="73">
        <v>0</v>
      </c>
    </row>
    <row r="168" spans="1:18" ht="31.5" x14ac:dyDescent="0.2">
      <c r="A168" s="135"/>
      <c r="B168" s="148"/>
      <c r="C168" s="78" t="s">
        <v>65</v>
      </c>
      <c r="D168" s="73">
        <f t="shared" si="68"/>
        <v>123.9</v>
      </c>
      <c r="E168" s="73">
        <f>E169</f>
        <v>123.9</v>
      </c>
      <c r="F168" s="73">
        <f>F169</f>
        <v>0</v>
      </c>
      <c r="G168" s="73">
        <f>G169</f>
        <v>0</v>
      </c>
      <c r="H168" s="73">
        <f>H169</f>
        <v>0</v>
      </c>
      <c r="I168" s="73">
        <f>I169</f>
        <v>0</v>
      </c>
      <c r="J168" s="73">
        <v>0</v>
      </c>
      <c r="K168" s="73">
        <v>0</v>
      </c>
      <c r="L168" s="73">
        <v>0</v>
      </c>
      <c r="M168" s="73">
        <v>0</v>
      </c>
      <c r="N168" s="73">
        <v>0</v>
      </c>
      <c r="O168" s="73">
        <v>0</v>
      </c>
    </row>
    <row r="169" spans="1:18" ht="31.5" x14ac:dyDescent="0.2">
      <c r="A169" s="135"/>
      <c r="B169" s="148"/>
      <c r="C169" s="76" t="s">
        <v>79</v>
      </c>
      <c r="D169" s="75">
        <f t="shared" si="68"/>
        <v>123.9</v>
      </c>
      <c r="E169" s="75">
        <v>123.9</v>
      </c>
      <c r="F169" s="75">
        <v>0</v>
      </c>
      <c r="G169" s="75">
        <v>0</v>
      </c>
      <c r="H169" s="75">
        <v>0</v>
      </c>
      <c r="I169" s="75">
        <v>0</v>
      </c>
      <c r="J169" s="75">
        <v>0</v>
      </c>
      <c r="K169" s="75">
        <v>0</v>
      </c>
      <c r="L169" s="75">
        <v>0</v>
      </c>
      <c r="M169" s="75">
        <v>0</v>
      </c>
      <c r="N169" s="75">
        <v>0</v>
      </c>
      <c r="O169" s="75">
        <v>0</v>
      </c>
      <c r="P169" s="66"/>
      <c r="Q169" s="66"/>
      <c r="R169" s="66"/>
    </row>
    <row r="170" spans="1:18" ht="38.25" customHeight="1" x14ac:dyDescent="0.2">
      <c r="A170" s="135"/>
      <c r="B170" s="149"/>
      <c r="C170" s="80" t="s">
        <v>13</v>
      </c>
      <c r="D170" s="73">
        <f t="shared" si="68"/>
        <v>0</v>
      </c>
      <c r="E170" s="73">
        <v>0</v>
      </c>
      <c r="F170" s="73">
        <v>0</v>
      </c>
      <c r="G170" s="73">
        <v>0</v>
      </c>
      <c r="H170" s="73">
        <v>0</v>
      </c>
      <c r="I170" s="73">
        <v>0</v>
      </c>
      <c r="J170" s="73">
        <v>0</v>
      </c>
      <c r="K170" s="73">
        <v>0</v>
      </c>
      <c r="L170" s="73">
        <v>0</v>
      </c>
      <c r="M170" s="73">
        <v>0</v>
      </c>
      <c r="N170" s="73">
        <v>0</v>
      </c>
      <c r="O170" s="73">
        <v>0</v>
      </c>
      <c r="P170" s="66"/>
      <c r="Q170" s="66"/>
      <c r="R170" s="66"/>
    </row>
    <row r="171" spans="1:18" ht="17.25" customHeight="1" x14ac:dyDescent="0.2">
      <c r="A171" s="135" t="s">
        <v>113</v>
      </c>
      <c r="B171" s="143" t="s">
        <v>78</v>
      </c>
      <c r="C171" s="78" t="s">
        <v>7</v>
      </c>
      <c r="D171" s="73">
        <f t="shared" ref="D171:D177" si="71">E171+F171+G171+H171+I171+J171</f>
        <v>1187</v>
      </c>
      <c r="E171" s="73">
        <f t="shared" ref="E171:K171" si="72">E173+E174+E175+E177</f>
        <v>1187</v>
      </c>
      <c r="F171" s="73">
        <f t="shared" si="72"/>
        <v>0</v>
      </c>
      <c r="G171" s="73">
        <f t="shared" si="72"/>
        <v>0</v>
      </c>
      <c r="H171" s="73">
        <f t="shared" si="72"/>
        <v>0</v>
      </c>
      <c r="I171" s="73">
        <f t="shared" si="72"/>
        <v>0</v>
      </c>
      <c r="J171" s="73">
        <f t="shared" si="72"/>
        <v>0</v>
      </c>
      <c r="K171" s="73">
        <f t="shared" si="72"/>
        <v>0</v>
      </c>
      <c r="L171" s="73">
        <f>L173+L174+L175+L177</f>
        <v>0</v>
      </c>
      <c r="M171" s="73">
        <f>M173+M174+M175+M177</f>
        <v>0</v>
      </c>
      <c r="N171" s="73">
        <f>N173+N174+N175+N177</f>
        <v>0</v>
      </c>
      <c r="O171" s="73">
        <f>O173+O174+O175+O177</f>
        <v>0</v>
      </c>
      <c r="P171" s="81"/>
      <c r="Q171" s="81"/>
      <c r="R171" s="66"/>
    </row>
    <row r="172" spans="1:18" ht="31.5" x14ac:dyDescent="0.2">
      <c r="A172" s="142"/>
      <c r="B172" s="150"/>
      <c r="C172" s="79" t="s">
        <v>79</v>
      </c>
      <c r="D172" s="75">
        <f t="shared" si="71"/>
        <v>1187</v>
      </c>
      <c r="E172" s="75">
        <f t="shared" ref="E172:K172" si="73">E176</f>
        <v>1187</v>
      </c>
      <c r="F172" s="75">
        <f t="shared" si="73"/>
        <v>0</v>
      </c>
      <c r="G172" s="75">
        <f t="shared" si="73"/>
        <v>0</v>
      </c>
      <c r="H172" s="75">
        <f t="shared" si="73"/>
        <v>0</v>
      </c>
      <c r="I172" s="75">
        <f t="shared" si="73"/>
        <v>0</v>
      </c>
      <c r="J172" s="75">
        <f t="shared" si="73"/>
        <v>0</v>
      </c>
      <c r="K172" s="75">
        <f t="shared" si="73"/>
        <v>0</v>
      </c>
      <c r="L172" s="75">
        <f>L176</f>
        <v>0</v>
      </c>
      <c r="M172" s="75">
        <f>M176</f>
        <v>0</v>
      </c>
      <c r="N172" s="75">
        <f>N176</f>
        <v>0</v>
      </c>
      <c r="O172" s="75">
        <f>O176</f>
        <v>0</v>
      </c>
      <c r="P172" s="82"/>
      <c r="Q172" s="82"/>
      <c r="R172" s="66"/>
    </row>
    <row r="173" spans="1:18" ht="15.75" x14ac:dyDescent="0.2">
      <c r="A173" s="142"/>
      <c r="B173" s="150"/>
      <c r="C173" s="78" t="s">
        <v>10</v>
      </c>
      <c r="D173" s="73">
        <f t="shared" si="71"/>
        <v>0</v>
      </c>
      <c r="E173" s="73">
        <v>0</v>
      </c>
      <c r="F173" s="73">
        <v>0</v>
      </c>
      <c r="G173" s="73">
        <v>0</v>
      </c>
      <c r="H173" s="73">
        <v>0</v>
      </c>
      <c r="I173" s="73">
        <v>0</v>
      </c>
      <c r="J173" s="73">
        <v>0</v>
      </c>
      <c r="K173" s="73">
        <v>0</v>
      </c>
      <c r="L173" s="73">
        <v>0</v>
      </c>
      <c r="M173" s="73">
        <v>0</v>
      </c>
      <c r="N173" s="73">
        <v>0</v>
      </c>
      <c r="O173" s="73">
        <v>0</v>
      </c>
      <c r="P173" s="81"/>
      <c r="Q173" s="81"/>
      <c r="R173" s="66"/>
    </row>
    <row r="174" spans="1:18" ht="15.75" x14ac:dyDescent="0.2">
      <c r="A174" s="142"/>
      <c r="B174" s="150"/>
      <c r="C174" s="78" t="s">
        <v>11</v>
      </c>
      <c r="D174" s="73">
        <f t="shared" si="71"/>
        <v>0</v>
      </c>
      <c r="E174" s="73">
        <v>0</v>
      </c>
      <c r="F174" s="73">
        <v>0</v>
      </c>
      <c r="G174" s="73">
        <v>0</v>
      </c>
      <c r="H174" s="73">
        <v>0</v>
      </c>
      <c r="I174" s="73">
        <v>0</v>
      </c>
      <c r="J174" s="73">
        <v>0</v>
      </c>
      <c r="K174" s="73">
        <v>0</v>
      </c>
      <c r="L174" s="73">
        <v>0</v>
      </c>
      <c r="M174" s="73">
        <v>0</v>
      </c>
      <c r="N174" s="73">
        <v>0</v>
      </c>
      <c r="O174" s="73">
        <v>0</v>
      </c>
      <c r="P174" s="81"/>
      <c r="Q174" s="81"/>
      <c r="R174" s="66"/>
    </row>
    <row r="175" spans="1:18" ht="32.25" customHeight="1" x14ac:dyDescent="0.2">
      <c r="A175" s="142"/>
      <c r="B175" s="150"/>
      <c r="C175" s="78" t="s">
        <v>65</v>
      </c>
      <c r="D175" s="73">
        <f t="shared" si="71"/>
        <v>1187</v>
      </c>
      <c r="E175" s="73">
        <f t="shared" ref="E175:O175" si="74">E176</f>
        <v>1187</v>
      </c>
      <c r="F175" s="73">
        <f t="shared" si="74"/>
        <v>0</v>
      </c>
      <c r="G175" s="73">
        <f t="shared" si="74"/>
        <v>0</v>
      </c>
      <c r="H175" s="73">
        <f t="shared" si="74"/>
        <v>0</v>
      </c>
      <c r="I175" s="73">
        <f t="shared" si="74"/>
        <v>0</v>
      </c>
      <c r="J175" s="73">
        <f t="shared" si="74"/>
        <v>0</v>
      </c>
      <c r="K175" s="73">
        <v>0</v>
      </c>
      <c r="L175" s="73">
        <f t="shared" si="74"/>
        <v>0</v>
      </c>
      <c r="M175" s="73">
        <f t="shared" si="74"/>
        <v>0</v>
      </c>
      <c r="N175" s="73">
        <f t="shared" si="74"/>
        <v>0</v>
      </c>
      <c r="O175" s="73">
        <f t="shared" si="74"/>
        <v>0</v>
      </c>
      <c r="P175" s="81"/>
      <c r="Q175" s="81"/>
      <c r="R175" s="66"/>
    </row>
    <row r="176" spans="1:18" ht="32.25" customHeight="1" x14ac:dyDescent="0.2">
      <c r="A176" s="142"/>
      <c r="B176" s="150"/>
      <c r="C176" s="79" t="s">
        <v>79</v>
      </c>
      <c r="D176" s="75">
        <f t="shared" si="71"/>
        <v>1187</v>
      </c>
      <c r="E176" s="75">
        <v>1187</v>
      </c>
      <c r="F176" s="75">
        <v>0</v>
      </c>
      <c r="G176" s="75">
        <v>0</v>
      </c>
      <c r="H176" s="75">
        <v>0</v>
      </c>
      <c r="I176" s="75">
        <v>0</v>
      </c>
      <c r="J176" s="75">
        <v>0</v>
      </c>
      <c r="K176" s="73">
        <v>0</v>
      </c>
      <c r="L176" s="75">
        <v>0</v>
      </c>
      <c r="M176" s="75">
        <v>0</v>
      </c>
      <c r="N176" s="75">
        <v>0</v>
      </c>
      <c r="O176" s="75">
        <v>0</v>
      </c>
      <c r="P176" s="81"/>
      <c r="Q176" s="81"/>
      <c r="R176" s="66"/>
    </row>
    <row r="177" spans="1:18" ht="18" customHeight="1" x14ac:dyDescent="0.2">
      <c r="A177" s="142"/>
      <c r="B177" s="150"/>
      <c r="C177" s="78" t="s">
        <v>13</v>
      </c>
      <c r="D177" s="73">
        <f t="shared" si="71"/>
        <v>0</v>
      </c>
      <c r="E177" s="73">
        <v>0</v>
      </c>
      <c r="F177" s="73">
        <v>0</v>
      </c>
      <c r="G177" s="73">
        <v>0</v>
      </c>
      <c r="H177" s="73">
        <v>0</v>
      </c>
      <c r="I177" s="73">
        <v>0</v>
      </c>
      <c r="J177" s="73">
        <v>0</v>
      </c>
      <c r="K177" s="73">
        <v>0</v>
      </c>
      <c r="L177" s="73">
        <v>0</v>
      </c>
      <c r="M177" s="73">
        <v>0</v>
      </c>
      <c r="N177" s="73">
        <v>0</v>
      </c>
      <c r="O177" s="73">
        <v>0</v>
      </c>
      <c r="P177" s="81"/>
      <c r="Q177" s="81"/>
      <c r="R177" s="66"/>
    </row>
    <row r="178" spans="1:18" ht="15.75" x14ac:dyDescent="0.2">
      <c r="A178" s="135" t="s">
        <v>114</v>
      </c>
      <c r="B178" s="135" t="s">
        <v>213</v>
      </c>
      <c r="C178" s="78" t="s">
        <v>7</v>
      </c>
      <c r="D178" s="73">
        <f t="shared" ref="D178:D183" si="75">E178+F178+G178+H178+I178+J178</f>
        <v>3590.6</v>
      </c>
      <c r="E178" s="73">
        <f>E179+E180+E181+E183</f>
        <v>2639.6</v>
      </c>
      <c r="F178" s="73">
        <f t="shared" ref="F178:K178" si="76">F179+F180+F181+F183</f>
        <v>951</v>
      </c>
      <c r="G178" s="73">
        <f t="shared" si="76"/>
        <v>0</v>
      </c>
      <c r="H178" s="73">
        <f t="shared" si="76"/>
        <v>0</v>
      </c>
      <c r="I178" s="73">
        <f t="shared" si="76"/>
        <v>0</v>
      </c>
      <c r="J178" s="73">
        <f t="shared" si="76"/>
        <v>0</v>
      </c>
      <c r="K178" s="73">
        <f t="shared" si="76"/>
        <v>0</v>
      </c>
      <c r="L178" s="73">
        <f>L179+L180+L181+L183</f>
        <v>0</v>
      </c>
      <c r="M178" s="73">
        <f>M179+M180+M181+M183</f>
        <v>0</v>
      </c>
      <c r="N178" s="73">
        <f>N179+N180+N181+N183</f>
        <v>0</v>
      </c>
      <c r="O178" s="73">
        <f>O179+O180+O181+O183</f>
        <v>0</v>
      </c>
      <c r="P178" s="66"/>
      <c r="Q178" s="66"/>
      <c r="R178" s="66"/>
    </row>
    <row r="179" spans="1:18" ht="15.75" x14ac:dyDescent="0.2">
      <c r="A179" s="142"/>
      <c r="B179" s="135"/>
      <c r="C179" s="78" t="s">
        <v>10</v>
      </c>
      <c r="D179" s="73">
        <f t="shared" si="75"/>
        <v>0</v>
      </c>
      <c r="E179" s="73">
        <v>0</v>
      </c>
      <c r="F179" s="73">
        <v>0</v>
      </c>
      <c r="G179" s="73">
        <v>0</v>
      </c>
      <c r="H179" s="73">
        <v>0</v>
      </c>
      <c r="I179" s="73">
        <v>0</v>
      </c>
      <c r="J179" s="73">
        <v>0</v>
      </c>
      <c r="K179" s="73">
        <v>0</v>
      </c>
      <c r="L179" s="73">
        <v>0</v>
      </c>
      <c r="M179" s="73">
        <v>0</v>
      </c>
      <c r="N179" s="73">
        <v>0</v>
      </c>
      <c r="O179" s="73">
        <v>0</v>
      </c>
    </row>
    <row r="180" spans="1:18" ht="15.75" x14ac:dyDescent="0.2">
      <c r="A180" s="142"/>
      <c r="B180" s="135"/>
      <c r="C180" s="78" t="s">
        <v>11</v>
      </c>
      <c r="D180" s="73">
        <f t="shared" si="75"/>
        <v>0</v>
      </c>
      <c r="E180" s="73">
        <v>0</v>
      </c>
      <c r="F180" s="73">
        <v>0</v>
      </c>
      <c r="G180" s="73">
        <v>0</v>
      </c>
      <c r="H180" s="73">
        <v>0</v>
      </c>
      <c r="I180" s="73">
        <v>0</v>
      </c>
      <c r="J180" s="73">
        <v>0</v>
      </c>
      <c r="K180" s="73">
        <v>0</v>
      </c>
      <c r="L180" s="73">
        <v>0</v>
      </c>
      <c r="M180" s="73">
        <v>0</v>
      </c>
      <c r="N180" s="73">
        <v>0</v>
      </c>
      <c r="O180" s="73">
        <v>0</v>
      </c>
    </row>
    <row r="181" spans="1:18" ht="31.5" x14ac:dyDescent="0.2">
      <c r="A181" s="142"/>
      <c r="B181" s="135"/>
      <c r="C181" s="78" t="s">
        <v>65</v>
      </c>
      <c r="D181" s="73">
        <f t="shared" si="75"/>
        <v>3590.6</v>
      </c>
      <c r="E181" s="73">
        <v>2639.6</v>
      </c>
      <c r="F181" s="73">
        <v>951</v>
      </c>
      <c r="G181" s="73">
        <v>0</v>
      </c>
      <c r="H181" s="73">
        <v>0</v>
      </c>
      <c r="I181" s="73">
        <v>0</v>
      </c>
      <c r="J181" s="73">
        <v>0</v>
      </c>
      <c r="K181" s="73">
        <v>0</v>
      </c>
      <c r="L181" s="73">
        <v>0</v>
      </c>
      <c r="M181" s="73">
        <v>0</v>
      </c>
      <c r="N181" s="73">
        <v>0</v>
      </c>
      <c r="O181" s="73">
        <v>0</v>
      </c>
    </row>
    <row r="182" spans="1:18" ht="31.5" x14ac:dyDescent="0.2">
      <c r="A182" s="142"/>
      <c r="B182" s="135"/>
      <c r="C182" s="79" t="s">
        <v>79</v>
      </c>
      <c r="D182" s="75">
        <f t="shared" si="75"/>
        <v>3590.6</v>
      </c>
      <c r="E182" s="75">
        <f>E181</f>
        <v>2639.6</v>
      </c>
      <c r="F182" s="75">
        <v>951</v>
      </c>
      <c r="G182" s="75">
        <v>0</v>
      </c>
      <c r="H182" s="75">
        <v>0</v>
      </c>
      <c r="I182" s="75">
        <v>0</v>
      </c>
      <c r="J182" s="75">
        <v>0</v>
      </c>
      <c r="K182" s="73">
        <v>0</v>
      </c>
      <c r="L182" s="75">
        <v>0</v>
      </c>
      <c r="M182" s="75">
        <v>0</v>
      </c>
      <c r="N182" s="75">
        <v>0</v>
      </c>
      <c r="O182" s="73">
        <v>0</v>
      </c>
    </row>
    <row r="183" spans="1:18" ht="21" customHeight="1" x14ac:dyDescent="0.2">
      <c r="A183" s="142"/>
      <c r="B183" s="135"/>
      <c r="C183" s="78" t="s">
        <v>13</v>
      </c>
      <c r="D183" s="73">
        <f t="shared" si="75"/>
        <v>0</v>
      </c>
      <c r="E183" s="73">
        <v>0</v>
      </c>
      <c r="F183" s="73">
        <v>0</v>
      </c>
      <c r="G183" s="73">
        <v>0</v>
      </c>
      <c r="H183" s="73">
        <v>0</v>
      </c>
      <c r="I183" s="73">
        <v>0</v>
      </c>
      <c r="J183" s="73">
        <v>0</v>
      </c>
      <c r="K183" s="73">
        <v>0</v>
      </c>
      <c r="L183" s="73">
        <v>0</v>
      </c>
      <c r="M183" s="73">
        <v>0</v>
      </c>
      <c r="N183" s="73">
        <v>0</v>
      </c>
      <c r="O183" s="73">
        <v>0</v>
      </c>
    </row>
    <row r="184" spans="1:18" ht="15.75" x14ac:dyDescent="0.2">
      <c r="A184" s="135" t="s">
        <v>115</v>
      </c>
      <c r="B184" s="135" t="s">
        <v>217</v>
      </c>
      <c r="C184" s="78" t="s">
        <v>7</v>
      </c>
      <c r="D184" s="73">
        <f>E184+F184+G184+H184+I184+J184+K184+L184+M184+N184+O184</f>
        <v>2617.1</v>
      </c>
      <c r="E184" s="73">
        <f t="shared" ref="E184:O184" si="77">E185+E186+E187+E188</f>
        <v>0</v>
      </c>
      <c r="F184" s="73">
        <f t="shared" si="77"/>
        <v>0</v>
      </c>
      <c r="G184" s="73">
        <f t="shared" si="77"/>
        <v>332.6</v>
      </c>
      <c r="H184" s="73">
        <f>H185+H186+H187+H188</f>
        <v>984.5</v>
      </c>
      <c r="I184" s="73">
        <f t="shared" si="77"/>
        <v>690</v>
      </c>
      <c r="J184" s="73">
        <f t="shared" si="77"/>
        <v>160</v>
      </c>
      <c r="K184" s="73">
        <f t="shared" si="77"/>
        <v>450</v>
      </c>
      <c r="L184" s="73">
        <f t="shared" si="77"/>
        <v>0</v>
      </c>
      <c r="M184" s="73">
        <f t="shared" si="77"/>
        <v>0</v>
      </c>
      <c r="N184" s="73">
        <f t="shared" si="77"/>
        <v>0</v>
      </c>
      <c r="O184" s="73">
        <f t="shared" si="77"/>
        <v>0</v>
      </c>
    </row>
    <row r="185" spans="1:18" ht="15.75" x14ac:dyDescent="0.2">
      <c r="A185" s="142"/>
      <c r="B185" s="135"/>
      <c r="C185" s="78" t="s">
        <v>10</v>
      </c>
      <c r="D185" s="73">
        <f>E185+F185+G185+H185+I185+J185+K185+L185+M185+N185+O185</f>
        <v>0</v>
      </c>
      <c r="E185" s="73">
        <v>0</v>
      </c>
      <c r="F185" s="73">
        <v>0</v>
      </c>
      <c r="G185" s="73">
        <v>0</v>
      </c>
      <c r="H185" s="73">
        <v>0</v>
      </c>
      <c r="I185" s="73">
        <v>0</v>
      </c>
      <c r="J185" s="73">
        <v>0</v>
      </c>
      <c r="K185" s="73">
        <v>0</v>
      </c>
      <c r="L185" s="73">
        <v>0</v>
      </c>
      <c r="M185" s="73">
        <v>0</v>
      </c>
      <c r="N185" s="73">
        <v>0</v>
      </c>
      <c r="O185" s="73">
        <v>0</v>
      </c>
    </row>
    <row r="186" spans="1:18" ht="15.75" x14ac:dyDescent="0.2">
      <c r="A186" s="142"/>
      <c r="B186" s="135"/>
      <c r="C186" s="78" t="s">
        <v>11</v>
      </c>
      <c r="D186" s="73">
        <f>E186+F186+G186+H186+I186+J186+K186+L186+M186+N186+O186</f>
        <v>0</v>
      </c>
      <c r="E186" s="73">
        <v>0</v>
      </c>
      <c r="F186" s="73">
        <v>0</v>
      </c>
      <c r="G186" s="73">
        <v>0</v>
      </c>
      <c r="H186" s="73">
        <v>0</v>
      </c>
      <c r="I186" s="73">
        <v>0</v>
      </c>
      <c r="J186" s="73">
        <v>0</v>
      </c>
      <c r="K186" s="73">
        <v>0</v>
      </c>
      <c r="L186" s="73">
        <v>0</v>
      </c>
      <c r="M186" s="73">
        <v>0</v>
      </c>
      <c r="N186" s="73">
        <v>0</v>
      </c>
      <c r="O186" s="73">
        <v>0</v>
      </c>
    </row>
    <row r="187" spans="1:18" ht="15.75" x14ac:dyDescent="0.2">
      <c r="A187" s="142"/>
      <c r="B187" s="135"/>
      <c r="C187" s="78" t="s">
        <v>12</v>
      </c>
      <c r="D187" s="73">
        <f>E187+F187+G187+H187+I187+J187+K187+L187+M187+N187+O187</f>
        <v>2617.1</v>
      </c>
      <c r="E187" s="73">
        <v>0</v>
      </c>
      <c r="F187" s="73">
        <v>0</v>
      </c>
      <c r="G187" s="73">
        <v>332.6</v>
      </c>
      <c r="H187" s="73">
        <v>984.5</v>
      </c>
      <c r="I187" s="73">
        <v>690</v>
      </c>
      <c r="J187" s="73">
        <f>2000-1800-40</f>
        <v>160</v>
      </c>
      <c r="K187" s="73">
        <f>2000-1550</f>
        <v>450</v>
      </c>
      <c r="L187" s="73">
        <v>0</v>
      </c>
      <c r="M187" s="73">
        <v>0</v>
      </c>
      <c r="N187" s="73">
        <v>0</v>
      </c>
      <c r="O187" s="73">
        <f>2433.3-2433.3</f>
        <v>0</v>
      </c>
    </row>
    <row r="188" spans="1:18" ht="43.5" customHeight="1" x14ac:dyDescent="0.2">
      <c r="A188" s="142"/>
      <c r="B188" s="135"/>
      <c r="C188" s="78" t="s">
        <v>13</v>
      </c>
      <c r="D188" s="73">
        <f>E188+F188+G188+H188+I188+J188+K188+L188+M188+N188+O188</f>
        <v>0</v>
      </c>
      <c r="E188" s="73">
        <v>0</v>
      </c>
      <c r="F188" s="73">
        <v>0</v>
      </c>
      <c r="G188" s="73">
        <v>0</v>
      </c>
      <c r="H188" s="73">
        <v>0</v>
      </c>
      <c r="I188" s="73">
        <v>0</v>
      </c>
      <c r="J188" s="73">
        <v>0</v>
      </c>
      <c r="K188" s="73">
        <v>0</v>
      </c>
      <c r="L188" s="73">
        <v>0</v>
      </c>
      <c r="M188" s="73">
        <v>0</v>
      </c>
      <c r="N188" s="73">
        <v>0</v>
      </c>
      <c r="O188" s="73">
        <v>0</v>
      </c>
    </row>
    <row r="189" spans="1:18" ht="15.75" x14ac:dyDescent="0.2">
      <c r="A189" s="135" t="s">
        <v>116</v>
      </c>
      <c r="B189" s="135" t="s">
        <v>224</v>
      </c>
      <c r="C189" s="78" t="s">
        <v>7</v>
      </c>
      <c r="D189" s="73">
        <f t="shared" ref="D189:D198" si="78">E189+F189+G189+H189+I189+J189</f>
        <v>3968.3</v>
      </c>
      <c r="E189" s="73">
        <f t="shared" ref="E189:J189" si="79">E190+E191+E192+E193</f>
        <v>0</v>
      </c>
      <c r="F189" s="73">
        <f t="shared" si="79"/>
        <v>0</v>
      </c>
      <c r="G189" s="73">
        <f t="shared" si="79"/>
        <v>0</v>
      </c>
      <c r="H189" s="73">
        <f t="shared" si="79"/>
        <v>3968.3</v>
      </c>
      <c r="I189" s="73">
        <f t="shared" si="79"/>
        <v>0</v>
      </c>
      <c r="J189" s="73">
        <f t="shared" si="79"/>
        <v>0</v>
      </c>
      <c r="K189" s="73">
        <v>0</v>
      </c>
      <c r="L189" s="73">
        <f>L190+L191+L192+L193</f>
        <v>0</v>
      </c>
      <c r="M189" s="73">
        <f>M190+M191+M192+M193</f>
        <v>0</v>
      </c>
      <c r="N189" s="73">
        <f>N190+N191+N192+N193</f>
        <v>0</v>
      </c>
      <c r="O189" s="73">
        <f>O190+O191+O192+O193</f>
        <v>0</v>
      </c>
    </row>
    <row r="190" spans="1:18" ht="15.75" x14ac:dyDescent="0.2">
      <c r="A190" s="142"/>
      <c r="B190" s="135"/>
      <c r="C190" s="78" t="s">
        <v>10</v>
      </c>
      <c r="D190" s="73">
        <f t="shared" si="78"/>
        <v>0</v>
      </c>
      <c r="E190" s="73">
        <v>0</v>
      </c>
      <c r="F190" s="73">
        <v>0</v>
      </c>
      <c r="G190" s="73">
        <v>0</v>
      </c>
      <c r="H190" s="73">
        <v>0</v>
      </c>
      <c r="I190" s="73">
        <v>0</v>
      </c>
      <c r="J190" s="73">
        <v>0</v>
      </c>
      <c r="K190" s="73">
        <v>0</v>
      </c>
      <c r="L190" s="73">
        <v>0</v>
      </c>
      <c r="M190" s="73">
        <v>0</v>
      </c>
      <c r="N190" s="73">
        <v>0</v>
      </c>
      <c r="O190" s="73">
        <v>0</v>
      </c>
    </row>
    <row r="191" spans="1:18" ht="15.75" x14ac:dyDescent="0.2">
      <c r="A191" s="142"/>
      <c r="B191" s="135"/>
      <c r="C191" s="78" t="s">
        <v>11</v>
      </c>
      <c r="D191" s="73">
        <f t="shared" si="78"/>
        <v>0</v>
      </c>
      <c r="E191" s="73">
        <v>0</v>
      </c>
      <c r="F191" s="73">
        <v>0</v>
      </c>
      <c r="G191" s="73">
        <v>0</v>
      </c>
      <c r="H191" s="73">
        <v>0</v>
      </c>
      <c r="I191" s="73">
        <v>0</v>
      </c>
      <c r="J191" s="73">
        <v>0</v>
      </c>
      <c r="K191" s="73">
        <v>0</v>
      </c>
      <c r="L191" s="73">
        <v>0</v>
      </c>
      <c r="M191" s="73">
        <v>0</v>
      </c>
      <c r="N191" s="73">
        <v>0</v>
      </c>
      <c r="O191" s="73">
        <v>0</v>
      </c>
    </row>
    <row r="192" spans="1:18" ht="15.75" x14ac:dyDescent="0.2">
      <c r="A192" s="142"/>
      <c r="B192" s="135"/>
      <c r="C192" s="78" t="s">
        <v>12</v>
      </c>
      <c r="D192" s="73">
        <f t="shared" si="78"/>
        <v>3968.3</v>
      </c>
      <c r="E192" s="73">
        <v>0</v>
      </c>
      <c r="F192" s="73">
        <v>0</v>
      </c>
      <c r="G192" s="73">
        <v>0</v>
      </c>
      <c r="H192" s="73">
        <v>3968.3</v>
      </c>
      <c r="I192" s="73">
        <v>0</v>
      </c>
      <c r="J192" s="73">
        <v>0</v>
      </c>
      <c r="K192" s="73">
        <v>0</v>
      </c>
      <c r="L192" s="73">
        <v>0</v>
      </c>
      <c r="M192" s="73">
        <v>0</v>
      </c>
      <c r="N192" s="73">
        <v>0</v>
      </c>
      <c r="O192" s="73">
        <v>0</v>
      </c>
    </row>
    <row r="193" spans="1:25" ht="44.25" customHeight="1" x14ac:dyDescent="0.2">
      <c r="A193" s="142"/>
      <c r="B193" s="135"/>
      <c r="C193" s="78" t="s">
        <v>13</v>
      </c>
      <c r="D193" s="73">
        <f t="shared" si="78"/>
        <v>0</v>
      </c>
      <c r="E193" s="73">
        <v>0</v>
      </c>
      <c r="F193" s="73">
        <v>0</v>
      </c>
      <c r="G193" s="73">
        <v>0</v>
      </c>
      <c r="H193" s="73">
        <v>0</v>
      </c>
      <c r="I193" s="73">
        <v>0</v>
      </c>
      <c r="J193" s="73">
        <v>0</v>
      </c>
      <c r="K193" s="73">
        <v>0</v>
      </c>
      <c r="L193" s="73">
        <v>0</v>
      </c>
      <c r="M193" s="73">
        <v>0</v>
      </c>
      <c r="N193" s="73">
        <v>0</v>
      </c>
      <c r="O193" s="73">
        <v>0</v>
      </c>
    </row>
    <row r="194" spans="1:25" ht="15.75" x14ac:dyDescent="0.2">
      <c r="A194" s="135" t="s">
        <v>117</v>
      </c>
      <c r="B194" s="135" t="s">
        <v>225</v>
      </c>
      <c r="C194" s="78" t="s">
        <v>7</v>
      </c>
      <c r="D194" s="73">
        <f t="shared" si="78"/>
        <v>15790</v>
      </c>
      <c r="E194" s="73">
        <f t="shared" ref="E194:K194" si="80">E195+E196+E197+E198</f>
        <v>0</v>
      </c>
      <c r="F194" s="73">
        <f t="shared" si="80"/>
        <v>15790</v>
      </c>
      <c r="G194" s="73">
        <f t="shared" si="80"/>
        <v>0</v>
      </c>
      <c r="H194" s="73">
        <f t="shared" si="80"/>
        <v>0</v>
      </c>
      <c r="I194" s="73">
        <f t="shared" si="80"/>
        <v>0</v>
      </c>
      <c r="J194" s="73">
        <f t="shared" si="80"/>
        <v>0</v>
      </c>
      <c r="K194" s="73">
        <f t="shared" si="80"/>
        <v>0</v>
      </c>
      <c r="L194" s="73">
        <f>L195+L196+L197+L198</f>
        <v>0</v>
      </c>
      <c r="M194" s="73">
        <f>M195+M196+M197+M198</f>
        <v>0</v>
      </c>
      <c r="N194" s="73">
        <f>N195+N196+N197+N198</f>
        <v>0</v>
      </c>
      <c r="O194" s="73">
        <f>O195+O196+O197+O198</f>
        <v>0</v>
      </c>
    </row>
    <row r="195" spans="1:25" ht="18" customHeight="1" x14ac:dyDescent="0.2">
      <c r="A195" s="142"/>
      <c r="B195" s="135"/>
      <c r="C195" s="80" t="s">
        <v>10</v>
      </c>
      <c r="D195" s="73">
        <f t="shared" si="78"/>
        <v>0</v>
      </c>
      <c r="E195" s="73">
        <v>0</v>
      </c>
      <c r="F195" s="73">
        <v>0</v>
      </c>
      <c r="G195" s="73">
        <v>0</v>
      </c>
      <c r="H195" s="73">
        <v>0</v>
      </c>
      <c r="I195" s="73">
        <v>0</v>
      </c>
      <c r="J195" s="73">
        <v>0</v>
      </c>
      <c r="K195" s="73">
        <v>0</v>
      </c>
      <c r="L195" s="73">
        <v>0</v>
      </c>
      <c r="M195" s="73">
        <v>0</v>
      </c>
      <c r="N195" s="73">
        <v>0</v>
      </c>
      <c r="O195" s="73">
        <v>0</v>
      </c>
    </row>
    <row r="196" spans="1:25" ht="18" customHeight="1" x14ac:dyDescent="0.2">
      <c r="A196" s="142"/>
      <c r="B196" s="135"/>
      <c r="C196" s="80" t="s">
        <v>11</v>
      </c>
      <c r="D196" s="73">
        <f t="shared" si="78"/>
        <v>15000</v>
      </c>
      <c r="E196" s="73">
        <v>0</v>
      </c>
      <c r="F196" s="73">
        <v>15000</v>
      </c>
      <c r="G196" s="73">
        <v>0</v>
      </c>
      <c r="H196" s="73">
        <v>0</v>
      </c>
      <c r="I196" s="73">
        <v>0</v>
      </c>
      <c r="J196" s="73">
        <v>0</v>
      </c>
      <c r="K196" s="73">
        <v>0</v>
      </c>
      <c r="L196" s="73">
        <v>0</v>
      </c>
      <c r="M196" s="73">
        <v>0</v>
      </c>
      <c r="N196" s="73">
        <v>0</v>
      </c>
      <c r="O196" s="73">
        <v>0</v>
      </c>
    </row>
    <row r="197" spans="1:25" ht="15.75" x14ac:dyDescent="0.2">
      <c r="A197" s="142"/>
      <c r="B197" s="135"/>
      <c r="C197" s="80" t="s">
        <v>12</v>
      </c>
      <c r="D197" s="73">
        <f t="shared" si="78"/>
        <v>790</v>
      </c>
      <c r="E197" s="73">
        <v>0</v>
      </c>
      <c r="F197" s="73">
        <v>790</v>
      </c>
      <c r="G197" s="73">
        <v>0</v>
      </c>
      <c r="H197" s="73">
        <v>0</v>
      </c>
      <c r="I197" s="73">
        <v>0</v>
      </c>
      <c r="J197" s="73">
        <v>0</v>
      </c>
      <c r="K197" s="73">
        <v>0</v>
      </c>
      <c r="L197" s="73">
        <v>0</v>
      </c>
      <c r="M197" s="73">
        <v>0</v>
      </c>
      <c r="N197" s="73">
        <v>0</v>
      </c>
      <c r="O197" s="73">
        <v>0</v>
      </c>
    </row>
    <row r="198" spans="1:25" ht="36.75" customHeight="1" x14ac:dyDescent="0.2">
      <c r="A198" s="142"/>
      <c r="B198" s="135"/>
      <c r="C198" s="80" t="s">
        <v>13</v>
      </c>
      <c r="D198" s="73">
        <f t="shared" si="78"/>
        <v>0</v>
      </c>
      <c r="E198" s="73">
        <v>0</v>
      </c>
      <c r="F198" s="73">
        <v>0</v>
      </c>
      <c r="G198" s="73">
        <v>0</v>
      </c>
      <c r="H198" s="73">
        <v>0</v>
      </c>
      <c r="I198" s="73">
        <v>0</v>
      </c>
      <c r="J198" s="73">
        <v>0</v>
      </c>
      <c r="K198" s="73">
        <v>0</v>
      </c>
      <c r="L198" s="73">
        <v>0</v>
      </c>
      <c r="M198" s="73">
        <v>0</v>
      </c>
      <c r="N198" s="73">
        <v>0</v>
      </c>
      <c r="O198" s="73">
        <v>0</v>
      </c>
    </row>
    <row r="199" spans="1:25" ht="15.75" x14ac:dyDescent="0.2">
      <c r="A199" s="135" t="s">
        <v>118</v>
      </c>
      <c r="B199" s="135" t="s">
        <v>378</v>
      </c>
      <c r="C199" s="78" t="s">
        <v>7</v>
      </c>
      <c r="D199" s="73">
        <f>E199+F199+G199+H199+I199+J199+J199+K199+L199+M199+N199+O199</f>
        <v>3063662.9000000004</v>
      </c>
      <c r="E199" s="73">
        <f t="shared" ref="E199:M199" si="81">E200+E201+E203+E205</f>
        <v>0</v>
      </c>
      <c r="F199" s="73">
        <f t="shared" si="81"/>
        <v>0</v>
      </c>
      <c r="G199" s="73">
        <f t="shared" si="81"/>
        <v>27664</v>
      </c>
      <c r="H199" s="73">
        <f t="shared" si="81"/>
        <v>50456.399999999994</v>
      </c>
      <c r="I199" s="73">
        <f t="shared" si="81"/>
        <v>17092.099999999999</v>
      </c>
      <c r="J199" s="73">
        <f t="shared" si="81"/>
        <v>373247.1</v>
      </c>
      <c r="K199" s="73">
        <f t="shared" si="81"/>
        <v>886803.5</v>
      </c>
      <c r="L199" s="73">
        <f t="shared" si="81"/>
        <v>611320</v>
      </c>
      <c r="M199" s="73">
        <f t="shared" si="81"/>
        <v>197329.69999999998</v>
      </c>
      <c r="N199" s="73">
        <f>N200+N201+N203+N205</f>
        <v>154162.6</v>
      </c>
      <c r="O199" s="73">
        <f>O200+O201+O203+O205</f>
        <v>372340.4</v>
      </c>
      <c r="P199" s="59"/>
      <c r="Q199" s="71"/>
      <c r="R199" s="83"/>
      <c r="T199" s="84"/>
      <c r="X199" s="64"/>
      <c r="Y199" s="64"/>
    </row>
    <row r="200" spans="1:25" ht="15.75" x14ac:dyDescent="0.2">
      <c r="A200" s="142"/>
      <c r="B200" s="135"/>
      <c r="C200" s="80" t="s">
        <v>10</v>
      </c>
      <c r="D200" s="73">
        <f t="shared" ref="D200:D205" si="82">E200+F200+G200+H200+I200+J200+K200+L200+M200+N200+O200</f>
        <v>0</v>
      </c>
      <c r="E200" s="73">
        <v>0</v>
      </c>
      <c r="F200" s="73">
        <v>0</v>
      </c>
      <c r="G200" s="73">
        <v>0</v>
      </c>
      <c r="H200" s="73">
        <v>0</v>
      </c>
      <c r="I200" s="73">
        <v>0</v>
      </c>
      <c r="J200" s="73">
        <v>0</v>
      </c>
      <c r="K200" s="73">
        <v>0</v>
      </c>
      <c r="L200" s="73">
        <v>0</v>
      </c>
      <c r="M200" s="73">
        <v>0</v>
      </c>
      <c r="N200" s="73">
        <v>0</v>
      </c>
      <c r="O200" s="73">
        <v>0</v>
      </c>
    </row>
    <row r="201" spans="1:25" ht="31.5" x14ac:dyDescent="0.2">
      <c r="A201" s="142"/>
      <c r="B201" s="135"/>
      <c r="C201" s="80" t="s">
        <v>69</v>
      </c>
      <c r="D201" s="73">
        <f t="shared" si="82"/>
        <v>2515090.4</v>
      </c>
      <c r="E201" s="73">
        <v>0</v>
      </c>
      <c r="F201" s="73">
        <v>0</v>
      </c>
      <c r="G201" s="73">
        <v>26276.799999999999</v>
      </c>
      <c r="H201" s="73">
        <v>47416.2</v>
      </c>
      <c r="I201" s="73">
        <v>16128.9</v>
      </c>
      <c r="J201" s="73">
        <v>350852.3</v>
      </c>
      <c r="K201" s="73">
        <v>827090.5</v>
      </c>
      <c r="L201" s="73">
        <f>90675.1+341780.4+162261.4-10000-10076.1</f>
        <v>574640.80000000005</v>
      </c>
      <c r="M201" s="73">
        <f>221840-840+3039.3-55669.4+14000</f>
        <v>182369.9</v>
      </c>
      <c r="N201" s="73">
        <f>221840-81525</f>
        <v>140315</v>
      </c>
      <c r="O201" s="73">
        <v>350000</v>
      </c>
      <c r="P201" s="85"/>
      <c r="Q201" s="66"/>
    </row>
    <row r="202" spans="1:25" ht="31.5" x14ac:dyDescent="0.2">
      <c r="A202" s="142"/>
      <c r="B202" s="135"/>
      <c r="C202" s="76" t="s">
        <v>81</v>
      </c>
      <c r="D202" s="75">
        <f t="shared" si="82"/>
        <v>10330.6</v>
      </c>
      <c r="E202" s="75">
        <v>0</v>
      </c>
      <c r="F202" s="75">
        <v>0</v>
      </c>
      <c r="G202" s="75">
        <v>0</v>
      </c>
      <c r="H202" s="75">
        <v>0</v>
      </c>
      <c r="I202" s="75">
        <v>0</v>
      </c>
      <c r="J202" s="75">
        <v>0</v>
      </c>
      <c r="K202" s="75">
        <v>0</v>
      </c>
      <c r="L202" s="75">
        <v>0</v>
      </c>
      <c r="M202" s="75">
        <v>10330.6</v>
      </c>
      <c r="N202" s="75">
        <v>0</v>
      </c>
      <c r="O202" s="75">
        <v>0</v>
      </c>
      <c r="P202" s="85"/>
      <c r="Q202" s="66"/>
    </row>
    <row r="203" spans="1:25" ht="31.5" x14ac:dyDescent="0.2">
      <c r="A203" s="142"/>
      <c r="B203" s="135"/>
      <c r="C203" s="80" t="s">
        <v>65</v>
      </c>
      <c r="D203" s="73">
        <f t="shared" si="82"/>
        <v>175325.4</v>
      </c>
      <c r="E203" s="73">
        <v>0</v>
      </c>
      <c r="F203" s="73">
        <v>0</v>
      </c>
      <c r="G203" s="73">
        <v>1387.2</v>
      </c>
      <c r="H203" s="73">
        <v>3040.2</v>
      </c>
      <c r="I203" s="73">
        <v>963.2</v>
      </c>
      <c r="J203" s="73">
        <v>22394.799999999999</v>
      </c>
      <c r="K203" s="73">
        <v>59713</v>
      </c>
      <c r="L203" s="73">
        <f>24355.9+3247.6+10357.2-0.1-638.3-643.2+0.1</f>
        <v>36679.199999999997</v>
      </c>
      <c r="M203" s="73">
        <f>14160-53.6+194+659.4</f>
        <v>14959.8</v>
      </c>
      <c r="N203" s="58">
        <f>14160-3319.2-288.7-1595.8+3295.5+1595.8</f>
        <v>13847.599999999999</v>
      </c>
      <c r="O203" s="73">
        <f>22340.4</f>
        <v>22340.400000000001</v>
      </c>
      <c r="P203" s="85"/>
      <c r="Q203" s="66"/>
    </row>
    <row r="204" spans="1:25" ht="31.5" x14ac:dyDescent="0.2">
      <c r="A204" s="142"/>
      <c r="B204" s="135"/>
      <c r="C204" s="76" t="s">
        <v>449</v>
      </c>
      <c r="D204" s="75">
        <f t="shared" si="82"/>
        <v>659.4</v>
      </c>
      <c r="E204" s="75">
        <v>0</v>
      </c>
      <c r="F204" s="75">
        <v>0</v>
      </c>
      <c r="G204" s="75">
        <v>0</v>
      </c>
      <c r="H204" s="75">
        <v>0</v>
      </c>
      <c r="I204" s="75">
        <v>0</v>
      </c>
      <c r="J204" s="75">
        <v>0</v>
      </c>
      <c r="K204" s="75">
        <v>0</v>
      </c>
      <c r="L204" s="75">
        <v>0</v>
      </c>
      <c r="M204" s="75">
        <v>659.4</v>
      </c>
      <c r="N204" s="75">
        <v>0</v>
      </c>
      <c r="O204" s="75">
        <v>0</v>
      </c>
      <c r="P204" s="81"/>
      <c r="Q204" s="66"/>
    </row>
    <row r="205" spans="1:25" ht="28.5" customHeight="1" x14ac:dyDescent="0.2">
      <c r="A205" s="142"/>
      <c r="B205" s="135"/>
      <c r="C205" s="80" t="s">
        <v>13</v>
      </c>
      <c r="D205" s="73">
        <f t="shared" si="82"/>
        <v>0</v>
      </c>
      <c r="E205" s="73">
        <v>0</v>
      </c>
      <c r="F205" s="73">
        <v>0</v>
      </c>
      <c r="G205" s="73">
        <v>0</v>
      </c>
      <c r="H205" s="73">
        <v>0</v>
      </c>
      <c r="I205" s="73">
        <v>0</v>
      </c>
      <c r="J205" s="73">
        <v>0</v>
      </c>
      <c r="K205" s="73">
        <v>0</v>
      </c>
      <c r="L205" s="73">
        <v>0</v>
      </c>
      <c r="M205" s="73">
        <v>0</v>
      </c>
      <c r="N205" s="73">
        <v>0</v>
      </c>
      <c r="O205" s="73">
        <v>0</v>
      </c>
      <c r="P205" s="61"/>
      <c r="Q205" s="61"/>
    </row>
    <row r="206" spans="1:25" ht="15.75" x14ac:dyDescent="0.2">
      <c r="A206" s="135" t="s">
        <v>212</v>
      </c>
      <c r="B206" s="135" t="s">
        <v>298</v>
      </c>
      <c r="C206" s="78" t="s">
        <v>7</v>
      </c>
      <c r="D206" s="73">
        <f>D207+D208+D209+D210</f>
        <v>18555.600000000002</v>
      </c>
      <c r="E206" s="73">
        <f t="shared" ref="E206:K206" si="83">E207+E208+E209+E210</f>
        <v>0</v>
      </c>
      <c r="F206" s="73">
        <f t="shared" si="83"/>
        <v>0</v>
      </c>
      <c r="G206" s="73">
        <f t="shared" si="83"/>
        <v>0</v>
      </c>
      <c r="H206" s="73">
        <f t="shared" si="83"/>
        <v>0</v>
      </c>
      <c r="I206" s="73">
        <f t="shared" si="83"/>
        <v>1845.8</v>
      </c>
      <c r="J206" s="73">
        <f t="shared" si="83"/>
        <v>4535.2</v>
      </c>
      <c r="K206" s="73">
        <f t="shared" si="83"/>
        <v>599.90000000000146</v>
      </c>
      <c r="L206" s="73">
        <f>L207+L208+L209+L210</f>
        <v>4131.6000000000004</v>
      </c>
      <c r="M206" s="73">
        <f>M207+M208+M209+M210</f>
        <v>7443.1</v>
      </c>
      <c r="N206" s="73">
        <f>N207+N208+N209+N210</f>
        <v>0</v>
      </c>
      <c r="O206" s="73">
        <f>O207+O208+O209+O210</f>
        <v>0</v>
      </c>
      <c r="P206" s="59" t="s">
        <v>354</v>
      </c>
      <c r="Q206" s="71"/>
      <c r="T206" s="84"/>
    </row>
    <row r="207" spans="1:25" ht="15.75" x14ac:dyDescent="0.2">
      <c r="A207" s="142"/>
      <c r="B207" s="142"/>
      <c r="C207" s="78" t="s">
        <v>10</v>
      </c>
      <c r="D207" s="73">
        <f t="shared" ref="D207:D238" si="84">E207+F207+G207+H207+I207+J207+K207+L207+M207+N207+O207</f>
        <v>0</v>
      </c>
      <c r="E207" s="73">
        <v>0</v>
      </c>
      <c r="F207" s="73">
        <v>0</v>
      </c>
      <c r="G207" s="73">
        <v>0</v>
      </c>
      <c r="H207" s="73">
        <v>0</v>
      </c>
      <c r="I207" s="73">
        <v>0</v>
      </c>
      <c r="J207" s="73">
        <v>0</v>
      </c>
      <c r="K207" s="73">
        <v>0</v>
      </c>
      <c r="L207" s="73">
        <v>0</v>
      </c>
      <c r="M207" s="73">
        <v>0</v>
      </c>
      <c r="N207" s="73">
        <v>0</v>
      </c>
      <c r="O207" s="73">
        <v>0</v>
      </c>
    </row>
    <row r="208" spans="1:25" ht="15.75" x14ac:dyDescent="0.2">
      <c r="A208" s="142"/>
      <c r="B208" s="142"/>
      <c r="C208" s="78" t="s">
        <v>11</v>
      </c>
      <c r="D208" s="73">
        <f t="shared" si="84"/>
        <v>0</v>
      </c>
      <c r="E208" s="73">
        <v>0</v>
      </c>
      <c r="F208" s="73">
        <v>0</v>
      </c>
      <c r="G208" s="73">
        <v>0</v>
      </c>
      <c r="H208" s="73">
        <v>0</v>
      </c>
      <c r="I208" s="73">
        <v>0</v>
      </c>
      <c r="J208" s="73">
        <v>0</v>
      </c>
      <c r="K208" s="73">
        <v>0</v>
      </c>
      <c r="L208" s="73">
        <v>0</v>
      </c>
      <c r="M208" s="73">
        <v>0</v>
      </c>
      <c r="N208" s="73">
        <v>0</v>
      </c>
      <c r="O208" s="73">
        <v>0</v>
      </c>
      <c r="P208" s="61"/>
      <c r="Q208" s="61"/>
    </row>
    <row r="209" spans="1:16" ht="15.75" x14ac:dyDescent="0.2">
      <c r="A209" s="142"/>
      <c r="B209" s="142"/>
      <c r="C209" s="78" t="s">
        <v>12</v>
      </c>
      <c r="D209" s="73">
        <f t="shared" si="84"/>
        <v>18555.600000000002</v>
      </c>
      <c r="E209" s="73">
        <v>0</v>
      </c>
      <c r="F209" s="73">
        <v>0</v>
      </c>
      <c r="G209" s="73">
        <v>0</v>
      </c>
      <c r="H209" s="73">
        <v>0</v>
      </c>
      <c r="I209" s="73">
        <v>1845.8</v>
      </c>
      <c r="J209" s="73">
        <f>4243-69.6+361.8</f>
        <v>4535.2</v>
      </c>
      <c r="K209" s="73">
        <f>14535.2-13935.3</f>
        <v>599.90000000000146</v>
      </c>
      <c r="L209" s="73">
        <v>4131.6000000000004</v>
      </c>
      <c r="M209" s="73">
        <f>4131.6+3311.5</f>
        <v>7443.1</v>
      </c>
      <c r="N209" s="73">
        <v>0</v>
      </c>
      <c r="O209" s="73">
        <v>0</v>
      </c>
    </row>
    <row r="210" spans="1:16" ht="24" customHeight="1" x14ac:dyDescent="0.2">
      <c r="A210" s="142"/>
      <c r="B210" s="142"/>
      <c r="C210" s="78" t="s">
        <v>13</v>
      </c>
      <c r="D210" s="73">
        <f t="shared" si="84"/>
        <v>0</v>
      </c>
      <c r="E210" s="73">
        <v>0</v>
      </c>
      <c r="F210" s="73">
        <v>0</v>
      </c>
      <c r="G210" s="73">
        <v>0</v>
      </c>
      <c r="H210" s="73">
        <v>0</v>
      </c>
      <c r="I210" s="73">
        <v>0</v>
      </c>
      <c r="J210" s="73">
        <v>0</v>
      </c>
      <c r="K210" s="73">
        <v>0</v>
      </c>
      <c r="L210" s="73">
        <v>0</v>
      </c>
      <c r="M210" s="73">
        <v>0</v>
      </c>
      <c r="N210" s="73">
        <v>0</v>
      </c>
      <c r="O210" s="73">
        <v>0</v>
      </c>
    </row>
    <row r="211" spans="1:16" ht="15.75" x14ac:dyDescent="0.2">
      <c r="A211" s="135" t="s">
        <v>252</v>
      </c>
      <c r="B211" s="135" t="s">
        <v>256</v>
      </c>
      <c r="C211" s="78" t="s">
        <v>7</v>
      </c>
      <c r="D211" s="73">
        <f t="shared" si="84"/>
        <v>379.3</v>
      </c>
      <c r="E211" s="73">
        <f t="shared" ref="E211:J211" si="85">E212+E213+E214+E215</f>
        <v>0</v>
      </c>
      <c r="F211" s="73">
        <f t="shared" si="85"/>
        <v>0</v>
      </c>
      <c r="G211" s="73">
        <f t="shared" si="85"/>
        <v>0</v>
      </c>
      <c r="H211" s="73">
        <f t="shared" si="85"/>
        <v>0</v>
      </c>
      <c r="I211" s="73">
        <f t="shared" si="85"/>
        <v>10.3</v>
      </c>
      <c r="J211" s="73">
        <f t="shared" si="85"/>
        <v>0</v>
      </c>
      <c r="K211" s="73">
        <f>K212+K213+K214+K215</f>
        <v>369</v>
      </c>
      <c r="L211" s="73">
        <f>L212+L213+L214+L215</f>
        <v>0</v>
      </c>
      <c r="M211" s="73">
        <f>M212+M213+M214+M215</f>
        <v>0</v>
      </c>
      <c r="N211" s="73">
        <f>N212+N213+N214+N215</f>
        <v>0</v>
      </c>
      <c r="O211" s="73">
        <f>O212+O213+O214+O215</f>
        <v>0</v>
      </c>
      <c r="P211" s="63" t="s">
        <v>354</v>
      </c>
    </row>
    <row r="212" spans="1:16" ht="15.75" x14ac:dyDescent="0.2">
      <c r="A212" s="142"/>
      <c r="B212" s="142"/>
      <c r="C212" s="78" t="s">
        <v>10</v>
      </c>
      <c r="D212" s="73">
        <f t="shared" si="84"/>
        <v>0</v>
      </c>
      <c r="E212" s="73">
        <v>0</v>
      </c>
      <c r="F212" s="73">
        <v>0</v>
      </c>
      <c r="G212" s="73">
        <v>0</v>
      </c>
      <c r="H212" s="73">
        <v>0</v>
      </c>
      <c r="I212" s="73">
        <v>0</v>
      </c>
      <c r="J212" s="73">
        <v>0</v>
      </c>
      <c r="K212" s="73">
        <v>0</v>
      </c>
      <c r="L212" s="73">
        <v>0</v>
      </c>
      <c r="M212" s="73">
        <v>0</v>
      </c>
      <c r="N212" s="73">
        <v>0</v>
      </c>
      <c r="O212" s="73">
        <v>0</v>
      </c>
    </row>
    <row r="213" spans="1:16" ht="15.75" x14ac:dyDescent="0.2">
      <c r="A213" s="142"/>
      <c r="B213" s="142"/>
      <c r="C213" s="78" t="s">
        <v>11</v>
      </c>
      <c r="D213" s="73">
        <f t="shared" si="84"/>
        <v>0</v>
      </c>
      <c r="E213" s="73">
        <v>0</v>
      </c>
      <c r="F213" s="73">
        <v>0</v>
      </c>
      <c r="G213" s="73">
        <v>0</v>
      </c>
      <c r="H213" s="73">
        <v>0</v>
      </c>
      <c r="I213" s="73">
        <v>0</v>
      </c>
      <c r="J213" s="73">
        <v>0</v>
      </c>
      <c r="K213" s="73">
        <v>0</v>
      </c>
      <c r="L213" s="73">
        <v>0</v>
      </c>
      <c r="M213" s="73">
        <v>0</v>
      </c>
      <c r="N213" s="73">
        <v>0</v>
      </c>
      <c r="O213" s="73">
        <v>0</v>
      </c>
    </row>
    <row r="214" spans="1:16" ht="15.75" x14ac:dyDescent="0.2">
      <c r="A214" s="142"/>
      <c r="B214" s="142"/>
      <c r="C214" s="78" t="s">
        <v>12</v>
      </c>
      <c r="D214" s="73">
        <f t="shared" si="84"/>
        <v>379.3</v>
      </c>
      <c r="E214" s="73">
        <v>0</v>
      </c>
      <c r="F214" s="73">
        <v>0</v>
      </c>
      <c r="G214" s="73">
        <v>0</v>
      </c>
      <c r="H214" s="73">
        <v>0</v>
      </c>
      <c r="I214" s="73">
        <v>10.3</v>
      </c>
      <c r="J214" s="73">
        <f>10000-10000</f>
        <v>0</v>
      </c>
      <c r="K214" s="73">
        <f>10000-1800-110-137.5-7583.5</f>
        <v>369</v>
      </c>
      <c r="L214" s="73">
        <v>0</v>
      </c>
      <c r="M214" s="73">
        <v>0</v>
      </c>
      <c r="N214" s="73">
        <v>0</v>
      </c>
      <c r="O214" s="73">
        <v>0</v>
      </c>
    </row>
    <row r="215" spans="1:16" ht="36.75" customHeight="1" x14ac:dyDescent="0.2">
      <c r="A215" s="142"/>
      <c r="B215" s="142"/>
      <c r="C215" s="80" t="s">
        <v>13</v>
      </c>
      <c r="D215" s="73">
        <f t="shared" si="84"/>
        <v>0</v>
      </c>
      <c r="E215" s="73">
        <v>0</v>
      </c>
      <c r="F215" s="73">
        <v>0</v>
      </c>
      <c r="G215" s="73">
        <v>0</v>
      </c>
      <c r="H215" s="73">
        <v>0</v>
      </c>
      <c r="I215" s="73">
        <v>0</v>
      </c>
      <c r="J215" s="73">
        <v>0</v>
      </c>
      <c r="K215" s="73">
        <v>0</v>
      </c>
      <c r="L215" s="73">
        <v>0</v>
      </c>
      <c r="M215" s="73">
        <v>0</v>
      </c>
      <c r="N215" s="73">
        <v>0</v>
      </c>
      <c r="O215" s="73">
        <v>0</v>
      </c>
    </row>
    <row r="216" spans="1:16" ht="15.75" x14ac:dyDescent="0.2">
      <c r="A216" s="135" t="s">
        <v>253</v>
      </c>
      <c r="B216" s="135" t="s">
        <v>292</v>
      </c>
      <c r="C216" s="78" t="s">
        <v>7</v>
      </c>
      <c r="D216" s="73">
        <f t="shared" si="84"/>
        <v>5482.5</v>
      </c>
      <c r="E216" s="73">
        <f t="shared" ref="E216:J216" si="86">E217+E218+E219+E220</f>
        <v>0</v>
      </c>
      <c r="F216" s="73">
        <f t="shared" si="86"/>
        <v>0</v>
      </c>
      <c r="G216" s="73">
        <f t="shared" si="86"/>
        <v>0</v>
      </c>
      <c r="H216" s="73">
        <f t="shared" si="86"/>
        <v>0</v>
      </c>
      <c r="I216" s="73">
        <f t="shared" si="86"/>
        <v>0</v>
      </c>
      <c r="J216" s="73">
        <f t="shared" si="86"/>
        <v>2736.5</v>
      </c>
      <c r="K216" s="73">
        <f>K217+K218+K219+K220</f>
        <v>2746</v>
      </c>
      <c r="L216" s="73">
        <f>L217+L218+L219+L220</f>
        <v>0</v>
      </c>
      <c r="M216" s="73">
        <f>M217+M218+M219+M220</f>
        <v>0</v>
      </c>
      <c r="N216" s="73">
        <f>N217+N218+N219+N220</f>
        <v>0</v>
      </c>
      <c r="O216" s="73">
        <f>O217+O218+O219+O220</f>
        <v>0</v>
      </c>
      <c r="P216" s="63" t="s">
        <v>354</v>
      </c>
    </row>
    <row r="217" spans="1:16" ht="15.75" x14ac:dyDescent="0.2">
      <c r="A217" s="142"/>
      <c r="B217" s="142"/>
      <c r="C217" s="78" t="s">
        <v>10</v>
      </c>
      <c r="D217" s="73">
        <f t="shared" si="84"/>
        <v>0</v>
      </c>
      <c r="E217" s="73">
        <v>0</v>
      </c>
      <c r="F217" s="73">
        <v>0</v>
      </c>
      <c r="G217" s="73">
        <v>0</v>
      </c>
      <c r="H217" s="73">
        <v>0</v>
      </c>
      <c r="I217" s="73">
        <v>0</v>
      </c>
      <c r="J217" s="73">
        <v>0</v>
      </c>
      <c r="K217" s="73">
        <v>0</v>
      </c>
      <c r="L217" s="73">
        <v>0</v>
      </c>
      <c r="M217" s="73">
        <v>0</v>
      </c>
      <c r="N217" s="73">
        <v>0</v>
      </c>
      <c r="O217" s="73">
        <v>0</v>
      </c>
    </row>
    <row r="218" spans="1:16" ht="15.75" x14ac:dyDescent="0.2">
      <c r="A218" s="142"/>
      <c r="B218" s="142"/>
      <c r="C218" s="78" t="s">
        <v>11</v>
      </c>
      <c r="D218" s="73">
        <f t="shared" si="84"/>
        <v>0</v>
      </c>
      <c r="E218" s="73">
        <v>0</v>
      </c>
      <c r="F218" s="73">
        <v>0</v>
      </c>
      <c r="G218" s="73">
        <v>0</v>
      </c>
      <c r="H218" s="73">
        <v>0</v>
      </c>
      <c r="I218" s="73">
        <v>0</v>
      </c>
      <c r="J218" s="73">
        <v>0</v>
      </c>
      <c r="K218" s="73">
        <v>0</v>
      </c>
      <c r="L218" s="73">
        <v>0</v>
      </c>
      <c r="M218" s="73">
        <v>0</v>
      </c>
      <c r="N218" s="73">
        <v>0</v>
      </c>
      <c r="O218" s="73">
        <v>0</v>
      </c>
    </row>
    <row r="219" spans="1:16" ht="15.75" x14ac:dyDescent="0.2">
      <c r="A219" s="142"/>
      <c r="B219" s="142"/>
      <c r="C219" s="78" t="s">
        <v>12</v>
      </c>
      <c r="D219" s="73">
        <f t="shared" si="84"/>
        <v>5482.5</v>
      </c>
      <c r="E219" s="73">
        <v>0</v>
      </c>
      <c r="F219" s="73">
        <v>0</v>
      </c>
      <c r="G219" s="73">
        <v>0</v>
      </c>
      <c r="H219" s="73">
        <v>0</v>
      </c>
      <c r="I219" s="73">
        <v>0</v>
      </c>
      <c r="J219" s="73">
        <f>2800-63.5</f>
        <v>2736.5</v>
      </c>
      <c r="K219" s="73">
        <v>2746</v>
      </c>
      <c r="L219" s="73">
        <v>0</v>
      </c>
      <c r="M219" s="73">
        <v>0</v>
      </c>
      <c r="N219" s="73">
        <v>0</v>
      </c>
      <c r="O219" s="73">
        <v>0</v>
      </c>
    </row>
    <row r="220" spans="1:16" ht="32.25" customHeight="1" x14ac:dyDescent="0.2">
      <c r="A220" s="142"/>
      <c r="B220" s="142"/>
      <c r="C220" s="80" t="s">
        <v>13</v>
      </c>
      <c r="D220" s="73">
        <f t="shared" si="84"/>
        <v>0</v>
      </c>
      <c r="E220" s="73">
        <v>0</v>
      </c>
      <c r="F220" s="73">
        <v>0</v>
      </c>
      <c r="G220" s="73">
        <v>0</v>
      </c>
      <c r="H220" s="73">
        <v>0</v>
      </c>
      <c r="I220" s="73">
        <v>0</v>
      </c>
      <c r="J220" s="73">
        <v>0</v>
      </c>
      <c r="K220" s="73">
        <v>0</v>
      </c>
      <c r="L220" s="73">
        <v>0</v>
      </c>
      <c r="M220" s="73">
        <v>0</v>
      </c>
      <c r="N220" s="73">
        <v>0</v>
      </c>
      <c r="O220" s="73">
        <v>0</v>
      </c>
    </row>
    <row r="221" spans="1:16" ht="15.75" x14ac:dyDescent="0.2">
      <c r="A221" s="135" t="s">
        <v>254</v>
      </c>
      <c r="B221" s="135" t="s">
        <v>413</v>
      </c>
      <c r="C221" s="78" t="s">
        <v>7</v>
      </c>
      <c r="D221" s="73">
        <f t="shared" si="84"/>
        <v>241</v>
      </c>
      <c r="E221" s="73">
        <f t="shared" ref="E221:J221" si="87">E222+E223+E224+E225</f>
        <v>0</v>
      </c>
      <c r="F221" s="73">
        <f t="shared" si="87"/>
        <v>0</v>
      </c>
      <c r="G221" s="73">
        <f t="shared" si="87"/>
        <v>0</v>
      </c>
      <c r="H221" s="73">
        <f t="shared" si="87"/>
        <v>0</v>
      </c>
      <c r="I221" s="73">
        <f t="shared" si="87"/>
        <v>0</v>
      </c>
      <c r="J221" s="73">
        <f t="shared" si="87"/>
        <v>230</v>
      </c>
      <c r="K221" s="73">
        <f>K222+K223+K224+K225</f>
        <v>0</v>
      </c>
      <c r="L221" s="73">
        <f>L222+L223+L224+L225</f>
        <v>11</v>
      </c>
      <c r="M221" s="73">
        <f>M222+M223+M224+M225</f>
        <v>0</v>
      </c>
      <c r="N221" s="73">
        <f>N222+N223+N224+N225</f>
        <v>0</v>
      </c>
      <c r="O221" s="73">
        <f>O222+O223+O224+O225</f>
        <v>0</v>
      </c>
    </row>
    <row r="222" spans="1:16" ht="15.75" x14ac:dyDescent="0.2">
      <c r="A222" s="142"/>
      <c r="B222" s="142"/>
      <c r="C222" s="78" t="s">
        <v>10</v>
      </c>
      <c r="D222" s="73">
        <f t="shared" si="84"/>
        <v>0</v>
      </c>
      <c r="E222" s="73">
        <v>0</v>
      </c>
      <c r="F222" s="73">
        <v>0</v>
      </c>
      <c r="G222" s="73">
        <v>0</v>
      </c>
      <c r="H222" s="73">
        <v>0</v>
      </c>
      <c r="I222" s="73">
        <v>0</v>
      </c>
      <c r="J222" s="73">
        <v>0</v>
      </c>
      <c r="K222" s="73">
        <v>0</v>
      </c>
      <c r="L222" s="73">
        <v>0</v>
      </c>
      <c r="M222" s="73">
        <v>0</v>
      </c>
      <c r="N222" s="73">
        <v>0</v>
      </c>
      <c r="O222" s="73">
        <v>0</v>
      </c>
    </row>
    <row r="223" spans="1:16" ht="15.75" x14ac:dyDescent="0.2">
      <c r="A223" s="142"/>
      <c r="B223" s="142"/>
      <c r="C223" s="78" t="s">
        <v>11</v>
      </c>
      <c r="D223" s="73">
        <f t="shared" si="84"/>
        <v>0</v>
      </c>
      <c r="E223" s="73">
        <v>0</v>
      </c>
      <c r="F223" s="73">
        <v>0</v>
      </c>
      <c r="G223" s="73">
        <v>0</v>
      </c>
      <c r="H223" s="73">
        <v>0</v>
      </c>
      <c r="I223" s="73">
        <v>0</v>
      </c>
      <c r="J223" s="73">
        <v>0</v>
      </c>
      <c r="K223" s="73">
        <v>0</v>
      </c>
      <c r="L223" s="73">
        <v>0</v>
      </c>
      <c r="M223" s="73">
        <v>0</v>
      </c>
      <c r="N223" s="73">
        <v>0</v>
      </c>
      <c r="O223" s="73">
        <v>0</v>
      </c>
    </row>
    <row r="224" spans="1:16" ht="15.75" x14ac:dyDescent="0.2">
      <c r="A224" s="142"/>
      <c r="B224" s="142"/>
      <c r="C224" s="78" t="s">
        <v>12</v>
      </c>
      <c r="D224" s="73">
        <f t="shared" si="84"/>
        <v>241</v>
      </c>
      <c r="E224" s="73">
        <v>0</v>
      </c>
      <c r="F224" s="73">
        <v>0</v>
      </c>
      <c r="G224" s="73">
        <v>0</v>
      </c>
      <c r="H224" s="73">
        <v>0</v>
      </c>
      <c r="I224" s="73">
        <v>0</v>
      </c>
      <c r="J224" s="73">
        <f>8500-8500+300-65.1-4.9</f>
        <v>230</v>
      </c>
      <c r="K224" s="73">
        <v>0</v>
      </c>
      <c r="L224" s="73">
        <v>11</v>
      </c>
      <c r="M224" s="73">
        <v>0</v>
      </c>
      <c r="N224" s="73">
        <v>0</v>
      </c>
      <c r="O224" s="73">
        <v>0</v>
      </c>
    </row>
    <row r="225" spans="1:15" ht="17.25" customHeight="1" x14ac:dyDescent="0.2">
      <c r="A225" s="142"/>
      <c r="B225" s="142"/>
      <c r="C225" s="78" t="s">
        <v>13</v>
      </c>
      <c r="D225" s="73">
        <f t="shared" si="84"/>
        <v>0</v>
      </c>
      <c r="E225" s="73">
        <v>0</v>
      </c>
      <c r="F225" s="73">
        <v>0</v>
      </c>
      <c r="G225" s="73">
        <v>0</v>
      </c>
      <c r="H225" s="73">
        <v>0</v>
      </c>
      <c r="I225" s="73">
        <v>0</v>
      </c>
      <c r="J225" s="73">
        <v>0</v>
      </c>
      <c r="K225" s="73">
        <v>0</v>
      </c>
      <c r="L225" s="73">
        <v>0</v>
      </c>
      <c r="M225" s="73">
        <v>0</v>
      </c>
      <c r="N225" s="73">
        <v>0</v>
      </c>
      <c r="O225" s="73">
        <v>0</v>
      </c>
    </row>
    <row r="226" spans="1:15" ht="15.75" x14ac:dyDescent="0.2">
      <c r="A226" s="135" t="s">
        <v>255</v>
      </c>
      <c r="B226" s="135" t="s">
        <v>257</v>
      </c>
      <c r="C226" s="78" t="s">
        <v>7</v>
      </c>
      <c r="D226" s="73">
        <f t="shared" si="84"/>
        <v>159.99999999999997</v>
      </c>
      <c r="E226" s="73">
        <f t="shared" ref="E226:J226" si="88">E227+E228+E229+E230</f>
        <v>0</v>
      </c>
      <c r="F226" s="73">
        <f t="shared" si="88"/>
        <v>0</v>
      </c>
      <c r="G226" s="73">
        <f t="shared" si="88"/>
        <v>0</v>
      </c>
      <c r="H226" s="73">
        <f t="shared" si="88"/>
        <v>0</v>
      </c>
      <c r="I226" s="73">
        <f t="shared" si="88"/>
        <v>160</v>
      </c>
      <c r="J226" s="73">
        <f t="shared" si="88"/>
        <v>0</v>
      </c>
      <c r="K226" s="73">
        <f>K227+K228+K229+K230</f>
        <v>-2.2648549702353193E-14</v>
      </c>
      <c r="L226" s="73">
        <f>L227+L228+L229+L230</f>
        <v>0</v>
      </c>
      <c r="M226" s="73">
        <f>M227+M228+M229+M230</f>
        <v>0</v>
      </c>
      <c r="N226" s="73">
        <f>N227+N228+N229+N230</f>
        <v>0</v>
      </c>
      <c r="O226" s="73">
        <f>O227+O228+O229+O230</f>
        <v>0</v>
      </c>
    </row>
    <row r="227" spans="1:15" ht="15.75" x14ac:dyDescent="0.2">
      <c r="A227" s="142"/>
      <c r="B227" s="142"/>
      <c r="C227" s="78" t="s">
        <v>10</v>
      </c>
      <c r="D227" s="73">
        <f t="shared" si="84"/>
        <v>0</v>
      </c>
      <c r="E227" s="73">
        <v>0</v>
      </c>
      <c r="F227" s="73">
        <v>0</v>
      </c>
      <c r="G227" s="73">
        <v>0</v>
      </c>
      <c r="H227" s="73">
        <v>0</v>
      </c>
      <c r="I227" s="73">
        <v>0</v>
      </c>
      <c r="J227" s="73">
        <v>0</v>
      </c>
      <c r="K227" s="73">
        <v>0</v>
      </c>
      <c r="L227" s="73">
        <v>0</v>
      </c>
      <c r="M227" s="73">
        <v>0</v>
      </c>
      <c r="N227" s="73">
        <v>0</v>
      </c>
      <c r="O227" s="73">
        <v>0</v>
      </c>
    </row>
    <row r="228" spans="1:15" ht="15.75" x14ac:dyDescent="0.2">
      <c r="A228" s="142"/>
      <c r="B228" s="142"/>
      <c r="C228" s="78" t="s">
        <v>11</v>
      </c>
      <c r="D228" s="73">
        <f t="shared" si="84"/>
        <v>0</v>
      </c>
      <c r="E228" s="73">
        <v>0</v>
      </c>
      <c r="F228" s="73">
        <v>0</v>
      </c>
      <c r="G228" s="73">
        <v>0</v>
      </c>
      <c r="H228" s="73">
        <v>0</v>
      </c>
      <c r="I228" s="73">
        <v>0</v>
      </c>
      <c r="J228" s="73">
        <v>0</v>
      </c>
      <c r="K228" s="73">
        <v>0</v>
      </c>
      <c r="L228" s="73">
        <v>0</v>
      </c>
      <c r="M228" s="73">
        <v>0</v>
      </c>
      <c r="N228" s="73">
        <v>0</v>
      </c>
      <c r="O228" s="73">
        <v>0</v>
      </c>
    </row>
    <row r="229" spans="1:15" ht="15.75" x14ac:dyDescent="0.2">
      <c r="A229" s="142"/>
      <c r="B229" s="142"/>
      <c r="C229" s="78" t="s">
        <v>12</v>
      </c>
      <c r="D229" s="73">
        <f t="shared" si="84"/>
        <v>159.99999999999997</v>
      </c>
      <c r="E229" s="73">
        <v>0</v>
      </c>
      <c r="F229" s="73">
        <v>0</v>
      </c>
      <c r="G229" s="73">
        <v>0</v>
      </c>
      <c r="H229" s="73">
        <v>0</v>
      </c>
      <c r="I229" s="73">
        <v>160</v>
      </c>
      <c r="J229" s="73">
        <f>2000-600-1400</f>
        <v>0</v>
      </c>
      <c r="K229" s="73">
        <f>454.9-451-3.9</f>
        <v>-2.2648549702353193E-14</v>
      </c>
      <c r="L229" s="73">
        <v>0</v>
      </c>
      <c r="M229" s="73">
        <v>0</v>
      </c>
      <c r="N229" s="73">
        <v>0</v>
      </c>
      <c r="O229" s="73">
        <v>0</v>
      </c>
    </row>
    <row r="230" spans="1:15" ht="27.75" customHeight="1" x14ac:dyDescent="0.2">
      <c r="A230" s="142"/>
      <c r="B230" s="142"/>
      <c r="C230" s="80" t="s">
        <v>13</v>
      </c>
      <c r="D230" s="73">
        <f t="shared" si="84"/>
        <v>0</v>
      </c>
      <c r="E230" s="73">
        <v>0</v>
      </c>
      <c r="F230" s="73">
        <v>0</v>
      </c>
      <c r="G230" s="73">
        <v>0</v>
      </c>
      <c r="H230" s="73">
        <v>0</v>
      </c>
      <c r="I230" s="73">
        <v>0</v>
      </c>
      <c r="J230" s="73">
        <v>0</v>
      </c>
      <c r="K230" s="73">
        <v>0</v>
      </c>
      <c r="L230" s="73">
        <v>0</v>
      </c>
      <c r="M230" s="73">
        <v>0</v>
      </c>
      <c r="N230" s="73">
        <v>0</v>
      </c>
      <c r="O230" s="73">
        <v>0</v>
      </c>
    </row>
    <row r="231" spans="1:15" ht="15.75" x14ac:dyDescent="0.2">
      <c r="A231" s="135" t="s">
        <v>271</v>
      </c>
      <c r="B231" s="139" t="s">
        <v>272</v>
      </c>
      <c r="C231" s="78" t="s">
        <v>7</v>
      </c>
      <c r="D231" s="73">
        <f t="shared" si="84"/>
        <v>1402.5</v>
      </c>
      <c r="E231" s="73">
        <f t="shared" ref="E231:J231" si="89">E232+E233+E234+E235</f>
        <v>0</v>
      </c>
      <c r="F231" s="73">
        <f t="shared" si="89"/>
        <v>0</v>
      </c>
      <c r="G231" s="73">
        <f t="shared" si="89"/>
        <v>0</v>
      </c>
      <c r="H231" s="73">
        <f t="shared" si="89"/>
        <v>0</v>
      </c>
      <c r="I231" s="73">
        <f t="shared" si="89"/>
        <v>1402.5</v>
      </c>
      <c r="J231" s="73">
        <f t="shared" si="89"/>
        <v>0</v>
      </c>
      <c r="K231" s="73">
        <f>K232+K233+K234+K235</f>
        <v>0</v>
      </c>
      <c r="L231" s="73">
        <f>L232+L233+L234+L235</f>
        <v>0</v>
      </c>
      <c r="M231" s="73">
        <f>M232+M233+M234+M235</f>
        <v>0</v>
      </c>
      <c r="N231" s="73">
        <f>N232+N233+N234+N235</f>
        <v>0</v>
      </c>
      <c r="O231" s="73">
        <f>O232+O233+O234+O235</f>
        <v>0</v>
      </c>
    </row>
    <row r="232" spans="1:15" ht="15.75" x14ac:dyDescent="0.2">
      <c r="A232" s="142"/>
      <c r="B232" s="154"/>
      <c r="C232" s="78" t="s">
        <v>10</v>
      </c>
      <c r="D232" s="73">
        <f t="shared" si="84"/>
        <v>0</v>
      </c>
      <c r="E232" s="73">
        <v>0</v>
      </c>
      <c r="F232" s="73">
        <v>0</v>
      </c>
      <c r="G232" s="73">
        <v>0</v>
      </c>
      <c r="H232" s="73">
        <v>0</v>
      </c>
      <c r="I232" s="73">
        <v>0</v>
      </c>
      <c r="J232" s="73">
        <v>0</v>
      </c>
      <c r="K232" s="73">
        <v>0</v>
      </c>
      <c r="L232" s="73">
        <v>0</v>
      </c>
      <c r="M232" s="73">
        <v>0</v>
      </c>
      <c r="N232" s="73">
        <v>0</v>
      </c>
      <c r="O232" s="73">
        <v>0</v>
      </c>
    </row>
    <row r="233" spans="1:15" ht="15.75" x14ac:dyDescent="0.2">
      <c r="A233" s="142"/>
      <c r="B233" s="154"/>
      <c r="C233" s="78" t="s">
        <v>11</v>
      </c>
      <c r="D233" s="73">
        <f t="shared" si="84"/>
        <v>0</v>
      </c>
      <c r="E233" s="73">
        <v>0</v>
      </c>
      <c r="F233" s="73">
        <v>0</v>
      </c>
      <c r="G233" s="73">
        <v>0</v>
      </c>
      <c r="H233" s="73">
        <v>0</v>
      </c>
      <c r="I233" s="73">
        <v>0</v>
      </c>
      <c r="J233" s="73">
        <v>0</v>
      </c>
      <c r="K233" s="73">
        <v>0</v>
      </c>
      <c r="L233" s="73">
        <v>0</v>
      </c>
      <c r="M233" s="73">
        <v>0</v>
      </c>
      <c r="N233" s="73">
        <v>0</v>
      </c>
      <c r="O233" s="73">
        <v>0</v>
      </c>
    </row>
    <row r="234" spans="1:15" ht="15.75" x14ac:dyDescent="0.2">
      <c r="A234" s="142"/>
      <c r="B234" s="154"/>
      <c r="C234" s="78" t="s">
        <v>12</v>
      </c>
      <c r="D234" s="73">
        <f t="shared" si="84"/>
        <v>1402.5</v>
      </c>
      <c r="E234" s="73">
        <v>0</v>
      </c>
      <c r="F234" s="73">
        <v>0</v>
      </c>
      <c r="G234" s="73">
        <v>0</v>
      </c>
      <c r="H234" s="73">
        <v>0</v>
      </c>
      <c r="I234" s="73">
        <v>1402.5</v>
      </c>
      <c r="J234" s="73">
        <v>0</v>
      </c>
      <c r="K234" s="73">
        <v>0</v>
      </c>
      <c r="L234" s="73">
        <v>0</v>
      </c>
      <c r="M234" s="73">
        <v>0</v>
      </c>
      <c r="N234" s="73">
        <v>0</v>
      </c>
      <c r="O234" s="73">
        <v>0</v>
      </c>
    </row>
    <row r="235" spans="1:15" ht="21.75" customHeight="1" x14ac:dyDescent="0.2">
      <c r="A235" s="142"/>
      <c r="B235" s="155"/>
      <c r="C235" s="80" t="s">
        <v>13</v>
      </c>
      <c r="D235" s="73">
        <f t="shared" si="84"/>
        <v>0</v>
      </c>
      <c r="E235" s="73">
        <v>0</v>
      </c>
      <c r="F235" s="73">
        <v>0</v>
      </c>
      <c r="G235" s="73">
        <v>0</v>
      </c>
      <c r="H235" s="73">
        <v>0</v>
      </c>
      <c r="I235" s="73">
        <v>0</v>
      </c>
      <c r="J235" s="73">
        <v>0</v>
      </c>
      <c r="K235" s="73">
        <v>0</v>
      </c>
      <c r="L235" s="73">
        <v>0</v>
      </c>
      <c r="M235" s="73">
        <v>0</v>
      </c>
      <c r="N235" s="73">
        <v>0</v>
      </c>
      <c r="O235" s="73">
        <v>0</v>
      </c>
    </row>
    <row r="236" spans="1:15" ht="15.75" x14ac:dyDescent="0.2">
      <c r="A236" s="135" t="s">
        <v>279</v>
      </c>
      <c r="B236" s="139" t="s">
        <v>280</v>
      </c>
      <c r="C236" s="78" t="s">
        <v>7</v>
      </c>
      <c r="D236" s="73">
        <f t="shared" si="84"/>
        <v>4280.7</v>
      </c>
      <c r="E236" s="73">
        <f t="shared" ref="E236:J236" si="90">E237+E238+E239+E240</f>
        <v>0</v>
      </c>
      <c r="F236" s="73">
        <f t="shared" si="90"/>
        <v>0</v>
      </c>
      <c r="G236" s="73">
        <f t="shared" si="90"/>
        <v>0</v>
      </c>
      <c r="H236" s="73">
        <f t="shared" si="90"/>
        <v>0</v>
      </c>
      <c r="I236" s="73">
        <f t="shared" si="90"/>
        <v>4280.7</v>
      </c>
      <c r="J236" s="73">
        <f t="shared" si="90"/>
        <v>0</v>
      </c>
      <c r="K236" s="73">
        <f>K237+K238+K239+K240</f>
        <v>0</v>
      </c>
      <c r="L236" s="73">
        <f>L237+L238+L239+L240</f>
        <v>0</v>
      </c>
      <c r="M236" s="73">
        <f>M237+M238+M239+M240</f>
        <v>0</v>
      </c>
      <c r="N236" s="73">
        <f>N237+N238+N239+N240</f>
        <v>0</v>
      </c>
      <c r="O236" s="73">
        <f>O237+O238+O239+O240</f>
        <v>0</v>
      </c>
    </row>
    <row r="237" spans="1:15" ht="15.75" x14ac:dyDescent="0.2">
      <c r="A237" s="142"/>
      <c r="B237" s="154"/>
      <c r="C237" s="78" t="s">
        <v>10</v>
      </c>
      <c r="D237" s="73">
        <f t="shared" si="84"/>
        <v>0</v>
      </c>
      <c r="E237" s="73">
        <v>0</v>
      </c>
      <c r="F237" s="73">
        <v>0</v>
      </c>
      <c r="G237" s="73">
        <v>0</v>
      </c>
      <c r="H237" s="73">
        <v>0</v>
      </c>
      <c r="I237" s="73">
        <v>0</v>
      </c>
      <c r="J237" s="73">
        <v>0</v>
      </c>
      <c r="K237" s="73">
        <v>0</v>
      </c>
      <c r="L237" s="73">
        <v>0</v>
      </c>
      <c r="M237" s="73">
        <v>0</v>
      </c>
      <c r="N237" s="73">
        <v>0</v>
      </c>
      <c r="O237" s="73">
        <v>0</v>
      </c>
    </row>
    <row r="238" spans="1:15" ht="15.75" x14ac:dyDescent="0.2">
      <c r="A238" s="142"/>
      <c r="B238" s="154"/>
      <c r="C238" s="78" t="s">
        <v>11</v>
      </c>
      <c r="D238" s="73">
        <f t="shared" si="84"/>
        <v>0</v>
      </c>
      <c r="E238" s="73">
        <v>0</v>
      </c>
      <c r="F238" s="73">
        <v>0</v>
      </c>
      <c r="G238" s="73">
        <v>0</v>
      </c>
      <c r="H238" s="73">
        <v>0</v>
      </c>
      <c r="I238" s="73">
        <v>0</v>
      </c>
      <c r="J238" s="73">
        <v>0</v>
      </c>
      <c r="K238" s="73">
        <v>0</v>
      </c>
      <c r="L238" s="73">
        <v>0</v>
      </c>
      <c r="M238" s="73">
        <v>0</v>
      </c>
      <c r="N238" s="73">
        <v>0</v>
      </c>
      <c r="O238" s="73">
        <v>0</v>
      </c>
    </row>
    <row r="239" spans="1:15" ht="15.75" x14ac:dyDescent="0.2">
      <c r="A239" s="142"/>
      <c r="B239" s="154"/>
      <c r="C239" s="78" t="s">
        <v>12</v>
      </c>
      <c r="D239" s="73">
        <f t="shared" ref="D239:D270" si="91">E239+F239+G239+H239+I239+J239+K239+L239+M239+N239+O239</f>
        <v>4280.7</v>
      </c>
      <c r="E239" s="73">
        <v>0</v>
      </c>
      <c r="F239" s="73">
        <v>0</v>
      </c>
      <c r="G239" s="73">
        <v>0</v>
      </c>
      <c r="H239" s="73">
        <v>0</v>
      </c>
      <c r="I239" s="73">
        <v>4280.7</v>
      </c>
      <c r="J239" s="73">
        <v>0</v>
      </c>
      <c r="K239" s="73">
        <v>0</v>
      </c>
      <c r="L239" s="73">
        <v>0</v>
      </c>
      <c r="M239" s="73">
        <v>0</v>
      </c>
      <c r="N239" s="73">
        <v>0</v>
      </c>
      <c r="O239" s="73">
        <v>0</v>
      </c>
    </row>
    <row r="240" spans="1:15" ht="23.25" customHeight="1" x14ac:dyDescent="0.2">
      <c r="A240" s="142"/>
      <c r="B240" s="155"/>
      <c r="C240" s="78" t="s">
        <v>13</v>
      </c>
      <c r="D240" s="73">
        <f t="shared" si="91"/>
        <v>0</v>
      </c>
      <c r="E240" s="73">
        <v>0</v>
      </c>
      <c r="F240" s="73">
        <v>0</v>
      </c>
      <c r="G240" s="73">
        <v>0</v>
      </c>
      <c r="H240" s="73">
        <v>0</v>
      </c>
      <c r="I240" s="73">
        <v>0</v>
      </c>
      <c r="J240" s="73">
        <v>0</v>
      </c>
      <c r="K240" s="73">
        <v>0</v>
      </c>
      <c r="L240" s="73">
        <v>0</v>
      </c>
      <c r="M240" s="73">
        <v>0</v>
      </c>
      <c r="N240" s="73">
        <v>0</v>
      </c>
      <c r="O240" s="73">
        <v>0</v>
      </c>
    </row>
    <row r="241" spans="1:24" ht="15.75" x14ac:dyDescent="0.2">
      <c r="A241" s="135" t="s">
        <v>293</v>
      </c>
      <c r="B241" s="139" t="s">
        <v>367</v>
      </c>
      <c r="C241" s="78" t="s">
        <v>43</v>
      </c>
      <c r="D241" s="73">
        <f t="shared" si="91"/>
        <v>307198.09999999998</v>
      </c>
      <c r="E241" s="73">
        <f t="shared" ref="E241:J241" si="92">E242+E243+E244+E245</f>
        <v>0</v>
      </c>
      <c r="F241" s="73">
        <f t="shared" si="92"/>
        <v>0</v>
      </c>
      <c r="G241" s="73">
        <f t="shared" si="92"/>
        <v>0</v>
      </c>
      <c r="H241" s="73">
        <f t="shared" si="92"/>
        <v>0</v>
      </c>
      <c r="I241" s="73">
        <f t="shared" si="92"/>
        <v>0</v>
      </c>
      <c r="J241" s="73">
        <f t="shared" si="92"/>
        <v>159665.60000000001</v>
      </c>
      <c r="K241" s="73">
        <f>K242+K243+K244+K245</f>
        <v>120030.5</v>
      </c>
      <c r="L241" s="73">
        <f>L242+L243+L244+L245</f>
        <v>27502</v>
      </c>
      <c r="M241" s="73">
        <f>M242+M243+M244+M245</f>
        <v>0</v>
      </c>
      <c r="N241" s="73">
        <f>N242+N243+N244+N245</f>
        <v>0</v>
      </c>
      <c r="O241" s="73">
        <f>O242+O243+O244+O245</f>
        <v>0</v>
      </c>
      <c r="X241" s="61"/>
    </row>
    <row r="242" spans="1:24" ht="15.75" x14ac:dyDescent="0.2">
      <c r="A242" s="142"/>
      <c r="B242" s="154"/>
      <c r="C242" s="78" t="s">
        <v>10</v>
      </c>
      <c r="D242" s="73">
        <f t="shared" si="91"/>
        <v>0</v>
      </c>
      <c r="E242" s="73">
        <v>0</v>
      </c>
      <c r="F242" s="73">
        <v>0</v>
      </c>
      <c r="G242" s="73">
        <v>0</v>
      </c>
      <c r="H242" s="73">
        <v>0</v>
      </c>
      <c r="I242" s="73">
        <v>0</v>
      </c>
      <c r="J242" s="73">
        <v>0</v>
      </c>
      <c r="K242" s="73">
        <v>0</v>
      </c>
      <c r="L242" s="73">
        <v>0</v>
      </c>
      <c r="M242" s="73">
        <v>0</v>
      </c>
      <c r="N242" s="73">
        <v>0</v>
      </c>
      <c r="O242" s="73">
        <v>0</v>
      </c>
    </row>
    <row r="243" spans="1:24" ht="15.75" x14ac:dyDescent="0.2">
      <c r="A243" s="142"/>
      <c r="B243" s="154"/>
      <c r="C243" s="78" t="s">
        <v>11</v>
      </c>
      <c r="D243" s="73">
        <f t="shared" si="91"/>
        <v>307198.09999999998</v>
      </c>
      <c r="E243" s="73">
        <v>0</v>
      </c>
      <c r="F243" s="73">
        <v>0</v>
      </c>
      <c r="G243" s="73">
        <v>0</v>
      </c>
      <c r="H243" s="73">
        <v>0</v>
      </c>
      <c r="I243" s="73">
        <v>0</v>
      </c>
      <c r="J243" s="73">
        <v>159665.60000000001</v>
      </c>
      <c r="K243" s="73">
        <f>173506.2-22060.2-31415.5</f>
        <v>120030.5</v>
      </c>
      <c r="L243" s="73">
        <f>151446-151446+27502</f>
        <v>27502</v>
      </c>
      <c r="M243" s="73">
        <f t="shared" ref="M243:N243" si="93">151446-151446</f>
        <v>0</v>
      </c>
      <c r="N243" s="73">
        <f t="shared" si="93"/>
        <v>0</v>
      </c>
      <c r="O243" s="73">
        <v>0</v>
      </c>
    </row>
    <row r="244" spans="1:24" ht="15.75" x14ac:dyDescent="0.2">
      <c r="A244" s="142"/>
      <c r="B244" s="154"/>
      <c r="C244" s="78" t="s">
        <v>12</v>
      </c>
      <c r="D244" s="73">
        <f t="shared" si="91"/>
        <v>0</v>
      </c>
      <c r="E244" s="73">
        <v>0</v>
      </c>
      <c r="F244" s="73">
        <v>0</v>
      </c>
      <c r="G244" s="73">
        <v>0</v>
      </c>
      <c r="H244" s="73">
        <v>0</v>
      </c>
      <c r="I244" s="73">
        <v>0</v>
      </c>
      <c r="J244" s="73">
        <v>0</v>
      </c>
      <c r="K244" s="73">
        <v>0</v>
      </c>
      <c r="L244" s="73">
        <v>0</v>
      </c>
      <c r="M244" s="73">
        <v>0</v>
      </c>
      <c r="N244" s="73">
        <v>0</v>
      </c>
      <c r="O244" s="73">
        <v>0</v>
      </c>
    </row>
    <row r="245" spans="1:24" ht="24" customHeight="1" x14ac:dyDescent="0.2">
      <c r="A245" s="142"/>
      <c r="B245" s="155"/>
      <c r="C245" s="80" t="s">
        <v>13</v>
      </c>
      <c r="D245" s="73">
        <f t="shared" si="91"/>
        <v>0</v>
      </c>
      <c r="E245" s="73">
        <v>0</v>
      </c>
      <c r="F245" s="73">
        <v>0</v>
      </c>
      <c r="G245" s="73">
        <v>0</v>
      </c>
      <c r="H245" s="73">
        <v>0</v>
      </c>
      <c r="I245" s="73">
        <v>0</v>
      </c>
      <c r="J245" s="73">
        <v>0</v>
      </c>
      <c r="K245" s="73">
        <v>0</v>
      </c>
      <c r="L245" s="73">
        <v>0</v>
      </c>
      <c r="M245" s="73">
        <v>0</v>
      </c>
      <c r="N245" s="73">
        <v>0</v>
      </c>
      <c r="O245" s="73">
        <v>0</v>
      </c>
    </row>
    <row r="246" spans="1:24" ht="15.75" x14ac:dyDescent="0.2">
      <c r="A246" s="135" t="s">
        <v>299</v>
      </c>
      <c r="B246" s="135" t="s">
        <v>305</v>
      </c>
      <c r="C246" s="78" t="s">
        <v>7</v>
      </c>
      <c r="D246" s="73">
        <f t="shared" si="91"/>
        <v>1528</v>
      </c>
      <c r="E246" s="73">
        <f t="shared" ref="E246:J246" si="94">E247+E248+E249+E250</f>
        <v>0</v>
      </c>
      <c r="F246" s="73">
        <f t="shared" si="94"/>
        <v>0</v>
      </c>
      <c r="G246" s="73">
        <f t="shared" si="94"/>
        <v>0</v>
      </c>
      <c r="H246" s="73">
        <f t="shared" si="94"/>
        <v>0</v>
      </c>
      <c r="I246" s="73">
        <f t="shared" si="94"/>
        <v>1528</v>
      </c>
      <c r="J246" s="73">
        <f t="shared" si="94"/>
        <v>0</v>
      </c>
      <c r="K246" s="73">
        <f>K247+K248+K249+K250</f>
        <v>0</v>
      </c>
      <c r="L246" s="73">
        <f>L247+L248+L249+L250</f>
        <v>0</v>
      </c>
      <c r="M246" s="73">
        <f>M247+M248+M249+M250</f>
        <v>0</v>
      </c>
      <c r="N246" s="73">
        <f>N247+N248+N249+N250</f>
        <v>0</v>
      </c>
      <c r="O246" s="73">
        <f>O247+O248+O249+O250</f>
        <v>0</v>
      </c>
    </row>
    <row r="247" spans="1:24" ht="15.75" x14ac:dyDescent="0.2">
      <c r="A247" s="142"/>
      <c r="B247" s="142"/>
      <c r="C247" s="78" t="s">
        <v>10</v>
      </c>
      <c r="D247" s="73">
        <f t="shared" si="91"/>
        <v>0</v>
      </c>
      <c r="E247" s="73">
        <v>0</v>
      </c>
      <c r="F247" s="73">
        <v>0</v>
      </c>
      <c r="G247" s="73">
        <v>0</v>
      </c>
      <c r="H247" s="73">
        <v>0</v>
      </c>
      <c r="I247" s="73">
        <v>0</v>
      </c>
      <c r="J247" s="73">
        <v>0</v>
      </c>
      <c r="K247" s="73">
        <v>0</v>
      </c>
      <c r="L247" s="73">
        <v>0</v>
      </c>
      <c r="M247" s="73">
        <v>0</v>
      </c>
      <c r="N247" s="73">
        <v>0</v>
      </c>
      <c r="O247" s="73">
        <v>0</v>
      </c>
    </row>
    <row r="248" spans="1:24" ht="15.75" x14ac:dyDescent="0.2">
      <c r="A248" s="142"/>
      <c r="B248" s="142"/>
      <c r="C248" s="78" t="s">
        <v>11</v>
      </c>
      <c r="D248" s="73">
        <f t="shared" si="91"/>
        <v>0</v>
      </c>
      <c r="E248" s="73">
        <v>0</v>
      </c>
      <c r="F248" s="73">
        <v>0</v>
      </c>
      <c r="G248" s="73">
        <v>0</v>
      </c>
      <c r="H248" s="73">
        <v>0</v>
      </c>
      <c r="I248" s="73">
        <v>0</v>
      </c>
      <c r="J248" s="73">
        <v>0</v>
      </c>
      <c r="K248" s="73">
        <v>0</v>
      </c>
      <c r="L248" s="73">
        <v>0</v>
      </c>
      <c r="M248" s="73">
        <v>0</v>
      </c>
      <c r="N248" s="73">
        <v>0</v>
      </c>
      <c r="O248" s="73">
        <v>0</v>
      </c>
    </row>
    <row r="249" spans="1:24" ht="15.75" x14ac:dyDescent="0.2">
      <c r="A249" s="142"/>
      <c r="B249" s="142"/>
      <c r="C249" s="78" t="s">
        <v>12</v>
      </c>
      <c r="D249" s="73">
        <f t="shared" si="91"/>
        <v>1528</v>
      </c>
      <c r="E249" s="73">
        <v>0</v>
      </c>
      <c r="F249" s="73">
        <v>0</v>
      </c>
      <c r="G249" s="73">
        <v>0</v>
      </c>
      <c r="H249" s="73">
        <v>0</v>
      </c>
      <c r="I249" s="73">
        <v>1528</v>
      </c>
      <c r="J249" s="73">
        <v>0</v>
      </c>
      <c r="K249" s="73">
        <v>0</v>
      </c>
      <c r="L249" s="73">
        <v>0</v>
      </c>
      <c r="M249" s="73">
        <v>0</v>
      </c>
      <c r="N249" s="73">
        <v>0</v>
      </c>
      <c r="O249" s="73">
        <v>0</v>
      </c>
    </row>
    <row r="250" spans="1:24" ht="24.75" customHeight="1" x14ac:dyDescent="0.2">
      <c r="A250" s="142"/>
      <c r="B250" s="142"/>
      <c r="C250" s="80" t="s">
        <v>13</v>
      </c>
      <c r="D250" s="73">
        <f t="shared" si="91"/>
        <v>0</v>
      </c>
      <c r="E250" s="73">
        <v>0</v>
      </c>
      <c r="F250" s="73">
        <v>0</v>
      </c>
      <c r="G250" s="73">
        <v>0</v>
      </c>
      <c r="H250" s="73">
        <v>0</v>
      </c>
      <c r="I250" s="73">
        <v>0</v>
      </c>
      <c r="J250" s="73">
        <v>0</v>
      </c>
      <c r="K250" s="73">
        <v>0</v>
      </c>
      <c r="L250" s="73">
        <v>0</v>
      </c>
      <c r="M250" s="73">
        <v>0</v>
      </c>
      <c r="N250" s="73">
        <v>0</v>
      </c>
      <c r="O250" s="73">
        <v>0</v>
      </c>
    </row>
    <row r="251" spans="1:24" ht="42" customHeight="1" x14ac:dyDescent="0.2">
      <c r="A251" s="135" t="s">
        <v>301</v>
      </c>
      <c r="B251" s="135" t="s">
        <v>372</v>
      </c>
      <c r="C251" s="78" t="s">
        <v>7</v>
      </c>
      <c r="D251" s="73">
        <f t="shared" si="91"/>
        <v>50891.799999999996</v>
      </c>
      <c r="E251" s="73">
        <f t="shared" ref="E251:J251" si="95">E252+E253+E254+E255</f>
        <v>0</v>
      </c>
      <c r="F251" s="73">
        <f t="shared" si="95"/>
        <v>0</v>
      </c>
      <c r="G251" s="73">
        <f t="shared" si="95"/>
        <v>0</v>
      </c>
      <c r="H251" s="73">
        <f t="shared" si="95"/>
        <v>0</v>
      </c>
      <c r="I251" s="73">
        <f t="shared" si="95"/>
        <v>0</v>
      </c>
      <c r="J251" s="73">
        <f t="shared" si="95"/>
        <v>50891.799999999996</v>
      </c>
      <c r="K251" s="73">
        <f>K252+K253+K254+K255</f>
        <v>0</v>
      </c>
      <c r="L251" s="73">
        <f>L252+L253+L254+L255</f>
        <v>0</v>
      </c>
      <c r="M251" s="73">
        <f>M252+M253+M254+M255</f>
        <v>0</v>
      </c>
      <c r="N251" s="73">
        <f>N252+N253+N254+N255</f>
        <v>0</v>
      </c>
      <c r="O251" s="73">
        <f>O252+O253+O254+O255</f>
        <v>0</v>
      </c>
    </row>
    <row r="252" spans="1:24" ht="19.5" customHeight="1" x14ac:dyDescent="0.2">
      <c r="A252" s="142"/>
      <c r="B252" s="142"/>
      <c r="C252" s="78" t="s">
        <v>10</v>
      </c>
      <c r="D252" s="73">
        <f t="shared" si="91"/>
        <v>0</v>
      </c>
      <c r="E252" s="73">
        <v>0</v>
      </c>
      <c r="F252" s="73">
        <v>0</v>
      </c>
      <c r="G252" s="73">
        <v>0</v>
      </c>
      <c r="H252" s="73">
        <v>0</v>
      </c>
      <c r="I252" s="73">
        <v>0</v>
      </c>
      <c r="J252" s="73">
        <v>0</v>
      </c>
      <c r="K252" s="73">
        <v>0</v>
      </c>
      <c r="L252" s="73">
        <v>0</v>
      </c>
      <c r="M252" s="73">
        <v>0</v>
      </c>
      <c r="N252" s="73">
        <v>0</v>
      </c>
      <c r="O252" s="73">
        <v>0</v>
      </c>
    </row>
    <row r="253" spans="1:24" ht="15.75" x14ac:dyDescent="0.2">
      <c r="A253" s="142"/>
      <c r="B253" s="142"/>
      <c r="C253" s="78" t="s">
        <v>11</v>
      </c>
      <c r="D253" s="73">
        <f t="shared" si="91"/>
        <v>0</v>
      </c>
      <c r="E253" s="73">
        <v>0</v>
      </c>
      <c r="F253" s="73">
        <v>0</v>
      </c>
      <c r="G253" s="73">
        <v>0</v>
      </c>
      <c r="H253" s="73">
        <v>0</v>
      </c>
      <c r="I253" s="73">
        <v>0</v>
      </c>
      <c r="J253" s="73">
        <v>0</v>
      </c>
      <c r="K253" s="73">
        <v>0</v>
      </c>
      <c r="L253" s="73">
        <v>0</v>
      </c>
      <c r="M253" s="73">
        <v>0</v>
      </c>
      <c r="N253" s="73">
        <v>0</v>
      </c>
      <c r="O253" s="73">
        <v>0</v>
      </c>
    </row>
    <row r="254" spans="1:24" ht="15.75" x14ac:dyDescent="0.2">
      <c r="A254" s="142"/>
      <c r="B254" s="142"/>
      <c r="C254" s="78" t="s">
        <v>12</v>
      </c>
      <c r="D254" s="73">
        <f t="shared" si="91"/>
        <v>50891.799999999996</v>
      </c>
      <c r="E254" s="73">
        <v>0</v>
      </c>
      <c r="F254" s="73">
        <v>0</v>
      </c>
      <c r="G254" s="73">
        <v>0</v>
      </c>
      <c r="H254" s="73">
        <v>0</v>
      </c>
      <c r="I254" s="73">
        <v>0</v>
      </c>
      <c r="J254" s="73">
        <f>58078.1-10000+10000-9132.4+146.1+1800</f>
        <v>50891.799999999996</v>
      </c>
      <c r="K254" s="73">
        <v>0</v>
      </c>
      <c r="L254" s="73">
        <v>0</v>
      </c>
      <c r="M254" s="73">
        <v>0</v>
      </c>
      <c r="N254" s="73">
        <v>0</v>
      </c>
      <c r="O254" s="73">
        <v>0</v>
      </c>
    </row>
    <row r="255" spans="1:24" ht="29.25" customHeight="1" x14ac:dyDescent="0.2">
      <c r="A255" s="142"/>
      <c r="B255" s="142"/>
      <c r="C255" s="80" t="s">
        <v>13</v>
      </c>
      <c r="D255" s="73">
        <f t="shared" si="91"/>
        <v>0</v>
      </c>
      <c r="E255" s="73">
        <v>0</v>
      </c>
      <c r="F255" s="73">
        <v>0</v>
      </c>
      <c r="G255" s="73">
        <v>0</v>
      </c>
      <c r="H255" s="73">
        <v>0</v>
      </c>
      <c r="I255" s="73">
        <v>0</v>
      </c>
      <c r="J255" s="73">
        <v>0</v>
      </c>
      <c r="K255" s="73">
        <v>0</v>
      </c>
      <c r="L255" s="73">
        <v>0</v>
      </c>
      <c r="M255" s="73">
        <v>0</v>
      </c>
      <c r="N255" s="73">
        <v>0</v>
      </c>
      <c r="O255" s="73">
        <v>0</v>
      </c>
    </row>
    <row r="256" spans="1:24" ht="15.75" hidden="1" x14ac:dyDescent="0.2">
      <c r="A256" s="135"/>
      <c r="B256" s="139" t="s">
        <v>320</v>
      </c>
      <c r="C256" s="78" t="s">
        <v>7</v>
      </c>
      <c r="D256" s="73">
        <f t="shared" si="91"/>
        <v>0</v>
      </c>
      <c r="E256" s="73">
        <f t="shared" ref="E256:J256" si="96">E257+E258+E259+E260</f>
        <v>0</v>
      </c>
      <c r="F256" s="73">
        <f t="shared" si="96"/>
        <v>0</v>
      </c>
      <c r="G256" s="73">
        <f t="shared" si="96"/>
        <v>0</v>
      </c>
      <c r="H256" s="73">
        <f t="shared" si="96"/>
        <v>0</v>
      </c>
      <c r="I256" s="73">
        <f t="shared" si="96"/>
        <v>0</v>
      </c>
      <c r="J256" s="73">
        <f t="shared" si="96"/>
        <v>0</v>
      </c>
      <c r="K256" s="73">
        <f>K257+K258+K259+K260</f>
        <v>0</v>
      </c>
      <c r="L256" s="73">
        <f>L257+L258+L259+L260</f>
        <v>0</v>
      </c>
      <c r="M256" s="73">
        <f>M257+M258+M259+M260</f>
        <v>0</v>
      </c>
      <c r="N256" s="73">
        <f>N257+N258+N259+N260</f>
        <v>0</v>
      </c>
      <c r="O256" s="73">
        <f>O257+O258+O259+O260</f>
        <v>0</v>
      </c>
    </row>
    <row r="257" spans="1:15" ht="15.75" hidden="1" x14ac:dyDescent="0.2">
      <c r="A257" s="142"/>
      <c r="B257" s="154"/>
      <c r="C257" s="78" t="s">
        <v>10</v>
      </c>
      <c r="D257" s="73">
        <f t="shared" si="91"/>
        <v>0</v>
      </c>
      <c r="E257" s="73">
        <v>0</v>
      </c>
      <c r="F257" s="73">
        <v>0</v>
      </c>
      <c r="G257" s="73">
        <v>0</v>
      </c>
      <c r="H257" s="73">
        <v>0</v>
      </c>
      <c r="I257" s="73">
        <v>0</v>
      </c>
      <c r="J257" s="73">
        <v>0</v>
      </c>
      <c r="K257" s="73">
        <v>0</v>
      </c>
      <c r="L257" s="73">
        <v>0</v>
      </c>
      <c r="M257" s="73">
        <v>0</v>
      </c>
      <c r="N257" s="73">
        <v>0</v>
      </c>
      <c r="O257" s="73">
        <v>0</v>
      </c>
    </row>
    <row r="258" spans="1:15" ht="15.75" hidden="1" x14ac:dyDescent="0.2">
      <c r="A258" s="142"/>
      <c r="B258" s="154"/>
      <c r="C258" s="78" t="s">
        <v>11</v>
      </c>
      <c r="D258" s="73">
        <f t="shared" si="91"/>
        <v>0</v>
      </c>
      <c r="E258" s="73">
        <v>0</v>
      </c>
      <c r="F258" s="73">
        <v>0</v>
      </c>
      <c r="G258" s="73">
        <v>0</v>
      </c>
      <c r="H258" s="73">
        <v>0</v>
      </c>
      <c r="I258" s="73">
        <v>0</v>
      </c>
      <c r="J258" s="73">
        <v>0</v>
      </c>
      <c r="K258" s="73">
        <v>0</v>
      </c>
      <c r="L258" s="73">
        <v>0</v>
      </c>
      <c r="M258" s="73">
        <v>0</v>
      </c>
      <c r="N258" s="73">
        <v>0</v>
      </c>
      <c r="O258" s="73">
        <v>0</v>
      </c>
    </row>
    <row r="259" spans="1:15" ht="15.75" hidden="1" x14ac:dyDescent="0.2">
      <c r="A259" s="142"/>
      <c r="B259" s="154"/>
      <c r="C259" s="78" t="s">
        <v>12</v>
      </c>
      <c r="D259" s="73">
        <f t="shared" si="91"/>
        <v>0</v>
      </c>
      <c r="E259" s="73">
        <v>0</v>
      </c>
      <c r="F259" s="73">
        <v>0</v>
      </c>
      <c r="G259" s="73">
        <v>0</v>
      </c>
      <c r="H259" s="73">
        <v>0</v>
      </c>
      <c r="I259" s="73">
        <v>0</v>
      </c>
      <c r="J259" s="73">
        <v>0</v>
      </c>
      <c r="K259" s="73">
        <v>0</v>
      </c>
      <c r="L259" s="73">
        <v>0</v>
      </c>
      <c r="M259" s="73">
        <v>0</v>
      </c>
      <c r="N259" s="73">
        <v>0</v>
      </c>
      <c r="O259" s="73">
        <v>0</v>
      </c>
    </row>
    <row r="260" spans="1:15" ht="21.75" hidden="1" customHeight="1" x14ac:dyDescent="0.2">
      <c r="A260" s="142"/>
      <c r="B260" s="155"/>
      <c r="C260" s="80" t="s">
        <v>13</v>
      </c>
      <c r="D260" s="73">
        <f t="shared" si="91"/>
        <v>0</v>
      </c>
      <c r="E260" s="73">
        <v>0</v>
      </c>
      <c r="F260" s="73">
        <v>0</v>
      </c>
      <c r="G260" s="73">
        <v>0</v>
      </c>
      <c r="H260" s="73">
        <v>0</v>
      </c>
      <c r="I260" s="73">
        <v>0</v>
      </c>
      <c r="J260" s="73">
        <v>0</v>
      </c>
      <c r="K260" s="73">
        <v>0</v>
      </c>
      <c r="L260" s="73">
        <v>0</v>
      </c>
      <c r="M260" s="73">
        <v>0</v>
      </c>
      <c r="N260" s="73">
        <v>0</v>
      </c>
      <c r="O260" s="73">
        <v>0</v>
      </c>
    </row>
    <row r="261" spans="1:15" ht="15.75" x14ac:dyDescent="0.2">
      <c r="A261" s="135" t="s">
        <v>304</v>
      </c>
      <c r="B261" s="139" t="s">
        <v>323</v>
      </c>
      <c r="C261" s="80" t="s">
        <v>7</v>
      </c>
      <c r="D261" s="73">
        <f t="shared" si="91"/>
        <v>1919</v>
      </c>
      <c r="E261" s="73">
        <f t="shared" ref="E261:J261" si="97">E262+E263+E264+E265</f>
        <v>0</v>
      </c>
      <c r="F261" s="73">
        <f t="shared" si="97"/>
        <v>0</v>
      </c>
      <c r="G261" s="73">
        <f t="shared" si="97"/>
        <v>0</v>
      </c>
      <c r="H261" s="73">
        <f t="shared" si="97"/>
        <v>0</v>
      </c>
      <c r="I261" s="73">
        <f t="shared" si="97"/>
        <v>0</v>
      </c>
      <c r="J261" s="73">
        <f t="shared" si="97"/>
        <v>1919</v>
      </c>
      <c r="K261" s="73">
        <f>K262+K263+K264+K265</f>
        <v>0</v>
      </c>
      <c r="L261" s="73">
        <f>L262+L263+L264+L265</f>
        <v>0</v>
      </c>
      <c r="M261" s="73">
        <f>M262+M263+M264+M265</f>
        <v>0</v>
      </c>
      <c r="N261" s="73">
        <f>N262+N263+N264+N265</f>
        <v>0</v>
      </c>
      <c r="O261" s="73">
        <f>O262+O263+O264+O265</f>
        <v>0</v>
      </c>
    </row>
    <row r="262" spans="1:15" ht="15.75" x14ac:dyDescent="0.2">
      <c r="A262" s="142"/>
      <c r="B262" s="154"/>
      <c r="C262" s="80" t="s">
        <v>10</v>
      </c>
      <c r="D262" s="73">
        <f t="shared" si="91"/>
        <v>0</v>
      </c>
      <c r="E262" s="73">
        <v>0</v>
      </c>
      <c r="F262" s="73">
        <v>0</v>
      </c>
      <c r="G262" s="73">
        <v>0</v>
      </c>
      <c r="H262" s="73">
        <v>0</v>
      </c>
      <c r="I262" s="73">
        <v>0</v>
      </c>
      <c r="J262" s="73">
        <v>0</v>
      </c>
      <c r="K262" s="73">
        <v>0</v>
      </c>
      <c r="L262" s="73">
        <v>0</v>
      </c>
      <c r="M262" s="73">
        <v>0</v>
      </c>
      <c r="N262" s="73">
        <v>0</v>
      </c>
      <c r="O262" s="73">
        <v>0</v>
      </c>
    </row>
    <row r="263" spans="1:15" ht="15.75" x14ac:dyDescent="0.2">
      <c r="A263" s="142"/>
      <c r="B263" s="154"/>
      <c r="C263" s="80" t="s">
        <v>11</v>
      </c>
      <c r="D263" s="73">
        <f t="shared" si="91"/>
        <v>0</v>
      </c>
      <c r="E263" s="73">
        <v>0</v>
      </c>
      <c r="F263" s="73">
        <v>0</v>
      </c>
      <c r="G263" s="73">
        <v>0</v>
      </c>
      <c r="H263" s="73">
        <v>0</v>
      </c>
      <c r="I263" s="73">
        <v>0</v>
      </c>
      <c r="J263" s="73">
        <v>0</v>
      </c>
      <c r="K263" s="73">
        <v>0</v>
      </c>
      <c r="L263" s="73">
        <v>0</v>
      </c>
      <c r="M263" s="73">
        <v>0</v>
      </c>
      <c r="N263" s="73">
        <v>0</v>
      </c>
      <c r="O263" s="73">
        <v>0</v>
      </c>
    </row>
    <row r="264" spans="1:15" ht="15.75" x14ac:dyDescent="0.2">
      <c r="A264" s="142"/>
      <c r="B264" s="154"/>
      <c r="C264" s="80" t="s">
        <v>12</v>
      </c>
      <c r="D264" s="73">
        <f t="shared" si="91"/>
        <v>1919</v>
      </c>
      <c r="E264" s="73">
        <v>0</v>
      </c>
      <c r="F264" s="73">
        <v>0</v>
      </c>
      <c r="G264" s="73">
        <v>0</v>
      </c>
      <c r="H264" s="73">
        <v>0</v>
      </c>
      <c r="I264" s="73">
        <v>0</v>
      </c>
      <c r="J264" s="73">
        <f>2000-81</f>
        <v>1919</v>
      </c>
      <c r="K264" s="73">
        <v>0</v>
      </c>
      <c r="L264" s="73">
        <v>0</v>
      </c>
      <c r="M264" s="73">
        <v>0</v>
      </c>
      <c r="N264" s="73">
        <v>0</v>
      </c>
      <c r="O264" s="73">
        <v>0</v>
      </c>
    </row>
    <row r="265" spans="1:15" ht="35.25" customHeight="1" x14ac:dyDescent="0.2">
      <c r="A265" s="142"/>
      <c r="B265" s="155"/>
      <c r="C265" s="80" t="s">
        <v>13</v>
      </c>
      <c r="D265" s="73">
        <f t="shared" si="91"/>
        <v>0</v>
      </c>
      <c r="E265" s="73">
        <v>0</v>
      </c>
      <c r="F265" s="73">
        <v>0</v>
      </c>
      <c r="G265" s="73">
        <v>0</v>
      </c>
      <c r="H265" s="73">
        <v>0</v>
      </c>
      <c r="I265" s="73">
        <v>0</v>
      </c>
      <c r="J265" s="73">
        <v>0</v>
      </c>
      <c r="K265" s="73">
        <v>0</v>
      </c>
      <c r="L265" s="73">
        <v>0</v>
      </c>
      <c r="M265" s="73">
        <v>0</v>
      </c>
      <c r="N265" s="73">
        <v>0</v>
      </c>
      <c r="O265" s="73">
        <v>0</v>
      </c>
    </row>
    <row r="266" spans="1:15" ht="15.75" x14ac:dyDescent="0.2">
      <c r="A266" s="135" t="s">
        <v>319</v>
      </c>
      <c r="B266" s="139" t="s">
        <v>324</v>
      </c>
      <c r="C266" s="80" t="s">
        <v>7</v>
      </c>
      <c r="D266" s="73">
        <f t="shared" si="91"/>
        <v>15546.3</v>
      </c>
      <c r="E266" s="73">
        <f t="shared" ref="E266:J266" si="98">E267+E268+E269+E270</f>
        <v>0</v>
      </c>
      <c r="F266" s="73">
        <f t="shared" si="98"/>
        <v>0</v>
      </c>
      <c r="G266" s="73">
        <f t="shared" si="98"/>
        <v>0</v>
      </c>
      <c r="H266" s="73">
        <f t="shared" si="98"/>
        <v>0</v>
      </c>
      <c r="I266" s="73">
        <f t="shared" si="98"/>
        <v>0</v>
      </c>
      <c r="J266" s="73">
        <f t="shared" si="98"/>
        <v>7794.2999999999993</v>
      </c>
      <c r="K266" s="73">
        <f>K267+K268+K269+K270</f>
        <v>7752</v>
      </c>
      <c r="L266" s="73">
        <f>L267+L268+L269+L270</f>
        <v>0</v>
      </c>
      <c r="M266" s="73">
        <f>M267+M268+M269+M270</f>
        <v>0</v>
      </c>
      <c r="N266" s="73">
        <f>N267+N268+N269+N270</f>
        <v>0</v>
      </c>
      <c r="O266" s="73">
        <f>O267+O268+O269+O270</f>
        <v>0</v>
      </c>
    </row>
    <row r="267" spans="1:15" ht="16.5" customHeight="1" x14ac:dyDescent="0.2">
      <c r="A267" s="142"/>
      <c r="B267" s="154"/>
      <c r="C267" s="78" t="s">
        <v>10</v>
      </c>
      <c r="D267" s="73">
        <f t="shared" si="91"/>
        <v>0</v>
      </c>
      <c r="E267" s="73">
        <v>0</v>
      </c>
      <c r="F267" s="73">
        <v>0</v>
      </c>
      <c r="G267" s="73">
        <v>0</v>
      </c>
      <c r="H267" s="73">
        <v>0</v>
      </c>
      <c r="I267" s="73">
        <v>0</v>
      </c>
      <c r="J267" s="73">
        <v>0</v>
      </c>
      <c r="K267" s="73">
        <v>0</v>
      </c>
      <c r="L267" s="73">
        <v>0</v>
      </c>
      <c r="M267" s="73">
        <v>0</v>
      </c>
      <c r="N267" s="73">
        <v>0</v>
      </c>
      <c r="O267" s="73">
        <v>0</v>
      </c>
    </row>
    <row r="268" spans="1:15" ht="16.5" customHeight="1" x14ac:dyDescent="0.2">
      <c r="A268" s="142"/>
      <c r="B268" s="154"/>
      <c r="C268" s="78" t="s">
        <v>11</v>
      </c>
      <c r="D268" s="73">
        <f t="shared" si="91"/>
        <v>0</v>
      </c>
      <c r="E268" s="73">
        <v>0</v>
      </c>
      <c r="F268" s="73">
        <v>0</v>
      </c>
      <c r="G268" s="73">
        <v>0</v>
      </c>
      <c r="H268" s="73">
        <v>0</v>
      </c>
      <c r="I268" s="73">
        <v>0</v>
      </c>
      <c r="J268" s="73">
        <v>0</v>
      </c>
      <c r="K268" s="73">
        <v>0</v>
      </c>
      <c r="L268" s="73">
        <v>0</v>
      </c>
      <c r="M268" s="73">
        <v>0</v>
      </c>
      <c r="N268" s="73">
        <v>0</v>
      </c>
      <c r="O268" s="73">
        <v>0</v>
      </c>
    </row>
    <row r="269" spans="1:15" ht="16.5" customHeight="1" x14ac:dyDescent="0.2">
      <c r="A269" s="142"/>
      <c r="B269" s="154"/>
      <c r="C269" s="78" t="s">
        <v>12</v>
      </c>
      <c r="D269" s="73">
        <f t="shared" si="91"/>
        <v>15546.3</v>
      </c>
      <c r="E269" s="73">
        <v>0</v>
      </c>
      <c r="F269" s="73">
        <v>0</v>
      </c>
      <c r="G269" s="73">
        <v>0</v>
      </c>
      <c r="H269" s="73">
        <v>0</v>
      </c>
      <c r="I269" s="73">
        <v>0</v>
      </c>
      <c r="J269" s="73">
        <f>8000-205.6-0.1</f>
        <v>7794.2999999999993</v>
      </c>
      <c r="K269" s="73">
        <f>8000-300+52</f>
        <v>7752</v>
      </c>
      <c r="L269" s="73">
        <v>0</v>
      </c>
      <c r="M269" s="73">
        <v>0</v>
      </c>
      <c r="N269" s="73">
        <v>0</v>
      </c>
      <c r="O269" s="73">
        <v>0</v>
      </c>
    </row>
    <row r="270" spans="1:15" ht="27.75" customHeight="1" x14ac:dyDescent="0.2">
      <c r="A270" s="142"/>
      <c r="B270" s="155"/>
      <c r="C270" s="80" t="s">
        <v>13</v>
      </c>
      <c r="D270" s="73">
        <f t="shared" si="91"/>
        <v>0</v>
      </c>
      <c r="E270" s="73">
        <v>0</v>
      </c>
      <c r="F270" s="73">
        <v>0</v>
      </c>
      <c r="G270" s="73">
        <v>0</v>
      </c>
      <c r="H270" s="73">
        <v>0</v>
      </c>
      <c r="I270" s="73">
        <v>0</v>
      </c>
      <c r="J270" s="73">
        <v>0</v>
      </c>
      <c r="K270" s="73">
        <v>0</v>
      </c>
      <c r="L270" s="73">
        <v>0</v>
      </c>
      <c r="M270" s="73">
        <v>0</v>
      </c>
      <c r="N270" s="73">
        <v>0</v>
      </c>
      <c r="O270" s="73">
        <v>0</v>
      </c>
    </row>
    <row r="271" spans="1:15" ht="15.75" x14ac:dyDescent="0.2">
      <c r="A271" s="135" t="s">
        <v>321</v>
      </c>
      <c r="B271" s="135" t="s">
        <v>339</v>
      </c>
      <c r="C271" s="80" t="s">
        <v>7</v>
      </c>
      <c r="D271" s="73">
        <f t="shared" ref="D271:D280" si="99">E271+F271+G271+H271+I271+J271+K271+L271+M271+N271+O271</f>
        <v>9202</v>
      </c>
      <c r="E271" s="73">
        <f t="shared" ref="E271:J271" si="100">E272+E273+E274+E275</f>
        <v>0</v>
      </c>
      <c r="F271" s="73">
        <f t="shared" si="100"/>
        <v>0</v>
      </c>
      <c r="G271" s="73">
        <f t="shared" si="100"/>
        <v>0</v>
      </c>
      <c r="H271" s="73">
        <f t="shared" si="100"/>
        <v>0</v>
      </c>
      <c r="I271" s="73">
        <f t="shared" si="100"/>
        <v>0</v>
      </c>
      <c r="J271" s="73">
        <f t="shared" si="100"/>
        <v>9202</v>
      </c>
      <c r="K271" s="73">
        <f>K272+K273+K274+K275</f>
        <v>0</v>
      </c>
      <c r="L271" s="73">
        <f>L272+L273+L274+L275</f>
        <v>0</v>
      </c>
      <c r="M271" s="73">
        <f>M272+M273+M274+M275</f>
        <v>0</v>
      </c>
      <c r="N271" s="73">
        <f>N272+N273+N274+N275</f>
        <v>0</v>
      </c>
      <c r="O271" s="73">
        <f>O272+O273+O274+O275</f>
        <v>0</v>
      </c>
    </row>
    <row r="272" spans="1:15" ht="16.5" customHeight="1" x14ac:dyDescent="0.2">
      <c r="A272" s="142"/>
      <c r="B272" s="142"/>
      <c r="C272" s="78" t="s">
        <v>10</v>
      </c>
      <c r="D272" s="73">
        <f t="shared" si="99"/>
        <v>0</v>
      </c>
      <c r="E272" s="73">
        <v>0</v>
      </c>
      <c r="F272" s="73">
        <v>0</v>
      </c>
      <c r="G272" s="73">
        <v>0</v>
      </c>
      <c r="H272" s="73">
        <v>0</v>
      </c>
      <c r="I272" s="73">
        <v>0</v>
      </c>
      <c r="J272" s="73">
        <v>0</v>
      </c>
      <c r="K272" s="73">
        <v>0</v>
      </c>
      <c r="L272" s="73">
        <v>0</v>
      </c>
      <c r="M272" s="73">
        <v>0</v>
      </c>
      <c r="N272" s="73">
        <v>0</v>
      </c>
      <c r="O272" s="73">
        <v>0</v>
      </c>
    </row>
    <row r="273" spans="1:24" ht="16.5" customHeight="1" x14ac:dyDescent="0.2">
      <c r="A273" s="142"/>
      <c r="B273" s="142"/>
      <c r="C273" s="78" t="s">
        <v>11</v>
      </c>
      <c r="D273" s="73">
        <f t="shared" si="99"/>
        <v>0</v>
      </c>
      <c r="E273" s="73">
        <v>0</v>
      </c>
      <c r="F273" s="73">
        <v>0</v>
      </c>
      <c r="G273" s="73">
        <v>0</v>
      </c>
      <c r="H273" s="73">
        <v>0</v>
      </c>
      <c r="I273" s="73">
        <v>0</v>
      </c>
      <c r="J273" s="73">
        <v>0</v>
      </c>
      <c r="K273" s="73">
        <v>0</v>
      </c>
      <c r="L273" s="73">
        <v>0</v>
      </c>
      <c r="M273" s="73">
        <v>0</v>
      </c>
      <c r="N273" s="73">
        <v>0</v>
      </c>
      <c r="O273" s="73">
        <v>0</v>
      </c>
    </row>
    <row r="274" spans="1:24" ht="16.5" customHeight="1" x14ac:dyDescent="0.2">
      <c r="A274" s="142"/>
      <c r="B274" s="142"/>
      <c r="C274" s="78" t="s">
        <v>12</v>
      </c>
      <c r="D274" s="73">
        <f t="shared" si="99"/>
        <v>9202</v>
      </c>
      <c r="E274" s="73">
        <v>0</v>
      </c>
      <c r="F274" s="73">
        <v>0</v>
      </c>
      <c r="G274" s="73">
        <v>0</v>
      </c>
      <c r="H274" s="73">
        <v>0</v>
      </c>
      <c r="I274" s="73">
        <v>0</v>
      </c>
      <c r="J274" s="73">
        <f>10000-798</f>
        <v>9202</v>
      </c>
      <c r="K274" s="73">
        <v>0</v>
      </c>
      <c r="L274" s="73">
        <v>0</v>
      </c>
      <c r="M274" s="73">
        <v>0</v>
      </c>
      <c r="N274" s="73">
        <v>0</v>
      </c>
      <c r="O274" s="73">
        <v>0</v>
      </c>
    </row>
    <row r="275" spans="1:24" ht="36" customHeight="1" x14ac:dyDescent="0.2">
      <c r="A275" s="142"/>
      <c r="B275" s="142"/>
      <c r="C275" s="80" t="s">
        <v>13</v>
      </c>
      <c r="D275" s="73">
        <f t="shared" si="99"/>
        <v>0</v>
      </c>
      <c r="E275" s="73">
        <v>0</v>
      </c>
      <c r="F275" s="73">
        <v>0</v>
      </c>
      <c r="G275" s="73">
        <v>0</v>
      </c>
      <c r="H275" s="73">
        <v>0</v>
      </c>
      <c r="I275" s="73">
        <v>0</v>
      </c>
      <c r="J275" s="73">
        <v>0</v>
      </c>
      <c r="K275" s="73">
        <v>0</v>
      </c>
      <c r="L275" s="73">
        <v>0</v>
      </c>
      <c r="M275" s="73">
        <v>0</v>
      </c>
      <c r="N275" s="73">
        <v>0</v>
      </c>
      <c r="O275" s="73">
        <v>0</v>
      </c>
    </row>
    <row r="276" spans="1:24" ht="41.25" customHeight="1" x14ac:dyDescent="0.2">
      <c r="A276" s="135" t="s">
        <v>322</v>
      </c>
      <c r="B276" s="135" t="s">
        <v>373</v>
      </c>
      <c r="C276" s="80" t="s">
        <v>7</v>
      </c>
      <c r="D276" s="73">
        <f t="shared" si="99"/>
        <v>8744.6</v>
      </c>
      <c r="E276" s="73">
        <f t="shared" ref="E276:J276" si="101">E277+E278+E279+E280</f>
        <v>0</v>
      </c>
      <c r="F276" s="73">
        <f t="shared" si="101"/>
        <v>0</v>
      </c>
      <c r="G276" s="73">
        <f t="shared" si="101"/>
        <v>0</v>
      </c>
      <c r="H276" s="73">
        <f>H277+H278+H279+H280</f>
        <v>0</v>
      </c>
      <c r="I276" s="73">
        <f t="shared" si="101"/>
        <v>0</v>
      </c>
      <c r="J276" s="73">
        <f t="shared" si="101"/>
        <v>8679.5</v>
      </c>
      <c r="K276" s="73">
        <f>K277+K278+K279+K280</f>
        <v>65.099999999999994</v>
      </c>
      <c r="L276" s="73">
        <f>L277+L278+L279+L280</f>
        <v>0</v>
      </c>
      <c r="M276" s="73">
        <f>M277+M278+M279+M280</f>
        <v>0</v>
      </c>
      <c r="N276" s="73">
        <f>N277+N278+N279+N280</f>
        <v>0</v>
      </c>
      <c r="O276" s="73">
        <f>O277+O278+O279+O280</f>
        <v>0</v>
      </c>
      <c r="P276" s="63" t="s">
        <v>348</v>
      </c>
    </row>
    <row r="277" spans="1:24" ht="16.5" customHeight="1" x14ac:dyDescent="0.2">
      <c r="A277" s="142"/>
      <c r="B277" s="142"/>
      <c r="C277" s="78" t="s">
        <v>10</v>
      </c>
      <c r="D277" s="73">
        <f t="shared" si="99"/>
        <v>0</v>
      </c>
      <c r="E277" s="73">
        <v>0</v>
      </c>
      <c r="F277" s="73">
        <v>0</v>
      </c>
      <c r="G277" s="73">
        <v>0</v>
      </c>
      <c r="H277" s="73">
        <v>0</v>
      </c>
      <c r="I277" s="73">
        <v>0</v>
      </c>
      <c r="J277" s="73">
        <v>0</v>
      </c>
      <c r="K277" s="73">
        <v>0</v>
      </c>
      <c r="L277" s="73">
        <v>0</v>
      </c>
      <c r="M277" s="73">
        <v>0</v>
      </c>
      <c r="N277" s="73">
        <v>0</v>
      </c>
      <c r="O277" s="73">
        <v>0</v>
      </c>
    </row>
    <row r="278" spans="1:24" ht="16.5" customHeight="1" x14ac:dyDescent="0.2">
      <c r="A278" s="142"/>
      <c r="B278" s="142"/>
      <c r="C278" s="78" t="s">
        <v>11</v>
      </c>
      <c r="D278" s="73">
        <f t="shared" si="99"/>
        <v>0</v>
      </c>
      <c r="E278" s="73">
        <v>0</v>
      </c>
      <c r="F278" s="73">
        <v>0</v>
      </c>
      <c r="G278" s="73">
        <v>0</v>
      </c>
      <c r="H278" s="73">
        <v>0</v>
      </c>
      <c r="I278" s="73">
        <v>0</v>
      </c>
      <c r="J278" s="73">
        <v>0</v>
      </c>
      <c r="K278" s="73">
        <v>0</v>
      </c>
      <c r="L278" s="73">
        <v>0</v>
      </c>
      <c r="M278" s="73">
        <v>0</v>
      </c>
      <c r="N278" s="73">
        <v>0</v>
      </c>
      <c r="O278" s="73">
        <v>0</v>
      </c>
    </row>
    <row r="279" spans="1:24" ht="16.5" customHeight="1" x14ac:dyDescent="0.2">
      <c r="A279" s="142"/>
      <c r="B279" s="142"/>
      <c r="C279" s="78" t="s">
        <v>12</v>
      </c>
      <c r="D279" s="73">
        <f t="shared" si="99"/>
        <v>8744.6</v>
      </c>
      <c r="E279" s="73">
        <v>0</v>
      </c>
      <c r="F279" s="73">
        <v>0</v>
      </c>
      <c r="G279" s="73">
        <v>0</v>
      </c>
      <c r="H279" s="73">
        <v>0</v>
      </c>
      <c r="I279" s="73">
        <v>0</v>
      </c>
      <c r="J279" s="73">
        <f>8846.9-23.4-144</f>
        <v>8679.5</v>
      </c>
      <c r="K279" s="73">
        <f>0+65.1</f>
        <v>65.099999999999994</v>
      </c>
      <c r="L279" s="73">
        <v>0</v>
      </c>
      <c r="M279" s="73">
        <v>0</v>
      </c>
      <c r="N279" s="73">
        <v>0</v>
      </c>
      <c r="O279" s="73">
        <v>0</v>
      </c>
    </row>
    <row r="280" spans="1:24" ht="16.5" customHeight="1" x14ac:dyDescent="0.2">
      <c r="A280" s="142"/>
      <c r="B280" s="142"/>
      <c r="C280" s="80" t="s">
        <v>13</v>
      </c>
      <c r="D280" s="73">
        <f t="shared" si="99"/>
        <v>0</v>
      </c>
      <c r="E280" s="73">
        <v>0</v>
      </c>
      <c r="F280" s="73">
        <v>0</v>
      </c>
      <c r="G280" s="73">
        <v>0</v>
      </c>
      <c r="H280" s="73">
        <v>0</v>
      </c>
      <c r="I280" s="73">
        <v>0</v>
      </c>
      <c r="J280" s="73">
        <v>0</v>
      </c>
      <c r="K280" s="73">
        <v>0</v>
      </c>
      <c r="L280" s="73">
        <v>0</v>
      </c>
      <c r="M280" s="73">
        <v>0</v>
      </c>
      <c r="N280" s="73">
        <v>0</v>
      </c>
      <c r="O280" s="73">
        <v>0</v>
      </c>
    </row>
    <row r="281" spans="1:24" ht="42" hidden="1" customHeight="1" x14ac:dyDescent="0.2">
      <c r="A281" s="135" t="s">
        <v>425</v>
      </c>
      <c r="B281" s="135" t="s">
        <v>377</v>
      </c>
      <c r="C281" s="80" t="s">
        <v>7</v>
      </c>
      <c r="D281" s="73">
        <f t="shared" ref="D281:D302" si="102">E281+F281+G281+H281+I281+J281+K281+L281+M281+N281+O281</f>
        <v>0</v>
      </c>
      <c r="E281" s="73">
        <f t="shared" ref="E281:O281" si="103">E282+E283+E284+E285</f>
        <v>0</v>
      </c>
      <c r="F281" s="73">
        <f t="shared" si="103"/>
        <v>0</v>
      </c>
      <c r="G281" s="73">
        <f t="shared" si="103"/>
        <v>0</v>
      </c>
      <c r="H281" s="73">
        <f t="shared" si="103"/>
        <v>0</v>
      </c>
      <c r="I281" s="73">
        <f t="shared" si="103"/>
        <v>0</v>
      </c>
      <c r="J281" s="73">
        <f t="shared" si="103"/>
        <v>0</v>
      </c>
      <c r="K281" s="73">
        <f t="shared" si="103"/>
        <v>0</v>
      </c>
      <c r="L281" s="73">
        <f t="shared" si="103"/>
        <v>0</v>
      </c>
      <c r="M281" s="73">
        <f t="shared" si="103"/>
        <v>0</v>
      </c>
      <c r="N281" s="73">
        <f t="shared" si="103"/>
        <v>0</v>
      </c>
      <c r="O281" s="73">
        <f t="shared" si="103"/>
        <v>0</v>
      </c>
    </row>
    <row r="282" spans="1:24" ht="16.5" hidden="1" customHeight="1" x14ac:dyDescent="0.2">
      <c r="A282" s="142"/>
      <c r="B282" s="142"/>
      <c r="C282" s="78" t="s">
        <v>10</v>
      </c>
      <c r="D282" s="73">
        <f t="shared" si="102"/>
        <v>0</v>
      </c>
      <c r="E282" s="73">
        <v>0</v>
      </c>
      <c r="F282" s="73">
        <v>0</v>
      </c>
      <c r="G282" s="73">
        <v>0</v>
      </c>
      <c r="H282" s="73">
        <v>0</v>
      </c>
      <c r="I282" s="73">
        <v>0</v>
      </c>
      <c r="J282" s="73">
        <v>0</v>
      </c>
      <c r="K282" s="73">
        <v>0</v>
      </c>
      <c r="L282" s="73">
        <v>0</v>
      </c>
      <c r="M282" s="73">
        <v>0</v>
      </c>
      <c r="N282" s="73">
        <v>0</v>
      </c>
      <c r="O282" s="73">
        <v>0</v>
      </c>
    </row>
    <row r="283" spans="1:24" ht="16.5" hidden="1" customHeight="1" x14ac:dyDescent="0.2">
      <c r="A283" s="142"/>
      <c r="B283" s="142"/>
      <c r="C283" s="78" t="s">
        <v>11</v>
      </c>
      <c r="D283" s="73">
        <f t="shared" si="102"/>
        <v>0</v>
      </c>
      <c r="E283" s="73">
        <v>0</v>
      </c>
      <c r="F283" s="73">
        <v>0</v>
      </c>
      <c r="G283" s="73">
        <v>0</v>
      </c>
      <c r="H283" s="73">
        <v>0</v>
      </c>
      <c r="I283" s="73">
        <v>0</v>
      </c>
      <c r="J283" s="73">
        <v>0</v>
      </c>
      <c r="K283" s="73">
        <v>0</v>
      </c>
      <c r="L283" s="73">
        <f>23500-23500</f>
        <v>0</v>
      </c>
      <c r="M283" s="73">
        <v>0</v>
      </c>
      <c r="N283" s="73">
        <v>0</v>
      </c>
      <c r="O283" s="73">
        <v>0</v>
      </c>
      <c r="X283" s="63" t="s">
        <v>424</v>
      </c>
    </row>
    <row r="284" spans="1:24" ht="16.5" hidden="1" customHeight="1" x14ac:dyDescent="0.2">
      <c r="A284" s="142"/>
      <c r="B284" s="142"/>
      <c r="C284" s="78" t="s">
        <v>12</v>
      </c>
      <c r="D284" s="73">
        <f t="shared" si="102"/>
        <v>0</v>
      </c>
      <c r="E284" s="73">
        <v>0</v>
      </c>
      <c r="F284" s="73">
        <v>0</v>
      </c>
      <c r="G284" s="73">
        <v>0</v>
      </c>
      <c r="H284" s="73">
        <v>0</v>
      </c>
      <c r="I284" s="73">
        <v>0</v>
      </c>
      <c r="J284" s="73">
        <v>0</v>
      </c>
      <c r="K284" s="73">
        <v>0</v>
      </c>
      <c r="L284" s="73">
        <f>1500-1500</f>
        <v>0</v>
      </c>
      <c r="M284" s="73">
        <v>0</v>
      </c>
      <c r="N284" s="73">
        <v>0</v>
      </c>
      <c r="O284" s="73">
        <v>0</v>
      </c>
    </row>
    <row r="285" spans="1:24" ht="23.25" hidden="1" customHeight="1" x14ac:dyDescent="0.2">
      <c r="A285" s="142"/>
      <c r="B285" s="142"/>
      <c r="C285" s="80" t="s">
        <v>13</v>
      </c>
      <c r="D285" s="73">
        <f t="shared" si="102"/>
        <v>0</v>
      </c>
      <c r="E285" s="73">
        <v>0</v>
      </c>
      <c r="F285" s="73">
        <v>0</v>
      </c>
      <c r="G285" s="73">
        <v>0</v>
      </c>
      <c r="H285" s="73">
        <v>0</v>
      </c>
      <c r="I285" s="73">
        <v>0</v>
      </c>
      <c r="J285" s="73">
        <v>0</v>
      </c>
      <c r="K285" s="73">
        <v>0</v>
      </c>
      <c r="L285" s="73">
        <v>0</v>
      </c>
      <c r="M285" s="73">
        <v>0</v>
      </c>
      <c r="N285" s="73">
        <v>0</v>
      </c>
      <c r="O285" s="73">
        <v>0</v>
      </c>
    </row>
    <row r="286" spans="1:24" ht="15.75" x14ac:dyDescent="0.2">
      <c r="A286" s="135" t="s">
        <v>336</v>
      </c>
      <c r="B286" s="135" t="s">
        <v>366</v>
      </c>
      <c r="C286" s="80" t="s">
        <v>7</v>
      </c>
      <c r="D286" s="73">
        <f t="shared" si="102"/>
        <v>589.1</v>
      </c>
      <c r="E286" s="73">
        <f t="shared" ref="E286:O286" si="104">E287+E288+E289+E290</f>
        <v>0</v>
      </c>
      <c r="F286" s="73">
        <f t="shared" si="104"/>
        <v>0</v>
      </c>
      <c r="G286" s="73">
        <f t="shared" si="104"/>
        <v>0</v>
      </c>
      <c r="H286" s="73">
        <f t="shared" si="104"/>
        <v>0</v>
      </c>
      <c r="I286" s="73">
        <f t="shared" si="104"/>
        <v>0</v>
      </c>
      <c r="J286" s="73">
        <f t="shared" si="104"/>
        <v>0</v>
      </c>
      <c r="K286" s="73">
        <f t="shared" si="104"/>
        <v>589.1</v>
      </c>
      <c r="L286" s="73">
        <f t="shared" si="104"/>
        <v>0</v>
      </c>
      <c r="M286" s="73">
        <f t="shared" si="104"/>
        <v>0</v>
      </c>
      <c r="N286" s="73">
        <f t="shared" si="104"/>
        <v>0</v>
      </c>
      <c r="O286" s="73">
        <f t="shared" si="104"/>
        <v>0</v>
      </c>
    </row>
    <row r="287" spans="1:24" ht="16.5" customHeight="1" x14ac:dyDescent="0.2">
      <c r="A287" s="142"/>
      <c r="B287" s="142"/>
      <c r="C287" s="78" t="s">
        <v>10</v>
      </c>
      <c r="D287" s="73">
        <f t="shared" si="102"/>
        <v>0</v>
      </c>
      <c r="E287" s="73">
        <v>0</v>
      </c>
      <c r="F287" s="73">
        <v>0</v>
      </c>
      <c r="G287" s="73">
        <v>0</v>
      </c>
      <c r="H287" s="73">
        <v>0</v>
      </c>
      <c r="I287" s="73">
        <v>0</v>
      </c>
      <c r="J287" s="73">
        <v>0</v>
      </c>
      <c r="K287" s="73">
        <v>0</v>
      </c>
      <c r="L287" s="73">
        <v>0</v>
      </c>
      <c r="M287" s="73">
        <v>0</v>
      </c>
      <c r="N287" s="73">
        <v>0</v>
      </c>
      <c r="O287" s="73">
        <v>0</v>
      </c>
    </row>
    <row r="288" spans="1:24" ht="16.5" customHeight="1" x14ac:dyDescent="0.2">
      <c r="A288" s="142"/>
      <c r="B288" s="142"/>
      <c r="C288" s="78" t="s">
        <v>11</v>
      </c>
      <c r="D288" s="73">
        <f t="shared" si="102"/>
        <v>0</v>
      </c>
      <c r="E288" s="73">
        <v>0</v>
      </c>
      <c r="F288" s="73">
        <v>0</v>
      </c>
      <c r="G288" s="73">
        <v>0</v>
      </c>
      <c r="H288" s="73">
        <v>0</v>
      </c>
      <c r="I288" s="73">
        <v>0</v>
      </c>
      <c r="J288" s="73">
        <v>0</v>
      </c>
      <c r="K288" s="73">
        <v>0</v>
      </c>
      <c r="L288" s="73">
        <v>0</v>
      </c>
      <c r="M288" s="73">
        <v>0</v>
      </c>
      <c r="N288" s="73">
        <v>0</v>
      </c>
      <c r="O288" s="73">
        <v>0</v>
      </c>
    </row>
    <row r="289" spans="1:24" ht="16.5" customHeight="1" x14ac:dyDescent="0.2">
      <c r="A289" s="142"/>
      <c r="B289" s="142"/>
      <c r="C289" s="78" t="s">
        <v>12</v>
      </c>
      <c r="D289" s="73">
        <f t="shared" si="102"/>
        <v>589.1</v>
      </c>
      <c r="E289" s="73">
        <v>0</v>
      </c>
      <c r="F289" s="73">
        <v>0</v>
      </c>
      <c r="G289" s="73">
        <v>0</v>
      </c>
      <c r="H289" s="73">
        <v>0</v>
      </c>
      <c r="I289" s="73">
        <v>0</v>
      </c>
      <c r="J289" s="73">
        <v>0</v>
      </c>
      <c r="K289" s="73">
        <f>2000-65.1-1345.7-0.1</f>
        <v>589.1</v>
      </c>
      <c r="L289" s="73">
        <v>0</v>
      </c>
      <c r="M289" s="73">
        <v>0</v>
      </c>
      <c r="N289" s="73">
        <v>0</v>
      </c>
      <c r="O289" s="73">
        <v>0</v>
      </c>
    </row>
    <row r="290" spans="1:24" ht="24" customHeight="1" x14ac:dyDescent="0.2">
      <c r="A290" s="142"/>
      <c r="B290" s="142"/>
      <c r="C290" s="80" t="s">
        <v>13</v>
      </c>
      <c r="D290" s="73">
        <f t="shared" si="102"/>
        <v>0</v>
      </c>
      <c r="E290" s="73">
        <v>0</v>
      </c>
      <c r="F290" s="73">
        <v>0</v>
      </c>
      <c r="G290" s="73">
        <v>0</v>
      </c>
      <c r="H290" s="73">
        <v>0</v>
      </c>
      <c r="I290" s="73">
        <v>0</v>
      </c>
      <c r="J290" s="73">
        <v>0</v>
      </c>
      <c r="K290" s="73">
        <v>0</v>
      </c>
      <c r="L290" s="73">
        <v>0</v>
      </c>
      <c r="M290" s="73">
        <v>0</v>
      </c>
      <c r="N290" s="73">
        <v>0</v>
      </c>
      <c r="O290" s="73">
        <v>0</v>
      </c>
    </row>
    <row r="291" spans="1:24" ht="15.75" hidden="1" x14ac:dyDescent="0.2">
      <c r="A291" s="135"/>
      <c r="B291" s="135" t="s">
        <v>388</v>
      </c>
      <c r="C291" s="80" t="s">
        <v>7</v>
      </c>
      <c r="D291" s="73">
        <f t="shared" si="102"/>
        <v>0</v>
      </c>
      <c r="E291" s="73">
        <f t="shared" ref="E291:O292" si="105">E292+E293+E294+E295</f>
        <v>0</v>
      </c>
      <c r="F291" s="73">
        <f t="shared" si="105"/>
        <v>0</v>
      </c>
      <c r="G291" s="73">
        <f t="shared" si="105"/>
        <v>0</v>
      </c>
      <c r="H291" s="73">
        <f t="shared" si="105"/>
        <v>0</v>
      </c>
      <c r="I291" s="73">
        <f t="shared" si="105"/>
        <v>0</v>
      </c>
      <c r="J291" s="73">
        <f t="shared" si="105"/>
        <v>0</v>
      </c>
      <c r="K291" s="73">
        <f t="shared" si="105"/>
        <v>0</v>
      </c>
      <c r="L291" s="73">
        <f t="shared" si="105"/>
        <v>0</v>
      </c>
      <c r="M291" s="73">
        <f t="shared" si="105"/>
        <v>0</v>
      </c>
      <c r="N291" s="73">
        <f t="shared" si="105"/>
        <v>0</v>
      </c>
      <c r="O291" s="73">
        <f t="shared" si="105"/>
        <v>0</v>
      </c>
    </row>
    <row r="292" spans="1:24" ht="16.5" hidden="1" customHeight="1" x14ac:dyDescent="0.2">
      <c r="A292" s="142"/>
      <c r="B292" s="142"/>
      <c r="C292" s="78" t="s">
        <v>10</v>
      </c>
      <c r="D292" s="73">
        <f t="shared" si="102"/>
        <v>0</v>
      </c>
      <c r="E292" s="73">
        <f t="shared" si="105"/>
        <v>0</v>
      </c>
      <c r="F292" s="73">
        <v>0</v>
      </c>
      <c r="G292" s="73">
        <v>0</v>
      </c>
      <c r="H292" s="73">
        <v>0</v>
      </c>
      <c r="I292" s="73">
        <v>0</v>
      </c>
      <c r="J292" s="73">
        <v>0</v>
      </c>
      <c r="K292" s="73">
        <v>0</v>
      </c>
      <c r="L292" s="73">
        <v>0</v>
      </c>
      <c r="M292" s="73">
        <v>0</v>
      </c>
      <c r="N292" s="73">
        <v>0</v>
      </c>
      <c r="O292" s="73">
        <v>0</v>
      </c>
    </row>
    <row r="293" spans="1:24" ht="16.5" hidden="1" customHeight="1" x14ac:dyDescent="0.2">
      <c r="A293" s="142"/>
      <c r="B293" s="142"/>
      <c r="C293" s="78" t="s">
        <v>11</v>
      </c>
      <c r="D293" s="73">
        <f t="shared" si="102"/>
        <v>0</v>
      </c>
      <c r="E293" s="73">
        <v>0</v>
      </c>
      <c r="F293" s="73">
        <v>0</v>
      </c>
      <c r="G293" s="73">
        <v>0</v>
      </c>
      <c r="H293" s="73">
        <v>0</v>
      </c>
      <c r="I293" s="73">
        <v>0</v>
      </c>
      <c r="J293" s="73">
        <v>0</v>
      </c>
      <c r="K293" s="73">
        <v>0</v>
      </c>
      <c r="L293" s="73">
        <v>0</v>
      </c>
      <c r="M293" s="73">
        <v>0</v>
      </c>
      <c r="N293" s="73">
        <v>0</v>
      </c>
      <c r="O293" s="73">
        <v>0</v>
      </c>
    </row>
    <row r="294" spans="1:24" ht="16.5" hidden="1" customHeight="1" x14ac:dyDescent="0.2">
      <c r="A294" s="142"/>
      <c r="B294" s="142"/>
      <c r="C294" s="78" t="s">
        <v>12</v>
      </c>
      <c r="D294" s="73">
        <f t="shared" si="102"/>
        <v>0</v>
      </c>
      <c r="E294" s="73">
        <v>0</v>
      </c>
      <c r="F294" s="73">
        <v>0</v>
      </c>
      <c r="G294" s="73">
        <v>0</v>
      </c>
      <c r="H294" s="73">
        <v>0</v>
      </c>
      <c r="I294" s="73">
        <v>0</v>
      </c>
      <c r="J294" s="73">
        <v>0</v>
      </c>
      <c r="K294" s="73">
        <v>0</v>
      </c>
      <c r="L294" s="73">
        <v>0</v>
      </c>
      <c r="M294" s="73">
        <v>0</v>
      </c>
      <c r="N294" s="73">
        <v>0</v>
      </c>
      <c r="O294" s="73">
        <v>0</v>
      </c>
    </row>
    <row r="295" spans="1:24" ht="21.75" hidden="1" customHeight="1" x14ac:dyDescent="0.2">
      <c r="A295" s="142"/>
      <c r="B295" s="142"/>
      <c r="C295" s="80" t="s">
        <v>13</v>
      </c>
      <c r="D295" s="73">
        <f t="shared" si="102"/>
        <v>0</v>
      </c>
      <c r="E295" s="73">
        <v>0</v>
      </c>
      <c r="F295" s="73">
        <v>0</v>
      </c>
      <c r="G295" s="73">
        <v>0</v>
      </c>
      <c r="H295" s="73">
        <v>0</v>
      </c>
      <c r="I295" s="73">
        <v>0</v>
      </c>
      <c r="J295" s="73">
        <v>0</v>
      </c>
      <c r="K295" s="73">
        <v>0</v>
      </c>
      <c r="L295" s="73">
        <v>0</v>
      </c>
      <c r="M295" s="73">
        <v>0</v>
      </c>
      <c r="N295" s="73">
        <v>0</v>
      </c>
      <c r="O295" s="73">
        <v>0</v>
      </c>
    </row>
    <row r="296" spans="1:24" ht="15.75" hidden="1" x14ac:dyDescent="0.2">
      <c r="A296" s="135"/>
      <c r="B296" s="135" t="s">
        <v>300</v>
      </c>
      <c r="C296" s="80" t="s">
        <v>7</v>
      </c>
      <c r="D296" s="73">
        <f t="shared" si="102"/>
        <v>0</v>
      </c>
      <c r="E296" s="73">
        <f t="shared" ref="E296:O296" si="106">E297+E298+E299+E300</f>
        <v>0</v>
      </c>
      <c r="F296" s="73">
        <f t="shared" si="106"/>
        <v>0</v>
      </c>
      <c r="G296" s="73">
        <f t="shared" si="106"/>
        <v>0</v>
      </c>
      <c r="H296" s="73">
        <f t="shared" si="106"/>
        <v>0</v>
      </c>
      <c r="I296" s="73">
        <f t="shared" si="106"/>
        <v>0</v>
      </c>
      <c r="J296" s="73">
        <f t="shared" si="106"/>
        <v>0</v>
      </c>
      <c r="K296" s="73">
        <f t="shared" si="106"/>
        <v>0</v>
      </c>
      <c r="L296" s="73">
        <f t="shared" si="106"/>
        <v>0</v>
      </c>
      <c r="M296" s="73">
        <f t="shared" si="106"/>
        <v>0</v>
      </c>
      <c r="N296" s="73">
        <f t="shared" si="106"/>
        <v>0</v>
      </c>
      <c r="O296" s="73">
        <f t="shared" si="106"/>
        <v>0</v>
      </c>
    </row>
    <row r="297" spans="1:24" ht="16.5" hidden="1" customHeight="1" x14ac:dyDescent="0.2">
      <c r="A297" s="142"/>
      <c r="B297" s="142"/>
      <c r="C297" s="78" t="s">
        <v>10</v>
      </c>
      <c r="D297" s="73">
        <f t="shared" si="102"/>
        <v>0</v>
      </c>
      <c r="E297" s="73">
        <v>0</v>
      </c>
      <c r="F297" s="73">
        <v>0</v>
      </c>
      <c r="G297" s="73">
        <v>0</v>
      </c>
      <c r="H297" s="73">
        <v>0</v>
      </c>
      <c r="I297" s="73">
        <v>0</v>
      </c>
      <c r="J297" s="73">
        <v>0</v>
      </c>
      <c r="K297" s="73">
        <v>0</v>
      </c>
      <c r="L297" s="73">
        <v>0</v>
      </c>
      <c r="M297" s="73">
        <v>0</v>
      </c>
      <c r="N297" s="73">
        <v>0</v>
      </c>
      <c r="O297" s="73">
        <v>0</v>
      </c>
    </row>
    <row r="298" spans="1:24" ht="16.5" hidden="1" customHeight="1" x14ac:dyDescent="0.2">
      <c r="A298" s="142"/>
      <c r="B298" s="142"/>
      <c r="C298" s="78" t="s">
        <v>11</v>
      </c>
      <c r="D298" s="73">
        <f t="shared" si="102"/>
        <v>0</v>
      </c>
      <c r="E298" s="73">
        <v>0</v>
      </c>
      <c r="F298" s="73">
        <v>0</v>
      </c>
      <c r="G298" s="73">
        <v>0</v>
      </c>
      <c r="H298" s="73">
        <v>0</v>
      </c>
      <c r="I298" s="73">
        <v>0</v>
      </c>
      <c r="J298" s="73">
        <v>0</v>
      </c>
      <c r="K298" s="73">
        <v>0</v>
      </c>
      <c r="L298" s="73">
        <v>0</v>
      </c>
      <c r="M298" s="73">
        <v>0</v>
      </c>
      <c r="N298" s="73">
        <v>0</v>
      </c>
      <c r="O298" s="73">
        <v>0</v>
      </c>
    </row>
    <row r="299" spans="1:24" ht="16.5" hidden="1" customHeight="1" x14ac:dyDescent="0.2">
      <c r="A299" s="142"/>
      <c r="B299" s="142"/>
      <c r="C299" s="78" t="s">
        <v>12</v>
      </c>
      <c r="D299" s="73">
        <f t="shared" si="102"/>
        <v>0</v>
      </c>
      <c r="E299" s="73">
        <v>0</v>
      </c>
      <c r="F299" s="73">
        <v>0</v>
      </c>
      <c r="G299" s="73">
        <v>0</v>
      </c>
      <c r="H299" s="73">
        <v>0</v>
      </c>
      <c r="I299" s="73">
        <v>0</v>
      </c>
      <c r="J299" s="73">
        <v>0</v>
      </c>
      <c r="K299" s="73">
        <f>4000-4000</f>
        <v>0</v>
      </c>
      <c r="L299" s="73">
        <v>0</v>
      </c>
      <c r="M299" s="73">
        <v>0</v>
      </c>
      <c r="N299" s="73">
        <v>0</v>
      </c>
      <c r="O299" s="73">
        <v>0</v>
      </c>
    </row>
    <row r="300" spans="1:24" ht="24" hidden="1" customHeight="1" x14ac:dyDescent="0.2">
      <c r="A300" s="142"/>
      <c r="B300" s="142"/>
      <c r="C300" s="80" t="s">
        <v>13</v>
      </c>
      <c r="D300" s="73">
        <f t="shared" si="102"/>
        <v>0</v>
      </c>
      <c r="E300" s="73">
        <v>0</v>
      </c>
      <c r="F300" s="73">
        <v>0</v>
      </c>
      <c r="G300" s="73">
        <v>0</v>
      </c>
      <c r="H300" s="73">
        <v>0</v>
      </c>
      <c r="I300" s="73">
        <v>0</v>
      </c>
      <c r="J300" s="73">
        <v>0</v>
      </c>
      <c r="K300" s="73">
        <v>0</v>
      </c>
      <c r="L300" s="73">
        <v>0</v>
      </c>
      <c r="M300" s="73">
        <v>0</v>
      </c>
      <c r="N300" s="73">
        <v>0</v>
      </c>
      <c r="O300" s="73">
        <v>0</v>
      </c>
    </row>
    <row r="301" spans="1:24" s="86" customFormat="1" ht="24.75" customHeight="1" x14ac:dyDescent="0.2">
      <c r="A301" s="139" t="s">
        <v>338</v>
      </c>
      <c r="B301" s="139" t="s">
        <v>374</v>
      </c>
      <c r="C301" s="80" t="s">
        <v>7</v>
      </c>
      <c r="D301" s="73">
        <f t="shared" si="102"/>
        <v>75259.7</v>
      </c>
      <c r="E301" s="73">
        <f>E302+E303+E304+E305</f>
        <v>0</v>
      </c>
      <c r="F301" s="73">
        <f t="shared" ref="F301:O301" si="107">F302+F303+F304+F305</f>
        <v>0</v>
      </c>
      <c r="G301" s="73">
        <f t="shared" si="107"/>
        <v>0</v>
      </c>
      <c r="H301" s="73">
        <f t="shared" si="107"/>
        <v>0</v>
      </c>
      <c r="I301" s="73">
        <f t="shared" si="107"/>
        <v>0</v>
      </c>
      <c r="J301" s="73">
        <f t="shared" si="107"/>
        <v>0</v>
      </c>
      <c r="K301" s="73">
        <f t="shared" si="107"/>
        <v>75259.7</v>
      </c>
      <c r="L301" s="73">
        <f t="shared" si="107"/>
        <v>0</v>
      </c>
      <c r="M301" s="73">
        <f t="shared" si="107"/>
        <v>0</v>
      </c>
      <c r="N301" s="73">
        <f t="shared" si="107"/>
        <v>0</v>
      </c>
      <c r="O301" s="73">
        <f t="shared" si="107"/>
        <v>0</v>
      </c>
    </row>
    <row r="302" spans="1:24" s="86" customFormat="1" ht="24.75" customHeight="1" x14ac:dyDescent="0.2">
      <c r="A302" s="140"/>
      <c r="B302" s="140"/>
      <c r="C302" s="78" t="s">
        <v>10</v>
      </c>
      <c r="D302" s="73">
        <f t="shared" si="102"/>
        <v>0</v>
      </c>
      <c r="E302" s="73">
        <v>0</v>
      </c>
      <c r="F302" s="73">
        <v>0</v>
      </c>
      <c r="G302" s="73">
        <v>0</v>
      </c>
      <c r="H302" s="73">
        <v>0</v>
      </c>
      <c r="I302" s="73">
        <v>0</v>
      </c>
      <c r="J302" s="73">
        <v>0</v>
      </c>
      <c r="K302" s="73">
        <v>0</v>
      </c>
      <c r="L302" s="73">
        <v>0</v>
      </c>
      <c r="M302" s="73">
        <v>0</v>
      </c>
      <c r="N302" s="73">
        <v>0</v>
      </c>
      <c r="O302" s="73">
        <v>0</v>
      </c>
    </row>
    <row r="303" spans="1:24" s="86" customFormat="1" ht="24.75" customHeight="1" x14ac:dyDescent="0.2">
      <c r="A303" s="140"/>
      <c r="B303" s="140"/>
      <c r="C303" s="78" t="s">
        <v>11</v>
      </c>
      <c r="D303" s="73">
        <f>E303+F303+G303+H303+I303+J303+K303+L303+M303+N303+O303</f>
        <v>75259.7</v>
      </c>
      <c r="E303" s="73">
        <v>0</v>
      </c>
      <c r="F303" s="73">
        <v>0</v>
      </c>
      <c r="G303" s="73">
        <v>0</v>
      </c>
      <c r="H303" s="73">
        <v>0</v>
      </c>
      <c r="I303" s="73">
        <v>0</v>
      </c>
      <c r="J303" s="73">
        <v>0</v>
      </c>
      <c r="K303" s="73">
        <f>139260-42274.5-21725.8</f>
        <v>75259.7</v>
      </c>
      <c r="L303" s="73">
        <f>44738.1-44738.1</f>
        <v>0</v>
      </c>
      <c r="M303" s="73">
        <f t="shared" ref="M303:N303" si="108">44738.1-44738.1</f>
        <v>0</v>
      </c>
      <c r="N303" s="73">
        <f t="shared" si="108"/>
        <v>0</v>
      </c>
      <c r="O303" s="73">
        <v>0</v>
      </c>
      <c r="X303" s="87"/>
    </row>
    <row r="304" spans="1:24" s="86" customFormat="1" ht="24.75" customHeight="1" x14ac:dyDescent="0.2">
      <c r="A304" s="140"/>
      <c r="B304" s="140"/>
      <c r="C304" s="78" t="s">
        <v>12</v>
      </c>
      <c r="D304" s="73">
        <f t="shared" ref="D304:D310" si="109">E304+F304+G304+H304+I304+J304+K304+L304+M304+N304+O304</f>
        <v>0</v>
      </c>
      <c r="E304" s="73">
        <v>0</v>
      </c>
      <c r="F304" s="73">
        <v>0</v>
      </c>
      <c r="G304" s="73">
        <v>0</v>
      </c>
      <c r="H304" s="73">
        <v>0</v>
      </c>
      <c r="I304" s="73">
        <v>0</v>
      </c>
      <c r="J304" s="73">
        <v>0</v>
      </c>
      <c r="K304" s="73">
        <v>0</v>
      </c>
      <c r="L304" s="73">
        <v>0</v>
      </c>
      <c r="M304" s="73">
        <v>0</v>
      </c>
      <c r="N304" s="73">
        <v>0</v>
      </c>
      <c r="O304" s="73">
        <v>0</v>
      </c>
    </row>
    <row r="305" spans="1:15" s="86" customFormat="1" ht="24.75" customHeight="1" x14ac:dyDescent="0.2">
      <c r="A305" s="141"/>
      <c r="B305" s="141"/>
      <c r="C305" s="80" t="s">
        <v>13</v>
      </c>
      <c r="D305" s="73">
        <f t="shared" si="109"/>
        <v>0</v>
      </c>
      <c r="E305" s="73">
        <v>0</v>
      </c>
      <c r="F305" s="73">
        <v>0</v>
      </c>
      <c r="G305" s="73">
        <v>0</v>
      </c>
      <c r="H305" s="73">
        <v>0</v>
      </c>
      <c r="I305" s="73">
        <v>0</v>
      </c>
      <c r="J305" s="73">
        <v>0</v>
      </c>
      <c r="K305" s="73">
        <v>0</v>
      </c>
      <c r="L305" s="73">
        <v>0</v>
      </c>
      <c r="M305" s="73">
        <v>0</v>
      </c>
      <c r="N305" s="73">
        <v>0</v>
      </c>
      <c r="O305" s="73">
        <v>0</v>
      </c>
    </row>
    <row r="306" spans="1:15" s="86" customFormat="1" ht="22.5" customHeight="1" x14ac:dyDescent="0.2">
      <c r="A306" s="135" t="s">
        <v>345</v>
      </c>
      <c r="B306" s="135" t="s">
        <v>380</v>
      </c>
      <c r="C306" s="78" t="s">
        <v>7</v>
      </c>
      <c r="D306" s="73">
        <f t="shared" si="109"/>
        <v>553.4</v>
      </c>
      <c r="E306" s="73">
        <f>E307+E308+E309+E310</f>
        <v>0</v>
      </c>
      <c r="F306" s="73">
        <f t="shared" ref="F306:L306" si="110">F307+F308+F309+F310</f>
        <v>0</v>
      </c>
      <c r="G306" s="73">
        <f t="shared" si="110"/>
        <v>0</v>
      </c>
      <c r="H306" s="73">
        <f t="shared" si="110"/>
        <v>0</v>
      </c>
      <c r="I306" s="73">
        <f t="shared" si="110"/>
        <v>0</v>
      </c>
      <c r="J306" s="73">
        <f t="shared" si="110"/>
        <v>0</v>
      </c>
      <c r="K306" s="73">
        <f t="shared" si="110"/>
        <v>553.4</v>
      </c>
      <c r="L306" s="73">
        <f t="shared" si="110"/>
        <v>0</v>
      </c>
      <c r="M306" s="73">
        <f t="shared" ref="M306" si="111">M307+M308+M309+M310</f>
        <v>0</v>
      </c>
      <c r="N306" s="73">
        <f t="shared" ref="N306" si="112">N307+N308+N309+N310</f>
        <v>0</v>
      </c>
      <c r="O306" s="73">
        <f t="shared" ref="O306" si="113">O307+O308+O309+O310</f>
        <v>0</v>
      </c>
    </row>
    <row r="307" spans="1:15" s="86" customFormat="1" ht="22.5" customHeight="1" x14ac:dyDescent="0.2">
      <c r="A307" s="142"/>
      <c r="B307" s="135"/>
      <c r="C307" s="80" t="s">
        <v>10</v>
      </c>
      <c r="D307" s="73">
        <f t="shared" si="109"/>
        <v>0</v>
      </c>
      <c r="E307" s="73">
        <v>0</v>
      </c>
      <c r="F307" s="73">
        <v>0</v>
      </c>
      <c r="G307" s="73">
        <v>0</v>
      </c>
      <c r="H307" s="73">
        <v>0</v>
      </c>
      <c r="I307" s="73">
        <v>0</v>
      </c>
      <c r="J307" s="73">
        <v>0</v>
      </c>
      <c r="K307" s="73">
        <v>0</v>
      </c>
      <c r="L307" s="73">
        <v>0</v>
      </c>
      <c r="M307" s="73">
        <v>0</v>
      </c>
      <c r="N307" s="73">
        <v>0</v>
      </c>
      <c r="O307" s="73">
        <v>0</v>
      </c>
    </row>
    <row r="308" spans="1:15" s="86" customFormat="1" ht="22.5" customHeight="1" x14ac:dyDescent="0.2">
      <c r="A308" s="142"/>
      <c r="B308" s="135"/>
      <c r="C308" s="80" t="s">
        <v>11</v>
      </c>
      <c r="D308" s="73">
        <f>E308+F308+G308+H308+I308+J308+K308+L308+M308+N308+O308</f>
        <v>0</v>
      </c>
      <c r="E308" s="73">
        <v>0</v>
      </c>
      <c r="F308" s="73">
        <v>0</v>
      </c>
      <c r="G308" s="73">
        <v>0</v>
      </c>
      <c r="H308" s="73">
        <v>0</v>
      </c>
      <c r="I308" s="73">
        <v>0</v>
      </c>
      <c r="J308" s="73">
        <v>0</v>
      </c>
      <c r="K308" s="73">
        <v>0</v>
      </c>
      <c r="L308" s="73">
        <v>0</v>
      </c>
      <c r="M308" s="73">
        <v>0</v>
      </c>
      <c r="N308" s="73">
        <v>0</v>
      </c>
      <c r="O308" s="73">
        <v>0</v>
      </c>
    </row>
    <row r="309" spans="1:15" s="86" customFormat="1" ht="22.5" customHeight="1" x14ac:dyDescent="0.2">
      <c r="A309" s="142"/>
      <c r="B309" s="135"/>
      <c r="C309" s="80" t="s">
        <v>12</v>
      </c>
      <c r="D309" s="73">
        <f t="shared" si="109"/>
        <v>553.4</v>
      </c>
      <c r="E309" s="73">
        <v>0</v>
      </c>
      <c r="F309" s="73">
        <v>0</v>
      </c>
      <c r="G309" s="73">
        <v>0</v>
      </c>
      <c r="H309" s="73">
        <v>0</v>
      </c>
      <c r="I309" s="73">
        <v>0</v>
      </c>
      <c r="J309" s="73">
        <v>0</v>
      </c>
      <c r="K309" s="73">
        <v>553.4</v>
      </c>
      <c r="L309" s="73">
        <v>0</v>
      </c>
      <c r="M309" s="73">
        <v>0</v>
      </c>
      <c r="N309" s="73">
        <v>0</v>
      </c>
      <c r="O309" s="73">
        <v>0</v>
      </c>
    </row>
    <row r="310" spans="1:15" s="86" customFormat="1" ht="33.75" customHeight="1" x14ac:dyDescent="0.2">
      <c r="A310" s="142"/>
      <c r="B310" s="135"/>
      <c r="C310" s="80" t="s">
        <v>13</v>
      </c>
      <c r="D310" s="73">
        <f t="shared" si="109"/>
        <v>0</v>
      </c>
      <c r="E310" s="73">
        <v>0</v>
      </c>
      <c r="F310" s="73">
        <v>0</v>
      </c>
      <c r="G310" s="73">
        <v>0</v>
      </c>
      <c r="H310" s="73">
        <v>0</v>
      </c>
      <c r="I310" s="73">
        <v>0</v>
      </c>
      <c r="J310" s="73">
        <v>0</v>
      </c>
      <c r="K310" s="73">
        <v>0</v>
      </c>
      <c r="L310" s="73">
        <v>0</v>
      </c>
      <c r="M310" s="73">
        <v>0</v>
      </c>
      <c r="N310" s="73">
        <v>0</v>
      </c>
      <c r="O310" s="73">
        <v>0</v>
      </c>
    </row>
    <row r="311" spans="1:15" s="86" customFormat="1" ht="18.75" customHeight="1" x14ac:dyDescent="0.2">
      <c r="A311" s="135" t="s">
        <v>347</v>
      </c>
      <c r="B311" s="135" t="s">
        <v>383</v>
      </c>
      <c r="C311" s="78" t="s">
        <v>7</v>
      </c>
      <c r="D311" s="73">
        <f t="shared" ref="D311:D312" si="114">E311+F311+G311+H311+I311+J311+K311+L311+M311+N311+O311</f>
        <v>39704.199999999997</v>
      </c>
      <c r="E311" s="73">
        <f>E312+E313+E314+E315</f>
        <v>0</v>
      </c>
      <c r="F311" s="73">
        <f t="shared" ref="F311:O311" si="115">F312+F313+F314+F315</f>
        <v>0</v>
      </c>
      <c r="G311" s="73">
        <f t="shared" si="115"/>
        <v>0</v>
      </c>
      <c r="H311" s="73">
        <f t="shared" si="115"/>
        <v>0</v>
      </c>
      <c r="I311" s="73">
        <f t="shared" si="115"/>
        <v>0</v>
      </c>
      <c r="J311" s="73">
        <f t="shared" si="115"/>
        <v>0</v>
      </c>
      <c r="K311" s="73">
        <f t="shared" si="115"/>
        <v>2648</v>
      </c>
      <c r="L311" s="73">
        <f t="shared" si="115"/>
        <v>1101.0999999999999</v>
      </c>
      <c r="M311" s="73">
        <f t="shared" si="115"/>
        <v>35955.1</v>
      </c>
      <c r="N311" s="73">
        <f t="shared" si="115"/>
        <v>0</v>
      </c>
      <c r="O311" s="73">
        <f t="shared" si="115"/>
        <v>0</v>
      </c>
    </row>
    <row r="312" spans="1:15" s="86" customFormat="1" ht="18.75" customHeight="1" x14ac:dyDescent="0.2">
      <c r="A312" s="142"/>
      <c r="B312" s="135"/>
      <c r="C312" s="80" t="s">
        <v>10</v>
      </c>
      <c r="D312" s="73">
        <f t="shared" si="114"/>
        <v>0</v>
      </c>
      <c r="E312" s="73">
        <v>0</v>
      </c>
      <c r="F312" s="73">
        <v>0</v>
      </c>
      <c r="G312" s="73">
        <v>0</v>
      </c>
      <c r="H312" s="73">
        <v>0</v>
      </c>
      <c r="I312" s="73">
        <v>0</v>
      </c>
      <c r="J312" s="73">
        <v>0</v>
      </c>
      <c r="K312" s="73">
        <v>0</v>
      </c>
      <c r="L312" s="73">
        <v>0</v>
      </c>
      <c r="M312" s="73">
        <v>0</v>
      </c>
      <c r="N312" s="73">
        <v>0</v>
      </c>
      <c r="O312" s="73">
        <v>0</v>
      </c>
    </row>
    <row r="313" spans="1:15" s="86" customFormat="1" ht="18.75" customHeight="1" x14ac:dyDescent="0.2">
      <c r="A313" s="142"/>
      <c r="B313" s="135"/>
      <c r="C313" s="80" t="s">
        <v>11</v>
      </c>
      <c r="D313" s="73">
        <f>E313+F313+G313+H313+I313+J313+K313+L313+M313+N313+O313</f>
        <v>0</v>
      </c>
      <c r="E313" s="73">
        <v>0</v>
      </c>
      <c r="F313" s="73">
        <v>0</v>
      </c>
      <c r="G313" s="73">
        <v>0</v>
      </c>
      <c r="H313" s="73">
        <v>0</v>
      </c>
      <c r="I313" s="73">
        <v>0</v>
      </c>
      <c r="J313" s="73">
        <v>0</v>
      </c>
      <c r="K313" s="73">
        <v>0</v>
      </c>
      <c r="L313" s="73">
        <v>0</v>
      </c>
      <c r="M313" s="73">
        <v>0</v>
      </c>
      <c r="N313" s="73">
        <v>0</v>
      </c>
      <c r="O313" s="73">
        <v>0</v>
      </c>
    </row>
    <row r="314" spans="1:15" s="86" customFormat="1" ht="18.75" customHeight="1" x14ac:dyDescent="0.2">
      <c r="A314" s="142"/>
      <c r="B314" s="135"/>
      <c r="C314" s="80" t="s">
        <v>12</v>
      </c>
      <c r="D314" s="73">
        <f t="shared" ref="D314:D315" si="116">E314+F314+G314+H314+I314+J314+K314+L314+M314+N314+O314</f>
        <v>39704.199999999997</v>
      </c>
      <c r="E314" s="73">
        <v>0</v>
      </c>
      <c r="F314" s="73">
        <v>0</v>
      </c>
      <c r="G314" s="73">
        <v>0</v>
      </c>
      <c r="H314" s="73">
        <v>0</v>
      </c>
      <c r="I314" s="73">
        <v>0</v>
      </c>
      <c r="J314" s="73">
        <v>0</v>
      </c>
      <c r="K314" s="73">
        <v>2648</v>
      </c>
      <c r="L314" s="73">
        <f>1668.6-567.5</f>
        <v>1101.0999999999999</v>
      </c>
      <c r="M314" s="73">
        <f>416+38300-2760.9</f>
        <v>35955.1</v>
      </c>
      <c r="N314" s="73">
        <v>0</v>
      </c>
      <c r="O314" s="73">
        <v>0</v>
      </c>
    </row>
    <row r="315" spans="1:15" s="86" customFormat="1" ht="33.75" customHeight="1" x14ac:dyDescent="0.2">
      <c r="A315" s="142"/>
      <c r="B315" s="135"/>
      <c r="C315" s="80" t="s">
        <v>13</v>
      </c>
      <c r="D315" s="73">
        <f t="shared" si="116"/>
        <v>0</v>
      </c>
      <c r="E315" s="73">
        <v>0</v>
      </c>
      <c r="F315" s="73">
        <v>0</v>
      </c>
      <c r="G315" s="73">
        <v>0</v>
      </c>
      <c r="H315" s="73">
        <v>0</v>
      </c>
      <c r="I315" s="73">
        <v>0</v>
      </c>
      <c r="J315" s="73">
        <v>0</v>
      </c>
      <c r="K315" s="73">
        <v>0</v>
      </c>
      <c r="L315" s="73">
        <v>0</v>
      </c>
      <c r="M315" s="73">
        <v>0</v>
      </c>
      <c r="N315" s="73">
        <v>0</v>
      </c>
      <c r="O315" s="73">
        <v>0</v>
      </c>
    </row>
    <row r="316" spans="1:15" s="86" customFormat="1" ht="18.75" customHeight="1" x14ac:dyDescent="0.2">
      <c r="A316" s="139" t="s">
        <v>408</v>
      </c>
      <c r="B316" s="139" t="s">
        <v>389</v>
      </c>
      <c r="C316" s="78" t="s">
        <v>7</v>
      </c>
      <c r="D316" s="73">
        <f>SUM(D317:D320)</f>
        <v>251.1</v>
      </c>
      <c r="E316" s="73">
        <f t="shared" ref="E316:J316" si="117">SUM(E317:E320)</f>
        <v>0</v>
      </c>
      <c r="F316" s="73">
        <f t="shared" si="117"/>
        <v>0</v>
      </c>
      <c r="G316" s="73">
        <f t="shared" si="117"/>
        <v>0</v>
      </c>
      <c r="H316" s="73">
        <f t="shared" si="117"/>
        <v>0</v>
      </c>
      <c r="I316" s="73">
        <f t="shared" si="117"/>
        <v>0</v>
      </c>
      <c r="J316" s="73">
        <f t="shared" si="117"/>
        <v>0</v>
      </c>
      <c r="K316" s="73">
        <f>SUM(K317:K320)</f>
        <v>251.1</v>
      </c>
      <c r="L316" s="73">
        <v>0</v>
      </c>
      <c r="M316" s="73">
        <v>0</v>
      </c>
      <c r="N316" s="73">
        <v>0</v>
      </c>
      <c r="O316" s="73">
        <v>0</v>
      </c>
    </row>
    <row r="317" spans="1:15" s="86" customFormat="1" ht="18.75" customHeight="1" x14ac:dyDescent="0.2">
      <c r="A317" s="140"/>
      <c r="B317" s="140"/>
      <c r="C317" s="80" t="s">
        <v>10</v>
      </c>
      <c r="D317" s="73">
        <f>SUM(E317:O317)</f>
        <v>0</v>
      </c>
      <c r="E317" s="73">
        <v>0</v>
      </c>
      <c r="F317" s="73">
        <v>0</v>
      </c>
      <c r="G317" s="73">
        <v>0</v>
      </c>
      <c r="H317" s="73">
        <v>0</v>
      </c>
      <c r="I317" s="73">
        <v>0</v>
      </c>
      <c r="J317" s="73">
        <v>0</v>
      </c>
      <c r="K317" s="73">
        <v>0</v>
      </c>
      <c r="L317" s="73">
        <v>0</v>
      </c>
      <c r="M317" s="73">
        <v>0</v>
      </c>
      <c r="N317" s="73">
        <v>0</v>
      </c>
      <c r="O317" s="73">
        <v>0</v>
      </c>
    </row>
    <row r="318" spans="1:15" s="86" customFormat="1" ht="18.75" customHeight="1" x14ac:dyDescent="0.2">
      <c r="A318" s="140"/>
      <c r="B318" s="140"/>
      <c r="C318" s="80" t="s">
        <v>11</v>
      </c>
      <c r="D318" s="73">
        <f t="shared" ref="D318:D320" si="118">SUM(E318:O318)</f>
        <v>0</v>
      </c>
      <c r="E318" s="73">
        <v>0</v>
      </c>
      <c r="F318" s="73">
        <v>0</v>
      </c>
      <c r="G318" s="73">
        <v>0</v>
      </c>
      <c r="H318" s="73">
        <v>0</v>
      </c>
      <c r="I318" s="73">
        <v>0</v>
      </c>
      <c r="J318" s="73">
        <v>0</v>
      </c>
      <c r="K318" s="73">
        <v>0</v>
      </c>
      <c r="L318" s="73">
        <v>0</v>
      </c>
      <c r="M318" s="73">
        <v>0</v>
      </c>
      <c r="N318" s="73">
        <v>0</v>
      </c>
      <c r="O318" s="73">
        <v>0</v>
      </c>
    </row>
    <row r="319" spans="1:15" s="86" customFormat="1" ht="18.75" customHeight="1" x14ac:dyDescent="0.2">
      <c r="A319" s="140"/>
      <c r="B319" s="140"/>
      <c r="C319" s="80" t="s">
        <v>12</v>
      </c>
      <c r="D319" s="73">
        <f t="shared" si="118"/>
        <v>251.1</v>
      </c>
      <c r="E319" s="73">
        <v>0</v>
      </c>
      <c r="F319" s="73">
        <v>0</v>
      </c>
      <c r="G319" s="73">
        <v>0</v>
      </c>
      <c r="H319" s="73">
        <v>0</v>
      </c>
      <c r="I319" s="73">
        <v>0</v>
      </c>
      <c r="J319" s="73">
        <v>0</v>
      </c>
      <c r="K319" s="73">
        <f>451-199.9</f>
        <v>251.1</v>
      </c>
      <c r="L319" s="73">
        <v>0</v>
      </c>
      <c r="M319" s="73">
        <v>0</v>
      </c>
      <c r="N319" s="73">
        <v>0</v>
      </c>
      <c r="O319" s="73">
        <v>0</v>
      </c>
    </row>
    <row r="320" spans="1:15" s="86" customFormat="1" ht="35.25" customHeight="1" x14ac:dyDescent="0.2">
      <c r="A320" s="141"/>
      <c r="B320" s="141"/>
      <c r="C320" s="80" t="s">
        <v>13</v>
      </c>
      <c r="D320" s="73">
        <f t="shared" si="118"/>
        <v>0</v>
      </c>
      <c r="E320" s="73">
        <v>0</v>
      </c>
      <c r="F320" s="73">
        <v>0</v>
      </c>
      <c r="G320" s="73">
        <v>0</v>
      </c>
      <c r="H320" s="73">
        <v>0</v>
      </c>
      <c r="I320" s="73">
        <v>0</v>
      </c>
      <c r="J320" s="73">
        <v>0</v>
      </c>
      <c r="K320" s="73">
        <v>0</v>
      </c>
      <c r="L320" s="73">
        <v>0</v>
      </c>
      <c r="M320" s="73">
        <v>0</v>
      </c>
      <c r="N320" s="73">
        <v>0</v>
      </c>
      <c r="O320" s="73">
        <v>0</v>
      </c>
    </row>
    <row r="321" spans="1:22" s="86" customFormat="1" ht="18.75" hidden="1" customHeight="1" x14ac:dyDescent="0.2">
      <c r="A321" s="139"/>
      <c r="B321" s="139" t="s">
        <v>401</v>
      </c>
      <c r="C321" s="78" t="s">
        <v>7</v>
      </c>
      <c r="D321" s="73">
        <f>SUM(D322:D325)</f>
        <v>0</v>
      </c>
      <c r="E321" s="73">
        <f t="shared" ref="E321:J321" si="119">SUM(E322:E325)</f>
        <v>0</v>
      </c>
      <c r="F321" s="73">
        <f t="shared" si="119"/>
        <v>0</v>
      </c>
      <c r="G321" s="73">
        <f t="shared" si="119"/>
        <v>0</v>
      </c>
      <c r="H321" s="73">
        <f t="shared" si="119"/>
        <v>0</v>
      </c>
      <c r="I321" s="73">
        <f t="shared" si="119"/>
        <v>0</v>
      </c>
      <c r="J321" s="73">
        <f t="shared" si="119"/>
        <v>0</v>
      </c>
      <c r="K321" s="73">
        <f>SUM(K322:K325)</f>
        <v>0</v>
      </c>
      <c r="L321" s="73">
        <v>0</v>
      </c>
      <c r="M321" s="73">
        <v>0</v>
      </c>
      <c r="N321" s="73">
        <v>0</v>
      </c>
      <c r="O321" s="73">
        <v>0</v>
      </c>
    </row>
    <row r="322" spans="1:22" s="86" customFormat="1" ht="18.75" hidden="1" customHeight="1" x14ac:dyDescent="0.2">
      <c r="A322" s="140"/>
      <c r="B322" s="140"/>
      <c r="C322" s="80" t="s">
        <v>10</v>
      </c>
      <c r="D322" s="73">
        <f>SUM(E322:O322)</f>
        <v>0</v>
      </c>
      <c r="E322" s="73">
        <v>0</v>
      </c>
      <c r="F322" s="73">
        <v>0</v>
      </c>
      <c r="G322" s="73">
        <v>0</v>
      </c>
      <c r="H322" s="73">
        <v>0</v>
      </c>
      <c r="I322" s="73">
        <v>0</v>
      </c>
      <c r="J322" s="73">
        <v>0</v>
      </c>
      <c r="K322" s="73">
        <v>0</v>
      </c>
      <c r="L322" s="73">
        <v>0</v>
      </c>
      <c r="M322" s="73">
        <v>0</v>
      </c>
      <c r="N322" s="73">
        <v>0</v>
      </c>
      <c r="O322" s="73">
        <v>0</v>
      </c>
    </row>
    <row r="323" spans="1:22" s="86" customFormat="1" ht="18.75" hidden="1" customHeight="1" x14ac:dyDescent="0.2">
      <c r="A323" s="140"/>
      <c r="B323" s="140"/>
      <c r="C323" s="80" t="s">
        <v>11</v>
      </c>
      <c r="D323" s="73">
        <f t="shared" ref="D323:D325" si="120">SUM(E323:O323)</f>
        <v>0</v>
      </c>
      <c r="E323" s="73">
        <v>0</v>
      </c>
      <c r="F323" s="73">
        <v>0</v>
      </c>
      <c r="G323" s="73">
        <v>0</v>
      </c>
      <c r="H323" s="73">
        <v>0</v>
      </c>
      <c r="I323" s="73">
        <v>0</v>
      </c>
      <c r="J323" s="73">
        <v>0</v>
      </c>
      <c r="K323" s="73">
        <v>0</v>
      </c>
      <c r="L323" s="73">
        <v>0</v>
      </c>
      <c r="M323" s="73">
        <v>0</v>
      </c>
      <c r="N323" s="73">
        <v>0</v>
      </c>
      <c r="O323" s="73">
        <v>0</v>
      </c>
    </row>
    <row r="324" spans="1:22" s="86" customFormat="1" ht="18.75" hidden="1" customHeight="1" x14ac:dyDescent="0.2">
      <c r="A324" s="140"/>
      <c r="B324" s="140"/>
      <c r="C324" s="80" t="s">
        <v>12</v>
      </c>
      <c r="D324" s="73">
        <f t="shared" si="120"/>
        <v>0</v>
      </c>
      <c r="E324" s="73">
        <v>0</v>
      </c>
      <c r="F324" s="73">
        <v>0</v>
      </c>
      <c r="G324" s="73">
        <v>0</v>
      </c>
      <c r="H324" s="73">
        <v>0</v>
      </c>
      <c r="I324" s="73">
        <v>0</v>
      </c>
      <c r="J324" s="73">
        <v>0</v>
      </c>
      <c r="K324" s="73">
        <f>3553.2-3553.2</f>
        <v>0</v>
      </c>
      <c r="L324" s="73">
        <v>0</v>
      </c>
      <c r="M324" s="73">
        <v>0</v>
      </c>
      <c r="N324" s="73">
        <v>0</v>
      </c>
      <c r="O324" s="73">
        <v>0</v>
      </c>
    </row>
    <row r="325" spans="1:22" s="86" customFormat="1" ht="18.75" hidden="1" customHeight="1" x14ac:dyDescent="0.2">
      <c r="A325" s="141"/>
      <c r="B325" s="141"/>
      <c r="C325" s="80" t="s">
        <v>13</v>
      </c>
      <c r="D325" s="73">
        <f t="shared" si="120"/>
        <v>0</v>
      </c>
      <c r="E325" s="73">
        <v>0</v>
      </c>
      <c r="F325" s="73">
        <v>0</v>
      </c>
      <c r="G325" s="73">
        <v>0</v>
      </c>
      <c r="H325" s="73">
        <v>0</v>
      </c>
      <c r="I325" s="73">
        <v>0</v>
      </c>
      <c r="J325" s="73">
        <v>0</v>
      </c>
      <c r="K325" s="73">
        <v>0</v>
      </c>
      <c r="L325" s="73">
        <v>0</v>
      </c>
      <c r="M325" s="73">
        <v>0</v>
      </c>
      <c r="N325" s="73">
        <v>0</v>
      </c>
      <c r="O325" s="73">
        <v>0</v>
      </c>
    </row>
    <row r="326" spans="1:22" s="86" customFormat="1" ht="18.75" customHeight="1" x14ac:dyDescent="0.2">
      <c r="A326" s="139" t="s">
        <v>406</v>
      </c>
      <c r="B326" s="139" t="s">
        <v>407</v>
      </c>
      <c r="C326" s="78" t="s">
        <v>7</v>
      </c>
      <c r="D326" s="73">
        <f>SUM(D327:D330)</f>
        <v>994.1</v>
      </c>
      <c r="E326" s="73">
        <f t="shared" ref="E326:J326" si="121">SUM(E327:E330)</f>
        <v>0</v>
      </c>
      <c r="F326" s="73">
        <f t="shared" si="121"/>
        <v>0</v>
      </c>
      <c r="G326" s="73">
        <f t="shared" si="121"/>
        <v>0</v>
      </c>
      <c r="H326" s="73">
        <f t="shared" si="121"/>
        <v>0</v>
      </c>
      <c r="I326" s="73">
        <f t="shared" si="121"/>
        <v>0</v>
      </c>
      <c r="J326" s="73">
        <f t="shared" si="121"/>
        <v>0</v>
      </c>
      <c r="K326" s="73">
        <f>SUM(K327:K330)</f>
        <v>994.1</v>
      </c>
      <c r="L326" s="73">
        <v>0</v>
      </c>
      <c r="M326" s="73">
        <v>0</v>
      </c>
      <c r="N326" s="73">
        <v>0</v>
      </c>
      <c r="O326" s="73">
        <v>0</v>
      </c>
    </row>
    <row r="327" spans="1:22" s="86" customFormat="1" ht="18.75" customHeight="1" x14ac:dyDescent="0.2">
      <c r="A327" s="140"/>
      <c r="B327" s="140"/>
      <c r="C327" s="80" t="s">
        <v>10</v>
      </c>
      <c r="D327" s="73">
        <f>SUM(E327:O327)</f>
        <v>0</v>
      </c>
      <c r="E327" s="73">
        <v>0</v>
      </c>
      <c r="F327" s="73">
        <v>0</v>
      </c>
      <c r="G327" s="73">
        <v>0</v>
      </c>
      <c r="H327" s="73">
        <v>0</v>
      </c>
      <c r="I327" s="73">
        <v>0</v>
      </c>
      <c r="J327" s="73">
        <v>0</v>
      </c>
      <c r="K327" s="73">
        <v>0</v>
      </c>
      <c r="L327" s="73">
        <v>0</v>
      </c>
      <c r="M327" s="73">
        <v>0</v>
      </c>
      <c r="N327" s="73">
        <v>0</v>
      </c>
      <c r="O327" s="73">
        <v>0</v>
      </c>
      <c r="P327" s="73">
        <v>0</v>
      </c>
      <c r="Q327" s="73">
        <v>0</v>
      </c>
      <c r="R327" s="73">
        <v>0</v>
      </c>
      <c r="S327" s="73">
        <v>0</v>
      </c>
      <c r="T327" s="73">
        <v>0</v>
      </c>
      <c r="U327" s="73">
        <v>0</v>
      </c>
      <c r="V327" s="73">
        <v>0</v>
      </c>
    </row>
    <row r="328" spans="1:22" s="86" customFormat="1" ht="18.75" customHeight="1" x14ac:dyDescent="0.2">
      <c r="A328" s="140"/>
      <c r="B328" s="140"/>
      <c r="C328" s="80" t="s">
        <v>11</v>
      </c>
      <c r="D328" s="73">
        <f t="shared" ref="D328:D330" si="122">SUM(E328:O328)</f>
        <v>0</v>
      </c>
      <c r="E328" s="73">
        <v>0</v>
      </c>
      <c r="F328" s="73">
        <v>0</v>
      </c>
      <c r="G328" s="73">
        <v>0</v>
      </c>
      <c r="H328" s="73">
        <v>0</v>
      </c>
      <c r="I328" s="73">
        <v>0</v>
      </c>
      <c r="J328" s="73">
        <v>0</v>
      </c>
      <c r="K328" s="73">
        <v>0</v>
      </c>
      <c r="L328" s="73">
        <v>0</v>
      </c>
      <c r="M328" s="73">
        <v>0</v>
      </c>
      <c r="N328" s="73">
        <v>0</v>
      </c>
      <c r="O328" s="73">
        <v>0</v>
      </c>
      <c r="P328" s="73">
        <v>0</v>
      </c>
      <c r="Q328" s="73">
        <v>0</v>
      </c>
      <c r="R328" s="73">
        <v>0</v>
      </c>
      <c r="S328" s="73">
        <v>0</v>
      </c>
      <c r="T328" s="73">
        <v>0</v>
      </c>
      <c r="U328" s="73">
        <v>0</v>
      </c>
      <c r="V328" s="73">
        <v>0</v>
      </c>
    </row>
    <row r="329" spans="1:22" s="86" customFormat="1" ht="18.75" customHeight="1" x14ac:dyDescent="0.2">
      <c r="A329" s="140"/>
      <c r="B329" s="140"/>
      <c r="C329" s="80" t="s">
        <v>12</v>
      </c>
      <c r="D329" s="73">
        <f t="shared" si="122"/>
        <v>994.1</v>
      </c>
      <c r="E329" s="73">
        <v>0</v>
      </c>
      <c r="F329" s="73">
        <v>0</v>
      </c>
      <c r="G329" s="73">
        <v>0</v>
      </c>
      <c r="H329" s="73">
        <v>0</v>
      </c>
      <c r="I329" s="73">
        <v>0</v>
      </c>
      <c r="J329" s="73">
        <v>0</v>
      </c>
      <c r="K329" s="73">
        <v>994.1</v>
      </c>
      <c r="L329" s="73">
        <v>0</v>
      </c>
      <c r="M329" s="73">
        <v>0</v>
      </c>
      <c r="N329" s="73">
        <v>0</v>
      </c>
      <c r="O329" s="73">
        <v>0</v>
      </c>
      <c r="P329" s="73">
        <v>0</v>
      </c>
      <c r="Q329" s="73">
        <v>0</v>
      </c>
      <c r="R329" s="73">
        <v>0</v>
      </c>
      <c r="S329" s="73">
        <v>0</v>
      </c>
      <c r="T329" s="73">
        <v>0</v>
      </c>
      <c r="U329" s="73">
        <v>0</v>
      </c>
      <c r="V329" s="73">
        <v>0</v>
      </c>
    </row>
    <row r="330" spans="1:22" s="86" customFormat="1" ht="33.75" customHeight="1" x14ac:dyDescent="0.2">
      <c r="A330" s="141"/>
      <c r="B330" s="141"/>
      <c r="C330" s="80" t="s">
        <v>13</v>
      </c>
      <c r="D330" s="73">
        <f t="shared" si="122"/>
        <v>0</v>
      </c>
      <c r="E330" s="73">
        <v>0</v>
      </c>
      <c r="F330" s="73">
        <v>0</v>
      </c>
      <c r="G330" s="73">
        <v>0</v>
      </c>
      <c r="H330" s="73">
        <v>0</v>
      </c>
      <c r="I330" s="73">
        <v>0</v>
      </c>
      <c r="J330" s="73">
        <v>0</v>
      </c>
      <c r="K330" s="73">
        <v>0</v>
      </c>
      <c r="L330" s="73">
        <v>0</v>
      </c>
      <c r="M330" s="73">
        <v>0</v>
      </c>
      <c r="N330" s="73">
        <v>0</v>
      </c>
      <c r="O330" s="73">
        <v>0</v>
      </c>
      <c r="P330" s="73">
        <v>0</v>
      </c>
      <c r="Q330" s="73">
        <v>0</v>
      </c>
      <c r="R330" s="73">
        <v>0</v>
      </c>
      <c r="S330" s="73">
        <v>0</v>
      </c>
      <c r="T330" s="73">
        <v>0</v>
      </c>
      <c r="U330" s="73">
        <v>0</v>
      </c>
      <c r="V330" s="73">
        <v>0</v>
      </c>
    </row>
    <row r="331" spans="1:22" s="86" customFormat="1" ht="18.75" customHeight="1" x14ac:dyDescent="0.2">
      <c r="A331" s="139" t="s">
        <v>381</v>
      </c>
      <c r="B331" s="139" t="s">
        <v>419</v>
      </c>
      <c r="C331" s="78" t="s">
        <v>7</v>
      </c>
      <c r="D331" s="73">
        <f>SUM(D332:D335)</f>
        <v>1269013.2000000002</v>
      </c>
      <c r="E331" s="73">
        <f t="shared" ref="E331:J331" si="123">SUM(E332:E335)</f>
        <v>0</v>
      </c>
      <c r="F331" s="73">
        <f t="shared" si="123"/>
        <v>0</v>
      </c>
      <c r="G331" s="73">
        <f t="shared" si="123"/>
        <v>0</v>
      </c>
      <c r="H331" s="73">
        <f t="shared" si="123"/>
        <v>0</v>
      </c>
      <c r="I331" s="73">
        <f t="shared" si="123"/>
        <v>0</v>
      </c>
      <c r="J331" s="73">
        <f t="shared" si="123"/>
        <v>0</v>
      </c>
      <c r="K331" s="73">
        <f>SUM(K332:K335)</f>
        <v>0</v>
      </c>
      <c r="L331" s="73">
        <f t="shared" ref="L331:O331" si="124">SUM(L332:L335)</f>
        <v>429013.19999999995</v>
      </c>
      <c r="M331" s="73">
        <f t="shared" si="124"/>
        <v>840000</v>
      </c>
      <c r="N331" s="73">
        <f t="shared" si="124"/>
        <v>0</v>
      </c>
      <c r="O331" s="73">
        <f t="shared" si="124"/>
        <v>0</v>
      </c>
      <c r="P331" s="81"/>
      <c r="Q331" s="81"/>
      <c r="R331" s="81"/>
      <c r="S331" s="81"/>
      <c r="T331" s="81"/>
      <c r="U331" s="81"/>
      <c r="V331" s="81"/>
    </row>
    <row r="332" spans="1:22" s="86" customFormat="1" ht="18.75" customHeight="1" x14ac:dyDescent="0.2">
      <c r="A332" s="140"/>
      <c r="B332" s="140"/>
      <c r="C332" s="80" t="s">
        <v>10</v>
      </c>
      <c r="D332" s="73">
        <f>SUM(E332:O332)</f>
        <v>0</v>
      </c>
      <c r="E332" s="73">
        <v>0</v>
      </c>
      <c r="F332" s="73">
        <v>0</v>
      </c>
      <c r="G332" s="73">
        <v>0</v>
      </c>
      <c r="H332" s="73">
        <v>0</v>
      </c>
      <c r="I332" s="73">
        <v>0</v>
      </c>
      <c r="J332" s="73">
        <v>0</v>
      </c>
      <c r="K332" s="73">
        <v>0</v>
      </c>
      <c r="L332" s="73">
        <v>0</v>
      </c>
      <c r="M332" s="73">
        <v>0</v>
      </c>
      <c r="N332" s="73">
        <v>0</v>
      </c>
      <c r="O332" s="73">
        <v>0</v>
      </c>
      <c r="P332" s="81"/>
      <c r="Q332" s="81"/>
      <c r="R332" s="81"/>
      <c r="S332" s="81"/>
      <c r="T332" s="81"/>
      <c r="U332" s="81"/>
      <c r="V332" s="81"/>
    </row>
    <row r="333" spans="1:22" s="86" customFormat="1" ht="18.75" customHeight="1" x14ac:dyDescent="0.2">
      <c r="A333" s="140"/>
      <c r="B333" s="140"/>
      <c r="C333" s="80" t="s">
        <v>11</v>
      </c>
      <c r="D333" s="73">
        <f t="shared" ref="D333:D335" si="125">SUM(E333:O333)</f>
        <v>1256323.1000000001</v>
      </c>
      <c r="E333" s="73">
        <v>0</v>
      </c>
      <c r="F333" s="73">
        <v>0</v>
      </c>
      <c r="G333" s="73">
        <v>0</v>
      </c>
      <c r="H333" s="73">
        <v>0</v>
      </c>
      <c r="I333" s="73">
        <v>0</v>
      </c>
      <c r="J333" s="73">
        <v>0</v>
      </c>
      <c r="K333" s="73">
        <v>0</v>
      </c>
      <c r="L333" s="73">
        <f>L338+L343</f>
        <v>424723.1</v>
      </c>
      <c r="M333" s="73">
        <f t="shared" ref="M333:V333" si="126">M338+M343</f>
        <v>831600</v>
      </c>
      <c r="N333" s="73">
        <f t="shared" si="126"/>
        <v>0</v>
      </c>
      <c r="O333" s="73">
        <f t="shared" si="126"/>
        <v>0</v>
      </c>
      <c r="P333" s="73">
        <f t="shared" si="126"/>
        <v>0</v>
      </c>
      <c r="Q333" s="73">
        <f t="shared" si="126"/>
        <v>0</v>
      </c>
      <c r="R333" s="73">
        <f t="shared" si="126"/>
        <v>0</v>
      </c>
      <c r="S333" s="73">
        <f t="shared" si="126"/>
        <v>0</v>
      </c>
      <c r="T333" s="73">
        <f t="shared" si="126"/>
        <v>0</v>
      </c>
      <c r="U333" s="73">
        <f t="shared" si="126"/>
        <v>0</v>
      </c>
      <c r="V333" s="73">
        <f t="shared" si="126"/>
        <v>0</v>
      </c>
    </row>
    <row r="334" spans="1:22" s="86" customFormat="1" ht="18.75" customHeight="1" x14ac:dyDescent="0.2">
      <c r="A334" s="140"/>
      <c r="B334" s="140"/>
      <c r="C334" s="80" t="s">
        <v>12</v>
      </c>
      <c r="D334" s="73">
        <f t="shared" si="125"/>
        <v>12690.1</v>
      </c>
      <c r="E334" s="73">
        <v>0</v>
      </c>
      <c r="F334" s="73">
        <v>0</v>
      </c>
      <c r="G334" s="73">
        <v>0</v>
      </c>
      <c r="H334" s="73">
        <v>0</v>
      </c>
      <c r="I334" s="73">
        <v>0</v>
      </c>
      <c r="J334" s="73">
        <v>0</v>
      </c>
      <c r="K334" s="73">
        <v>0</v>
      </c>
      <c r="L334" s="73">
        <f>L339++L344</f>
        <v>4290.1000000000004</v>
      </c>
      <c r="M334" s="73">
        <f t="shared" ref="M334:O334" si="127">M339++M344</f>
        <v>8400</v>
      </c>
      <c r="N334" s="73">
        <f t="shared" si="127"/>
        <v>0</v>
      </c>
      <c r="O334" s="73">
        <f t="shared" si="127"/>
        <v>0</v>
      </c>
      <c r="P334" s="81"/>
      <c r="Q334" s="81"/>
      <c r="R334" s="81"/>
      <c r="S334" s="81"/>
      <c r="T334" s="81"/>
      <c r="U334" s="81"/>
      <c r="V334" s="81"/>
    </row>
    <row r="335" spans="1:22" s="86" customFormat="1" ht="36.75" customHeight="1" x14ac:dyDescent="0.2">
      <c r="A335" s="141"/>
      <c r="B335" s="141"/>
      <c r="C335" s="80" t="s">
        <v>13</v>
      </c>
      <c r="D335" s="73">
        <f t="shared" si="125"/>
        <v>0</v>
      </c>
      <c r="E335" s="73">
        <v>0</v>
      </c>
      <c r="F335" s="73">
        <v>0</v>
      </c>
      <c r="G335" s="73">
        <v>0</v>
      </c>
      <c r="H335" s="73">
        <v>0</v>
      </c>
      <c r="I335" s="73">
        <v>0</v>
      </c>
      <c r="J335" s="73">
        <v>0</v>
      </c>
      <c r="K335" s="73">
        <v>0</v>
      </c>
      <c r="L335" s="73">
        <v>0</v>
      </c>
      <c r="M335" s="73">
        <v>0</v>
      </c>
      <c r="N335" s="73">
        <v>0</v>
      </c>
      <c r="O335" s="73">
        <v>0</v>
      </c>
      <c r="P335" s="81"/>
      <c r="Q335" s="81"/>
      <c r="R335" s="81"/>
      <c r="S335" s="81"/>
      <c r="T335" s="81"/>
      <c r="U335" s="81"/>
      <c r="V335" s="81"/>
    </row>
    <row r="336" spans="1:22" s="86" customFormat="1" ht="21" customHeight="1" x14ac:dyDescent="0.2">
      <c r="A336" s="139" t="s">
        <v>426</v>
      </c>
      <c r="B336" s="139" t="s">
        <v>418</v>
      </c>
      <c r="C336" s="78" t="s">
        <v>7</v>
      </c>
      <c r="D336" s="73">
        <f>SUM(D337:D340)</f>
        <v>1200000</v>
      </c>
      <c r="E336" s="73">
        <f t="shared" ref="E336:J336" si="128">SUM(E337:E340)</f>
        <v>0</v>
      </c>
      <c r="F336" s="73">
        <f t="shared" si="128"/>
        <v>0</v>
      </c>
      <c r="G336" s="73">
        <f t="shared" si="128"/>
        <v>0</v>
      </c>
      <c r="H336" s="73">
        <f t="shared" si="128"/>
        <v>0</v>
      </c>
      <c r="I336" s="73">
        <f t="shared" si="128"/>
        <v>0</v>
      </c>
      <c r="J336" s="73">
        <f t="shared" si="128"/>
        <v>0</v>
      </c>
      <c r="K336" s="73">
        <f>SUM(K337:K340)</f>
        <v>0</v>
      </c>
      <c r="L336" s="73">
        <f t="shared" ref="L336:O336" si="129">SUM(L337:L340)</f>
        <v>360000</v>
      </c>
      <c r="M336" s="73">
        <f t="shared" si="129"/>
        <v>840000</v>
      </c>
      <c r="N336" s="73">
        <f t="shared" si="129"/>
        <v>0</v>
      </c>
      <c r="O336" s="73">
        <f t="shared" si="129"/>
        <v>0</v>
      </c>
      <c r="P336" s="81"/>
      <c r="Q336" s="81"/>
      <c r="R336" s="81"/>
      <c r="S336" s="81"/>
      <c r="T336" s="81"/>
      <c r="U336" s="81"/>
      <c r="V336" s="81"/>
    </row>
    <row r="337" spans="1:22" s="86" customFormat="1" ht="21" customHeight="1" x14ac:dyDescent="0.2">
      <c r="A337" s="140"/>
      <c r="B337" s="140"/>
      <c r="C337" s="80" t="s">
        <v>10</v>
      </c>
      <c r="D337" s="73">
        <f>SUM(E337:O337)</f>
        <v>0</v>
      </c>
      <c r="E337" s="73">
        <v>0</v>
      </c>
      <c r="F337" s="73">
        <v>0</v>
      </c>
      <c r="G337" s="73">
        <v>0</v>
      </c>
      <c r="H337" s="73">
        <v>0</v>
      </c>
      <c r="I337" s="73">
        <v>0</v>
      </c>
      <c r="J337" s="73">
        <v>0</v>
      </c>
      <c r="K337" s="73">
        <v>0</v>
      </c>
      <c r="L337" s="73">
        <v>0</v>
      </c>
      <c r="M337" s="73">
        <v>0</v>
      </c>
      <c r="N337" s="73">
        <v>0</v>
      </c>
      <c r="O337" s="73">
        <v>0</v>
      </c>
      <c r="P337" s="81"/>
      <c r="Q337" s="81"/>
      <c r="R337" s="81"/>
      <c r="S337" s="81"/>
      <c r="T337" s="81"/>
      <c r="U337" s="81"/>
      <c r="V337" s="81"/>
    </row>
    <row r="338" spans="1:22" s="86" customFormat="1" ht="21" customHeight="1" x14ac:dyDescent="0.2">
      <c r="A338" s="140"/>
      <c r="B338" s="140"/>
      <c r="C338" s="80" t="s">
        <v>11</v>
      </c>
      <c r="D338" s="73">
        <f t="shared" ref="D338:D340" si="130">SUM(E338:O338)</f>
        <v>1188000</v>
      </c>
      <c r="E338" s="73">
        <v>0</v>
      </c>
      <c r="F338" s="73">
        <v>0</v>
      </c>
      <c r="G338" s="73">
        <v>0</v>
      </c>
      <c r="H338" s="73">
        <v>0</v>
      </c>
      <c r="I338" s="73">
        <v>0</v>
      </c>
      <c r="J338" s="73">
        <v>0</v>
      </c>
      <c r="K338" s="73">
        <v>0</v>
      </c>
      <c r="L338" s="73">
        <v>356400</v>
      </c>
      <c r="M338" s="73">
        <v>831600</v>
      </c>
      <c r="N338" s="73">
        <v>0</v>
      </c>
      <c r="O338" s="73">
        <v>0</v>
      </c>
      <c r="P338" s="81"/>
      <c r="Q338" s="81"/>
      <c r="R338" s="81"/>
      <c r="S338" s="81"/>
      <c r="T338" s="81"/>
      <c r="U338" s="81"/>
      <c r="V338" s="81"/>
    </row>
    <row r="339" spans="1:22" s="86" customFormat="1" ht="21" customHeight="1" x14ac:dyDescent="0.2">
      <c r="A339" s="140"/>
      <c r="B339" s="140"/>
      <c r="C339" s="80" t="s">
        <v>12</v>
      </c>
      <c r="D339" s="73">
        <f t="shared" si="130"/>
        <v>12000</v>
      </c>
      <c r="E339" s="73">
        <v>0</v>
      </c>
      <c r="F339" s="73">
        <v>0</v>
      </c>
      <c r="G339" s="73">
        <v>0</v>
      </c>
      <c r="H339" s="73">
        <v>0</v>
      </c>
      <c r="I339" s="73">
        <v>0</v>
      </c>
      <c r="J339" s="73">
        <v>0</v>
      </c>
      <c r="K339" s="73">
        <v>0</v>
      </c>
      <c r="L339" s="73">
        <v>3600</v>
      </c>
      <c r="M339" s="73">
        <v>8400</v>
      </c>
      <c r="N339" s="73">
        <v>0</v>
      </c>
      <c r="O339" s="73">
        <v>0</v>
      </c>
      <c r="P339" s="81"/>
      <c r="Q339" s="81"/>
      <c r="R339" s="81"/>
      <c r="S339" s="81"/>
      <c r="T339" s="81"/>
      <c r="U339" s="81"/>
      <c r="V339" s="81"/>
    </row>
    <row r="340" spans="1:22" s="86" customFormat="1" ht="30.75" customHeight="1" x14ac:dyDescent="0.2">
      <c r="A340" s="141"/>
      <c r="B340" s="141"/>
      <c r="C340" s="80" t="s">
        <v>13</v>
      </c>
      <c r="D340" s="73">
        <f t="shared" si="130"/>
        <v>0</v>
      </c>
      <c r="E340" s="73">
        <v>0</v>
      </c>
      <c r="F340" s="73">
        <v>0</v>
      </c>
      <c r="G340" s="73">
        <v>0</v>
      </c>
      <c r="H340" s="73">
        <v>0</v>
      </c>
      <c r="I340" s="73">
        <v>0</v>
      </c>
      <c r="J340" s="73">
        <v>0</v>
      </c>
      <c r="K340" s="73">
        <v>0</v>
      </c>
      <c r="L340" s="73">
        <v>0</v>
      </c>
      <c r="M340" s="73">
        <v>0</v>
      </c>
      <c r="N340" s="73">
        <v>0</v>
      </c>
      <c r="O340" s="73">
        <v>0</v>
      </c>
      <c r="P340" s="81"/>
      <c r="Q340" s="81"/>
      <c r="R340" s="81"/>
      <c r="S340" s="81"/>
      <c r="T340" s="81"/>
      <c r="U340" s="81"/>
      <c r="V340" s="81"/>
    </row>
    <row r="341" spans="1:22" s="86" customFormat="1" ht="21" customHeight="1" x14ac:dyDescent="0.2">
      <c r="A341" s="139" t="s">
        <v>427</v>
      </c>
      <c r="B341" s="139" t="s">
        <v>415</v>
      </c>
      <c r="C341" s="78" t="s">
        <v>7</v>
      </c>
      <c r="D341" s="73">
        <f>SUM(D342:D345)</f>
        <v>69013.200000000012</v>
      </c>
      <c r="E341" s="73">
        <f t="shared" ref="E341:J341" si="131">SUM(E342:E345)</f>
        <v>0</v>
      </c>
      <c r="F341" s="73">
        <f t="shared" si="131"/>
        <v>0</v>
      </c>
      <c r="G341" s="73">
        <f t="shared" si="131"/>
        <v>0</v>
      </c>
      <c r="H341" s="73">
        <f t="shared" si="131"/>
        <v>0</v>
      </c>
      <c r="I341" s="73">
        <f t="shared" si="131"/>
        <v>0</v>
      </c>
      <c r="J341" s="73">
        <f t="shared" si="131"/>
        <v>0</v>
      </c>
      <c r="K341" s="73">
        <f>SUM(K342:K345)</f>
        <v>0</v>
      </c>
      <c r="L341" s="73">
        <f t="shared" ref="L341:O341" si="132">SUM(L342:L345)</f>
        <v>69013.200000000012</v>
      </c>
      <c r="M341" s="73">
        <f t="shared" si="132"/>
        <v>0</v>
      </c>
      <c r="N341" s="73">
        <f t="shared" si="132"/>
        <v>0</v>
      </c>
      <c r="O341" s="73">
        <f t="shared" si="132"/>
        <v>0</v>
      </c>
      <c r="P341" s="81"/>
      <c r="Q341" s="81"/>
      <c r="R341" s="81"/>
      <c r="S341" s="81"/>
      <c r="T341" s="81"/>
      <c r="U341" s="81"/>
      <c r="V341" s="81"/>
    </row>
    <row r="342" spans="1:22" s="86" customFormat="1" ht="21" customHeight="1" x14ac:dyDescent="0.2">
      <c r="A342" s="140"/>
      <c r="B342" s="140"/>
      <c r="C342" s="80" t="s">
        <v>10</v>
      </c>
      <c r="D342" s="73">
        <f>SUM(E342:O342)</f>
        <v>0</v>
      </c>
      <c r="E342" s="73">
        <v>0</v>
      </c>
      <c r="F342" s="73">
        <v>0</v>
      </c>
      <c r="G342" s="73">
        <v>0</v>
      </c>
      <c r="H342" s="73">
        <v>0</v>
      </c>
      <c r="I342" s="73">
        <v>0</v>
      </c>
      <c r="J342" s="73">
        <v>0</v>
      </c>
      <c r="K342" s="73">
        <v>0</v>
      </c>
      <c r="L342" s="73">
        <v>0</v>
      </c>
      <c r="M342" s="73">
        <v>0</v>
      </c>
      <c r="N342" s="73">
        <v>0</v>
      </c>
      <c r="O342" s="73">
        <v>0</v>
      </c>
      <c r="P342" s="81"/>
      <c r="Q342" s="81"/>
      <c r="R342" s="81"/>
      <c r="S342" s="81"/>
      <c r="T342" s="81"/>
      <c r="U342" s="81"/>
      <c r="V342" s="81"/>
    </row>
    <row r="343" spans="1:22" s="86" customFormat="1" ht="21" customHeight="1" x14ac:dyDescent="0.2">
      <c r="A343" s="140"/>
      <c r="B343" s="140"/>
      <c r="C343" s="80" t="s">
        <v>11</v>
      </c>
      <c r="D343" s="73">
        <f t="shared" ref="D343:D345" si="133">SUM(E343:O343)</f>
        <v>68323.100000000006</v>
      </c>
      <c r="E343" s="73">
        <v>0</v>
      </c>
      <c r="F343" s="73">
        <v>0</v>
      </c>
      <c r="G343" s="73">
        <v>0</v>
      </c>
      <c r="H343" s="73">
        <v>0</v>
      </c>
      <c r="I343" s="73">
        <v>0</v>
      </c>
      <c r="J343" s="73">
        <v>0</v>
      </c>
      <c r="K343" s="73">
        <v>0</v>
      </c>
      <c r="L343" s="73">
        <f>68322.8 - 1.7+2</f>
        <v>68323.100000000006</v>
      </c>
      <c r="M343" s="73">
        <v>0</v>
      </c>
      <c r="N343" s="73">
        <v>0</v>
      </c>
      <c r="O343" s="73">
        <v>0</v>
      </c>
      <c r="P343" s="81"/>
      <c r="Q343" s="81"/>
      <c r="R343" s="81"/>
      <c r="S343" s="81"/>
      <c r="T343" s="81"/>
      <c r="U343" s="81"/>
      <c r="V343" s="81"/>
    </row>
    <row r="344" spans="1:22" s="86" customFormat="1" ht="21" customHeight="1" x14ac:dyDescent="0.2">
      <c r="A344" s="140"/>
      <c r="B344" s="140"/>
      <c r="C344" s="80" t="s">
        <v>12</v>
      </c>
      <c r="D344" s="73">
        <f t="shared" si="133"/>
        <v>690.1</v>
      </c>
      <c r="E344" s="73">
        <v>0</v>
      </c>
      <c r="F344" s="73">
        <v>0</v>
      </c>
      <c r="G344" s="73">
        <v>0</v>
      </c>
      <c r="H344" s="73">
        <v>0</v>
      </c>
      <c r="I344" s="73">
        <v>0</v>
      </c>
      <c r="J344" s="73">
        <v>0</v>
      </c>
      <c r="K344" s="73">
        <v>0</v>
      </c>
      <c r="L344" s="73">
        <v>690.1</v>
      </c>
      <c r="M344" s="73">
        <v>0</v>
      </c>
      <c r="N344" s="73">
        <v>0</v>
      </c>
      <c r="O344" s="73">
        <v>0</v>
      </c>
      <c r="P344" s="81"/>
      <c r="Q344" s="81"/>
      <c r="R344" s="81"/>
      <c r="S344" s="81"/>
      <c r="T344" s="81"/>
      <c r="U344" s="81"/>
      <c r="V344" s="81"/>
    </row>
    <row r="345" spans="1:22" s="86" customFormat="1" ht="36" customHeight="1" x14ac:dyDescent="0.2">
      <c r="A345" s="141"/>
      <c r="B345" s="141"/>
      <c r="C345" s="80" t="s">
        <v>13</v>
      </c>
      <c r="D345" s="73">
        <f t="shared" si="133"/>
        <v>0</v>
      </c>
      <c r="E345" s="73">
        <v>0</v>
      </c>
      <c r="F345" s="73">
        <v>0</v>
      </c>
      <c r="G345" s="73">
        <v>0</v>
      </c>
      <c r="H345" s="73">
        <v>0</v>
      </c>
      <c r="I345" s="73">
        <v>0</v>
      </c>
      <c r="J345" s="73">
        <v>0</v>
      </c>
      <c r="K345" s="73">
        <v>0</v>
      </c>
      <c r="L345" s="73">
        <v>0</v>
      </c>
      <c r="M345" s="73">
        <v>0</v>
      </c>
      <c r="N345" s="73">
        <v>0</v>
      </c>
      <c r="O345" s="73">
        <v>0</v>
      </c>
      <c r="P345" s="81"/>
      <c r="Q345" s="81"/>
      <c r="R345" s="81"/>
      <c r="S345" s="81"/>
      <c r="T345" s="81"/>
      <c r="U345" s="81"/>
      <c r="V345" s="81"/>
    </row>
    <row r="346" spans="1:22" s="86" customFormat="1" ht="18.75" customHeight="1" x14ac:dyDescent="0.2">
      <c r="A346" s="139" t="s">
        <v>382</v>
      </c>
      <c r="B346" s="139" t="s">
        <v>410</v>
      </c>
      <c r="C346" s="78" t="s">
        <v>7</v>
      </c>
      <c r="D346" s="73">
        <f>SUM(D347:D350)</f>
        <v>520608</v>
      </c>
      <c r="E346" s="73">
        <f t="shared" ref="E346:J346" si="134">SUM(E347:E350)</f>
        <v>0</v>
      </c>
      <c r="F346" s="73">
        <f t="shared" si="134"/>
        <v>0</v>
      </c>
      <c r="G346" s="73">
        <f t="shared" si="134"/>
        <v>0</v>
      </c>
      <c r="H346" s="73">
        <f t="shared" si="134"/>
        <v>0</v>
      </c>
      <c r="I346" s="73">
        <f t="shared" si="134"/>
        <v>0</v>
      </c>
      <c r="J346" s="73">
        <f t="shared" si="134"/>
        <v>0</v>
      </c>
      <c r="K346" s="73">
        <f>SUM(K347:K350)</f>
        <v>0</v>
      </c>
      <c r="L346" s="73">
        <f t="shared" ref="L346:N346" si="135">SUM(L347:L350)</f>
        <v>152212.40000000002</v>
      </c>
      <c r="M346" s="73">
        <f>SUM(M347:M350)</f>
        <v>114473.5</v>
      </c>
      <c r="N346" s="73">
        <f t="shared" si="135"/>
        <v>124117.20000000001</v>
      </c>
      <c r="O346" s="73">
        <f t="shared" ref="O346" si="136">SUM(O347:O350)</f>
        <v>129804.90000000001</v>
      </c>
      <c r="P346" s="81"/>
      <c r="Q346" s="81"/>
      <c r="R346" s="81"/>
      <c r="S346" s="81"/>
      <c r="T346" s="81"/>
      <c r="U346" s="81"/>
      <c r="V346" s="81"/>
    </row>
    <row r="347" spans="1:22" s="86" customFormat="1" ht="18.75" customHeight="1" x14ac:dyDescent="0.2">
      <c r="A347" s="140"/>
      <c r="B347" s="140"/>
      <c r="C347" s="80" t="s">
        <v>10</v>
      </c>
      <c r="D347" s="73">
        <f>SUM(E347:O347)</f>
        <v>0</v>
      </c>
      <c r="E347" s="73">
        <v>0</v>
      </c>
      <c r="F347" s="73">
        <v>0</v>
      </c>
      <c r="G347" s="73">
        <v>0</v>
      </c>
      <c r="H347" s="73">
        <v>0</v>
      </c>
      <c r="I347" s="73">
        <v>0</v>
      </c>
      <c r="J347" s="73">
        <v>0</v>
      </c>
      <c r="K347" s="73">
        <v>0</v>
      </c>
      <c r="L347" s="73">
        <v>0</v>
      </c>
      <c r="M347" s="73">
        <v>0</v>
      </c>
      <c r="N347" s="73">
        <v>0</v>
      </c>
      <c r="O347" s="73">
        <v>0</v>
      </c>
      <c r="P347" s="81"/>
      <c r="Q347" s="81"/>
      <c r="R347" s="81"/>
      <c r="S347" s="81"/>
      <c r="T347" s="81"/>
      <c r="U347" s="81"/>
      <c r="V347" s="81"/>
    </row>
    <row r="348" spans="1:22" s="86" customFormat="1" ht="18.75" customHeight="1" x14ac:dyDescent="0.2">
      <c r="A348" s="140"/>
      <c r="B348" s="140"/>
      <c r="C348" s="80" t="s">
        <v>11</v>
      </c>
      <c r="D348" s="73">
        <f t="shared" ref="D348:D350" si="137">SUM(E348:O348)</f>
        <v>489371.6</v>
      </c>
      <c r="E348" s="73">
        <v>0</v>
      </c>
      <c r="F348" s="73">
        <v>0</v>
      </c>
      <c r="G348" s="73">
        <v>0</v>
      </c>
      <c r="H348" s="73">
        <v>0</v>
      </c>
      <c r="I348" s="73">
        <v>0</v>
      </c>
      <c r="J348" s="73">
        <v>0</v>
      </c>
      <c r="K348" s="73">
        <v>0</v>
      </c>
      <c r="L348" s="73">
        <f>147166.6-4086.9</f>
        <v>143079.70000000001</v>
      </c>
      <c r="M348" s="73">
        <f>108572.1-34465.5+33498.5</f>
        <v>107605.1</v>
      </c>
      <c r="N348" s="73">
        <f>114543.6-4523.5+6650.1</f>
        <v>116670.20000000001</v>
      </c>
      <c r="O348" s="73">
        <f>114543.6+7473</f>
        <v>122016.6</v>
      </c>
      <c r="P348" s="81"/>
      <c r="Q348" s="81"/>
      <c r="R348" s="81"/>
      <c r="S348" s="81"/>
      <c r="T348" s="81"/>
      <c r="U348" s="81"/>
      <c r="V348" s="81"/>
    </row>
    <row r="349" spans="1:22" s="86" customFormat="1" ht="18.75" customHeight="1" x14ac:dyDescent="0.2">
      <c r="A349" s="140"/>
      <c r="B349" s="140"/>
      <c r="C349" s="80" t="s">
        <v>12</v>
      </c>
      <c r="D349" s="73">
        <f t="shared" si="137"/>
        <v>31236.399999999998</v>
      </c>
      <c r="E349" s="73">
        <v>0</v>
      </c>
      <c r="F349" s="73">
        <v>0</v>
      </c>
      <c r="G349" s="73">
        <v>0</v>
      </c>
      <c r="H349" s="73">
        <v>0</v>
      </c>
      <c r="I349" s="73">
        <v>0</v>
      </c>
      <c r="J349" s="73">
        <v>0</v>
      </c>
      <c r="K349" s="73">
        <v>0</v>
      </c>
      <c r="L349" s="73">
        <f>9393.6-260.9</f>
        <v>9132.7000000000007</v>
      </c>
      <c r="M349" s="73">
        <f>6656.4-1926.2-108+2246.2</f>
        <v>6868.4</v>
      </c>
      <c r="N349" s="73">
        <f>7311.3-288.7+424.4</f>
        <v>7447</v>
      </c>
      <c r="O349" s="73">
        <f>7311.3+477</f>
        <v>7788.3</v>
      </c>
      <c r="P349" s="81"/>
      <c r="Q349" s="81"/>
      <c r="R349" s="81"/>
      <c r="S349" s="81"/>
      <c r="T349" s="81"/>
      <c r="U349" s="81"/>
      <c r="V349" s="81"/>
    </row>
    <row r="350" spans="1:22" s="86" customFormat="1" ht="33.75" customHeight="1" x14ac:dyDescent="0.2">
      <c r="A350" s="141"/>
      <c r="B350" s="141"/>
      <c r="C350" s="80" t="s">
        <v>13</v>
      </c>
      <c r="D350" s="73">
        <f t="shared" si="137"/>
        <v>0</v>
      </c>
      <c r="E350" s="73">
        <v>0</v>
      </c>
      <c r="F350" s="73">
        <v>0</v>
      </c>
      <c r="G350" s="73">
        <v>0</v>
      </c>
      <c r="H350" s="73">
        <v>0</v>
      </c>
      <c r="I350" s="73">
        <v>0</v>
      </c>
      <c r="J350" s="73">
        <v>0</v>
      </c>
      <c r="K350" s="73">
        <v>0</v>
      </c>
      <c r="L350" s="73">
        <v>0</v>
      </c>
      <c r="M350" s="73">
        <v>0</v>
      </c>
      <c r="N350" s="73">
        <v>0</v>
      </c>
      <c r="O350" s="73">
        <v>0</v>
      </c>
      <c r="P350" s="81"/>
      <c r="Q350" s="81"/>
      <c r="R350" s="81"/>
      <c r="S350" s="81"/>
      <c r="T350" s="81"/>
      <c r="U350" s="81"/>
      <c r="V350" s="81"/>
    </row>
    <row r="351" spans="1:22" s="86" customFormat="1" ht="18.75" customHeight="1" x14ac:dyDescent="0.2">
      <c r="A351" s="139" t="s">
        <v>409</v>
      </c>
      <c r="B351" s="139" t="s">
        <v>412</v>
      </c>
      <c r="C351" s="78" t="s">
        <v>7</v>
      </c>
      <c r="D351" s="73">
        <f>SUM(D352:D355)</f>
        <v>2577072.7000000002</v>
      </c>
      <c r="E351" s="73">
        <f t="shared" ref="E351:J351" si="138">SUM(E352:E355)</f>
        <v>0</v>
      </c>
      <c r="F351" s="73">
        <f t="shared" si="138"/>
        <v>0</v>
      </c>
      <c r="G351" s="73">
        <f t="shared" si="138"/>
        <v>0</v>
      </c>
      <c r="H351" s="73">
        <f t="shared" si="138"/>
        <v>0</v>
      </c>
      <c r="I351" s="73">
        <f t="shared" si="138"/>
        <v>0</v>
      </c>
      <c r="J351" s="73">
        <f t="shared" si="138"/>
        <v>0</v>
      </c>
      <c r="K351" s="73">
        <f>SUM(K352:K355)</f>
        <v>0</v>
      </c>
      <c r="L351" s="73">
        <f t="shared" ref="L351:O351" si="139">SUM(L352:L355)</f>
        <v>808080.8</v>
      </c>
      <c r="M351" s="73">
        <f t="shared" si="139"/>
        <v>1768991.9</v>
      </c>
      <c r="N351" s="73">
        <f t="shared" si="139"/>
        <v>0</v>
      </c>
      <c r="O351" s="73">
        <f t="shared" si="139"/>
        <v>0</v>
      </c>
      <c r="P351" s="81"/>
      <c r="Q351" s="81"/>
      <c r="R351" s="81"/>
      <c r="S351" s="81"/>
      <c r="T351" s="81"/>
      <c r="U351" s="81"/>
      <c r="V351" s="81"/>
    </row>
    <row r="352" spans="1:22" s="86" customFormat="1" ht="18.75" customHeight="1" x14ac:dyDescent="0.2">
      <c r="A352" s="140"/>
      <c r="B352" s="140"/>
      <c r="C352" s="80" t="s">
        <v>10</v>
      </c>
      <c r="D352" s="73">
        <f>SUM(E352:O352)</f>
        <v>0</v>
      </c>
      <c r="E352" s="73">
        <v>0</v>
      </c>
      <c r="F352" s="73">
        <v>0</v>
      </c>
      <c r="G352" s="73">
        <v>0</v>
      </c>
      <c r="H352" s="73">
        <v>0</v>
      </c>
      <c r="I352" s="73">
        <v>0</v>
      </c>
      <c r="J352" s="73">
        <v>0</v>
      </c>
      <c r="K352" s="73">
        <v>0</v>
      </c>
      <c r="L352" s="73">
        <v>0</v>
      </c>
      <c r="M352" s="73">
        <v>0</v>
      </c>
      <c r="N352" s="73">
        <v>0</v>
      </c>
      <c r="O352" s="73">
        <v>0</v>
      </c>
      <c r="P352" s="81"/>
      <c r="Q352" s="81"/>
      <c r="R352" s="81"/>
      <c r="S352" s="81"/>
      <c r="T352" s="81"/>
      <c r="U352" s="81"/>
      <c r="V352" s="81"/>
    </row>
    <row r="353" spans="1:22" s="86" customFormat="1" ht="18.75" customHeight="1" x14ac:dyDescent="0.2">
      <c r="A353" s="140"/>
      <c r="B353" s="140"/>
      <c r="C353" s="80" t="s">
        <v>11</v>
      </c>
      <c r="D353" s="73">
        <f t="shared" ref="D353:D355" si="140">SUM(E353:O353)</f>
        <v>2551302</v>
      </c>
      <c r="E353" s="73">
        <v>0</v>
      </c>
      <c r="F353" s="73">
        <v>0</v>
      </c>
      <c r="G353" s="73">
        <v>0</v>
      </c>
      <c r="H353" s="73">
        <v>0</v>
      </c>
      <c r="I353" s="73">
        <v>0</v>
      </c>
      <c r="J353" s="73">
        <v>0</v>
      </c>
      <c r="K353" s="73">
        <v>0</v>
      </c>
      <c r="L353" s="73">
        <v>800000</v>
      </c>
      <c r="M353" s="73">
        <v>1751302</v>
      </c>
      <c r="N353" s="73">
        <v>0</v>
      </c>
      <c r="O353" s="73">
        <v>0</v>
      </c>
      <c r="P353" s="81"/>
      <c r="Q353" s="81"/>
      <c r="R353" s="81"/>
      <c r="S353" s="81"/>
      <c r="T353" s="81"/>
      <c r="U353" s="81"/>
      <c r="V353" s="81"/>
    </row>
    <row r="354" spans="1:22" s="86" customFormat="1" ht="18.75" customHeight="1" x14ac:dyDescent="0.2">
      <c r="A354" s="140"/>
      <c r="B354" s="140"/>
      <c r="C354" s="80" t="s">
        <v>12</v>
      </c>
      <c r="D354" s="73">
        <f t="shared" si="140"/>
        <v>25770.7</v>
      </c>
      <c r="E354" s="73">
        <v>0</v>
      </c>
      <c r="F354" s="73">
        <v>0</v>
      </c>
      <c r="G354" s="73">
        <v>0</v>
      </c>
      <c r="H354" s="73">
        <v>0</v>
      </c>
      <c r="I354" s="73">
        <v>0</v>
      </c>
      <c r="J354" s="73">
        <v>0</v>
      </c>
      <c r="K354" s="73">
        <v>0</v>
      </c>
      <c r="L354" s="73">
        <v>8080.8</v>
      </c>
      <c r="M354" s="73">
        <v>17689.900000000001</v>
      </c>
      <c r="N354" s="73">
        <v>0</v>
      </c>
      <c r="O354" s="73">
        <v>0</v>
      </c>
      <c r="P354" s="81"/>
      <c r="Q354" s="81"/>
      <c r="R354" s="81"/>
      <c r="S354" s="81"/>
      <c r="T354" s="81"/>
      <c r="U354" s="81"/>
      <c r="V354" s="81"/>
    </row>
    <row r="355" spans="1:22" s="86" customFormat="1" ht="37.5" customHeight="1" x14ac:dyDescent="0.2">
      <c r="A355" s="141"/>
      <c r="B355" s="141"/>
      <c r="C355" s="80" t="s">
        <v>13</v>
      </c>
      <c r="D355" s="73">
        <f t="shared" si="140"/>
        <v>0</v>
      </c>
      <c r="E355" s="73">
        <v>0</v>
      </c>
      <c r="F355" s="73">
        <v>0</v>
      </c>
      <c r="G355" s="73">
        <v>0</v>
      </c>
      <c r="H355" s="73">
        <v>0</v>
      </c>
      <c r="I355" s="73">
        <v>0</v>
      </c>
      <c r="J355" s="73">
        <v>0</v>
      </c>
      <c r="K355" s="73">
        <v>0</v>
      </c>
      <c r="L355" s="73">
        <v>0</v>
      </c>
      <c r="M355" s="73">
        <v>0</v>
      </c>
      <c r="N355" s="73">
        <v>0</v>
      </c>
      <c r="O355" s="73">
        <v>0</v>
      </c>
      <c r="P355" s="81"/>
      <c r="Q355" s="81"/>
      <c r="R355" s="81"/>
      <c r="S355" s="81"/>
      <c r="T355" s="81"/>
      <c r="U355" s="81"/>
      <c r="V355" s="81"/>
    </row>
    <row r="356" spans="1:22" s="86" customFormat="1" ht="18.75" customHeight="1" x14ac:dyDescent="0.2">
      <c r="A356" s="136" t="s">
        <v>438</v>
      </c>
      <c r="B356" s="139" t="s">
        <v>439</v>
      </c>
      <c r="C356" s="78" t="s">
        <v>7</v>
      </c>
      <c r="D356" s="73">
        <f>SUM(D357:D360)</f>
        <v>2577072.7000000002</v>
      </c>
      <c r="E356" s="73">
        <f t="shared" ref="E356:J356" si="141">SUM(E357:E360)</f>
        <v>0</v>
      </c>
      <c r="F356" s="73">
        <f t="shared" si="141"/>
        <v>0</v>
      </c>
      <c r="G356" s="73">
        <f t="shared" si="141"/>
        <v>0</v>
      </c>
      <c r="H356" s="73">
        <f t="shared" si="141"/>
        <v>0</v>
      </c>
      <c r="I356" s="73">
        <f t="shared" si="141"/>
        <v>0</v>
      </c>
      <c r="J356" s="73">
        <f t="shared" si="141"/>
        <v>0</v>
      </c>
      <c r="K356" s="73">
        <f>SUM(K357:K360)</f>
        <v>0</v>
      </c>
      <c r="L356" s="73">
        <f t="shared" ref="L356:O356" si="142">SUM(L357:L360)</f>
        <v>808080.8</v>
      </c>
      <c r="M356" s="73">
        <f t="shared" si="142"/>
        <v>1768991.9</v>
      </c>
      <c r="N356" s="73">
        <f t="shared" si="142"/>
        <v>0</v>
      </c>
      <c r="O356" s="73">
        <f t="shared" si="142"/>
        <v>0</v>
      </c>
      <c r="P356" s="81"/>
      <c r="Q356" s="81"/>
      <c r="R356" s="81"/>
      <c r="S356" s="81"/>
      <c r="T356" s="81"/>
      <c r="U356" s="81"/>
      <c r="V356" s="81"/>
    </row>
    <row r="357" spans="1:22" s="86" customFormat="1" ht="18.75" customHeight="1" x14ac:dyDescent="0.2">
      <c r="A357" s="137"/>
      <c r="B357" s="140"/>
      <c r="C357" s="80" t="s">
        <v>10</v>
      </c>
      <c r="D357" s="73">
        <f>SUM(E357:O357)</f>
        <v>0</v>
      </c>
      <c r="E357" s="73">
        <v>0</v>
      </c>
      <c r="F357" s="73">
        <v>0</v>
      </c>
      <c r="G357" s="73">
        <v>0</v>
      </c>
      <c r="H357" s="73">
        <v>0</v>
      </c>
      <c r="I357" s="73">
        <v>0</v>
      </c>
      <c r="J357" s="73">
        <v>0</v>
      </c>
      <c r="K357" s="73">
        <v>0</v>
      </c>
      <c r="L357" s="73">
        <v>0</v>
      </c>
      <c r="M357" s="73">
        <v>0</v>
      </c>
      <c r="N357" s="73">
        <v>0</v>
      </c>
      <c r="O357" s="73">
        <v>0</v>
      </c>
      <c r="P357" s="81"/>
      <c r="Q357" s="81"/>
      <c r="R357" s="81"/>
      <c r="S357" s="81"/>
      <c r="T357" s="81"/>
      <c r="U357" s="81"/>
      <c r="V357" s="81"/>
    </row>
    <row r="358" spans="1:22" s="86" customFormat="1" ht="18.75" customHeight="1" x14ac:dyDescent="0.2">
      <c r="A358" s="137"/>
      <c r="B358" s="140"/>
      <c r="C358" s="80" t="s">
        <v>11</v>
      </c>
      <c r="D358" s="73">
        <f t="shared" ref="D358:D360" si="143">SUM(E358:O358)</f>
        <v>2551302</v>
      </c>
      <c r="E358" s="73">
        <v>0</v>
      </c>
      <c r="F358" s="73">
        <v>0</v>
      </c>
      <c r="G358" s="73">
        <v>0</v>
      </c>
      <c r="H358" s="73">
        <v>0</v>
      </c>
      <c r="I358" s="73">
        <v>0</v>
      </c>
      <c r="J358" s="73">
        <v>0</v>
      </c>
      <c r="K358" s="73">
        <v>0</v>
      </c>
      <c r="L358" s="73">
        <v>800000</v>
      </c>
      <c r="M358" s="73">
        <v>1751302</v>
      </c>
      <c r="N358" s="73">
        <v>0</v>
      </c>
      <c r="O358" s="73">
        <v>0</v>
      </c>
      <c r="P358" s="81"/>
      <c r="Q358" s="81"/>
      <c r="R358" s="81"/>
      <c r="S358" s="81"/>
      <c r="T358" s="81"/>
      <c r="U358" s="81"/>
      <c r="V358" s="81"/>
    </row>
    <row r="359" spans="1:22" s="86" customFormat="1" ht="18.75" customHeight="1" x14ac:dyDescent="0.2">
      <c r="A359" s="137"/>
      <c r="B359" s="140"/>
      <c r="C359" s="80" t="s">
        <v>12</v>
      </c>
      <c r="D359" s="73">
        <f t="shared" si="143"/>
        <v>25770.7</v>
      </c>
      <c r="E359" s="73">
        <v>0</v>
      </c>
      <c r="F359" s="73">
        <v>0</v>
      </c>
      <c r="G359" s="73">
        <v>0</v>
      </c>
      <c r="H359" s="73">
        <v>0</v>
      </c>
      <c r="I359" s="73">
        <v>0</v>
      </c>
      <c r="J359" s="73">
        <v>0</v>
      </c>
      <c r="K359" s="73">
        <v>0</v>
      </c>
      <c r="L359" s="73">
        <v>8080.8</v>
      </c>
      <c r="M359" s="73">
        <v>17689.900000000001</v>
      </c>
      <c r="N359" s="73">
        <v>0</v>
      </c>
      <c r="O359" s="73">
        <v>0</v>
      </c>
      <c r="P359" s="81"/>
      <c r="Q359" s="81"/>
      <c r="R359" s="81"/>
      <c r="S359" s="81"/>
      <c r="T359" s="81"/>
      <c r="U359" s="81"/>
      <c r="V359" s="81"/>
    </row>
    <row r="360" spans="1:22" s="86" customFormat="1" ht="33.75" customHeight="1" x14ac:dyDescent="0.2">
      <c r="A360" s="138"/>
      <c r="B360" s="141"/>
      <c r="C360" s="80" t="s">
        <v>13</v>
      </c>
      <c r="D360" s="73">
        <f t="shared" si="143"/>
        <v>0</v>
      </c>
      <c r="E360" s="73">
        <v>0</v>
      </c>
      <c r="F360" s="73">
        <v>0</v>
      </c>
      <c r="G360" s="73">
        <v>0</v>
      </c>
      <c r="H360" s="73">
        <v>0</v>
      </c>
      <c r="I360" s="73">
        <v>0</v>
      </c>
      <c r="J360" s="73">
        <v>0</v>
      </c>
      <c r="K360" s="73">
        <v>0</v>
      </c>
      <c r="L360" s="73">
        <v>0</v>
      </c>
      <c r="M360" s="73">
        <v>0</v>
      </c>
      <c r="N360" s="73">
        <v>0</v>
      </c>
      <c r="O360" s="73">
        <v>0</v>
      </c>
      <c r="P360" s="81"/>
      <c r="Q360" s="81"/>
      <c r="R360" s="81"/>
      <c r="S360" s="81"/>
      <c r="T360" s="81"/>
      <c r="U360" s="81"/>
      <c r="V360" s="81"/>
    </row>
    <row r="361" spans="1:22" s="86" customFormat="1" ht="18.75" customHeight="1" x14ac:dyDescent="0.2">
      <c r="A361" s="139" t="s">
        <v>411</v>
      </c>
      <c r="B361" s="139" t="s">
        <v>423</v>
      </c>
      <c r="C361" s="78" t="s">
        <v>7</v>
      </c>
      <c r="D361" s="73">
        <f>SUM(D362:D365)</f>
        <v>360.29999999999995</v>
      </c>
      <c r="E361" s="73">
        <f t="shared" ref="E361:J361" si="144">SUM(E362:E365)</f>
        <v>0</v>
      </c>
      <c r="F361" s="73">
        <f t="shared" si="144"/>
        <v>0</v>
      </c>
      <c r="G361" s="73">
        <f t="shared" si="144"/>
        <v>0</v>
      </c>
      <c r="H361" s="73">
        <f t="shared" si="144"/>
        <v>0</v>
      </c>
      <c r="I361" s="73">
        <f t="shared" si="144"/>
        <v>0</v>
      </c>
      <c r="J361" s="73">
        <f t="shared" si="144"/>
        <v>0</v>
      </c>
      <c r="K361" s="73">
        <f>SUM(K362:K365)</f>
        <v>0</v>
      </c>
      <c r="L361" s="73">
        <f t="shared" ref="L361:O361" si="145">SUM(L362:L365)</f>
        <v>258.29999999999995</v>
      </c>
      <c r="M361" s="73">
        <f t="shared" si="145"/>
        <v>102</v>
      </c>
      <c r="N361" s="73">
        <f t="shared" si="145"/>
        <v>0</v>
      </c>
      <c r="O361" s="73">
        <f t="shared" si="145"/>
        <v>0</v>
      </c>
      <c r="P361" s="81"/>
      <c r="Q361" s="81"/>
      <c r="R361" s="81"/>
      <c r="S361" s="81"/>
      <c r="T361" s="81"/>
      <c r="U361" s="81"/>
      <c r="V361" s="81"/>
    </row>
    <row r="362" spans="1:22" s="86" customFormat="1" ht="18.75" customHeight="1" x14ac:dyDescent="0.2">
      <c r="A362" s="140"/>
      <c r="B362" s="140"/>
      <c r="C362" s="80" t="s">
        <v>10</v>
      </c>
      <c r="D362" s="73">
        <f>SUM(E362:O362)</f>
        <v>0</v>
      </c>
      <c r="E362" s="73">
        <v>0</v>
      </c>
      <c r="F362" s="73">
        <v>0</v>
      </c>
      <c r="G362" s="73">
        <v>0</v>
      </c>
      <c r="H362" s="73">
        <v>0</v>
      </c>
      <c r="I362" s="73">
        <v>0</v>
      </c>
      <c r="J362" s="73">
        <v>0</v>
      </c>
      <c r="K362" s="73">
        <v>0</v>
      </c>
      <c r="L362" s="73">
        <v>0</v>
      </c>
      <c r="M362" s="73">
        <v>0</v>
      </c>
      <c r="N362" s="73">
        <v>0</v>
      </c>
      <c r="O362" s="73">
        <v>0</v>
      </c>
      <c r="P362" s="81"/>
      <c r="Q362" s="81"/>
      <c r="R362" s="81"/>
      <c r="S362" s="81"/>
      <c r="T362" s="81"/>
      <c r="U362" s="81"/>
      <c r="V362" s="81"/>
    </row>
    <row r="363" spans="1:22" s="86" customFormat="1" ht="18.75" customHeight="1" x14ac:dyDescent="0.2">
      <c r="A363" s="140"/>
      <c r="B363" s="140"/>
      <c r="C363" s="80" t="s">
        <v>11</v>
      </c>
      <c r="D363" s="73">
        <f t="shared" ref="D363:D365" si="146">SUM(E363:O363)</f>
        <v>0</v>
      </c>
      <c r="E363" s="73">
        <v>0</v>
      </c>
      <c r="F363" s="73">
        <v>0</v>
      </c>
      <c r="G363" s="73">
        <v>0</v>
      </c>
      <c r="H363" s="73">
        <v>0</v>
      </c>
      <c r="I363" s="73">
        <v>0</v>
      </c>
      <c r="J363" s="73">
        <v>0</v>
      </c>
      <c r="K363" s="73">
        <v>0</v>
      </c>
      <c r="L363" s="73">
        <v>0</v>
      </c>
      <c r="M363" s="73">
        <v>0</v>
      </c>
      <c r="N363" s="73">
        <v>0</v>
      </c>
      <c r="O363" s="73">
        <v>0</v>
      </c>
      <c r="P363" s="81"/>
      <c r="Q363" s="81"/>
      <c r="R363" s="81"/>
      <c r="S363" s="81"/>
      <c r="T363" s="81"/>
      <c r="U363" s="81"/>
      <c r="V363" s="81"/>
    </row>
    <row r="364" spans="1:22" s="86" customFormat="1" ht="18.75" customHeight="1" x14ac:dyDescent="0.2">
      <c r="A364" s="140"/>
      <c r="B364" s="140"/>
      <c r="C364" s="80" t="s">
        <v>12</v>
      </c>
      <c r="D364" s="73">
        <f t="shared" si="146"/>
        <v>360.29999999999995</v>
      </c>
      <c r="E364" s="73">
        <v>0</v>
      </c>
      <c r="F364" s="73">
        <v>0</v>
      </c>
      <c r="G364" s="73">
        <v>0</v>
      </c>
      <c r="H364" s="73">
        <v>0</v>
      </c>
      <c r="I364" s="73">
        <v>0</v>
      </c>
      <c r="J364" s="73">
        <v>0</v>
      </c>
      <c r="K364" s="73">
        <v>0</v>
      </c>
      <c r="L364" s="73">
        <f>2.5+198.3+1493.4-1493.4+57.4+0.1</f>
        <v>258.29999999999995</v>
      </c>
      <c r="M364" s="73">
        <f>52+50</f>
        <v>102</v>
      </c>
      <c r="N364" s="73">
        <v>0</v>
      </c>
      <c r="O364" s="73">
        <v>0</v>
      </c>
      <c r="P364" s="81"/>
      <c r="Q364" s="81"/>
      <c r="R364" s="81"/>
      <c r="S364" s="81"/>
      <c r="T364" s="81"/>
      <c r="U364" s="81"/>
      <c r="V364" s="81"/>
    </row>
    <row r="365" spans="1:22" s="86" customFormat="1" ht="39" customHeight="1" x14ac:dyDescent="0.2">
      <c r="A365" s="141"/>
      <c r="B365" s="141"/>
      <c r="C365" s="80" t="s">
        <v>13</v>
      </c>
      <c r="D365" s="73">
        <f t="shared" si="146"/>
        <v>0</v>
      </c>
      <c r="E365" s="73">
        <v>0</v>
      </c>
      <c r="F365" s="73">
        <v>0</v>
      </c>
      <c r="G365" s="73">
        <v>0</v>
      </c>
      <c r="H365" s="73">
        <v>0</v>
      </c>
      <c r="I365" s="73">
        <v>0</v>
      </c>
      <c r="J365" s="73">
        <v>0</v>
      </c>
      <c r="K365" s="73">
        <v>0</v>
      </c>
      <c r="L365" s="73">
        <v>0</v>
      </c>
      <c r="M365" s="73">
        <v>0</v>
      </c>
      <c r="N365" s="73">
        <v>0</v>
      </c>
      <c r="O365" s="73">
        <v>0</v>
      </c>
      <c r="P365" s="81"/>
      <c r="Q365" s="81"/>
      <c r="R365" s="81"/>
      <c r="S365" s="81"/>
      <c r="T365" s="81"/>
      <c r="U365" s="81"/>
      <c r="V365" s="81"/>
    </row>
    <row r="366" spans="1:22" s="86" customFormat="1" ht="18.75" customHeight="1" x14ac:dyDescent="0.2">
      <c r="A366" s="139" t="s">
        <v>428</v>
      </c>
      <c r="B366" s="139" t="s">
        <v>431</v>
      </c>
      <c r="C366" s="78" t="s">
        <v>7</v>
      </c>
      <c r="D366" s="73">
        <f>SUM(D367:D370)</f>
        <v>4394382.7</v>
      </c>
      <c r="E366" s="73">
        <f t="shared" ref="E366:J366" si="147">SUM(E367:E370)</f>
        <v>0</v>
      </c>
      <c r="F366" s="73">
        <f t="shared" si="147"/>
        <v>0</v>
      </c>
      <c r="G366" s="73">
        <f t="shared" si="147"/>
        <v>0</v>
      </c>
      <c r="H366" s="73">
        <f t="shared" si="147"/>
        <v>0</v>
      </c>
      <c r="I366" s="73">
        <f t="shared" si="147"/>
        <v>0</v>
      </c>
      <c r="J366" s="73">
        <f t="shared" si="147"/>
        <v>0</v>
      </c>
      <c r="K366" s="73">
        <f>SUM(K367:K370)</f>
        <v>0</v>
      </c>
      <c r="L366" s="73">
        <f t="shared" ref="L366:O366" si="148">SUM(L367:L370)</f>
        <v>1044585.9</v>
      </c>
      <c r="M366" s="73">
        <f t="shared" si="148"/>
        <v>804898.4</v>
      </c>
      <c r="N366" s="73">
        <f t="shared" si="148"/>
        <v>2544898.4</v>
      </c>
      <c r="O366" s="73">
        <f t="shared" si="148"/>
        <v>0</v>
      </c>
      <c r="P366" s="81"/>
      <c r="Q366" s="81"/>
      <c r="R366" s="81"/>
      <c r="S366" s="81"/>
      <c r="T366" s="81"/>
      <c r="U366" s="81"/>
      <c r="V366" s="81"/>
    </row>
    <row r="367" spans="1:22" s="86" customFormat="1" ht="18.75" customHeight="1" x14ac:dyDescent="0.2">
      <c r="A367" s="140"/>
      <c r="B367" s="140"/>
      <c r="C367" s="80" t="s">
        <v>10</v>
      </c>
      <c r="D367" s="73">
        <f>SUM(E367:O367)</f>
        <v>0</v>
      </c>
      <c r="E367" s="73">
        <v>0</v>
      </c>
      <c r="F367" s="73">
        <v>0</v>
      </c>
      <c r="G367" s="73">
        <v>0</v>
      </c>
      <c r="H367" s="73">
        <v>0</v>
      </c>
      <c r="I367" s="73">
        <v>0</v>
      </c>
      <c r="J367" s="73">
        <v>0</v>
      </c>
      <c r="K367" s="73">
        <v>0</v>
      </c>
      <c r="L367" s="73">
        <f>L372+L377</f>
        <v>0</v>
      </c>
      <c r="M367" s="73">
        <f t="shared" ref="M367:O367" si="149">M372+M377</f>
        <v>0</v>
      </c>
      <c r="N367" s="73">
        <f t="shared" si="149"/>
        <v>0</v>
      </c>
      <c r="O367" s="73">
        <f t="shared" si="149"/>
        <v>0</v>
      </c>
      <c r="P367" s="81"/>
      <c r="Q367" s="81"/>
      <c r="R367" s="81"/>
      <c r="S367" s="81"/>
      <c r="T367" s="81"/>
      <c r="U367" s="81"/>
      <c r="V367" s="81"/>
    </row>
    <row r="368" spans="1:22" s="86" customFormat="1" ht="18.75" customHeight="1" x14ac:dyDescent="0.2">
      <c r="A368" s="140"/>
      <c r="B368" s="140"/>
      <c r="C368" s="80" t="s">
        <v>11</v>
      </c>
      <c r="D368" s="73">
        <f t="shared" ref="D368:D370" si="150">SUM(E368:O368)</f>
        <v>4350438.8</v>
      </c>
      <c r="E368" s="73">
        <v>0</v>
      </c>
      <c r="F368" s="73">
        <v>0</v>
      </c>
      <c r="G368" s="73">
        <v>0</v>
      </c>
      <c r="H368" s="73">
        <v>0</v>
      </c>
      <c r="I368" s="73">
        <v>0</v>
      </c>
      <c r="J368" s="73">
        <v>0</v>
      </c>
      <c r="K368" s="73">
        <v>0</v>
      </c>
      <c r="L368" s="73">
        <f>L373+L378</f>
        <v>1034140</v>
      </c>
      <c r="M368" s="73">
        <f t="shared" ref="M368:O368" si="151">M373+M378</f>
        <v>796849.4</v>
      </c>
      <c r="N368" s="73">
        <f t="shared" si="151"/>
        <v>2519449.4</v>
      </c>
      <c r="O368" s="73">
        <f t="shared" si="151"/>
        <v>0</v>
      </c>
      <c r="P368" s="81"/>
      <c r="Q368" s="81"/>
      <c r="R368" s="81"/>
      <c r="S368" s="81"/>
      <c r="T368" s="81"/>
      <c r="U368" s="81"/>
      <c r="V368" s="81"/>
    </row>
    <row r="369" spans="1:22" s="86" customFormat="1" ht="18.75" customHeight="1" x14ac:dyDescent="0.2">
      <c r="A369" s="140"/>
      <c r="B369" s="140"/>
      <c r="C369" s="80" t="s">
        <v>12</v>
      </c>
      <c r="D369" s="73">
        <f t="shared" si="150"/>
        <v>43943.9</v>
      </c>
      <c r="E369" s="73">
        <v>0</v>
      </c>
      <c r="F369" s="73">
        <v>0</v>
      </c>
      <c r="G369" s="73">
        <v>0</v>
      </c>
      <c r="H369" s="73">
        <v>0</v>
      </c>
      <c r="I369" s="73">
        <v>0</v>
      </c>
      <c r="J369" s="73">
        <v>0</v>
      </c>
      <c r="K369" s="73">
        <v>0</v>
      </c>
      <c r="L369" s="73">
        <f>L379+L374</f>
        <v>10445.9</v>
      </c>
      <c r="M369" s="73">
        <f t="shared" ref="M369:V369" si="152">M379+M374</f>
        <v>8049</v>
      </c>
      <c r="N369" s="73">
        <f t="shared" si="152"/>
        <v>25449</v>
      </c>
      <c r="O369" s="73">
        <f t="shared" si="152"/>
        <v>0</v>
      </c>
      <c r="P369" s="73">
        <f t="shared" si="152"/>
        <v>0</v>
      </c>
      <c r="Q369" s="73">
        <f t="shared" si="152"/>
        <v>0</v>
      </c>
      <c r="R369" s="73">
        <f t="shared" si="152"/>
        <v>0</v>
      </c>
      <c r="S369" s="73">
        <f t="shared" si="152"/>
        <v>0</v>
      </c>
      <c r="T369" s="73">
        <f t="shared" si="152"/>
        <v>0</v>
      </c>
      <c r="U369" s="73">
        <f t="shared" si="152"/>
        <v>0</v>
      </c>
      <c r="V369" s="73">
        <f t="shared" si="152"/>
        <v>0</v>
      </c>
    </row>
    <row r="370" spans="1:22" s="86" customFormat="1" ht="38.25" customHeight="1" x14ac:dyDescent="0.2">
      <c r="A370" s="141"/>
      <c r="B370" s="141"/>
      <c r="C370" s="80" t="s">
        <v>13</v>
      </c>
      <c r="D370" s="73">
        <f t="shared" si="150"/>
        <v>0</v>
      </c>
      <c r="E370" s="73">
        <v>0</v>
      </c>
      <c r="F370" s="73">
        <v>0</v>
      </c>
      <c r="G370" s="73">
        <v>0</v>
      </c>
      <c r="H370" s="73">
        <v>0</v>
      </c>
      <c r="I370" s="73">
        <v>0</v>
      </c>
      <c r="J370" s="73">
        <v>0</v>
      </c>
      <c r="K370" s="73">
        <v>0</v>
      </c>
      <c r="L370" s="73">
        <f>L375+L380</f>
        <v>0</v>
      </c>
      <c r="M370" s="73">
        <f t="shared" ref="M370:O370" si="153">M375+M380</f>
        <v>0</v>
      </c>
      <c r="N370" s="73">
        <f t="shared" si="153"/>
        <v>0</v>
      </c>
      <c r="O370" s="73">
        <f t="shared" si="153"/>
        <v>0</v>
      </c>
      <c r="P370" s="81"/>
      <c r="Q370" s="81"/>
      <c r="R370" s="81"/>
      <c r="S370" s="81"/>
      <c r="T370" s="81"/>
      <c r="U370" s="81"/>
      <c r="V370" s="81"/>
    </row>
    <row r="371" spans="1:22" s="86" customFormat="1" ht="18.75" customHeight="1" x14ac:dyDescent="0.2">
      <c r="A371" s="139" t="s">
        <v>429</v>
      </c>
      <c r="B371" s="139" t="s">
        <v>414</v>
      </c>
      <c r="C371" s="78" t="s">
        <v>7</v>
      </c>
      <c r="D371" s="73">
        <f>SUM(D372:D375)</f>
        <v>3140000</v>
      </c>
      <c r="E371" s="73">
        <f t="shared" ref="E371:J371" si="154">SUM(E372:E375)</f>
        <v>0</v>
      </c>
      <c r="F371" s="73">
        <f t="shared" si="154"/>
        <v>0</v>
      </c>
      <c r="G371" s="73">
        <f t="shared" si="154"/>
        <v>0</v>
      </c>
      <c r="H371" s="73">
        <f t="shared" si="154"/>
        <v>0</v>
      </c>
      <c r="I371" s="73">
        <f t="shared" si="154"/>
        <v>0</v>
      </c>
      <c r="J371" s="73">
        <f t="shared" si="154"/>
        <v>0</v>
      </c>
      <c r="K371" s="73">
        <f>SUM(K372:K375)</f>
        <v>0</v>
      </c>
      <c r="L371" s="73">
        <f t="shared" ref="L371:O371" si="155">SUM(L372:L375)</f>
        <v>1000000</v>
      </c>
      <c r="M371" s="73">
        <f t="shared" si="155"/>
        <v>200000</v>
      </c>
      <c r="N371" s="73">
        <f t="shared" si="155"/>
        <v>1940000</v>
      </c>
      <c r="O371" s="73">
        <f t="shared" si="155"/>
        <v>0</v>
      </c>
      <c r="P371" s="81"/>
      <c r="Q371" s="81"/>
      <c r="R371" s="81"/>
      <c r="S371" s="81"/>
      <c r="T371" s="81"/>
      <c r="U371" s="81"/>
      <c r="V371" s="81"/>
    </row>
    <row r="372" spans="1:22" s="86" customFormat="1" ht="18.75" customHeight="1" x14ac:dyDescent="0.2">
      <c r="A372" s="140"/>
      <c r="B372" s="140"/>
      <c r="C372" s="80" t="s">
        <v>10</v>
      </c>
      <c r="D372" s="73">
        <f>SUM(E372:O372)</f>
        <v>0</v>
      </c>
      <c r="E372" s="73">
        <v>0</v>
      </c>
      <c r="F372" s="73">
        <v>0</v>
      </c>
      <c r="G372" s="73">
        <v>0</v>
      </c>
      <c r="H372" s="73">
        <v>0</v>
      </c>
      <c r="I372" s="73">
        <v>0</v>
      </c>
      <c r="J372" s="73">
        <v>0</v>
      </c>
      <c r="K372" s="73">
        <v>0</v>
      </c>
      <c r="L372" s="73">
        <v>0</v>
      </c>
      <c r="M372" s="73">
        <v>0</v>
      </c>
      <c r="N372" s="73">
        <v>0</v>
      </c>
      <c r="O372" s="73">
        <v>0</v>
      </c>
      <c r="P372" s="81"/>
      <c r="Q372" s="81"/>
      <c r="R372" s="81"/>
      <c r="S372" s="81"/>
      <c r="T372" s="81"/>
      <c r="U372" s="81"/>
      <c r="V372" s="81"/>
    </row>
    <row r="373" spans="1:22" s="86" customFormat="1" ht="18.75" customHeight="1" x14ac:dyDescent="0.2">
      <c r="A373" s="140"/>
      <c r="B373" s="140"/>
      <c r="C373" s="80" t="s">
        <v>11</v>
      </c>
      <c r="D373" s="73">
        <f t="shared" ref="D373:D375" si="156">SUM(E373:O373)</f>
        <v>3108600</v>
      </c>
      <c r="E373" s="73">
        <v>0</v>
      </c>
      <c r="F373" s="73">
        <v>0</v>
      </c>
      <c r="G373" s="73">
        <v>0</v>
      </c>
      <c r="H373" s="73">
        <v>0</v>
      </c>
      <c r="I373" s="73">
        <v>0</v>
      </c>
      <c r="J373" s="73">
        <v>0</v>
      </c>
      <c r="K373" s="73">
        <v>0</v>
      </c>
      <c r="L373" s="73">
        <v>990000</v>
      </c>
      <c r="M373" s="73">
        <v>198000</v>
      </c>
      <c r="N373" s="73">
        <v>1920600</v>
      </c>
      <c r="O373" s="73">
        <v>0</v>
      </c>
      <c r="P373" s="81"/>
      <c r="Q373" s="81"/>
      <c r="R373" s="81"/>
      <c r="S373" s="81"/>
      <c r="T373" s="81"/>
      <c r="U373" s="81"/>
      <c r="V373" s="81"/>
    </row>
    <row r="374" spans="1:22" s="86" customFormat="1" ht="18.75" customHeight="1" x14ac:dyDescent="0.2">
      <c r="A374" s="140"/>
      <c r="B374" s="140"/>
      <c r="C374" s="80" t="s">
        <v>12</v>
      </c>
      <c r="D374" s="73">
        <f t="shared" si="156"/>
        <v>31400</v>
      </c>
      <c r="E374" s="73">
        <v>0</v>
      </c>
      <c r="F374" s="73">
        <v>0</v>
      </c>
      <c r="G374" s="73">
        <v>0</v>
      </c>
      <c r="H374" s="73">
        <v>0</v>
      </c>
      <c r="I374" s="73">
        <v>0</v>
      </c>
      <c r="J374" s="73">
        <v>0</v>
      </c>
      <c r="K374" s="73">
        <v>0</v>
      </c>
      <c r="L374" s="73">
        <v>10000</v>
      </c>
      <c r="M374" s="73">
        <v>2000</v>
      </c>
      <c r="N374" s="73">
        <v>19400</v>
      </c>
      <c r="O374" s="73">
        <v>0</v>
      </c>
      <c r="P374" s="81"/>
      <c r="Q374" s="81"/>
      <c r="R374" s="81"/>
      <c r="S374" s="81"/>
      <c r="T374" s="81"/>
      <c r="U374" s="81"/>
      <c r="V374" s="81"/>
    </row>
    <row r="375" spans="1:22" s="86" customFormat="1" ht="35.25" customHeight="1" x14ac:dyDescent="0.2">
      <c r="A375" s="141"/>
      <c r="B375" s="141"/>
      <c r="C375" s="80" t="s">
        <v>13</v>
      </c>
      <c r="D375" s="73">
        <f t="shared" si="156"/>
        <v>0</v>
      </c>
      <c r="E375" s="73">
        <v>0</v>
      </c>
      <c r="F375" s="73">
        <v>0</v>
      </c>
      <c r="G375" s="73">
        <v>0</v>
      </c>
      <c r="H375" s="73">
        <v>0</v>
      </c>
      <c r="I375" s="73">
        <v>0</v>
      </c>
      <c r="J375" s="73">
        <v>0</v>
      </c>
      <c r="K375" s="73">
        <v>0</v>
      </c>
      <c r="L375" s="73">
        <v>0</v>
      </c>
      <c r="M375" s="73">
        <v>0</v>
      </c>
      <c r="N375" s="73">
        <v>0</v>
      </c>
      <c r="O375" s="73">
        <v>0</v>
      </c>
      <c r="P375" s="81"/>
      <c r="Q375" s="81"/>
      <c r="R375" s="81"/>
      <c r="S375" s="81"/>
      <c r="T375" s="81"/>
      <c r="U375" s="81"/>
      <c r="V375" s="81"/>
    </row>
    <row r="376" spans="1:22" s="86" customFormat="1" ht="18.75" customHeight="1" x14ac:dyDescent="0.2">
      <c r="A376" s="139" t="s">
        <v>430</v>
      </c>
      <c r="B376" s="139" t="s">
        <v>420</v>
      </c>
      <c r="C376" s="78" t="s">
        <v>7</v>
      </c>
      <c r="D376" s="73">
        <f>SUM(D377:D380)</f>
        <v>1254382.7</v>
      </c>
      <c r="E376" s="73">
        <f t="shared" ref="E376:J376" si="157">SUM(E377:E380)</f>
        <v>0</v>
      </c>
      <c r="F376" s="73">
        <f t="shared" si="157"/>
        <v>0</v>
      </c>
      <c r="G376" s="73">
        <f t="shared" si="157"/>
        <v>0</v>
      </c>
      <c r="H376" s="73">
        <f t="shared" si="157"/>
        <v>0</v>
      </c>
      <c r="I376" s="73">
        <f t="shared" si="157"/>
        <v>0</v>
      </c>
      <c r="J376" s="73">
        <f t="shared" si="157"/>
        <v>0</v>
      </c>
      <c r="K376" s="73">
        <f>SUM(K377:K380)</f>
        <v>0</v>
      </c>
      <c r="L376" s="73">
        <f t="shared" ref="L376:O376" si="158">SUM(L377:L380)</f>
        <v>44585.9</v>
      </c>
      <c r="M376" s="73">
        <f t="shared" si="158"/>
        <v>604898.4</v>
      </c>
      <c r="N376" s="73">
        <f t="shared" si="158"/>
        <v>604898.4</v>
      </c>
      <c r="O376" s="73">
        <f t="shared" si="158"/>
        <v>0</v>
      </c>
      <c r="P376" s="81"/>
      <c r="Q376" s="81"/>
      <c r="R376" s="81"/>
      <c r="S376" s="81"/>
      <c r="T376" s="81"/>
      <c r="U376" s="81"/>
      <c r="V376" s="81"/>
    </row>
    <row r="377" spans="1:22" s="86" customFormat="1" ht="18.75" customHeight="1" x14ac:dyDescent="0.2">
      <c r="A377" s="140"/>
      <c r="B377" s="140"/>
      <c r="C377" s="80" t="s">
        <v>10</v>
      </c>
      <c r="D377" s="73">
        <f>SUM(E377:O377)</f>
        <v>0</v>
      </c>
      <c r="E377" s="73">
        <v>0</v>
      </c>
      <c r="F377" s="73">
        <v>0</v>
      </c>
      <c r="G377" s="73">
        <v>0</v>
      </c>
      <c r="H377" s="73">
        <v>0</v>
      </c>
      <c r="I377" s="73">
        <v>0</v>
      </c>
      <c r="J377" s="73">
        <v>0</v>
      </c>
      <c r="K377" s="73">
        <v>0</v>
      </c>
      <c r="L377" s="73">
        <v>0</v>
      </c>
      <c r="M377" s="73">
        <v>0</v>
      </c>
      <c r="N377" s="73">
        <v>0</v>
      </c>
      <c r="O377" s="73">
        <v>0</v>
      </c>
      <c r="P377" s="81"/>
      <c r="Q377" s="81"/>
      <c r="R377" s="81"/>
      <c r="S377" s="81"/>
      <c r="T377" s="81"/>
      <c r="U377" s="81"/>
      <c r="V377" s="81"/>
    </row>
    <row r="378" spans="1:22" s="86" customFormat="1" ht="18.75" customHeight="1" x14ac:dyDescent="0.2">
      <c r="A378" s="140"/>
      <c r="B378" s="140"/>
      <c r="C378" s="80" t="s">
        <v>11</v>
      </c>
      <c r="D378" s="73">
        <f t="shared" ref="D378:D380" si="159">SUM(E378:O378)</f>
        <v>1241838.8</v>
      </c>
      <c r="E378" s="73">
        <v>0</v>
      </c>
      <c r="F378" s="73">
        <v>0</v>
      </c>
      <c r="G378" s="73">
        <v>0</v>
      </c>
      <c r="H378" s="73">
        <v>0</v>
      </c>
      <c r="I378" s="73">
        <v>0</v>
      </c>
      <c r="J378" s="73">
        <v>0</v>
      </c>
      <c r="K378" s="73">
        <v>0</v>
      </c>
      <c r="L378" s="73">
        <v>44140</v>
      </c>
      <c r="M378" s="73">
        <v>598849.4</v>
      </c>
      <c r="N378" s="73">
        <v>598849.4</v>
      </c>
      <c r="O378" s="73">
        <v>0</v>
      </c>
      <c r="P378" s="81"/>
      <c r="Q378" s="81"/>
      <c r="R378" s="81"/>
      <c r="S378" s="81"/>
      <c r="T378" s="81"/>
      <c r="U378" s="81"/>
      <c r="V378" s="81"/>
    </row>
    <row r="379" spans="1:22" s="86" customFormat="1" ht="18.75" customHeight="1" x14ac:dyDescent="0.2">
      <c r="A379" s="140"/>
      <c r="B379" s="140"/>
      <c r="C379" s="80" t="s">
        <v>12</v>
      </c>
      <c r="D379" s="73">
        <f t="shared" si="159"/>
        <v>12543.9</v>
      </c>
      <c r="E379" s="73">
        <v>0</v>
      </c>
      <c r="F379" s="73">
        <v>0</v>
      </c>
      <c r="G379" s="73">
        <v>0</v>
      </c>
      <c r="H379" s="73">
        <v>0</v>
      </c>
      <c r="I379" s="73">
        <v>0</v>
      </c>
      <c r="J379" s="73">
        <v>0</v>
      </c>
      <c r="K379" s="73">
        <v>0</v>
      </c>
      <c r="L379" s="73">
        <f>446-0.1</f>
        <v>445.9</v>
      </c>
      <c r="M379" s="73">
        <v>6049</v>
      </c>
      <c r="N379" s="73">
        <v>6049</v>
      </c>
      <c r="O379" s="73">
        <v>0</v>
      </c>
      <c r="P379" s="81"/>
      <c r="Q379" s="81"/>
      <c r="R379" s="81"/>
      <c r="S379" s="81"/>
      <c r="T379" s="81"/>
      <c r="U379" s="81"/>
      <c r="V379" s="81"/>
    </row>
    <row r="380" spans="1:22" s="86" customFormat="1" ht="18.75" customHeight="1" x14ac:dyDescent="0.2">
      <c r="A380" s="141"/>
      <c r="B380" s="141"/>
      <c r="C380" s="80" t="s">
        <v>13</v>
      </c>
      <c r="D380" s="73">
        <f t="shared" si="159"/>
        <v>0</v>
      </c>
      <c r="E380" s="73">
        <v>0</v>
      </c>
      <c r="F380" s="73">
        <v>0</v>
      </c>
      <c r="G380" s="73">
        <v>0</v>
      </c>
      <c r="H380" s="73">
        <v>0</v>
      </c>
      <c r="I380" s="73">
        <v>0</v>
      </c>
      <c r="J380" s="73">
        <v>0</v>
      </c>
      <c r="K380" s="73">
        <v>0</v>
      </c>
      <c r="L380" s="73">
        <v>0</v>
      </c>
      <c r="M380" s="73">
        <v>0</v>
      </c>
      <c r="N380" s="73">
        <v>0</v>
      </c>
      <c r="O380" s="73">
        <v>0</v>
      </c>
      <c r="P380" s="81"/>
      <c r="Q380" s="81"/>
      <c r="R380" s="81"/>
      <c r="S380" s="81"/>
      <c r="T380" s="81"/>
      <c r="U380" s="81"/>
      <c r="V380" s="81"/>
    </row>
    <row r="381" spans="1:22" s="86" customFormat="1" ht="18.75" customHeight="1" x14ac:dyDescent="0.2">
      <c r="A381" s="139" t="s">
        <v>436</v>
      </c>
      <c r="B381" s="139" t="s">
        <v>437</v>
      </c>
      <c r="C381" s="78" t="s">
        <v>7</v>
      </c>
      <c r="D381" s="73">
        <f>SUM(D382:D385)</f>
        <v>18726.099999999999</v>
      </c>
      <c r="E381" s="73">
        <f t="shared" ref="E381:J381" si="160">SUM(E382:E385)</f>
        <v>0</v>
      </c>
      <c r="F381" s="73">
        <f t="shared" si="160"/>
        <v>0</v>
      </c>
      <c r="G381" s="73">
        <f t="shared" si="160"/>
        <v>0</v>
      </c>
      <c r="H381" s="73">
        <f t="shared" si="160"/>
        <v>0</v>
      </c>
      <c r="I381" s="73">
        <f t="shared" si="160"/>
        <v>0</v>
      </c>
      <c r="J381" s="73">
        <f t="shared" si="160"/>
        <v>0</v>
      </c>
      <c r="K381" s="73">
        <f>SUM(K382:K385)</f>
        <v>0</v>
      </c>
      <c r="L381" s="73">
        <f t="shared" ref="L381" si="161">SUM(L382:L385)</f>
        <v>4347.8</v>
      </c>
      <c r="M381" s="73">
        <f>SUM(M382:M385)</f>
        <v>4561.3999999999996</v>
      </c>
      <c r="N381" s="73">
        <f t="shared" ref="N381" si="162">SUM(N382:N385)</f>
        <v>4812.2</v>
      </c>
      <c r="O381" s="73">
        <f t="shared" ref="O381" si="163">SUM(O382:O385)</f>
        <v>5004.7</v>
      </c>
      <c r="P381" s="81"/>
      <c r="Q381" s="81"/>
      <c r="R381" s="81"/>
      <c r="S381" s="81"/>
      <c r="T381" s="81"/>
      <c r="U381" s="81"/>
      <c r="V381" s="81"/>
    </row>
    <row r="382" spans="1:22" s="86" customFormat="1" ht="18.75" customHeight="1" x14ac:dyDescent="0.2">
      <c r="A382" s="140"/>
      <c r="B382" s="140"/>
      <c r="C382" s="80" t="s">
        <v>10</v>
      </c>
      <c r="D382" s="73">
        <f>SUM(E382:O382)</f>
        <v>0</v>
      </c>
      <c r="E382" s="73">
        <v>0</v>
      </c>
      <c r="F382" s="73">
        <v>0</v>
      </c>
      <c r="G382" s="73">
        <v>0</v>
      </c>
      <c r="H382" s="73">
        <v>0</v>
      </c>
      <c r="I382" s="73">
        <v>0</v>
      </c>
      <c r="J382" s="73">
        <v>0</v>
      </c>
      <c r="K382" s="73">
        <v>0</v>
      </c>
      <c r="L382" s="73">
        <v>0</v>
      </c>
      <c r="M382" s="73">
        <v>0</v>
      </c>
      <c r="N382" s="73">
        <v>0</v>
      </c>
      <c r="O382" s="73">
        <v>0</v>
      </c>
      <c r="P382" s="81"/>
      <c r="Q382" s="81"/>
      <c r="R382" s="81"/>
      <c r="S382" s="81"/>
      <c r="T382" s="81"/>
      <c r="U382" s="81"/>
      <c r="V382" s="81"/>
    </row>
    <row r="383" spans="1:22" s="86" customFormat="1" ht="18.75" customHeight="1" x14ac:dyDescent="0.2">
      <c r="A383" s="140"/>
      <c r="B383" s="140"/>
      <c r="C383" s="80" t="s">
        <v>11</v>
      </c>
      <c r="D383" s="73">
        <f t="shared" ref="D383:D385" si="164">SUM(E383:O383)</f>
        <v>17602.5</v>
      </c>
      <c r="E383" s="73">
        <v>0</v>
      </c>
      <c r="F383" s="73">
        <v>0</v>
      </c>
      <c r="G383" s="73">
        <v>0</v>
      </c>
      <c r="H383" s="73">
        <v>0</v>
      </c>
      <c r="I383" s="73">
        <v>0</v>
      </c>
      <c r="J383" s="73">
        <v>0</v>
      </c>
      <c r="K383" s="73">
        <v>0</v>
      </c>
      <c r="L383" s="73">
        <v>4086.9</v>
      </c>
      <c r="M383" s="73">
        <v>4287.7</v>
      </c>
      <c r="N383" s="73">
        <v>4523.5</v>
      </c>
      <c r="O383" s="73">
        <v>4704.3999999999996</v>
      </c>
      <c r="P383" s="81"/>
      <c r="Q383" s="81"/>
      <c r="R383" s="81"/>
      <c r="S383" s="81"/>
      <c r="T383" s="81"/>
      <c r="U383" s="81"/>
      <c r="V383" s="81"/>
    </row>
    <row r="384" spans="1:22" s="86" customFormat="1" ht="18.75" customHeight="1" x14ac:dyDescent="0.2">
      <c r="A384" s="140"/>
      <c r="B384" s="140"/>
      <c r="C384" s="80" t="s">
        <v>12</v>
      </c>
      <c r="D384" s="73">
        <f t="shared" si="164"/>
        <v>1123.5999999999999</v>
      </c>
      <c r="E384" s="73">
        <v>0</v>
      </c>
      <c r="F384" s="73">
        <v>0</v>
      </c>
      <c r="G384" s="73">
        <v>0</v>
      </c>
      <c r="H384" s="73">
        <v>0</v>
      </c>
      <c r="I384" s="73">
        <v>0</v>
      </c>
      <c r="J384" s="73">
        <v>0</v>
      </c>
      <c r="K384" s="73">
        <v>0</v>
      </c>
      <c r="L384" s="73">
        <v>260.89999999999998</v>
      </c>
      <c r="M384" s="73">
        <f>273.7</f>
        <v>273.7</v>
      </c>
      <c r="N384" s="73">
        <v>288.7</v>
      </c>
      <c r="O384" s="73">
        <v>300.3</v>
      </c>
      <c r="P384" s="81"/>
      <c r="Q384" s="81"/>
      <c r="R384" s="81"/>
      <c r="S384" s="81"/>
      <c r="T384" s="81"/>
      <c r="U384" s="81"/>
      <c r="V384" s="81"/>
    </row>
    <row r="385" spans="1:22" s="86" customFormat="1" ht="39" customHeight="1" x14ac:dyDescent="0.2">
      <c r="A385" s="141"/>
      <c r="B385" s="141"/>
      <c r="C385" s="80" t="s">
        <v>13</v>
      </c>
      <c r="D385" s="73">
        <f t="shared" si="164"/>
        <v>0</v>
      </c>
      <c r="E385" s="73">
        <v>0</v>
      </c>
      <c r="F385" s="73">
        <v>0</v>
      </c>
      <c r="G385" s="73">
        <v>0</v>
      </c>
      <c r="H385" s="73">
        <v>0</v>
      </c>
      <c r="I385" s="73">
        <v>0</v>
      </c>
      <c r="J385" s="73">
        <v>0</v>
      </c>
      <c r="K385" s="73">
        <v>0</v>
      </c>
      <c r="L385" s="73">
        <v>0</v>
      </c>
      <c r="M385" s="73">
        <v>0</v>
      </c>
      <c r="N385" s="73">
        <v>0</v>
      </c>
      <c r="O385" s="73">
        <v>0</v>
      </c>
      <c r="P385" s="81"/>
      <c r="Q385" s="81"/>
      <c r="R385" s="81"/>
      <c r="S385" s="81"/>
      <c r="T385" s="81"/>
      <c r="U385" s="81"/>
      <c r="V385" s="81"/>
    </row>
    <row r="386" spans="1:22" s="86" customFormat="1" ht="18.75" customHeight="1" x14ac:dyDescent="0.2">
      <c r="A386" s="139" t="s">
        <v>440</v>
      </c>
      <c r="B386" s="139" t="s">
        <v>441</v>
      </c>
      <c r="C386" s="78" t="s">
        <v>7</v>
      </c>
      <c r="D386" s="73">
        <f>SUM(D387:D390)</f>
        <v>122976.80000000002</v>
      </c>
      <c r="E386" s="73">
        <f t="shared" ref="E386:J386" si="165">SUM(E387:E390)</f>
        <v>0</v>
      </c>
      <c r="F386" s="73">
        <f t="shared" si="165"/>
        <v>0</v>
      </c>
      <c r="G386" s="73">
        <f t="shared" si="165"/>
        <v>0</v>
      </c>
      <c r="H386" s="73">
        <f t="shared" si="165"/>
        <v>0</v>
      </c>
      <c r="I386" s="73">
        <f t="shared" si="165"/>
        <v>0</v>
      </c>
      <c r="J386" s="73">
        <f t="shared" si="165"/>
        <v>0</v>
      </c>
      <c r="K386" s="73">
        <f>SUM(K387:K390)</f>
        <v>0</v>
      </c>
      <c r="L386" s="73">
        <f t="shared" ref="L386" si="166">SUM(L387:L390)</f>
        <v>3885.8</v>
      </c>
      <c r="M386" s="73">
        <f>SUM(M387:M390)</f>
        <v>28272.399999999998</v>
      </c>
      <c r="N386" s="73">
        <f t="shared" ref="N386:O386" si="167">SUM(N387:N390)</f>
        <v>47418.400000000001</v>
      </c>
      <c r="O386" s="73">
        <f t="shared" si="167"/>
        <v>43400.200000000004</v>
      </c>
      <c r="P386" s="81"/>
      <c r="Q386" s="81"/>
      <c r="R386" s="81"/>
      <c r="S386" s="81"/>
      <c r="T386" s="81"/>
      <c r="U386" s="81"/>
      <c r="V386" s="81"/>
    </row>
    <row r="387" spans="1:22" s="86" customFormat="1" ht="18.75" customHeight="1" x14ac:dyDescent="0.2">
      <c r="A387" s="140"/>
      <c r="B387" s="140"/>
      <c r="C387" s="80" t="s">
        <v>10</v>
      </c>
      <c r="D387" s="73">
        <f>SUM(E387:O387)</f>
        <v>0</v>
      </c>
      <c r="E387" s="73">
        <v>0</v>
      </c>
      <c r="F387" s="73">
        <v>0</v>
      </c>
      <c r="G387" s="73">
        <v>0</v>
      </c>
      <c r="H387" s="73">
        <v>0</v>
      </c>
      <c r="I387" s="73">
        <v>0</v>
      </c>
      <c r="J387" s="73">
        <v>0</v>
      </c>
      <c r="K387" s="73">
        <v>0</v>
      </c>
      <c r="L387" s="73">
        <v>0</v>
      </c>
      <c r="M387" s="73">
        <v>0</v>
      </c>
      <c r="N387" s="73">
        <v>0</v>
      </c>
      <c r="O387" s="73">
        <v>0</v>
      </c>
      <c r="P387" s="81"/>
      <c r="Q387" s="81"/>
      <c r="R387" s="81"/>
      <c r="S387" s="81"/>
      <c r="T387" s="81"/>
      <c r="U387" s="81"/>
      <c r="V387" s="81"/>
    </row>
    <row r="388" spans="1:22" s="86" customFormat="1" ht="18.75" customHeight="1" x14ac:dyDescent="0.2">
      <c r="A388" s="140"/>
      <c r="B388" s="140"/>
      <c r="C388" s="80" t="s">
        <v>11</v>
      </c>
      <c r="D388" s="73">
        <f t="shared" ref="D388:D390" si="168">SUM(E388:O388)</f>
        <v>122976.80000000002</v>
      </c>
      <c r="E388" s="73">
        <v>0</v>
      </c>
      <c r="F388" s="73">
        <v>0</v>
      </c>
      <c r="G388" s="73">
        <v>0</v>
      </c>
      <c r="H388" s="73">
        <v>0</v>
      </c>
      <c r="I388" s="73">
        <v>0</v>
      </c>
      <c r="J388" s="73">
        <v>0</v>
      </c>
      <c r="K388" s="73">
        <v>0</v>
      </c>
      <c r="L388" s="73">
        <f>4013.3-127.5</f>
        <v>3885.8</v>
      </c>
      <c r="M388" s="73">
        <f>23833.1-630.7+5070</f>
        <v>28272.399999999998</v>
      </c>
      <c r="N388" s="73">
        <f>48714.9-1296.5</f>
        <v>47418.400000000001</v>
      </c>
      <c r="O388" s="73">
        <f>44585.8-1185.6</f>
        <v>43400.200000000004</v>
      </c>
      <c r="P388" s="81"/>
      <c r="Q388" s="81"/>
      <c r="R388" s="81"/>
      <c r="S388" s="81"/>
      <c r="T388" s="81"/>
      <c r="U388" s="81"/>
      <c r="V388" s="81"/>
    </row>
    <row r="389" spans="1:22" s="86" customFormat="1" ht="18.75" customHeight="1" x14ac:dyDescent="0.2">
      <c r="A389" s="140"/>
      <c r="B389" s="140"/>
      <c r="C389" s="80" t="s">
        <v>12</v>
      </c>
      <c r="D389" s="73">
        <f t="shared" si="168"/>
        <v>0</v>
      </c>
      <c r="E389" s="73">
        <v>0</v>
      </c>
      <c r="F389" s="73">
        <v>0</v>
      </c>
      <c r="G389" s="73">
        <v>0</v>
      </c>
      <c r="H389" s="73">
        <v>0</v>
      </c>
      <c r="I389" s="73">
        <v>0</v>
      </c>
      <c r="J389" s="73">
        <v>0</v>
      </c>
      <c r="K389" s="73">
        <v>0</v>
      </c>
      <c r="L389" s="73">
        <v>0</v>
      </c>
      <c r="M389" s="73">
        <f>273.7-273.7</f>
        <v>0</v>
      </c>
      <c r="N389" s="73">
        <f>288.7-288.7</f>
        <v>0</v>
      </c>
      <c r="O389" s="73">
        <v>0</v>
      </c>
      <c r="P389" s="81"/>
      <c r="Q389" s="81"/>
      <c r="R389" s="81"/>
      <c r="S389" s="81"/>
      <c r="T389" s="81"/>
      <c r="U389" s="81"/>
      <c r="V389" s="81"/>
    </row>
    <row r="390" spans="1:22" s="86" customFormat="1" ht="30" customHeight="1" x14ac:dyDescent="0.2">
      <c r="A390" s="141"/>
      <c r="B390" s="141"/>
      <c r="C390" s="80" t="s">
        <v>13</v>
      </c>
      <c r="D390" s="73">
        <f t="shared" si="168"/>
        <v>0</v>
      </c>
      <c r="E390" s="73">
        <v>0</v>
      </c>
      <c r="F390" s="73">
        <v>0</v>
      </c>
      <c r="G390" s="73">
        <v>0</v>
      </c>
      <c r="H390" s="73">
        <v>0</v>
      </c>
      <c r="I390" s="73">
        <v>0</v>
      </c>
      <c r="J390" s="73">
        <v>0</v>
      </c>
      <c r="K390" s="73">
        <v>0</v>
      </c>
      <c r="L390" s="73">
        <v>0</v>
      </c>
      <c r="M390" s="73">
        <v>0</v>
      </c>
      <c r="N390" s="73">
        <v>0</v>
      </c>
      <c r="O390" s="73">
        <v>0</v>
      </c>
      <c r="P390" s="81"/>
      <c r="Q390" s="81"/>
      <c r="R390" s="81"/>
      <c r="S390" s="81"/>
      <c r="T390" s="81"/>
      <c r="U390" s="81"/>
      <c r="V390" s="81"/>
    </row>
    <row r="391" spans="1:22" s="86" customFormat="1" ht="18.75" customHeight="1" x14ac:dyDescent="0.2">
      <c r="A391" s="139" t="s">
        <v>447</v>
      </c>
      <c r="B391" s="139" t="s">
        <v>448</v>
      </c>
      <c r="C391" s="78" t="s">
        <v>7</v>
      </c>
      <c r="D391" s="73">
        <f>SUM(D392:D395)</f>
        <v>2599.5</v>
      </c>
      <c r="E391" s="73">
        <f t="shared" ref="E391:J391" si="169">SUM(E392:E395)</f>
        <v>0</v>
      </c>
      <c r="F391" s="73">
        <f t="shared" si="169"/>
        <v>0</v>
      </c>
      <c r="G391" s="73">
        <f t="shared" si="169"/>
        <v>0</v>
      </c>
      <c r="H391" s="73">
        <f t="shared" si="169"/>
        <v>0</v>
      </c>
      <c r="I391" s="73">
        <f t="shared" si="169"/>
        <v>0</v>
      </c>
      <c r="J391" s="73">
        <f t="shared" si="169"/>
        <v>0</v>
      </c>
      <c r="K391" s="73">
        <f>SUM(K392:K395)</f>
        <v>0</v>
      </c>
      <c r="L391" s="73">
        <f t="shared" ref="L391" si="170">SUM(L392:L395)</f>
        <v>0</v>
      </c>
      <c r="M391" s="73">
        <f>SUM(M392:M395)</f>
        <v>2599.5</v>
      </c>
      <c r="N391" s="73">
        <f t="shared" ref="N391:O391" si="171">SUM(N392:N395)</f>
        <v>0</v>
      </c>
      <c r="O391" s="73">
        <f t="shared" si="171"/>
        <v>0</v>
      </c>
      <c r="P391" s="81"/>
      <c r="Q391" s="81"/>
      <c r="R391" s="81"/>
      <c r="S391" s="81"/>
      <c r="T391" s="81"/>
      <c r="U391" s="81"/>
      <c r="V391" s="81"/>
    </row>
    <row r="392" spans="1:22" s="86" customFormat="1" ht="18.75" customHeight="1" x14ac:dyDescent="0.2">
      <c r="A392" s="140"/>
      <c r="B392" s="140"/>
      <c r="C392" s="80" t="s">
        <v>10</v>
      </c>
      <c r="D392" s="73">
        <f>SUM(E392:O392)</f>
        <v>0</v>
      </c>
      <c r="E392" s="73">
        <v>0</v>
      </c>
      <c r="F392" s="73">
        <v>0</v>
      </c>
      <c r="G392" s="73">
        <v>0</v>
      </c>
      <c r="H392" s="73">
        <v>0</v>
      </c>
      <c r="I392" s="73">
        <v>0</v>
      </c>
      <c r="J392" s="73">
        <v>0</v>
      </c>
      <c r="K392" s="73">
        <v>0</v>
      </c>
      <c r="L392" s="73">
        <v>0</v>
      </c>
      <c r="M392" s="73">
        <v>0</v>
      </c>
      <c r="N392" s="73">
        <v>0</v>
      </c>
      <c r="O392" s="73">
        <v>0</v>
      </c>
      <c r="P392" s="81"/>
      <c r="Q392" s="81"/>
      <c r="R392" s="81"/>
      <c r="S392" s="81"/>
      <c r="T392" s="81"/>
      <c r="U392" s="81"/>
      <c r="V392" s="81"/>
    </row>
    <row r="393" spans="1:22" s="86" customFormat="1" ht="18.75" customHeight="1" x14ac:dyDescent="0.2">
      <c r="A393" s="140"/>
      <c r="B393" s="140"/>
      <c r="C393" s="80" t="s">
        <v>11</v>
      </c>
      <c r="D393" s="73">
        <f t="shared" ref="D393:D395" si="172">SUM(E393:O393)</f>
        <v>0</v>
      </c>
      <c r="E393" s="73">
        <v>0</v>
      </c>
      <c r="F393" s="73">
        <v>0</v>
      </c>
      <c r="G393" s="73">
        <v>0</v>
      </c>
      <c r="H393" s="73">
        <v>0</v>
      </c>
      <c r="I393" s="73">
        <v>0</v>
      </c>
      <c r="J393" s="73">
        <v>0</v>
      </c>
      <c r="K393" s="73">
        <v>0</v>
      </c>
      <c r="L393" s="73">
        <v>0</v>
      </c>
      <c r="M393" s="73">
        <v>0</v>
      </c>
      <c r="N393" s="73">
        <v>0</v>
      </c>
      <c r="O393" s="73">
        <v>0</v>
      </c>
      <c r="P393" s="81"/>
      <c r="Q393" s="81"/>
      <c r="R393" s="81"/>
      <c r="S393" s="81"/>
      <c r="T393" s="81"/>
      <c r="U393" s="81"/>
      <c r="V393" s="81"/>
    </row>
    <row r="394" spans="1:22" s="86" customFormat="1" ht="18.75" customHeight="1" x14ac:dyDescent="0.2">
      <c r="A394" s="140"/>
      <c r="B394" s="140"/>
      <c r="C394" s="80" t="s">
        <v>12</v>
      </c>
      <c r="D394" s="73">
        <f t="shared" si="172"/>
        <v>2599.5</v>
      </c>
      <c r="E394" s="73">
        <v>0</v>
      </c>
      <c r="F394" s="73">
        <v>0</v>
      </c>
      <c r="G394" s="73">
        <v>0</v>
      </c>
      <c r="H394" s="73">
        <v>0</v>
      </c>
      <c r="I394" s="73">
        <v>0</v>
      </c>
      <c r="J394" s="73">
        <v>0</v>
      </c>
      <c r="K394" s="73">
        <v>0</v>
      </c>
      <c r="L394" s="73">
        <v>0</v>
      </c>
      <c r="M394" s="73">
        <f>3000-118.5-52-180-50</f>
        <v>2599.5</v>
      </c>
      <c r="N394" s="73">
        <f>288.7-288.7</f>
        <v>0</v>
      </c>
      <c r="O394" s="73">
        <v>0</v>
      </c>
      <c r="P394" s="81"/>
      <c r="Q394" s="81"/>
      <c r="R394" s="81"/>
      <c r="S394" s="81"/>
      <c r="T394" s="81"/>
      <c r="U394" s="81"/>
      <c r="V394" s="81"/>
    </row>
    <row r="395" spans="1:22" s="86" customFormat="1" ht="18.75" customHeight="1" x14ac:dyDescent="0.2">
      <c r="A395" s="141"/>
      <c r="B395" s="141"/>
      <c r="C395" s="80" t="s">
        <v>13</v>
      </c>
      <c r="D395" s="73">
        <f t="shared" si="172"/>
        <v>0</v>
      </c>
      <c r="E395" s="73">
        <v>0</v>
      </c>
      <c r="F395" s="73">
        <v>0</v>
      </c>
      <c r="G395" s="73">
        <v>0</v>
      </c>
      <c r="H395" s="73">
        <v>0</v>
      </c>
      <c r="I395" s="73">
        <v>0</v>
      </c>
      <c r="J395" s="73">
        <v>0</v>
      </c>
      <c r="K395" s="73">
        <v>0</v>
      </c>
      <c r="L395" s="73">
        <v>0</v>
      </c>
      <c r="M395" s="73">
        <v>0</v>
      </c>
      <c r="N395" s="73">
        <v>0</v>
      </c>
      <c r="O395" s="73">
        <v>0</v>
      </c>
      <c r="P395" s="81"/>
      <c r="Q395" s="81"/>
      <c r="R395" s="81"/>
      <c r="S395" s="81"/>
      <c r="T395" s="81"/>
      <c r="U395" s="81"/>
      <c r="V395" s="81"/>
    </row>
    <row r="396" spans="1:22" s="86" customFormat="1" ht="18.75" customHeight="1" x14ac:dyDescent="0.2">
      <c r="A396" s="139" t="s">
        <v>452</v>
      </c>
      <c r="B396" s="139" t="s">
        <v>453</v>
      </c>
      <c r="C396" s="78" t="s">
        <v>7</v>
      </c>
      <c r="D396" s="73">
        <f>SUM(D397:D400)</f>
        <v>1574.3</v>
      </c>
      <c r="E396" s="73">
        <f t="shared" ref="E396:J396" si="173">SUM(E397:E400)</f>
        <v>0</v>
      </c>
      <c r="F396" s="73">
        <f t="shared" si="173"/>
        <v>0</v>
      </c>
      <c r="G396" s="73">
        <f t="shared" si="173"/>
        <v>0</v>
      </c>
      <c r="H396" s="73">
        <f t="shared" si="173"/>
        <v>0</v>
      </c>
      <c r="I396" s="73">
        <f t="shared" si="173"/>
        <v>0</v>
      </c>
      <c r="J396" s="73">
        <f t="shared" si="173"/>
        <v>0</v>
      </c>
      <c r="K396" s="73">
        <f>SUM(K397:K400)</f>
        <v>0</v>
      </c>
      <c r="L396" s="73">
        <f t="shared" ref="L396" si="174">SUM(L397:L400)</f>
        <v>0</v>
      </c>
      <c r="M396" s="73">
        <f>SUM(M397:M400)</f>
        <v>1574.3</v>
      </c>
      <c r="N396" s="73">
        <f t="shared" ref="N396:O396" si="175">SUM(N397:N400)</f>
        <v>0</v>
      </c>
      <c r="O396" s="73">
        <f t="shared" si="175"/>
        <v>0</v>
      </c>
      <c r="P396" s="81"/>
      <c r="Q396" s="81"/>
      <c r="R396" s="81"/>
      <c r="S396" s="81"/>
      <c r="T396" s="81"/>
      <c r="U396" s="81"/>
      <c r="V396" s="81"/>
    </row>
    <row r="397" spans="1:22" s="86" customFormat="1" ht="18.75" customHeight="1" x14ac:dyDescent="0.2">
      <c r="A397" s="140"/>
      <c r="B397" s="140"/>
      <c r="C397" s="80" t="s">
        <v>10</v>
      </c>
      <c r="D397" s="73">
        <f>SUM(E397:O397)</f>
        <v>0</v>
      </c>
      <c r="E397" s="73">
        <v>0</v>
      </c>
      <c r="F397" s="73">
        <v>0</v>
      </c>
      <c r="G397" s="73">
        <v>0</v>
      </c>
      <c r="H397" s="73">
        <v>0</v>
      </c>
      <c r="I397" s="73">
        <v>0</v>
      </c>
      <c r="J397" s="73">
        <v>0</v>
      </c>
      <c r="K397" s="73">
        <v>0</v>
      </c>
      <c r="L397" s="73">
        <v>0</v>
      </c>
      <c r="M397" s="73">
        <v>0</v>
      </c>
      <c r="N397" s="73">
        <v>0</v>
      </c>
      <c r="O397" s="73">
        <v>0</v>
      </c>
      <c r="P397" s="81"/>
      <c r="Q397" s="81"/>
      <c r="R397" s="81"/>
      <c r="S397" s="81"/>
      <c r="T397" s="81"/>
      <c r="U397" s="81"/>
      <c r="V397" s="81"/>
    </row>
    <row r="398" spans="1:22" s="86" customFormat="1" ht="18.75" customHeight="1" x14ac:dyDescent="0.2">
      <c r="A398" s="140"/>
      <c r="B398" s="140"/>
      <c r="C398" s="80" t="s">
        <v>11</v>
      </c>
      <c r="D398" s="73">
        <f t="shared" ref="D398:D400" si="176">SUM(E398:O398)</f>
        <v>0</v>
      </c>
      <c r="E398" s="73">
        <v>0</v>
      </c>
      <c r="F398" s="73">
        <v>0</v>
      </c>
      <c r="G398" s="73">
        <v>0</v>
      </c>
      <c r="H398" s="73">
        <v>0</v>
      </c>
      <c r="I398" s="73">
        <v>0</v>
      </c>
      <c r="J398" s="73">
        <v>0</v>
      </c>
      <c r="K398" s="73">
        <v>0</v>
      </c>
      <c r="L398" s="73">
        <v>0</v>
      </c>
      <c r="M398" s="73">
        <v>0</v>
      </c>
      <c r="N398" s="73">
        <v>0</v>
      </c>
      <c r="O398" s="73">
        <v>0</v>
      </c>
      <c r="P398" s="81"/>
      <c r="Q398" s="81"/>
      <c r="R398" s="81"/>
      <c r="S398" s="81"/>
      <c r="T398" s="81"/>
      <c r="U398" s="81"/>
      <c r="V398" s="81"/>
    </row>
    <row r="399" spans="1:22" s="86" customFormat="1" ht="18.75" customHeight="1" x14ac:dyDescent="0.2">
      <c r="A399" s="140"/>
      <c r="B399" s="140"/>
      <c r="C399" s="80" t="s">
        <v>12</v>
      </c>
      <c r="D399" s="73">
        <f t="shared" si="176"/>
        <v>1574.3</v>
      </c>
      <c r="E399" s="73">
        <v>0</v>
      </c>
      <c r="F399" s="73">
        <v>0</v>
      </c>
      <c r="G399" s="73">
        <v>0</v>
      </c>
      <c r="H399" s="73">
        <v>0</v>
      </c>
      <c r="I399" s="73">
        <v>0</v>
      </c>
      <c r="J399" s="73">
        <v>0</v>
      </c>
      <c r="K399" s="73">
        <v>0</v>
      </c>
      <c r="L399" s="73">
        <v>0</v>
      </c>
      <c r="M399" s="73">
        <v>1574.3</v>
      </c>
      <c r="N399" s="73">
        <f>288.7-288.7</f>
        <v>0</v>
      </c>
      <c r="O399" s="73">
        <v>0</v>
      </c>
      <c r="P399" s="81"/>
      <c r="Q399" s="81"/>
      <c r="R399" s="81"/>
      <c r="S399" s="81"/>
      <c r="T399" s="81"/>
      <c r="U399" s="81"/>
      <c r="V399" s="81"/>
    </row>
    <row r="400" spans="1:22" s="86" customFormat="1" ht="18.75" customHeight="1" x14ac:dyDescent="0.2">
      <c r="A400" s="141"/>
      <c r="B400" s="141"/>
      <c r="C400" s="80" t="s">
        <v>13</v>
      </c>
      <c r="D400" s="73">
        <f t="shared" si="176"/>
        <v>0</v>
      </c>
      <c r="E400" s="73">
        <v>0</v>
      </c>
      <c r="F400" s="73">
        <v>0</v>
      </c>
      <c r="G400" s="73">
        <v>0</v>
      </c>
      <c r="H400" s="73">
        <v>0</v>
      </c>
      <c r="I400" s="73">
        <v>0</v>
      </c>
      <c r="J400" s="73">
        <v>0</v>
      </c>
      <c r="K400" s="73">
        <v>0</v>
      </c>
      <c r="L400" s="73">
        <v>0</v>
      </c>
      <c r="M400" s="73">
        <v>0</v>
      </c>
      <c r="N400" s="73">
        <v>0</v>
      </c>
      <c r="O400" s="73">
        <v>0</v>
      </c>
      <c r="P400" s="81"/>
      <c r="Q400" s="81"/>
      <c r="R400" s="81"/>
      <c r="S400" s="81"/>
      <c r="T400" s="81"/>
      <c r="U400" s="81"/>
      <c r="V400" s="81"/>
    </row>
    <row r="401" spans="1:25" ht="15.75" x14ac:dyDescent="0.2">
      <c r="A401" s="135" t="s">
        <v>145</v>
      </c>
      <c r="B401" s="143" t="s">
        <v>446</v>
      </c>
      <c r="C401" s="78" t="s">
        <v>7</v>
      </c>
      <c r="D401" s="73">
        <f>D402+D403+D404+D405</f>
        <v>225607</v>
      </c>
      <c r="E401" s="73">
        <f>E402+E403+E404+E405</f>
        <v>24704.6</v>
      </c>
      <c r="F401" s="73">
        <f t="shared" ref="F401:O401" si="177">F402+F403+F404+F405</f>
        <v>23418.400000000001</v>
      </c>
      <c r="G401" s="73">
        <f t="shared" si="177"/>
        <v>28089.699999999997</v>
      </c>
      <c r="H401" s="73">
        <f t="shared" si="177"/>
        <v>23411.7</v>
      </c>
      <c r="I401" s="73">
        <f t="shared" si="177"/>
        <v>24700.5</v>
      </c>
      <c r="J401" s="73">
        <f t="shared" si="177"/>
        <v>23045.699999999997</v>
      </c>
      <c r="K401" s="73">
        <f t="shared" si="177"/>
        <v>23013.5</v>
      </c>
      <c r="L401" s="73">
        <f t="shared" si="177"/>
        <v>17844</v>
      </c>
      <c r="M401" s="73">
        <f t="shared" si="177"/>
        <v>13770</v>
      </c>
      <c r="N401" s="73">
        <f t="shared" si="177"/>
        <v>12043.5</v>
      </c>
      <c r="O401" s="73">
        <f t="shared" si="177"/>
        <v>11565.4</v>
      </c>
    </row>
    <row r="402" spans="1:25" ht="16.5" customHeight="1" x14ac:dyDescent="0.2">
      <c r="A402" s="135"/>
      <c r="B402" s="143"/>
      <c r="C402" s="78" t="s">
        <v>10</v>
      </c>
      <c r="D402" s="73">
        <f t="shared" ref="D402:D452" si="178">E402+F402+G402+H402+I402+J402+K402+L402+M402+N402+O402</f>
        <v>0</v>
      </c>
      <c r="E402" s="73">
        <f>E407+E417+E427</f>
        <v>0</v>
      </c>
      <c r="F402" s="73">
        <f t="shared" ref="F402:O402" si="179">F407+F417+F427</f>
        <v>0</v>
      </c>
      <c r="G402" s="73">
        <f t="shared" si="179"/>
        <v>0</v>
      </c>
      <c r="H402" s="73">
        <f t="shared" si="179"/>
        <v>0</v>
      </c>
      <c r="I402" s="73">
        <f t="shared" si="179"/>
        <v>0</v>
      </c>
      <c r="J402" s="73">
        <f t="shared" si="179"/>
        <v>0</v>
      </c>
      <c r="K402" s="73">
        <f t="shared" si="179"/>
        <v>0</v>
      </c>
      <c r="L402" s="73">
        <f t="shared" si="179"/>
        <v>0</v>
      </c>
      <c r="M402" s="73">
        <f t="shared" si="179"/>
        <v>0</v>
      </c>
      <c r="N402" s="73">
        <f t="shared" si="179"/>
        <v>0</v>
      </c>
      <c r="O402" s="73">
        <f t="shared" si="179"/>
        <v>0</v>
      </c>
      <c r="P402" s="61"/>
      <c r="Q402" s="61"/>
    </row>
    <row r="403" spans="1:25" ht="18" customHeight="1" x14ac:dyDescent="0.2">
      <c r="A403" s="135"/>
      <c r="B403" s="143"/>
      <c r="C403" s="78" t="s">
        <v>11</v>
      </c>
      <c r="D403" s="73">
        <f t="shared" si="178"/>
        <v>23608.400000000001</v>
      </c>
      <c r="E403" s="73">
        <f>E408+E413+E418+E423+E428</f>
        <v>0</v>
      </c>
      <c r="F403" s="73">
        <f t="shared" ref="F403:O403" si="180">F408+F413+F418+F423+F428</f>
        <v>0</v>
      </c>
      <c r="G403" s="73">
        <f t="shared" si="180"/>
        <v>0</v>
      </c>
      <c r="H403" s="73">
        <f t="shared" si="180"/>
        <v>0</v>
      </c>
      <c r="I403" s="73">
        <f t="shared" si="180"/>
        <v>16106.5</v>
      </c>
      <c r="J403" s="73">
        <f>J408+J413+J418+J423+J428</f>
        <v>7501.9</v>
      </c>
      <c r="K403" s="73">
        <f t="shared" si="180"/>
        <v>0</v>
      </c>
      <c r="L403" s="73">
        <f t="shared" si="180"/>
        <v>0</v>
      </c>
      <c r="M403" s="73">
        <f t="shared" si="180"/>
        <v>0</v>
      </c>
      <c r="N403" s="73">
        <f t="shared" si="180"/>
        <v>0</v>
      </c>
      <c r="O403" s="73">
        <f t="shared" si="180"/>
        <v>0</v>
      </c>
    </row>
    <row r="404" spans="1:25" ht="18" customHeight="1" x14ac:dyDescent="0.2">
      <c r="A404" s="135"/>
      <c r="B404" s="143"/>
      <c r="C404" s="78" t="s">
        <v>12</v>
      </c>
      <c r="D404" s="73">
        <f t="shared" si="178"/>
        <v>201998.6</v>
      </c>
      <c r="E404" s="73">
        <f>E409+E419+E429+E434+E414+E424</f>
        <v>24704.6</v>
      </c>
      <c r="F404" s="73">
        <f t="shared" ref="F404:I404" si="181">F409+F419+F429+F434+F414+F424</f>
        <v>23418.400000000001</v>
      </c>
      <c r="G404" s="73">
        <f t="shared" si="181"/>
        <v>28089.699999999997</v>
      </c>
      <c r="H404" s="73">
        <f t="shared" si="181"/>
        <v>23411.7</v>
      </c>
      <c r="I404" s="73">
        <f t="shared" si="181"/>
        <v>8594</v>
      </c>
      <c r="J404" s="73">
        <f>J409+J419+J429+J434+J414+J424</f>
        <v>15543.8</v>
      </c>
      <c r="K404" s="73">
        <f>K409+K419+K429+K434+K414+K424+K439</f>
        <v>23013.5</v>
      </c>
      <c r="L404" s="73">
        <f t="shared" ref="L404" si="182">L409+L419+L429+L434+L414+L424+L439</f>
        <v>17844</v>
      </c>
      <c r="M404" s="73">
        <f>M409+M419+M429+M434+M414+M424+M439+M444</f>
        <v>13770</v>
      </c>
      <c r="N404" s="73">
        <f t="shared" ref="N404:O404" si="183">N409+N419+N429+N434+N414+N424+N439+N444</f>
        <v>12043.5</v>
      </c>
      <c r="O404" s="73">
        <f t="shared" si="183"/>
        <v>11565.4</v>
      </c>
    </row>
    <row r="405" spans="1:25" ht="18" customHeight="1" x14ac:dyDescent="0.2">
      <c r="A405" s="135"/>
      <c r="B405" s="143"/>
      <c r="C405" s="78" t="s">
        <v>13</v>
      </c>
      <c r="D405" s="73">
        <f t="shared" si="178"/>
        <v>0</v>
      </c>
      <c r="E405" s="73">
        <f>E410+E420+E430</f>
        <v>0</v>
      </c>
      <c r="F405" s="73">
        <f t="shared" ref="F405:O405" si="184">F410+F420+F430</f>
        <v>0</v>
      </c>
      <c r="G405" s="73">
        <f t="shared" si="184"/>
        <v>0</v>
      </c>
      <c r="H405" s="73">
        <f t="shared" si="184"/>
        <v>0</v>
      </c>
      <c r="I405" s="73">
        <f t="shared" si="184"/>
        <v>0</v>
      </c>
      <c r="J405" s="73">
        <f t="shared" si="184"/>
        <v>0</v>
      </c>
      <c r="K405" s="73">
        <f t="shared" si="184"/>
        <v>0</v>
      </c>
      <c r="L405" s="73">
        <f t="shared" si="184"/>
        <v>0</v>
      </c>
      <c r="M405" s="73">
        <f t="shared" si="184"/>
        <v>0</v>
      </c>
      <c r="N405" s="73">
        <f t="shared" si="184"/>
        <v>0</v>
      </c>
      <c r="O405" s="73">
        <f t="shared" si="184"/>
        <v>0</v>
      </c>
    </row>
    <row r="406" spans="1:25" ht="15.75" x14ac:dyDescent="0.2">
      <c r="A406" s="135" t="s">
        <v>146</v>
      </c>
      <c r="B406" s="143" t="s">
        <v>52</v>
      </c>
      <c r="C406" s="78" t="s">
        <v>7</v>
      </c>
      <c r="D406" s="73">
        <f t="shared" si="178"/>
        <v>92626.5</v>
      </c>
      <c r="E406" s="73">
        <f t="shared" ref="E406:O406" si="185">E407+E408+E409+E410</f>
        <v>5089.5</v>
      </c>
      <c r="F406" s="73">
        <f t="shared" si="185"/>
        <v>6465</v>
      </c>
      <c r="G406" s="73">
        <f t="shared" si="185"/>
        <v>8661.7999999999993</v>
      </c>
      <c r="H406" s="73">
        <f t="shared" si="185"/>
        <v>9358.2000000000007</v>
      </c>
      <c r="I406" s="73">
        <f t="shared" si="185"/>
        <v>8594</v>
      </c>
      <c r="J406" s="73">
        <f>J407+J408+J409+J410</f>
        <v>7198.9000000000005</v>
      </c>
      <c r="K406" s="73">
        <f t="shared" si="185"/>
        <v>12364.6</v>
      </c>
      <c r="L406" s="73">
        <f t="shared" si="185"/>
        <v>10751.5</v>
      </c>
      <c r="M406" s="73">
        <f t="shared" si="185"/>
        <v>9806.5</v>
      </c>
      <c r="N406" s="73">
        <f t="shared" si="185"/>
        <v>7372.8</v>
      </c>
      <c r="O406" s="73">
        <f t="shared" si="185"/>
        <v>6963.6999999999989</v>
      </c>
    </row>
    <row r="407" spans="1:25" ht="15.75" x14ac:dyDescent="0.2">
      <c r="A407" s="135"/>
      <c r="B407" s="143"/>
      <c r="C407" s="78" t="s">
        <v>10</v>
      </c>
      <c r="D407" s="73">
        <f t="shared" si="178"/>
        <v>0</v>
      </c>
      <c r="E407" s="73">
        <v>0</v>
      </c>
      <c r="F407" s="73">
        <v>0</v>
      </c>
      <c r="G407" s="73">
        <v>0</v>
      </c>
      <c r="H407" s="73">
        <v>0</v>
      </c>
      <c r="I407" s="73">
        <v>0</v>
      </c>
      <c r="J407" s="73">
        <v>0</v>
      </c>
      <c r="K407" s="73">
        <v>0</v>
      </c>
      <c r="L407" s="73">
        <v>0</v>
      </c>
      <c r="M407" s="73">
        <v>0</v>
      </c>
      <c r="N407" s="73">
        <v>0</v>
      </c>
      <c r="O407" s="73">
        <v>0</v>
      </c>
    </row>
    <row r="408" spans="1:25" ht="15.75" x14ac:dyDescent="0.2">
      <c r="A408" s="135"/>
      <c r="B408" s="143"/>
      <c r="C408" s="78" t="s">
        <v>11</v>
      </c>
      <c r="D408" s="73">
        <f t="shared" si="178"/>
        <v>0</v>
      </c>
      <c r="E408" s="73">
        <v>0</v>
      </c>
      <c r="F408" s="73">
        <v>0</v>
      </c>
      <c r="G408" s="73">
        <v>0</v>
      </c>
      <c r="H408" s="73">
        <v>0</v>
      </c>
      <c r="I408" s="73">
        <v>0</v>
      </c>
      <c r="J408" s="73">
        <v>0</v>
      </c>
      <c r="K408" s="73">
        <v>0</v>
      </c>
      <c r="L408" s="73">
        <v>0</v>
      </c>
      <c r="M408" s="73">
        <v>0</v>
      </c>
      <c r="N408" s="73">
        <v>0</v>
      </c>
      <c r="O408" s="73">
        <v>0</v>
      </c>
    </row>
    <row r="409" spans="1:25" ht="15.75" x14ac:dyDescent="0.2">
      <c r="A409" s="135"/>
      <c r="B409" s="143"/>
      <c r="C409" s="78" t="s">
        <v>12</v>
      </c>
      <c r="D409" s="73">
        <f t="shared" si="178"/>
        <v>92626.5</v>
      </c>
      <c r="E409" s="73">
        <v>5089.5</v>
      </c>
      <c r="F409" s="73">
        <v>6465</v>
      </c>
      <c r="G409" s="73">
        <v>8661.7999999999993</v>
      </c>
      <c r="H409" s="73">
        <v>9358.2000000000007</v>
      </c>
      <c r="I409" s="73">
        <v>8594</v>
      </c>
      <c r="J409" s="73">
        <f>2886.8+1860.3+2451.8</f>
        <v>7198.9000000000005</v>
      </c>
      <c r="K409" s="73">
        <f>8859.6+1000+555+1950</f>
        <v>12364.6</v>
      </c>
      <c r="L409" s="73">
        <f>5576.5+2175+1500+1500</f>
        <v>10751.5</v>
      </c>
      <c r="M409" s="73">
        <f>5913.1+343.4+650+400+2500</f>
        <v>9806.5</v>
      </c>
      <c r="N409" s="73">
        <f>5942+1430.8</f>
        <v>7372.8</v>
      </c>
      <c r="O409" s="73">
        <f>10976.3-3712.3-300.3</f>
        <v>6963.6999999999989</v>
      </c>
      <c r="W409" s="61"/>
      <c r="X409" s="61"/>
      <c r="Y409" s="61"/>
    </row>
    <row r="410" spans="1:25" ht="15.75" x14ac:dyDescent="0.2">
      <c r="A410" s="135"/>
      <c r="B410" s="143"/>
      <c r="C410" s="80" t="s">
        <v>13</v>
      </c>
      <c r="D410" s="73">
        <f t="shared" si="178"/>
        <v>0</v>
      </c>
      <c r="E410" s="73">
        <v>0</v>
      </c>
      <c r="F410" s="73">
        <v>0</v>
      </c>
      <c r="G410" s="73">
        <v>0</v>
      </c>
      <c r="H410" s="73">
        <v>0</v>
      </c>
      <c r="I410" s="73">
        <v>0</v>
      </c>
      <c r="J410" s="73">
        <v>0</v>
      </c>
      <c r="K410" s="73">
        <v>0</v>
      </c>
      <c r="L410" s="73">
        <v>0</v>
      </c>
      <c r="M410" s="73">
        <v>0</v>
      </c>
      <c r="N410" s="73">
        <v>0</v>
      </c>
      <c r="O410" s="73">
        <v>0</v>
      </c>
    </row>
    <row r="411" spans="1:25" ht="15.75" x14ac:dyDescent="0.2">
      <c r="A411" s="135" t="s">
        <v>147</v>
      </c>
      <c r="B411" s="143" t="s">
        <v>365</v>
      </c>
      <c r="C411" s="78" t="s">
        <v>7</v>
      </c>
      <c r="D411" s="73">
        <f t="shared" si="178"/>
        <v>11065.3</v>
      </c>
      <c r="E411" s="73">
        <f t="shared" ref="E411:O411" si="186">E412+E413+E414+E415</f>
        <v>0</v>
      </c>
      <c r="F411" s="73">
        <f t="shared" si="186"/>
        <v>0</v>
      </c>
      <c r="G411" s="73">
        <f t="shared" si="186"/>
        <v>0</v>
      </c>
      <c r="H411" s="73">
        <f t="shared" si="186"/>
        <v>0</v>
      </c>
      <c r="I411" s="73">
        <f t="shared" si="186"/>
        <v>7430.4</v>
      </c>
      <c r="J411" s="73">
        <f t="shared" si="186"/>
        <v>3634.8999999999996</v>
      </c>
      <c r="K411" s="73">
        <f t="shared" si="186"/>
        <v>0</v>
      </c>
      <c r="L411" s="73">
        <f t="shared" si="186"/>
        <v>0</v>
      </c>
      <c r="M411" s="73">
        <f t="shared" si="186"/>
        <v>0</v>
      </c>
      <c r="N411" s="73">
        <f t="shared" si="186"/>
        <v>0</v>
      </c>
      <c r="O411" s="73">
        <f t="shared" si="186"/>
        <v>0</v>
      </c>
    </row>
    <row r="412" spans="1:25" ht="21" customHeight="1" x14ac:dyDescent="0.2">
      <c r="A412" s="135"/>
      <c r="B412" s="143"/>
      <c r="C412" s="78" t="s">
        <v>10</v>
      </c>
      <c r="D412" s="73">
        <f t="shared" si="178"/>
        <v>0</v>
      </c>
      <c r="E412" s="73">
        <v>0</v>
      </c>
      <c r="F412" s="73">
        <v>0</v>
      </c>
      <c r="G412" s="73">
        <v>0</v>
      </c>
      <c r="H412" s="73">
        <v>0</v>
      </c>
      <c r="I412" s="73">
        <v>0</v>
      </c>
      <c r="J412" s="73">
        <v>0</v>
      </c>
      <c r="K412" s="73">
        <v>0</v>
      </c>
      <c r="L412" s="73">
        <v>0</v>
      </c>
      <c r="M412" s="73">
        <v>0</v>
      </c>
      <c r="N412" s="73">
        <v>0</v>
      </c>
      <c r="O412" s="73">
        <v>0</v>
      </c>
    </row>
    <row r="413" spans="1:25" ht="15.75" x14ac:dyDescent="0.2">
      <c r="A413" s="135"/>
      <c r="B413" s="143"/>
      <c r="C413" s="78" t="s">
        <v>11</v>
      </c>
      <c r="D413" s="73">
        <f t="shared" si="178"/>
        <v>11065.3</v>
      </c>
      <c r="E413" s="73">
        <v>0</v>
      </c>
      <c r="F413" s="73">
        <v>0</v>
      </c>
      <c r="G413" s="73">
        <v>0</v>
      </c>
      <c r="H413" s="73">
        <v>0</v>
      </c>
      <c r="I413" s="73">
        <f>6602.5+827.9</f>
        <v>7430.4</v>
      </c>
      <c r="J413" s="73">
        <f>6521.7-2886.8</f>
        <v>3634.8999999999996</v>
      </c>
      <c r="K413" s="73">
        <v>0</v>
      </c>
      <c r="L413" s="73">
        <v>0</v>
      </c>
      <c r="M413" s="73">
        <v>0</v>
      </c>
      <c r="N413" s="73">
        <v>0</v>
      </c>
      <c r="O413" s="73">
        <v>0</v>
      </c>
    </row>
    <row r="414" spans="1:25" ht="15.75" x14ac:dyDescent="0.2">
      <c r="A414" s="135"/>
      <c r="B414" s="143"/>
      <c r="C414" s="78" t="s">
        <v>12</v>
      </c>
      <c r="D414" s="73">
        <f t="shared" si="178"/>
        <v>0</v>
      </c>
      <c r="E414" s="73">
        <v>0</v>
      </c>
      <c r="F414" s="73">
        <v>0</v>
      </c>
      <c r="G414" s="73">
        <v>0</v>
      </c>
      <c r="H414" s="73">
        <v>0</v>
      </c>
      <c r="I414" s="73">
        <v>0</v>
      </c>
      <c r="J414" s="73">
        <v>0</v>
      </c>
      <c r="K414" s="73">
        <v>0</v>
      </c>
      <c r="L414" s="73">
        <v>0</v>
      </c>
      <c r="M414" s="73">
        <v>0</v>
      </c>
      <c r="N414" s="73">
        <v>0</v>
      </c>
      <c r="O414" s="73">
        <v>0</v>
      </c>
    </row>
    <row r="415" spans="1:25" ht="21.75" customHeight="1" x14ac:dyDescent="0.2">
      <c r="A415" s="135"/>
      <c r="B415" s="143"/>
      <c r="C415" s="80" t="s">
        <v>13</v>
      </c>
      <c r="D415" s="73">
        <f t="shared" si="178"/>
        <v>0</v>
      </c>
      <c r="E415" s="73">
        <v>0</v>
      </c>
      <c r="F415" s="73">
        <v>0</v>
      </c>
      <c r="G415" s="73">
        <v>0</v>
      </c>
      <c r="H415" s="73">
        <v>0</v>
      </c>
      <c r="I415" s="73">
        <v>0</v>
      </c>
      <c r="J415" s="73">
        <v>0</v>
      </c>
      <c r="K415" s="73">
        <v>0</v>
      </c>
      <c r="L415" s="73">
        <v>0</v>
      </c>
      <c r="M415" s="73">
        <v>0</v>
      </c>
      <c r="N415" s="73">
        <v>0</v>
      </c>
      <c r="O415" s="73">
        <v>0</v>
      </c>
    </row>
    <row r="416" spans="1:25" ht="15.75" customHeight="1" x14ac:dyDescent="0.2">
      <c r="A416" s="135" t="s">
        <v>148</v>
      </c>
      <c r="B416" s="143" t="s">
        <v>58</v>
      </c>
      <c r="C416" s="78" t="s">
        <v>7</v>
      </c>
      <c r="D416" s="73">
        <f t="shared" si="178"/>
        <v>104328.4</v>
      </c>
      <c r="E416" s="73">
        <f t="shared" ref="E416:O416" si="187">E417+E418+E420+E419</f>
        <v>17919.099999999999</v>
      </c>
      <c r="F416" s="73">
        <f t="shared" si="187"/>
        <v>16953.400000000001</v>
      </c>
      <c r="G416" s="73">
        <f t="shared" si="187"/>
        <v>16137.9</v>
      </c>
      <c r="H416" s="73">
        <f t="shared" si="187"/>
        <v>14053.5</v>
      </c>
      <c r="I416" s="73">
        <f t="shared" si="187"/>
        <v>0</v>
      </c>
      <c r="J416" s="73">
        <f t="shared" si="187"/>
        <v>8344.9</v>
      </c>
      <c r="K416" s="73">
        <f t="shared" si="187"/>
        <v>10648.9</v>
      </c>
      <c r="L416" s="73">
        <f t="shared" si="187"/>
        <v>7072.5</v>
      </c>
      <c r="M416" s="73">
        <f t="shared" si="187"/>
        <v>3952.2000000000003</v>
      </c>
      <c r="N416" s="73">
        <f t="shared" si="187"/>
        <v>4657.4000000000005</v>
      </c>
      <c r="O416" s="73">
        <f t="shared" si="187"/>
        <v>4588.6000000000004</v>
      </c>
    </row>
    <row r="417" spans="1:25" ht="15.75" customHeight="1" x14ac:dyDescent="0.2">
      <c r="A417" s="135"/>
      <c r="B417" s="143"/>
      <c r="C417" s="78" t="s">
        <v>10</v>
      </c>
      <c r="D417" s="73">
        <f t="shared" si="178"/>
        <v>0</v>
      </c>
      <c r="E417" s="73">
        <v>0</v>
      </c>
      <c r="F417" s="73">
        <v>0</v>
      </c>
      <c r="G417" s="73">
        <v>0</v>
      </c>
      <c r="H417" s="73">
        <v>0</v>
      </c>
      <c r="I417" s="73">
        <v>0</v>
      </c>
      <c r="J417" s="73">
        <v>0</v>
      </c>
      <c r="K417" s="73">
        <v>0</v>
      </c>
      <c r="L417" s="73">
        <v>0</v>
      </c>
      <c r="M417" s="73">
        <v>0</v>
      </c>
      <c r="N417" s="73">
        <v>0</v>
      </c>
      <c r="O417" s="73">
        <v>0</v>
      </c>
    </row>
    <row r="418" spans="1:25" ht="15.75" customHeight="1" x14ac:dyDescent="0.2">
      <c r="A418" s="135"/>
      <c r="B418" s="143"/>
      <c r="C418" s="78" t="s">
        <v>11</v>
      </c>
      <c r="D418" s="73">
        <f t="shared" si="178"/>
        <v>0</v>
      </c>
      <c r="E418" s="73">
        <v>0</v>
      </c>
      <c r="F418" s="73">
        <v>0</v>
      </c>
      <c r="G418" s="73">
        <v>0</v>
      </c>
      <c r="H418" s="73">
        <v>0</v>
      </c>
      <c r="I418" s="73">
        <v>0</v>
      </c>
      <c r="J418" s="73">
        <v>0</v>
      </c>
      <c r="K418" s="73">
        <v>0</v>
      </c>
      <c r="L418" s="73">
        <v>0</v>
      </c>
      <c r="M418" s="73">
        <v>0</v>
      </c>
      <c r="N418" s="73">
        <v>0</v>
      </c>
      <c r="O418" s="73">
        <v>0</v>
      </c>
    </row>
    <row r="419" spans="1:25" ht="15.75" customHeight="1" x14ac:dyDescent="0.2">
      <c r="A419" s="135"/>
      <c r="B419" s="143"/>
      <c r="C419" s="78" t="s">
        <v>12</v>
      </c>
      <c r="D419" s="73">
        <f t="shared" si="178"/>
        <v>104328.4</v>
      </c>
      <c r="E419" s="73">
        <v>17919.099999999999</v>
      </c>
      <c r="F419" s="73">
        <v>16953.400000000001</v>
      </c>
      <c r="G419" s="73">
        <v>16137.9</v>
      </c>
      <c r="H419" s="73">
        <v>14053.5</v>
      </c>
      <c r="I419" s="73">
        <v>0</v>
      </c>
      <c r="J419" s="73">
        <f>0+2600+6251.4-506.5</f>
        <v>8344.9</v>
      </c>
      <c r="K419" s="73">
        <f>13474.9-2900+74</f>
        <v>10648.9</v>
      </c>
      <c r="L419" s="73">
        <f>5037.6+2000-40.6-15+90.5</f>
        <v>7072.5</v>
      </c>
      <c r="M419" s="73">
        <f>5341.7-1097.6-291.9</f>
        <v>3952.2000000000003</v>
      </c>
      <c r="N419" s="73">
        <f>5367.8-710.4</f>
        <v>4657.4000000000005</v>
      </c>
      <c r="O419" s="73">
        <f>13511.2-8922.6</f>
        <v>4588.6000000000004</v>
      </c>
      <c r="X419" s="61"/>
      <c r="Y419" s="61"/>
    </row>
    <row r="420" spans="1:25" ht="22.5" customHeight="1" x14ac:dyDescent="0.2">
      <c r="A420" s="135"/>
      <c r="B420" s="143"/>
      <c r="C420" s="80" t="s">
        <v>13</v>
      </c>
      <c r="D420" s="73">
        <f t="shared" si="178"/>
        <v>0</v>
      </c>
      <c r="E420" s="73">
        <v>0</v>
      </c>
      <c r="F420" s="73">
        <v>0</v>
      </c>
      <c r="G420" s="73">
        <v>0</v>
      </c>
      <c r="H420" s="73">
        <v>0</v>
      </c>
      <c r="I420" s="73">
        <v>0</v>
      </c>
      <c r="J420" s="88">
        <v>0</v>
      </c>
      <c r="K420" s="88">
        <v>0</v>
      </c>
      <c r="L420" s="88">
        <v>0</v>
      </c>
      <c r="M420" s="88">
        <v>0</v>
      </c>
      <c r="N420" s="88">
        <v>0</v>
      </c>
      <c r="O420" s="88">
        <v>0</v>
      </c>
    </row>
    <row r="421" spans="1:25" ht="18.75" customHeight="1" x14ac:dyDescent="0.2">
      <c r="A421" s="135" t="s">
        <v>209</v>
      </c>
      <c r="B421" s="143" t="s">
        <v>264</v>
      </c>
      <c r="C421" s="80" t="s">
        <v>7</v>
      </c>
      <c r="D421" s="73">
        <f t="shared" si="178"/>
        <v>12543.1</v>
      </c>
      <c r="E421" s="73">
        <f t="shared" ref="E421:O421" si="188">E422+E423+E425+E424</f>
        <v>0</v>
      </c>
      <c r="F421" s="73">
        <f t="shared" si="188"/>
        <v>0</v>
      </c>
      <c r="G421" s="73">
        <f t="shared" si="188"/>
        <v>0</v>
      </c>
      <c r="H421" s="73">
        <f t="shared" si="188"/>
        <v>0</v>
      </c>
      <c r="I421" s="73">
        <f t="shared" si="188"/>
        <v>8676.1</v>
      </c>
      <c r="J421" s="73">
        <f t="shared" si="188"/>
        <v>3867</v>
      </c>
      <c r="K421" s="73">
        <f t="shared" si="188"/>
        <v>0</v>
      </c>
      <c r="L421" s="73">
        <f t="shared" si="188"/>
        <v>0</v>
      </c>
      <c r="M421" s="73">
        <f t="shared" si="188"/>
        <v>0</v>
      </c>
      <c r="N421" s="73">
        <f t="shared" si="188"/>
        <v>0</v>
      </c>
      <c r="O421" s="73">
        <f t="shared" si="188"/>
        <v>0</v>
      </c>
    </row>
    <row r="422" spans="1:25" ht="18.75" customHeight="1" x14ac:dyDescent="0.2">
      <c r="A422" s="135"/>
      <c r="B422" s="143"/>
      <c r="C422" s="80" t="s">
        <v>10</v>
      </c>
      <c r="D422" s="73">
        <f t="shared" si="178"/>
        <v>0</v>
      </c>
      <c r="E422" s="73">
        <v>0</v>
      </c>
      <c r="F422" s="73">
        <v>0</v>
      </c>
      <c r="G422" s="73">
        <v>0</v>
      </c>
      <c r="H422" s="73">
        <v>0</v>
      </c>
      <c r="I422" s="73">
        <v>0</v>
      </c>
      <c r="J422" s="73">
        <v>0</v>
      </c>
      <c r="K422" s="73">
        <v>0</v>
      </c>
      <c r="L422" s="73">
        <v>0</v>
      </c>
      <c r="M422" s="73">
        <v>0</v>
      </c>
      <c r="N422" s="73">
        <v>0</v>
      </c>
      <c r="O422" s="73">
        <v>0</v>
      </c>
    </row>
    <row r="423" spans="1:25" ht="18.75" customHeight="1" x14ac:dyDescent="0.2">
      <c r="A423" s="135"/>
      <c r="B423" s="143"/>
      <c r="C423" s="80" t="s">
        <v>11</v>
      </c>
      <c r="D423" s="73">
        <f t="shared" si="178"/>
        <v>12543.1</v>
      </c>
      <c r="E423" s="73">
        <v>0</v>
      </c>
      <c r="F423" s="73">
        <v>0</v>
      </c>
      <c r="G423" s="73">
        <v>0</v>
      </c>
      <c r="H423" s="73">
        <v>0</v>
      </c>
      <c r="I423" s="73">
        <f>10280.7-1604.6</f>
        <v>8676.1</v>
      </c>
      <c r="J423" s="73">
        <f>10118.4-6251.4</f>
        <v>3867</v>
      </c>
      <c r="K423" s="73">
        <v>0</v>
      </c>
      <c r="L423" s="73">
        <v>0</v>
      </c>
      <c r="M423" s="73">
        <v>0</v>
      </c>
      <c r="N423" s="73">
        <v>0</v>
      </c>
      <c r="O423" s="73">
        <v>0</v>
      </c>
    </row>
    <row r="424" spans="1:25" ht="18.75" customHeight="1" x14ac:dyDescent="0.2">
      <c r="A424" s="135"/>
      <c r="B424" s="143"/>
      <c r="C424" s="80" t="s">
        <v>12</v>
      </c>
      <c r="D424" s="73">
        <f t="shared" si="178"/>
        <v>0</v>
      </c>
      <c r="E424" s="73">
        <v>0</v>
      </c>
      <c r="F424" s="73">
        <v>0</v>
      </c>
      <c r="G424" s="73">
        <v>0</v>
      </c>
      <c r="H424" s="73">
        <v>0</v>
      </c>
      <c r="I424" s="73">
        <v>0</v>
      </c>
      <c r="J424" s="73">
        <v>0</v>
      </c>
      <c r="K424" s="73">
        <v>0</v>
      </c>
      <c r="L424" s="73">
        <v>0</v>
      </c>
      <c r="M424" s="73">
        <v>0</v>
      </c>
      <c r="N424" s="73">
        <v>0</v>
      </c>
      <c r="O424" s="73">
        <v>0</v>
      </c>
    </row>
    <row r="425" spans="1:25" ht="18.75" customHeight="1" x14ac:dyDescent="0.2">
      <c r="A425" s="135"/>
      <c r="B425" s="143"/>
      <c r="C425" s="80" t="s">
        <v>13</v>
      </c>
      <c r="D425" s="73">
        <f t="shared" si="178"/>
        <v>0</v>
      </c>
      <c r="E425" s="73">
        <v>0</v>
      </c>
      <c r="F425" s="73">
        <v>0</v>
      </c>
      <c r="G425" s="73">
        <v>0</v>
      </c>
      <c r="H425" s="73">
        <v>0</v>
      </c>
      <c r="I425" s="73">
        <v>0</v>
      </c>
      <c r="J425" s="88">
        <v>0</v>
      </c>
      <c r="K425" s="88">
        <v>0</v>
      </c>
      <c r="L425" s="73">
        <v>0</v>
      </c>
      <c r="M425" s="73">
        <v>0</v>
      </c>
      <c r="N425" s="73">
        <v>0</v>
      </c>
      <c r="O425" s="73">
        <v>0</v>
      </c>
    </row>
    <row r="426" spans="1:25" ht="15.75" customHeight="1" x14ac:dyDescent="0.2">
      <c r="A426" s="135" t="s">
        <v>269</v>
      </c>
      <c r="B426" s="143" t="s">
        <v>22</v>
      </c>
      <c r="C426" s="78" t="s">
        <v>7</v>
      </c>
      <c r="D426" s="73">
        <f t="shared" si="178"/>
        <v>1696</v>
      </c>
      <c r="E426" s="73">
        <f t="shared" ref="E426:K426" si="189">E427+E428+E429+E430</f>
        <v>1696</v>
      </c>
      <c r="F426" s="73">
        <f t="shared" si="189"/>
        <v>0</v>
      </c>
      <c r="G426" s="73">
        <f t="shared" si="189"/>
        <v>0</v>
      </c>
      <c r="H426" s="73">
        <f t="shared" si="189"/>
        <v>0</v>
      </c>
      <c r="I426" s="73">
        <f t="shared" si="189"/>
        <v>0</v>
      </c>
      <c r="J426" s="73">
        <f t="shared" si="189"/>
        <v>0</v>
      </c>
      <c r="K426" s="73">
        <f t="shared" si="189"/>
        <v>0</v>
      </c>
      <c r="L426" s="73">
        <f>L427+L428+L429+L430</f>
        <v>0</v>
      </c>
      <c r="M426" s="73">
        <f>M427+M428+M429+M430</f>
        <v>0</v>
      </c>
      <c r="N426" s="73">
        <f>N427+N428+N429+N430</f>
        <v>0</v>
      </c>
      <c r="O426" s="73">
        <f>O427+O428+O429+O430</f>
        <v>0</v>
      </c>
    </row>
    <row r="427" spans="1:25" ht="15.75" customHeight="1" x14ac:dyDescent="0.2">
      <c r="A427" s="135"/>
      <c r="B427" s="143"/>
      <c r="C427" s="78" t="s">
        <v>10</v>
      </c>
      <c r="D427" s="73">
        <f t="shared" si="178"/>
        <v>0</v>
      </c>
      <c r="E427" s="73">
        <v>0</v>
      </c>
      <c r="F427" s="73">
        <v>0</v>
      </c>
      <c r="G427" s="73">
        <v>0</v>
      </c>
      <c r="H427" s="73">
        <v>0</v>
      </c>
      <c r="I427" s="73">
        <v>0</v>
      </c>
      <c r="J427" s="73">
        <v>0</v>
      </c>
      <c r="K427" s="73">
        <v>0</v>
      </c>
      <c r="L427" s="73">
        <v>0</v>
      </c>
      <c r="M427" s="73">
        <v>0</v>
      </c>
      <c r="N427" s="73">
        <v>0</v>
      </c>
      <c r="O427" s="73">
        <v>0</v>
      </c>
    </row>
    <row r="428" spans="1:25" ht="15.75" customHeight="1" x14ac:dyDescent="0.2">
      <c r="A428" s="135"/>
      <c r="B428" s="143"/>
      <c r="C428" s="78" t="s">
        <v>11</v>
      </c>
      <c r="D428" s="73">
        <f t="shared" si="178"/>
        <v>0</v>
      </c>
      <c r="E428" s="73">
        <v>0</v>
      </c>
      <c r="F428" s="73">
        <v>0</v>
      </c>
      <c r="G428" s="73">
        <v>0</v>
      </c>
      <c r="H428" s="73">
        <v>0</v>
      </c>
      <c r="I428" s="73">
        <v>0</v>
      </c>
      <c r="J428" s="73">
        <v>0</v>
      </c>
      <c r="K428" s="73">
        <v>0</v>
      </c>
      <c r="L428" s="73">
        <v>0</v>
      </c>
      <c r="M428" s="73">
        <v>0</v>
      </c>
      <c r="N428" s="73">
        <v>0</v>
      </c>
      <c r="O428" s="73">
        <v>0</v>
      </c>
    </row>
    <row r="429" spans="1:25" ht="15.75" customHeight="1" x14ac:dyDescent="0.2">
      <c r="A429" s="135"/>
      <c r="B429" s="143"/>
      <c r="C429" s="78" t="s">
        <v>12</v>
      </c>
      <c r="D429" s="73">
        <f t="shared" si="178"/>
        <v>1696</v>
      </c>
      <c r="E429" s="73">
        <v>1696</v>
      </c>
      <c r="F429" s="73">
        <v>0</v>
      </c>
      <c r="G429" s="73">
        <v>0</v>
      </c>
      <c r="H429" s="73">
        <v>0</v>
      </c>
      <c r="I429" s="73">
        <v>0</v>
      </c>
      <c r="J429" s="73">
        <v>0</v>
      </c>
      <c r="K429" s="73">
        <v>0</v>
      </c>
      <c r="L429" s="73">
        <v>0</v>
      </c>
      <c r="M429" s="73">
        <v>0</v>
      </c>
      <c r="N429" s="73">
        <v>0</v>
      </c>
      <c r="O429" s="73">
        <v>0</v>
      </c>
    </row>
    <row r="430" spans="1:25" ht="18" customHeight="1" x14ac:dyDescent="0.2">
      <c r="A430" s="135"/>
      <c r="B430" s="143"/>
      <c r="C430" s="80" t="s">
        <v>13</v>
      </c>
      <c r="D430" s="73">
        <f t="shared" si="178"/>
        <v>0</v>
      </c>
      <c r="E430" s="73">
        <v>0</v>
      </c>
      <c r="F430" s="73">
        <v>0</v>
      </c>
      <c r="G430" s="73">
        <v>0</v>
      </c>
      <c r="H430" s="73">
        <v>0</v>
      </c>
      <c r="I430" s="73">
        <v>0</v>
      </c>
      <c r="J430" s="73">
        <v>0</v>
      </c>
      <c r="K430" s="73">
        <v>0</v>
      </c>
      <c r="L430" s="73">
        <v>0</v>
      </c>
      <c r="M430" s="73">
        <v>0</v>
      </c>
      <c r="N430" s="73">
        <v>0</v>
      </c>
      <c r="O430" s="73">
        <v>0</v>
      </c>
    </row>
    <row r="431" spans="1:25" ht="15.75" x14ac:dyDescent="0.2">
      <c r="A431" s="135" t="s">
        <v>270</v>
      </c>
      <c r="B431" s="135" t="s">
        <v>237</v>
      </c>
      <c r="C431" s="78" t="s">
        <v>7</v>
      </c>
      <c r="D431" s="73">
        <f t="shared" si="178"/>
        <v>3290</v>
      </c>
      <c r="E431" s="73">
        <f>E432+E433+E434+E435</f>
        <v>0</v>
      </c>
      <c r="F431" s="73">
        <f t="shared" ref="F431:K431" si="190">F432+F433+F434+F435</f>
        <v>0</v>
      </c>
      <c r="G431" s="73">
        <f t="shared" si="190"/>
        <v>3290</v>
      </c>
      <c r="H431" s="73">
        <f t="shared" si="190"/>
        <v>0</v>
      </c>
      <c r="I431" s="73">
        <f t="shared" si="190"/>
        <v>0</v>
      </c>
      <c r="J431" s="73">
        <f t="shared" si="190"/>
        <v>0</v>
      </c>
      <c r="K431" s="73">
        <f t="shared" si="190"/>
        <v>0</v>
      </c>
      <c r="L431" s="73">
        <f>L432+L433+L434+L435</f>
        <v>0</v>
      </c>
      <c r="M431" s="73">
        <f>M432+M433+M434+M435</f>
        <v>0</v>
      </c>
      <c r="N431" s="73">
        <f>N432+N433+N434+N435</f>
        <v>0</v>
      </c>
      <c r="O431" s="73">
        <f>O432+O433+O434+O435</f>
        <v>0</v>
      </c>
    </row>
    <row r="432" spans="1:25" ht="15.75" x14ac:dyDescent="0.2">
      <c r="A432" s="135"/>
      <c r="B432" s="135"/>
      <c r="C432" s="78" t="s">
        <v>10</v>
      </c>
      <c r="D432" s="73">
        <f t="shared" si="178"/>
        <v>0</v>
      </c>
      <c r="E432" s="73">
        <v>0</v>
      </c>
      <c r="F432" s="73">
        <v>0</v>
      </c>
      <c r="G432" s="73">
        <v>0</v>
      </c>
      <c r="H432" s="73">
        <v>0</v>
      </c>
      <c r="I432" s="73">
        <v>0</v>
      </c>
      <c r="J432" s="73">
        <v>0</v>
      </c>
      <c r="K432" s="73">
        <v>0</v>
      </c>
      <c r="L432" s="73">
        <v>0</v>
      </c>
      <c r="M432" s="73">
        <v>0</v>
      </c>
      <c r="N432" s="73">
        <v>0</v>
      </c>
      <c r="O432" s="73">
        <v>0</v>
      </c>
    </row>
    <row r="433" spans="1:15" ht="15.75" x14ac:dyDescent="0.2">
      <c r="A433" s="135"/>
      <c r="B433" s="135"/>
      <c r="C433" s="78" t="s">
        <v>11</v>
      </c>
      <c r="D433" s="73">
        <f t="shared" si="178"/>
        <v>0</v>
      </c>
      <c r="E433" s="73">
        <v>0</v>
      </c>
      <c r="F433" s="73">
        <v>0</v>
      </c>
      <c r="G433" s="73">
        <v>0</v>
      </c>
      <c r="H433" s="73">
        <v>0</v>
      </c>
      <c r="I433" s="73">
        <v>0</v>
      </c>
      <c r="J433" s="73">
        <v>0</v>
      </c>
      <c r="K433" s="73">
        <v>0</v>
      </c>
      <c r="L433" s="73">
        <v>0</v>
      </c>
      <c r="M433" s="73">
        <v>0</v>
      </c>
      <c r="N433" s="73">
        <v>0</v>
      </c>
      <c r="O433" s="73">
        <v>0</v>
      </c>
    </row>
    <row r="434" spans="1:15" ht="15.75" x14ac:dyDescent="0.2">
      <c r="A434" s="135"/>
      <c r="B434" s="135"/>
      <c r="C434" s="78" t="s">
        <v>12</v>
      </c>
      <c r="D434" s="73">
        <f t="shared" si="178"/>
        <v>3290</v>
      </c>
      <c r="E434" s="73">
        <v>0</v>
      </c>
      <c r="F434" s="73">
        <v>0</v>
      </c>
      <c r="G434" s="73">
        <v>3290</v>
      </c>
      <c r="H434" s="73">
        <v>0</v>
      </c>
      <c r="I434" s="73">
        <v>0</v>
      </c>
      <c r="J434" s="73">
        <v>0</v>
      </c>
      <c r="K434" s="73">
        <v>0</v>
      </c>
      <c r="L434" s="73">
        <v>0</v>
      </c>
      <c r="M434" s="73">
        <v>0</v>
      </c>
      <c r="N434" s="73">
        <v>0</v>
      </c>
      <c r="O434" s="73">
        <v>0</v>
      </c>
    </row>
    <row r="435" spans="1:15" ht="23.25" customHeight="1" x14ac:dyDescent="0.2">
      <c r="A435" s="135"/>
      <c r="B435" s="135"/>
      <c r="C435" s="80" t="s">
        <v>13</v>
      </c>
      <c r="D435" s="73">
        <f t="shared" si="178"/>
        <v>0</v>
      </c>
      <c r="E435" s="73">
        <v>0</v>
      </c>
      <c r="F435" s="73">
        <v>0</v>
      </c>
      <c r="G435" s="73">
        <v>0</v>
      </c>
      <c r="H435" s="73">
        <v>0</v>
      </c>
      <c r="I435" s="73">
        <v>0</v>
      </c>
      <c r="J435" s="73">
        <v>0</v>
      </c>
      <c r="K435" s="73">
        <v>0</v>
      </c>
      <c r="L435" s="73">
        <v>0</v>
      </c>
      <c r="M435" s="73">
        <v>0</v>
      </c>
      <c r="N435" s="73">
        <v>0</v>
      </c>
      <c r="O435" s="73">
        <v>0</v>
      </c>
    </row>
    <row r="436" spans="1:15" ht="23.25" customHeight="1" x14ac:dyDescent="0.2">
      <c r="A436" s="135" t="s">
        <v>386</v>
      </c>
      <c r="B436" s="135" t="s">
        <v>396</v>
      </c>
      <c r="C436" s="78" t="s">
        <v>7</v>
      </c>
      <c r="D436" s="73">
        <f>E436+F436+G436+H436+I436+J436+K436+L436+M436+N436+O436</f>
        <v>57.699999999999996</v>
      </c>
      <c r="E436" s="73">
        <f>SUM(E437:E440)</f>
        <v>0</v>
      </c>
      <c r="F436" s="73">
        <f t="shared" ref="F436:O436" si="191">SUM(F437:F440)</f>
        <v>0</v>
      </c>
      <c r="G436" s="73">
        <f t="shared" si="191"/>
        <v>0</v>
      </c>
      <c r="H436" s="73">
        <f t="shared" si="191"/>
        <v>0</v>
      </c>
      <c r="I436" s="73">
        <f t="shared" si="191"/>
        <v>0</v>
      </c>
      <c r="J436" s="73">
        <f t="shared" si="191"/>
        <v>0</v>
      </c>
      <c r="K436" s="73">
        <f t="shared" si="191"/>
        <v>0</v>
      </c>
      <c r="L436" s="73">
        <f t="shared" si="191"/>
        <v>20</v>
      </c>
      <c r="M436" s="73">
        <f t="shared" si="191"/>
        <v>11.299999999999999</v>
      </c>
      <c r="N436" s="73">
        <f t="shared" si="191"/>
        <v>13.3</v>
      </c>
      <c r="O436" s="73">
        <f t="shared" si="191"/>
        <v>13.1</v>
      </c>
    </row>
    <row r="437" spans="1:15" ht="23.25" customHeight="1" x14ac:dyDescent="0.2">
      <c r="A437" s="135"/>
      <c r="B437" s="135"/>
      <c r="C437" s="78" t="s">
        <v>10</v>
      </c>
      <c r="D437" s="73">
        <f t="shared" ref="D437:D440" si="192">E437+F437+G437+H437+I437+J437+K437+L437+M437+N437+O437</f>
        <v>0</v>
      </c>
      <c r="E437" s="73">
        <v>0</v>
      </c>
      <c r="F437" s="73">
        <v>0</v>
      </c>
      <c r="G437" s="73">
        <v>0</v>
      </c>
      <c r="H437" s="73">
        <v>0</v>
      </c>
      <c r="I437" s="73">
        <v>0</v>
      </c>
      <c r="J437" s="73">
        <v>0</v>
      </c>
      <c r="K437" s="73">
        <v>0</v>
      </c>
      <c r="L437" s="73">
        <v>0</v>
      </c>
      <c r="M437" s="73">
        <v>0</v>
      </c>
      <c r="N437" s="73">
        <v>0</v>
      </c>
      <c r="O437" s="73">
        <v>0</v>
      </c>
    </row>
    <row r="438" spans="1:15" ht="23.25" customHeight="1" x14ac:dyDescent="0.2">
      <c r="A438" s="135"/>
      <c r="B438" s="135"/>
      <c r="C438" s="78" t="s">
        <v>11</v>
      </c>
      <c r="D438" s="73">
        <f t="shared" si="192"/>
        <v>0</v>
      </c>
      <c r="E438" s="73">
        <v>0</v>
      </c>
      <c r="F438" s="73">
        <v>0</v>
      </c>
      <c r="G438" s="73">
        <v>0</v>
      </c>
      <c r="H438" s="73">
        <v>0</v>
      </c>
      <c r="I438" s="73">
        <v>0</v>
      </c>
      <c r="J438" s="73">
        <v>0</v>
      </c>
      <c r="K438" s="73">
        <v>0</v>
      </c>
      <c r="L438" s="73">
        <v>0</v>
      </c>
      <c r="M438" s="73">
        <v>0</v>
      </c>
      <c r="N438" s="73">
        <v>0</v>
      </c>
      <c r="O438" s="73">
        <v>0</v>
      </c>
    </row>
    <row r="439" spans="1:15" ht="23.25" customHeight="1" x14ac:dyDescent="0.2">
      <c r="A439" s="135"/>
      <c r="B439" s="135"/>
      <c r="C439" s="78" t="s">
        <v>12</v>
      </c>
      <c r="D439" s="73">
        <f t="shared" si="192"/>
        <v>57.699999999999996</v>
      </c>
      <c r="E439" s="73">
        <v>0</v>
      </c>
      <c r="F439" s="73">
        <v>0</v>
      </c>
      <c r="G439" s="73">
        <v>0</v>
      </c>
      <c r="H439" s="73">
        <v>0</v>
      </c>
      <c r="I439" s="73">
        <v>0</v>
      </c>
      <c r="J439" s="73">
        <v>0</v>
      </c>
      <c r="K439" s="73">
        <f>550.5-550.5</f>
        <v>0</v>
      </c>
      <c r="L439" s="73">
        <f>20</f>
        <v>20</v>
      </c>
      <c r="M439" s="73">
        <f>21.2-9.9</f>
        <v>11.299999999999999</v>
      </c>
      <c r="N439" s="73">
        <f>21.3-8</f>
        <v>13.3</v>
      </c>
      <c r="O439" s="73">
        <v>13.1</v>
      </c>
    </row>
    <row r="440" spans="1:15" ht="23.25" customHeight="1" x14ac:dyDescent="0.2">
      <c r="A440" s="135"/>
      <c r="B440" s="135"/>
      <c r="C440" s="80" t="s">
        <v>13</v>
      </c>
      <c r="D440" s="73">
        <f t="shared" si="192"/>
        <v>0</v>
      </c>
      <c r="E440" s="73">
        <v>0</v>
      </c>
      <c r="F440" s="73">
        <v>0</v>
      </c>
      <c r="G440" s="73">
        <v>0</v>
      </c>
      <c r="H440" s="73">
        <v>0</v>
      </c>
      <c r="I440" s="73">
        <v>0</v>
      </c>
      <c r="J440" s="73">
        <v>0</v>
      </c>
      <c r="K440" s="73">
        <v>0</v>
      </c>
      <c r="L440" s="73">
        <v>0</v>
      </c>
      <c r="M440" s="73">
        <v>0</v>
      </c>
      <c r="N440" s="73">
        <v>0</v>
      </c>
      <c r="O440" s="73">
        <v>0</v>
      </c>
    </row>
    <row r="441" spans="1:15" ht="23.25" hidden="1" customHeight="1" x14ac:dyDescent="0.2">
      <c r="A441" s="135" t="s">
        <v>444</v>
      </c>
      <c r="B441" s="135" t="s">
        <v>445</v>
      </c>
      <c r="C441" s="78" t="s">
        <v>7</v>
      </c>
      <c r="D441" s="73">
        <f>E441+F441+G441+H441+I441+J441+K441+L441+M441+N441+O441</f>
        <v>0</v>
      </c>
      <c r="E441" s="73">
        <f>SUM(E442:E445)</f>
        <v>0</v>
      </c>
      <c r="F441" s="73">
        <f t="shared" ref="F441:O441" si="193">SUM(F442:F445)</f>
        <v>0</v>
      </c>
      <c r="G441" s="73">
        <f t="shared" si="193"/>
        <v>0</v>
      </c>
      <c r="H441" s="73">
        <f t="shared" si="193"/>
        <v>0</v>
      </c>
      <c r="I441" s="73">
        <f t="shared" si="193"/>
        <v>0</v>
      </c>
      <c r="J441" s="73">
        <f t="shared" si="193"/>
        <v>0</v>
      </c>
      <c r="K441" s="73">
        <f t="shared" si="193"/>
        <v>0</v>
      </c>
      <c r="L441" s="73">
        <f t="shared" si="193"/>
        <v>0</v>
      </c>
      <c r="M441" s="73">
        <f t="shared" si="193"/>
        <v>0</v>
      </c>
      <c r="N441" s="73">
        <f t="shared" si="193"/>
        <v>0</v>
      </c>
      <c r="O441" s="73">
        <f t="shared" si="193"/>
        <v>0</v>
      </c>
    </row>
    <row r="442" spans="1:15" ht="23.25" hidden="1" customHeight="1" x14ac:dyDescent="0.2">
      <c r="A442" s="135"/>
      <c r="B442" s="135"/>
      <c r="C442" s="78" t="s">
        <v>10</v>
      </c>
      <c r="D442" s="73">
        <f t="shared" ref="D442:D445" si="194">E442+F442+G442+H442+I442+J442+K442+L442+M442+N442+O442</f>
        <v>0</v>
      </c>
      <c r="E442" s="73">
        <v>0</v>
      </c>
      <c r="F442" s="73">
        <v>0</v>
      </c>
      <c r="G442" s="73">
        <v>0</v>
      </c>
      <c r="H442" s="73">
        <v>0</v>
      </c>
      <c r="I442" s="73">
        <v>0</v>
      </c>
      <c r="J442" s="73">
        <v>0</v>
      </c>
      <c r="K442" s="73">
        <v>0</v>
      </c>
      <c r="L442" s="73">
        <v>0</v>
      </c>
      <c r="M442" s="73">
        <v>0</v>
      </c>
      <c r="N442" s="73">
        <v>0</v>
      </c>
      <c r="O442" s="73">
        <v>0</v>
      </c>
    </row>
    <row r="443" spans="1:15" ht="23.25" hidden="1" customHeight="1" x14ac:dyDescent="0.2">
      <c r="A443" s="135"/>
      <c r="B443" s="135"/>
      <c r="C443" s="78" t="s">
        <v>11</v>
      </c>
      <c r="D443" s="73">
        <f t="shared" si="194"/>
        <v>0</v>
      </c>
      <c r="E443" s="73">
        <v>0</v>
      </c>
      <c r="F443" s="73">
        <v>0</v>
      </c>
      <c r="G443" s="73">
        <v>0</v>
      </c>
      <c r="H443" s="73">
        <v>0</v>
      </c>
      <c r="I443" s="73">
        <v>0</v>
      </c>
      <c r="J443" s="73">
        <v>0</v>
      </c>
      <c r="K443" s="73">
        <v>0</v>
      </c>
      <c r="L443" s="73">
        <v>0</v>
      </c>
      <c r="M443" s="73">
        <v>0</v>
      </c>
      <c r="N443" s="73">
        <v>0</v>
      </c>
      <c r="O443" s="73">
        <v>0</v>
      </c>
    </row>
    <row r="444" spans="1:15" ht="23.25" hidden="1" customHeight="1" x14ac:dyDescent="0.2">
      <c r="A444" s="135"/>
      <c r="B444" s="135"/>
      <c r="C444" s="78" t="s">
        <v>12</v>
      </c>
      <c r="D444" s="73">
        <f t="shared" si="194"/>
        <v>0</v>
      </c>
      <c r="E444" s="73">
        <v>0</v>
      </c>
      <c r="F444" s="73">
        <v>0</v>
      </c>
      <c r="G444" s="73">
        <v>0</v>
      </c>
      <c r="H444" s="73">
        <v>0</v>
      </c>
      <c r="I444" s="73">
        <v>0</v>
      </c>
      <c r="J444" s="73">
        <v>0</v>
      </c>
      <c r="K444" s="73">
        <f>550.5-550.5</f>
        <v>0</v>
      </c>
      <c r="L444" s="73">
        <v>0</v>
      </c>
      <c r="M444" s="73">
        <f>650-650</f>
        <v>0</v>
      </c>
      <c r="N444" s="73">
        <v>0</v>
      </c>
      <c r="O444" s="73">
        <v>0</v>
      </c>
    </row>
    <row r="445" spans="1:15" ht="23.25" hidden="1" customHeight="1" x14ac:dyDescent="0.2">
      <c r="A445" s="135"/>
      <c r="B445" s="135"/>
      <c r="C445" s="80" t="s">
        <v>13</v>
      </c>
      <c r="D445" s="73">
        <f t="shared" si="194"/>
        <v>0</v>
      </c>
      <c r="E445" s="73">
        <v>0</v>
      </c>
      <c r="F445" s="73">
        <v>0</v>
      </c>
      <c r="G445" s="73">
        <v>0</v>
      </c>
      <c r="H445" s="73">
        <v>0</v>
      </c>
      <c r="I445" s="73">
        <v>0</v>
      </c>
      <c r="J445" s="73">
        <v>0</v>
      </c>
      <c r="K445" s="73">
        <v>0</v>
      </c>
      <c r="L445" s="73">
        <v>0</v>
      </c>
      <c r="M445" s="73">
        <v>0</v>
      </c>
      <c r="N445" s="73">
        <v>0</v>
      </c>
      <c r="O445" s="73">
        <v>0</v>
      </c>
    </row>
    <row r="446" spans="1:15" ht="15.75" x14ac:dyDescent="0.2">
      <c r="A446" s="135" t="s">
        <v>149</v>
      </c>
      <c r="B446" s="143" t="s">
        <v>379</v>
      </c>
      <c r="C446" s="78" t="s">
        <v>7</v>
      </c>
      <c r="D446" s="73">
        <f>E446+F446+G446+H446+I446+J446+K446+L446+M446+N446+O446</f>
        <v>39329.599999999991</v>
      </c>
      <c r="E446" s="73">
        <f>E447+E448+E449+E451</f>
        <v>3741.9</v>
      </c>
      <c r="F446" s="73">
        <f t="shared" ref="F446:O446" si="195">F447+F448+F449+F451</f>
        <v>2450</v>
      </c>
      <c r="G446" s="73">
        <f t="shared" si="195"/>
        <v>2262.1</v>
      </c>
      <c r="H446" s="73">
        <f t="shared" si="195"/>
        <v>1999</v>
      </c>
      <c r="I446" s="73">
        <f t="shared" si="195"/>
        <v>13558.599999999999</v>
      </c>
      <c r="J446" s="73">
        <f>J447+J448+J449+J451</f>
        <v>8475.2999999999993</v>
      </c>
      <c r="K446" s="73">
        <f t="shared" si="195"/>
        <v>5424.9</v>
      </c>
      <c r="L446" s="73">
        <f t="shared" si="195"/>
        <v>1285.4000000000003</v>
      </c>
      <c r="M446" s="73">
        <f t="shared" si="195"/>
        <v>0</v>
      </c>
      <c r="N446" s="73">
        <f t="shared" si="195"/>
        <v>66.7</v>
      </c>
      <c r="O446" s="73">
        <f t="shared" si="195"/>
        <v>65.699999999999989</v>
      </c>
    </row>
    <row r="447" spans="1:15" ht="15.75" x14ac:dyDescent="0.2">
      <c r="A447" s="135"/>
      <c r="B447" s="143"/>
      <c r="C447" s="78" t="s">
        <v>10</v>
      </c>
      <c r="D447" s="73">
        <f t="shared" si="178"/>
        <v>0</v>
      </c>
      <c r="E447" s="73">
        <f>E453+E460+E465</f>
        <v>0</v>
      </c>
      <c r="F447" s="73">
        <f t="shared" ref="F447:O447" si="196">F453+F460+F465</f>
        <v>0</v>
      </c>
      <c r="G447" s="73">
        <f t="shared" si="196"/>
        <v>0</v>
      </c>
      <c r="H447" s="73">
        <f t="shared" si="196"/>
        <v>0</v>
      </c>
      <c r="I447" s="73">
        <f t="shared" si="196"/>
        <v>0</v>
      </c>
      <c r="J447" s="73">
        <f t="shared" si="196"/>
        <v>0</v>
      </c>
      <c r="K447" s="73">
        <f t="shared" si="196"/>
        <v>0</v>
      </c>
      <c r="L447" s="73">
        <f t="shared" si="196"/>
        <v>0</v>
      </c>
      <c r="M447" s="73">
        <f t="shared" si="196"/>
        <v>0</v>
      </c>
      <c r="N447" s="73">
        <f t="shared" si="196"/>
        <v>0</v>
      </c>
      <c r="O447" s="73">
        <f t="shared" si="196"/>
        <v>0</v>
      </c>
    </row>
    <row r="448" spans="1:15" ht="15.75" x14ac:dyDescent="0.2">
      <c r="A448" s="135"/>
      <c r="B448" s="143"/>
      <c r="C448" s="78" t="s">
        <v>11</v>
      </c>
      <c r="D448" s="73">
        <f t="shared" si="178"/>
        <v>22235.8</v>
      </c>
      <c r="E448" s="73">
        <f t="shared" ref="E448:O448" si="197">E454+E461+E466</f>
        <v>0</v>
      </c>
      <c r="F448" s="73">
        <f t="shared" si="197"/>
        <v>0</v>
      </c>
      <c r="G448" s="73">
        <f t="shared" si="197"/>
        <v>0</v>
      </c>
      <c r="H448" s="73">
        <f t="shared" si="197"/>
        <v>0</v>
      </c>
      <c r="I448" s="73">
        <f>I454+I461+I466</f>
        <v>11234.3</v>
      </c>
      <c r="J448" s="73">
        <f>J454+J461+J466+J471</f>
        <v>7403.7</v>
      </c>
      <c r="K448" s="73">
        <f t="shared" si="197"/>
        <v>3597.8</v>
      </c>
      <c r="L448" s="73">
        <f t="shared" si="197"/>
        <v>0</v>
      </c>
      <c r="M448" s="73">
        <f t="shared" si="197"/>
        <v>0</v>
      </c>
      <c r="N448" s="73">
        <f t="shared" si="197"/>
        <v>0</v>
      </c>
      <c r="O448" s="73">
        <f t="shared" si="197"/>
        <v>0</v>
      </c>
    </row>
    <row r="449" spans="1:15" ht="31.5" x14ac:dyDescent="0.2">
      <c r="A449" s="135"/>
      <c r="B449" s="143"/>
      <c r="C449" s="78" t="s">
        <v>65</v>
      </c>
      <c r="D449" s="73">
        <f t="shared" si="178"/>
        <v>17093.800000000003</v>
      </c>
      <c r="E449" s="73">
        <f>E455+E462+E467+E472</f>
        <v>3741.9</v>
      </c>
      <c r="F449" s="73">
        <f t="shared" ref="F449:J449" si="198">F455+F462+F467+F472</f>
        <v>2450</v>
      </c>
      <c r="G449" s="73">
        <f t="shared" si="198"/>
        <v>2262.1</v>
      </c>
      <c r="H449" s="73">
        <f t="shared" si="198"/>
        <v>1999</v>
      </c>
      <c r="I449" s="73">
        <f>I455+I462+I467+I472</f>
        <v>2324.3000000000002</v>
      </c>
      <c r="J449" s="73">
        <f t="shared" si="198"/>
        <v>1071.5999999999999</v>
      </c>
      <c r="K449" s="73">
        <f>K455+K462+K467+K472+K477</f>
        <v>1827.1</v>
      </c>
      <c r="L449" s="73">
        <f>L455+L462+L467+L472+L477+L482</f>
        <v>1285.4000000000003</v>
      </c>
      <c r="M449" s="73">
        <f t="shared" ref="M449:O449" si="199">M455+M462+M467+M472+M477</f>
        <v>0</v>
      </c>
      <c r="N449" s="73">
        <f t="shared" si="199"/>
        <v>66.7</v>
      </c>
      <c r="O449" s="73">
        <f t="shared" si="199"/>
        <v>65.699999999999989</v>
      </c>
    </row>
    <row r="450" spans="1:15" ht="31.5" x14ac:dyDescent="0.2">
      <c r="A450" s="135"/>
      <c r="B450" s="143"/>
      <c r="C450" s="79" t="s">
        <v>79</v>
      </c>
      <c r="D450" s="73">
        <f t="shared" si="178"/>
        <v>3631.3</v>
      </c>
      <c r="E450" s="73">
        <f t="shared" ref="E450:K450" si="200">E456+E463+E468</f>
        <v>2932.6</v>
      </c>
      <c r="F450" s="73">
        <f t="shared" si="200"/>
        <v>0</v>
      </c>
      <c r="G450" s="73">
        <f t="shared" si="200"/>
        <v>0</v>
      </c>
      <c r="H450" s="73">
        <f t="shared" si="200"/>
        <v>0</v>
      </c>
      <c r="I450" s="73">
        <f>I456+I463+I468</f>
        <v>698.7</v>
      </c>
      <c r="J450" s="73">
        <f t="shared" si="200"/>
        <v>0</v>
      </c>
      <c r="K450" s="73">
        <f t="shared" si="200"/>
        <v>0</v>
      </c>
      <c r="L450" s="73">
        <f>L456+L463+L468</f>
        <v>0</v>
      </c>
      <c r="M450" s="73">
        <f>M456+M463+M468</f>
        <v>0</v>
      </c>
      <c r="N450" s="73">
        <f>N456+N463+N468</f>
        <v>0</v>
      </c>
      <c r="O450" s="73">
        <f>O456+O463+O468</f>
        <v>0</v>
      </c>
    </row>
    <row r="451" spans="1:15" ht="39" customHeight="1" x14ac:dyDescent="0.2">
      <c r="A451" s="135"/>
      <c r="B451" s="143"/>
      <c r="C451" s="78" t="s">
        <v>13</v>
      </c>
      <c r="D451" s="73">
        <f t="shared" si="178"/>
        <v>0</v>
      </c>
      <c r="E451" s="73">
        <v>0</v>
      </c>
      <c r="F451" s="73">
        <v>0</v>
      </c>
      <c r="G451" s="73">
        <v>0</v>
      </c>
      <c r="H451" s="73">
        <v>0</v>
      </c>
      <c r="I451" s="73">
        <v>0</v>
      </c>
      <c r="J451" s="73">
        <v>0</v>
      </c>
      <c r="K451" s="73">
        <v>0</v>
      </c>
      <c r="L451" s="73">
        <v>0</v>
      </c>
      <c r="M451" s="73">
        <v>0</v>
      </c>
      <c r="N451" s="73">
        <v>0</v>
      </c>
      <c r="O451" s="73">
        <v>0</v>
      </c>
    </row>
    <row r="452" spans="1:15" ht="15.75" x14ac:dyDescent="0.2">
      <c r="A452" s="135" t="s">
        <v>150</v>
      </c>
      <c r="B452" s="143" t="s">
        <v>45</v>
      </c>
      <c r="C452" s="78" t="s">
        <v>7</v>
      </c>
      <c r="D452" s="73">
        <f t="shared" si="178"/>
        <v>11185.6</v>
      </c>
      <c r="E452" s="73">
        <f t="shared" ref="E452:O452" si="201">E453+E454+E455+E458</f>
        <v>3437.4</v>
      </c>
      <c r="F452" s="73">
        <f t="shared" si="201"/>
        <v>2000</v>
      </c>
      <c r="G452" s="73">
        <f t="shared" si="201"/>
        <v>2000</v>
      </c>
      <c r="H452" s="73">
        <f t="shared" si="201"/>
        <v>1905.6</v>
      </c>
      <c r="I452" s="73">
        <f t="shared" si="201"/>
        <v>698.69999999999993</v>
      </c>
      <c r="J452" s="73">
        <f t="shared" si="201"/>
        <v>599</v>
      </c>
      <c r="K452" s="73">
        <f t="shared" si="201"/>
        <v>544.9</v>
      </c>
      <c r="L452" s="73">
        <f t="shared" si="201"/>
        <v>0</v>
      </c>
      <c r="M452" s="73">
        <f t="shared" si="201"/>
        <v>0</v>
      </c>
      <c r="N452" s="73">
        <f t="shared" si="201"/>
        <v>0</v>
      </c>
      <c r="O452" s="73">
        <f t="shared" si="201"/>
        <v>0</v>
      </c>
    </row>
    <row r="453" spans="1:15" ht="15.75" customHeight="1" x14ac:dyDescent="0.2">
      <c r="A453" s="135"/>
      <c r="B453" s="143"/>
      <c r="C453" s="78" t="s">
        <v>10</v>
      </c>
      <c r="D453" s="73">
        <f t="shared" ref="D453:D458" si="202">E453+F453+G453+H453+I453+J453+K453+L453+M453+N453+O453</f>
        <v>0</v>
      </c>
      <c r="E453" s="73">
        <v>0</v>
      </c>
      <c r="F453" s="73">
        <v>0</v>
      </c>
      <c r="G453" s="73">
        <v>0</v>
      </c>
      <c r="H453" s="73">
        <v>0</v>
      </c>
      <c r="I453" s="73">
        <v>0</v>
      </c>
      <c r="J453" s="73">
        <v>0</v>
      </c>
      <c r="K453" s="73">
        <v>0</v>
      </c>
      <c r="L453" s="73">
        <v>0</v>
      </c>
      <c r="M453" s="73">
        <v>0</v>
      </c>
      <c r="N453" s="73">
        <v>0</v>
      </c>
      <c r="O453" s="73">
        <v>0</v>
      </c>
    </row>
    <row r="454" spans="1:15" ht="15.75" customHeight="1" x14ac:dyDescent="0.2">
      <c r="A454" s="135"/>
      <c r="B454" s="143"/>
      <c r="C454" s="78" t="s">
        <v>11</v>
      </c>
      <c r="D454" s="73">
        <f t="shared" si="202"/>
        <v>0</v>
      </c>
      <c r="E454" s="73">
        <v>0</v>
      </c>
      <c r="F454" s="73">
        <v>0</v>
      </c>
      <c r="G454" s="73">
        <v>0</v>
      </c>
      <c r="H454" s="73">
        <v>0</v>
      </c>
      <c r="I454" s="73">
        <v>0</v>
      </c>
      <c r="J454" s="73">
        <v>0</v>
      </c>
      <c r="K454" s="73">
        <v>0</v>
      </c>
      <c r="L454" s="73">
        <v>0</v>
      </c>
      <c r="M454" s="73">
        <v>0</v>
      </c>
      <c r="N454" s="73">
        <v>0</v>
      </c>
      <c r="O454" s="73">
        <v>0</v>
      </c>
    </row>
    <row r="455" spans="1:15" ht="31.5" x14ac:dyDescent="0.2">
      <c r="A455" s="135"/>
      <c r="B455" s="143"/>
      <c r="C455" s="78" t="s">
        <v>65</v>
      </c>
      <c r="D455" s="73">
        <f t="shared" si="202"/>
        <v>11185.6</v>
      </c>
      <c r="E455" s="73">
        <v>3437.4</v>
      </c>
      <c r="F455" s="73">
        <v>2000</v>
      </c>
      <c r="G455" s="73">
        <v>2000</v>
      </c>
      <c r="H455" s="73">
        <v>1905.6</v>
      </c>
      <c r="I455" s="73">
        <f>734.4-35.7</f>
        <v>698.69999999999993</v>
      </c>
      <c r="J455" s="73">
        <f>1907.8-800-508.8</f>
        <v>599</v>
      </c>
      <c r="K455" s="73">
        <f>775.5-230.6</f>
        <v>544.9</v>
      </c>
      <c r="L455" s="73">
        <f>181.4-181.4+181.4-181.4</f>
        <v>0</v>
      </c>
      <c r="M455" s="73">
        <f>192.3-192.3</f>
        <v>0</v>
      </c>
      <c r="N455" s="73">
        <f>193.3-193.3</f>
        <v>0</v>
      </c>
      <c r="O455" s="73">
        <f>866.6-866.6</f>
        <v>0</v>
      </c>
    </row>
    <row r="456" spans="1:15" ht="31.5" x14ac:dyDescent="0.2">
      <c r="A456" s="135"/>
      <c r="B456" s="143"/>
      <c r="C456" s="79" t="s">
        <v>79</v>
      </c>
      <c r="D456" s="73">
        <f t="shared" si="202"/>
        <v>3631.3</v>
      </c>
      <c r="E456" s="75">
        <v>2932.6</v>
      </c>
      <c r="F456" s="75">
        <v>0</v>
      </c>
      <c r="G456" s="75">
        <v>0</v>
      </c>
      <c r="H456" s="75">
        <v>0</v>
      </c>
      <c r="I456" s="75">
        <v>698.7</v>
      </c>
      <c r="J456" s="75">
        <v>0</v>
      </c>
      <c r="K456" s="75">
        <v>0</v>
      </c>
      <c r="L456" s="75">
        <v>0</v>
      </c>
      <c r="M456" s="75">
        <v>0</v>
      </c>
      <c r="N456" s="75">
        <v>0</v>
      </c>
      <c r="O456" s="75">
        <v>0</v>
      </c>
    </row>
    <row r="457" spans="1:15" ht="31.5" x14ac:dyDescent="0.2">
      <c r="A457" s="135"/>
      <c r="B457" s="143"/>
      <c r="C457" s="79" t="s">
        <v>81</v>
      </c>
      <c r="D457" s="73">
        <f t="shared" si="202"/>
        <v>475.5</v>
      </c>
      <c r="E457" s="73">
        <v>0</v>
      </c>
      <c r="F457" s="73">
        <v>0</v>
      </c>
      <c r="G457" s="73">
        <v>0</v>
      </c>
      <c r="H457" s="73">
        <v>475.5</v>
      </c>
      <c r="I457" s="73">
        <v>0</v>
      </c>
      <c r="J457" s="73">
        <v>0</v>
      </c>
      <c r="K457" s="73">
        <v>0</v>
      </c>
      <c r="L457" s="73">
        <v>0</v>
      </c>
      <c r="M457" s="73">
        <v>0</v>
      </c>
      <c r="N457" s="73">
        <v>0</v>
      </c>
      <c r="O457" s="73">
        <v>0</v>
      </c>
    </row>
    <row r="458" spans="1:15" ht="40.5" customHeight="1" x14ac:dyDescent="0.2">
      <c r="A458" s="135"/>
      <c r="B458" s="143"/>
      <c r="C458" s="78" t="s">
        <v>13</v>
      </c>
      <c r="D458" s="73">
        <f t="shared" si="202"/>
        <v>0</v>
      </c>
      <c r="E458" s="73">
        <v>0</v>
      </c>
      <c r="F458" s="73">
        <v>0</v>
      </c>
      <c r="G458" s="73">
        <v>0</v>
      </c>
      <c r="H458" s="73">
        <v>0</v>
      </c>
      <c r="I458" s="73">
        <v>0</v>
      </c>
      <c r="J458" s="73">
        <v>0</v>
      </c>
      <c r="K458" s="73">
        <v>0</v>
      </c>
      <c r="L458" s="73">
        <v>0</v>
      </c>
      <c r="M458" s="73">
        <v>0</v>
      </c>
      <c r="N458" s="73">
        <v>0</v>
      </c>
      <c r="O458" s="73">
        <v>0</v>
      </c>
    </row>
    <row r="459" spans="1:15" ht="21" customHeight="1" x14ac:dyDescent="0.2">
      <c r="A459" s="135" t="s">
        <v>151</v>
      </c>
      <c r="B459" s="143" t="s">
        <v>50</v>
      </c>
      <c r="C459" s="78" t="s">
        <v>7</v>
      </c>
      <c r="D459" s="73">
        <f t="shared" ref="D459:D512" si="203">E459+F459+G459+H459+I459+J459+K459+L459+M459+N459+O459</f>
        <v>1588.8000000000002</v>
      </c>
      <c r="E459" s="73">
        <f t="shared" ref="E459:O459" si="204">E460+E461+E462+E463</f>
        <v>304.5</v>
      </c>
      <c r="F459" s="73">
        <f t="shared" si="204"/>
        <v>450</v>
      </c>
      <c r="G459" s="73">
        <f t="shared" si="204"/>
        <v>262.10000000000002</v>
      </c>
      <c r="H459" s="73">
        <f t="shared" si="204"/>
        <v>93.4</v>
      </c>
      <c r="I459" s="73">
        <f t="shared" si="204"/>
        <v>346.4</v>
      </c>
      <c r="J459" s="73">
        <f t="shared" si="204"/>
        <v>0</v>
      </c>
      <c r="K459" s="73">
        <f t="shared" si="204"/>
        <v>0</v>
      </c>
      <c r="L459" s="73">
        <f t="shared" si="204"/>
        <v>0</v>
      </c>
      <c r="M459" s="73">
        <f t="shared" si="204"/>
        <v>0</v>
      </c>
      <c r="N459" s="73">
        <f t="shared" si="204"/>
        <v>66.7</v>
      </c>
      <c r="O459" s="73">
        <f t="shared" si="204"/>
        <v>65.699999999999989</v>
      </c>
    </row>
    <row r="460" spans="1:15" ht="17.25" customHeight="1" x14ac:dyDescent="0.2">
      <c r="A460" s="135"/>
      <c r="B460" s="143"/>
      <c r="C460" s="78" t="s">
        <v>10</v>
      </c>
      <c r="D460" s="73">
        <f t="shared" si="203"/>
        <v>0</v>
      </c>
      <c r="E460" s="73">
        <v>0</v>
      </c>
      <c r="F460" s="73">
        <v>0</v>
      </c>
      <c r="G460" s="73">
        <v>0</v>
      </c>
      <c r="H460" s="73">
        <v>0</v>
      </c>
      <c r="I460" s="73">
        <v>0</v>
      </c>
      <c r="J460" s="73">
        <v>0</v>
      </c>
      <c r="K460" s="73">
        <v>0</v>
      </c>
      <c r="L460" s="73">
        <v>0</v>
      </c>
      <c r="M460" s="73">
        <v>0</v>
      </c>
      <c r="N460" s="73">
        <v>0</v>
      </c>
      <c r="O460" s="73">
        <v>0</v>
      </c>
    </row>
    <row r="461" spans="1:15" ht="17.25" customHeight="1" x14ac:dyDescent="0.2">
      <c r="A461" s="135"/>
      <c r="B461" s="143"/>
      <c r="C461" s="78" t="s">
        <v>11</v>
      </c>
      <c r="D461" s="73">
        <f t="shared" si="203"/>
        <v>0</v>
      </c>
      <c r="E461" s="73">
        <v>0</v>
      </c>
      <c r="F461" s="73">
        <v>0</v>
      </c>
      <c r="G461" s="73">
        <v>0</v>
      </c>
      <c r="H461" s="73">
        <v>0</v>
      </c>
      <c r="I461" s="73">
        <v>0</v>
      </c>
      <c r="J461" s="73">
        <v>0</v>
      </c>
      <c r="K461" s="73">
        <v>0</v>
      </c>
      <c r="L461" s="73">
        <v>0</v>
      </c>
      <c r="M461" s="73">
        <v>0</v>
      </c>
      <c r="N461" s="73">
        <v>0</v>
      </c>
      <c r="O461" s="73">
        <v>0</v>
      </c>
    </row>
    <row r="462" spans="1:15" ht="21" customHeight="1" x14ac:dyDescent="0.2">
      <c r="A462" s="135"/>
      <c r="B462" s="143"/>
      <c r="C462" s="78" t="s">
        <v>12</v>
      </c>
      <c r="D462" s="73">
        <f t="shared" si="203"/>
        <v>1588.8000000000002</v>
      </c>
      <c r="E462" s="73">
        <v>304.5</v>
      </c>
      <c r="F462" s="73">
        <v>450</v>
      </c>
      <c r="G462" s="73">
        <v>262.10000000000002</v>
      </c>
      <c r="H462" s="73">
        <v>93.4</v>
      </c>
      <c r="I462" s="73">
        <f>504.9-158.5</f>
        <v>346.4</v>
      </c>
      <c r="J462" s="73">
        <f>227.7-227.7</f>
        <v>0</v>
      </c>
      <c r="K462" s="73">
        <f>420-320-100</f>
        <v>0</v>
      </c>
      <c r="L462" s="73">
        <f>56.6-56.6+56.6-56.6</f>
        <v>0</v>
      </c>
      <c r="M462" s="73">
        <f>75-4.2-70.8+70.8-70.8</f>
        <v>0</v>
      </c>
      <c r="N462" s="73">
        <f>60.3+6.4</f>
        <v>66.7</v>
      </c>
      <c r="O462" s="73">
        <f>139.2-73.5</f>
        <v>65.699999999999989</v>
      </c>
    </row>
    <row r="463" spans="1:15" ht="37.5" customHeight="1" x14ac:dyDescent="0.2">
      <c r="A463" s="135"/>
      <c r="B463" s="143"/>
      <c r="C463" s="78" t="s">
        <v>13</v>
      </c>
      <c r="D463" s="73">
        <f t="shared" si="203"/>
        <v>0</v>
      </c>
      <c r="E463" s="73">
        <v>0</v>
      </c>
      <c r="F463" s="73">
        <v>0</v>
      </c>
      <c r="G463" s="73">
        <v>0</v>
      </c>
      <c r="H463" s="73">
        <v>0</v>
      </c>
      <c r="I463" s="73">
        <v>0</v>
      </c>
      <c r="J463" s="73">
        <v>0</v>
      </c>
      <c r="K463" s="73">
        <v>0</v>
      </c>
      <c r="L463" s="73">
        <v>0</v>
      </c>
      <c r="M463" s="73">
        <v>0</v>
      </c>
      <c r="N463" s="73">
        <v>0</v>
      </c>
      <c r="O463" s="73">
        <v>0</v>
      </c>
    </row>
    <row r="464" spans="1:15" ht="15.75" x14ac:dyDescent="0.2">
      <c r="A464" s="135" t="s">
        <v>276</v>
      </c>
      <c r="B464" s="143" t="s">
        <v>274</v>
      </c>
      <c r="C464" s="89" t="s">
        <v>7</v>
      </c>
      <c r="D464" s="88">
        <f t="shared" si="203"/>
        <v>24217.200000000001</v>
      </c>
      <c r="E464" s="88">
        <f>E465+E466+E467+E468</f>
        <v>0</v>
      </c>
      <c r="F464" s="88">
        <f t="shared" ref="F464:O464" si="205">F465+F466+F467+F468</f>
        <v>0</v>
      </c>
      <c r="G464" s="88">
        <f t="shared" si="205"/>
        <v>0</v>
      </c>
      <c r="H464" s="88">
        <f t="shared" si="205"/>
        <v>0</v>
      </c>
      <c r="I464" s="88">
        <f t="shared" si="205"/>
        <v>12513.5</v>
      </c>
      <c r="J464" s="88">
        <f t="shared" si="205"/>
        <v>7876.2999999999993</v>
      </c>
      <c r="K464" s="88">
        <f t="shared" si="205"/>
        <v>3827.4</v>
      </c>
      <c r="L464" s="88">
        <f t="shared" si="205"/>
        <v>0</v>
      </c>
      <c r="M464" s="88">
        <f t="shared" si="205"/>
        <v>0</v>
      </c>
      <c r="N464" s="88">
        <f t="shared" si="205"/>
        <v>0</v>
      </c>
      <c r="O464" s="88">
        <f t="shared" si="205"/>
        <v>0</v>
      </c>
    </row>
    <row r="465" spans="1:15" ht="15.75" x14ac:dyDescent="0.2">
      <c r="A465" s="135"/>
      <c r="B465" s="144"/>
      <c r="C465" s="80" t="s">
        <v>10</v>
      </c>
      <c r="D465" s="88">
        <f t="shared" si="203"/>
        <v>0</v>
      </c>
      <c r="E465" s="88">
        <v>0</v>
      </c>
      <c r="F465" s="88">
        <v>0</v>
      </c>
      <c r="G465" s="88">
        <v>0</v>
      </c>
      <c r="H465" s="88">
        <v>0</v>
      </c>
      <c r="I465" s="88">
        <v>0</v>
      </c>
      <c r="J465" s="88">
        <v>0</v>
      </c>
      <c r="K465" s="88">
        <v>0</v>
      </c>
      <c r="L465" s="88">
        <v>0</v>
      </c>
      <c r="M465" s="88">
        <v>0</v>
      </c>
      <c r="N465" s="88">
        <v>0</v>
      </c>
      <c r="O465" s="88">
        <v>0</v>
      </c>
    </row>
    <row r="466" spans="1:15" ht="15.75" x14ac:dyDescent="0.2">
      <c r="A466" s="135"/>
      <c r="B466" s="144"/>
      <c r="C466" s="80" t="s">
        <v>11</v>
      </c>
      <c r="D466" s="88">
        <f t="shared" si="203"/>
        <v>22235.8</v>
      </c>
      <c r="E466" s="88">
        <v>0</v>
      </c>
      <c r="F466" s="88">
        <v>0</v>
      </c>
      <c r="G466" s="88">
        <v>0</v>
      </c>
      <c r="H466" s="88">
        <v>0</v>
      </c>
      <c r="I466" s="88">
        <v>11234.3</v>
      </c>
      <c r="J466" s="88">
        <v>7403.7</v>
      </c>
      <c r="K466" s="88">
        <v>3597.8</v>
      </c>
      <c r="L466" s="88">
        <v>0</v>
      </c>
      <c r="M466" s="88">
        <v>0</v>
      </c>
      <c r="N466" s="88">
        <v>0</v>
      </c>
      <c r="O466" s="88">
        <v>0</v>
      </c>
    </row>
    <row r="467" spans="1:15" ht="15.75" x14ac:dyDescent="0.2">
      <c r="A467" s="135"/>
      <c r="B467" s="144"/>
      <c r="C467" s="80" t="s">
        <v>12</v>
      </c>
      <c r="D467" s="88">
        <f t="shared" si="203"/>
        <v>1981.3999999999999</v>
      </c>
      <c r="E467" s="88">
        <v>0</v>
      </c>
      <c r="F467" s="88">
        <v>0</v>
      </c>
      <c r="G467" s="88">
        <v>0</v>
      </c>
      <c r="H467" s="88">
        <v>0</v>
      </c>
      <c r="I467" s="88">
        <f>1850-570.8</f>
        <v>1279.2</v>
      </c>
      <c r="J467" s="88">
        <f>3000-545.9-1981.5</f>
        <v>472.59999999999991</v>
      </c>
      <c r="K467" s="88">
        <v>229.6</v>
      </c>
      <c r="L467" s="88">
        <f>61.2-61.2</f>
        <v>0</v>
      </c>
      <c r="M467" s="88">
        <v>0</v>
      </c>
      <c r="N467" s="88">
        <v>0</v>
      </c>
      <c r="O467" s="88">
        <v>0</v>
      </c>
    </row>
    <row r="468" spans="1:15" ht="15" customHeight="1" x14ac:dyDescent="0.2">
      <c r="A468" s="135"/>
      <c r="B468" s="144"/>
      <c r="C468" s="80" t="s">
        <v>13</v>
      </c>
      <c r="D468" s="88">
        <f t="shared" si="203"/>
        <v>0</v>
      </c>
      <c r="E468" s="88">
        <v>0</v>
      </c>
      <c r="F468" s="88">
        <v>0</v>
      </c>
      <c r="G468" s="88">
        <v>0</v>
      </c>
      <c r="H468" s="88">
        <v>0</v>
      </c>
      <c r="I468" s="88">
        <v>0</v>
      </c>
      <c r="J468" s="88">
        <v>0</v>
      </c>
      <c r="K468" s="88">
        <v>0</v>
      </c>
      <c r="L468" s="88">
        <v>0</v>
      </c>
      <c r="M468" s="88">
        <v>0</v>
      </c>
      <c r="N468" s="88">
        <v>0</v>
      </c>
      <c r="O468" s="88">
        <v>0</v>
      </c>
    </row>
    <row r="469" spans="1:15" ht="15.75" hidden="1" x14ac:dyDescent="0.2">
      <c r="A469" s="135"/>
      <c r="B469" s="143" t="s">
        <v>289</v>
      </c>
      <c r="C469" s="89" t="s">
        <v>7</v>
      </c>
      <c r="D469" s="88">
        <f t="shared" si="203"/>
        <v>0</v>
      </c>
      <c r="E469" s="88">
        <f>E470+E471+E472+E473</f>
        <v>0</v>
      </c>
      <c r="F469" s="88">
        <f t="shared" ref="F469:O469" si="206">F470+F471+F472+F473</f>
        <v>0</v>
      </c>
      <c r="G469" s="88">
        <f t="shared" si="206"/>
        <v>0</v>
      </c>
      <c r="H469" s="88">
        <f t="shared" si="206"/>
        <v>0</v>
      </c>
      <c r="I469" s="88">
        <f t="shared" si="206"/>
        <v>0</v>
      </c>
      <c r="J469" s="88">
        <f t="shared" si="206"/>
        <v>0</v>
      </c>
      <c r="K469" s="88">
        <f t="shared" si="206"/>
        <v>0</v>
      </c>
      <c r="L469" s="88">
        <f t="shared" si="206"/>
        <v>0</v>
      </c>
      <c r="M469" s="88">
        <f t="shared" si="206"/>
        <v>0</v>
      </c>
      <c r="N469" s="88">
        <f t="shared" si="206"/>
        <v>0</v>
      </c>
      <c r="O469" s="88">
        <f t="shared" si="206"/>
        <v>0</v>
      </c>
    </row>
    <row r="470" spans="1:15" ht="15.75" hidden="1" x14ac:dyDescent="0.2">
      <c r="A470" s="135"/>
      <c r="B470" s="144"/>
      <c r="C470" s="80" t="s">
        <v>10</v>
      </c>
      <c r="D470" s="88">
        <f t="shared" si="203"/>
        <v>0</v>
      </c>
      <c r="E470" s="88">
        <v>0</v>
      </c>
      <c r="F470" s="88">
        <v>0</v>
      </c>
      <c r="G470" s="88">
        <v>0</v>
      </c>
      <c r="H470" s="88">
        <v>0</v>
      </c>
      <c r="I470" s="88">
        <v>0</v>
      </c>
      <c r="J470" s="88">
        <v>0</v>
      </c>
      <c r="K470" s="88">
        <v>0</v>
      </c>
      <c r="L470" s="88">
        <v>0</v>
      </c>
      <c r="M470" s="88">
        <v>0</v>
      </c>
      <c r="N470" s="88">
        <v>0</v>
      </c>
      <c r="O470" s="88">
        <v>0</v>
      </c>
    </row>
    <row r="471" spans="1:15" ht="15.75" hidden="1" x14ac:dyDescent="0.2">
      <c r="A471" s="135"/>
      <c r="B471" s="144"/>
      <c r="C471" s="80" t="s">
        <v>11</v>
      </c>
      <c r="D471" s="88">
        <f t="shared" si="203"/>
        <v>0</v>
      </c>
      <c r="E471" s="88">
        <v>0</v>
      </c>
      <c r="F471" s="88">
        <v>0</v>
      </c>
      <c r="G471" s="88">
        <v>0</v>
      </c>
      <c r="H471" s="88">
        <v>0</v>
      </c>
      <c r="I471" s="88">
        <v>0</v>
      </c>
      <c r="J471" s="88">
        <v>0</v>
      </c>
      <c r="K471" s="88">
        <v>0</v>
      </c>
      <c r="L471" s="88">
        <v>0</v>
      </c>
      <c r="M471" s="88">
        <v>0</v>
      </c>
      <c r="N471" s="88">
        <v>0</v>
      </c>
      <c r="O471" s="88">
        <v>0</v>
      </c>
    </row>
    <row r="472" spans="1:15" ht="15.75" hidden="1" x14ac:dyDescent="0.2">
      <c r="A472" s="135"/>
      <c r="B472" s="144"/>
      <c r="C472" s="80" t="s">
        <v>12</v>
      </c>
      <c r="D472" s="88">
        <f t="shared" si="203"/>
        <v>0</v>
      </c>
      <c r="E472" s="88">
        <v>0</v>
      </c>
      <c r="F472" s="88">
        <v>0</v>
      </c>
      <c r="G472" s="88">
        <v>0</v>
      </c>
      <c r="H472" s="88">
        <v>0</v>
      </c>
      <c r="I472" s="88">
        <v>0</v>
      </c>
      <c r="J472" s="88">
        <v>0</v>
      </c>
      <c r="K472" s="88">
        <v>0</v>
      </c>
      <c r="L472" s="88">
        <v>0</v>
      </c>
      <c r="M472" s="88">
        <v>0</v>
      </c>
      <c r="N472" s="88">
        <v>0</v>
      </c>
      <c r="O472" s="88">
        <f>N472*104%</f>
        <v>0</v>
      </c>
    </row>
    <row r="473" spans="1:15" ht="18" hidden="1" customHeight="1" x14ac:dyDescent="0.2">
      <c r="A473" s="135"/>
      <c r="B473" s="144"/>
      <c r="C473" s="80" t="s">
        <v>13</v>
      </c>
      <c r="D473" s="88">
        <f t="shared" si="203"/>
        <v>0</v>
      </c>
      <c r="E473" s="88">
        <v>0</v>
      </c>
      <c r="F473" s="88">
        <v>0</v>
      </c>
      <c r="G473" s="88">
        <v>0</v>
      </c>
      <c r="H473" s="88">
        <v>0</v>
      </c>
      <c r="I473" s="88">
        <v>0</v>
      </c>
      <c r="J473" s="88">
        <v>0</v>
      </c>
      <c r="K473" s="88">
        <v>0</v>
      </c>
      <c r="L473" s="88">
        <v>0</v>
      </c>
      <c r="M473" s="88">
        <v>0</v>
      </c>
      <c r="N473" s="88">
        <v>0</v>
      </c>
      <c r="O473" s="88">
        <v>0</v>
      </c>
    </row>
    <row r="474" spans="1:15" ht="18" customHeight="1" x14ac:dyDescent="0.2">
      <c r="A474" s="135" t="s">
        <v>291</v>
      </c>
      <c r="B474" s="147" t="s">
        <v>404</v>
      </c>
      <c r="C474" s="89" t="s">
        <v>7</v>
      </c>
      <c r="D474" s="88">
        <f t="shared" si="203"/>
        <v>1052.5999999999999</v>
      </c>
      <c r="E474" s="88">
        <f>E475+E476+E477+E478</f>
        <v>0</v>
      </c>
      <c r="F474" s="88">
        <f t="shared" ref="F474:O474" si="207">F475+F476+F477+F478</f>
        <v>0</v>
      </c>
      <c r="G474" s="88">
        <f t="shared" si="207"/>
        <v>0</v>
      </c>
      <c r="H474" s="88">
        <f t="shared" si="207"/>
        <v>0</v>
      </c>
      <c r="I474" s="88">
        <f t="shared" si="207"/>
        <v>0</v>
      </c>
      <c r="J474" s="88">
        <f t="shared" si="207"/>
        <v>0</v>
      </c>
      <c r="K474" s="88">
        <f t="shared" si="207"/>
        <v>1052.5999999999999</v>
      </c>
      <c r="L474" s="88">
        <f t="shared" si="207"/>
        <v>0</v>
      </c>
      <c r="M474" s="88">
        <f t="shared" si="207"/>
        <v>0</v>
      </c>
      <c r="N474" s="88">
        <f t="shared" si="207"/>
        <v>0</v>
      </c>
      <c r="O474" s="88">
        <f t="shared" si="207"/>
        <v>0</v>
      </c>
    </row>
    <row r="475" spans="1:15" ht="18" customHeight="1" x14ac:dyDescent="0.2">
      <c r="A475" s="135"/>
      <c r="B475" s="148"/>
      <c r="C475" s="80" t="s">
        <v>10</v>
      </c>
      <c r="D475" s="88">
        <f t="shared" si="203"/>
        <v>0</v>
      </c>
      <c r="E475" s="88">
        <v>0</v>
      </c>
      <c r="F475" s="88">
        <v>0</v>
      </c>
      <c r="G475" s="88">
        <v>0</v>
      </c>
      <c r="H475" s="88">
        <v>0</v>
      </c>
      <c r="I475" s="88">
        <v>0</v>
      </c>
      <c r="J475" s="88">
        <v>0</v>
      </c>
      <c r="K475" s="88">
        <v>0</v>
      </c>
      <c r="L475" s="88">
        <v>0</v>
      </c>
      <c r="M475" s="88">
        <v>0</v>
      </c>
      <c r="N475" s="88">
        <v>0</v>
      </c>
      <c r="O475" s="88">
        <v>0</v>
      </c>
    </row>
    <row r="476" spans="1:15" ht="18" customHeight="1" x14ac:dyDescent="0.2">
      <c r="A476" s="135"/>
      <c r="B476" s="148"/>
      <c r="C476" s="80" t="s">
        <v>11</v>
      </c>
      <c r="D476" s="88">
        <f t="shared" si="203"/>
        <v>0</v>
      </c>
      <c r="E476" s="88">
        <v>0</v>
      </c>
      <c r="F476" s="88">
        <v>0</v>
      </c>
      <c r="G476" s="88">
        <v>0</v>
      </c>
      <c r="H476" s="88">
        <v>0</v>
      </c>
      <c r="I476" s="88">
        <v>0</v>
      </c>
      <c r="J476" s="88">
        <v>0</v>
      </c>
      <c r="K476" s="88">
        <v>0</v>
      </c>
      <c r="L476" s="88">
        <v>0</v>
      </c>
      <c r="M476" s="88">
        <v>0</v>
      </c>
      <c r="N476" s="88">
        <v>0</v>
      </c>
      <c r="O476" s="88">
        <v>0</v>
      </c>
    </row>
    <row r="477" spans="1:15" ht="18" customHeight="1" x14ac:dyDescent="0.2">
      <c r="A477" s="135"/>
      <c r="B477" s="148"/>
      <c r="C477" s="80" t="s">
        <v>12</v>
      </c>
      <c r="D477" s="88">
        <f t="shared" si="203"/>
        <v>1052.5999999999999</v>
      </c>
      <c r="E477" s="88">
        <v>0</v>
      </c>
      <c r="F477" s="88">
        <v>0</v>
      </c>
      <c r="G477" s="88">
        <v>0</v>
      </c>
      <c r="H477" s="88">
        <v>0</v>
      </c>
      <c r="I477" s="88">
        <v>0</v>
      </c>
      <c r="J477" s="88">
        <v>0</v>
      </c>
      <c r="K477" s="88">
        <v>1052.5999999999999</v>
      </c>
      <c r="L477" s="88">
        <v>0</v>
      </c>
      <c r="M477" s="88">
        <v>0</v>
      </c>
      <c r="N477" s="88">
        <v>0</v>
      </c>
      <c r="O477" s="88">
        <v>0</v>
      </c>
    </row>
    <row r="478" spans="1:15" ht="33" customHeight="1" x14ac:dyDescent="0.2">
      <c r="A478" s="135"/>
      <c r="B478" s="149"/>
      <c r="C478" s="80" t="s">
        <v>13</v>
      </c>
      <c r="D478" s="88">
        <f t="shared" si="203"/>
        <v>0</v>
      </c>
      <c r="E478" s="88">
        <v>0</v>
      </c>
      <c r="F478" s="88">
        <v>0</v>
      </c>
      <c r="G478" s="88">
        <v>0</v>
      </c>
      <c r="H478" s="88">
        <v>0</v>
      </c>
      <c r="I478" s="88">
        <v>0</v>
      </c>
      <c r="J478" s="88">
        <v>0</v>
      </c>
      <c r="K478" s="88">
        <v>0</v>
      </c>
      <c r="L478" s="88">
        <v>0</v>
      </c>
      <c r="M478" s="88">
        <v>0</v>
      </c>
      <c r="N478" s="88">
        <v>0</v>
      </c>
      <c r="O478" s="88">
        <v>0</v>
      </c>
    </row>
    <row r="479" spans="1:15" ht="18" customHeight="1" x14ac:dyDescent="0.2">
      <c r="A479" s="135" t="s">
        <v>435</v>
      </c>
      <c r="B479" s="139" t="s">
        <v>434</v>
      </c>
      <c r="C479" s="89" t="s">
        <v>7</v>
      </c>
      <c r="D479" s="73">
        <f t="shared" si="203"/>
        <v>1285.4000000000003</v>
      </c>
      <c r="E479" s="88">
        <f>E480+E481+E482+E483</f>
        <v>0</v>
      </c>
      <c r="F479" s="88">
        <f t="shared" ref="F479:H479" si="208">F480+F481+F482+F483</f>
        <v>0</v>
      </c>
      <c r="G479" s="88">
        <f t="shared" si="208"/>
        <v>0</v>
      </c>
      <c r="H479" s="88">
        <f t="shared" si="208"/>
        <v>0</v>
      </c>
      <c r="I479" s="88">
        <f>I480+I481+I482+I483</f>
        <v>0</v>
      </c>
      <c r="J479" s="88">
        <f t="shared" ref="J479:O479" si="209">J480+J481+J482+J483</f>
        <v>0</v>
      </c>
      <c r="K479" s="88">
        <f t="shared" si="209"/>
        <v>0</v>
      </c>
      <c r="L479" s="88">
        <f t="shared" si="209"/>
        <v>1285.4000000000003</v>
      </c>
      <c r="M479" s="88">
        <f t="shared" si="209"/>
        <v>0</v>
      </c>
      <c r="N479" s="88">
        <f t="shared" si="209"/>
        <v>0</v>
      </c>
      <c r="O479" s="88">
        <f t="shared" si="209"/>
        <v>0</v>
      </c>
    </row>
    <row r="480" spans="1:15" ht="18" customHeight="1" x14ac:dyDescent="0.2">
      <c r="A480" s="135"/>
      <c r="B480" s="140"/>
      <c r="C480" s="80" t="s">
        <v>10</v>
      </c>
      <c r="D480" s="73">
        <f t="shared" si="203"/>
        <v>0</v>
      </c>
      <c r="E480" s="88">
        <v>0</v>
      </c>
      <c r="F480" s="88">
        <v>0</v>
      </c>
      <c r="G480" s="88">
        <v>0</v>
      </c>
      <c r="H480" s="88">
        <v>0</v>
      </c>
      <c r="I480" s="88">
        <v>0</v>
      </c>
      <c r="J480" s="88">
        <v>0</v>
      </c>
      <c r="K480" s="88">
        <v>0</v>
      </c>
      <c r="L480" s="88">
        <v>0</v>
      </c>
      <c r="M480" s="88">
        <v>0</v>
      </c>
      <c r="N480" s="88">
        <v>0</v>
      </c>
      <c r="O480" s="88">
        <v>0</v>
      </c>
    </row>
    <row r="481" spans="1:15" ht="18" customHeight="1" x14ac:dyDescent="0.2">
      <c r="A481" s="135"/>
      <c r="B481" s="140"/>
      <c r="C481" s="80" t="s">
        <v>11</v>
      </c>
      <c r="D481" s="73">
        <f>E481+F481+G481+H481+I481+J481+K481+L481+M481+N481+O481</f>
        <v>0</v>
      </c>
      <c r="E481" s="88">
        <v>0</v>
      </c>
      <c r="F481" s="88">
        <v>0</v>
      </c>
      <c r="G481" s="88">
        <v>0</v>
      </c>
      <c r="H481" s="88">
        <v>0</v>
      </c>
      <c r="I481" s="88">
        <v>0</v>
      </c>
      <c r="J481" s="88">
        <v>0</v>
      </c>
      <c r="K481" s="88">
        <v>0</v>
      </c>
      <c r="L481" s="88">
        <v>0</v>
      </c>
      <c r="M481" s="88">
        <v>0</v>
      </c>
      <c r="N481" s="88">
        <v>0</v>
      </c>
      <c r="O481" s="88">
        <v>0</v>
      </c>
    </row>
    <row r="482" spans="1:15" ht="18" customHeight="1" x14ac:dyDescent="0.2">
      <c r="A482" s="135"/>
      <c r="B482" s="140"/>
      <c r="C482" s="80" t="s">
        <v>12</v>
      </c>
      <c r="D482" s="73">
        <f t="shared" ref="D482:D483" si="210">E482+F482+G482+H482+I482+J482+K482+L482+M482+N482+O482</f>
        <v>1285.4000000000003</v>
      </c>
      <c r="E482" s="88">
        <v>0</v>
      </c>
      <c r="F482" s="88">
        <v>0</v>
      </c>
      <c r="G482" s="88">
        <v>0</v>
      </c>
      <c r="H482" s="88">
        <v>0</v>
      </c>
      <c r="I482" s="88">
        <v>0</v>
      </c>
      <c r="J482" s="88">
        <v>0</v>
      </c>
      <c r="K482" s="88">
        <v>0</v>
      </c>
      <c r="L482" s="88">
        <f>2677.9-256.7-1135.8</f>
        <v>1285.4000000000003</v>
      </c>
      <c r="M482" s="88">
        <v>0</v>
      </c>
      <c r="N482" s="88">
        <v>0</v>
      </c>
      <c r="O482" s="88">
        <v>0</v>
      </c>
    </row>
    <row r="483" spans="1:15" ht="38.25" customHeight="1" x14ac:dyDescent="0.2">
      <c r="A483" s="135"/>
      <c r="B483" s="141"/>
      <c r="C483" s="80" t="s">
        <v>13</v>
      </c>
      <c r="D483" s="73">
        <f t="shared" si="210"/>
        <v>0</v>
      </c>
      <c r="E483" s="88">
        <v>0</v>
      </c>
      <c r="F483" s="88">
        <v>0</v>
      </c>
      <c r="G483" s="88">
        <v>0</v>
      </c>
      <c r="H483" s="88">
        <v>0</v>
      </c>
      <c r="I483" s="88">
        <v>0</v>
      </c>
      <c r="J483" s="88">
        <v>0</v>
      </c>
      <c r="K483" s="88">
        <v>0</v>
      </c>
      <c r="L483" s="88">
        <v>0</v>
      </c>
      <c r="M483" s="88">
        <v>0</v>
      </c>
      <c r="N483" s="88">
        <v>0</v>
      </c>
      <c r="O483" s="88">
        <v>0</v>
      </c>
    </row>
    <row r="484" spans="1:15" ht="15.75" x14ac:dyDescent="0.2">
      <c r="A484" s="135" t="s">
        <v>312</v>
      </c>
      <c r="B484" s="143" t="s">
        <v>369</v>
      </c>
      <c r="C484" s="89" t="s">
        <v>7</v>
      </c>
      <c r="D484" s="88">
        <f t="shared" si="203"/>
        <v>424805.23</v>
      </c>
      <c r="E484" s="88">
        <f>E485+E486+E487+E488</f>
        <v>0</v>
      </c>
      <c r="F484" s="88">
        <f t="shared" ref="F484:O484" si="211">F485+F486+F487+F488</f>
        <v>0</v>
      </c>
      <c r="G484" s="88">
        <f t="shared" si="211"/>
        <v>0</v>
      </c>
      <c r="H484" s="88">
        <f t="shared" si="211"/>
        <v>0</v>
      </c>
      <c r="I484" s="88">
        <f t="shared" si="211"/>
        <v>0</v>
      </c>
      <c r="J484" s="88">
        <f t="shared" si="211"/>
        <v>208238.7</v>
      </c>
      <c r="K484" s="88">
        <f>K485+K486+K487+K488</f>
        <v>216566.53</v>
      </c>
      <c r="L484" s="88">
        <f t="shared" si="211"/>
        <v>0</v>
      </c>
      <c r="M484" s="88">
        <f t="shared" si="211"/>
        <v>0</v>
      </c>
      <c r="N484" s="88">
        <f t="shared" si="211"/>
        <v>0</v>
      </c>
      <c r="O484" s="88">
        <f t="shared" si="211"/>
        <v>0</v>
      </c>
    </row>
    <row r="485" spans="1:15" ht="15.75" x14ac:dyDescent="0.2">
      <c r="A485" s="135"/>
      <c r="B485" s="144"/>
      <c r="C485" s="80" t="s">
        <v>10</v>
      </c>
      <c r="D485" s="88">
        <f t="shared" si="203"/>
        <v>115023.2</v>
      </c>
      <c r="E485" s="88">
        <f t="shared" ref="E485:O485" si="212">E490+E495</f>
        <v>0</v>
      </c>
      <c r="F485" s="88">
        <f t="shared" si="212"/>
        <v>0</v>
      </c>
      <c r="G485" s="88">
        <f t="shared" si="212"/>
        <v>0</v>
      </c>
      <c r="H485" s="88">
        <f t="shared" si="212"/>
        <v>0</v>
      </c>
      <c r="I485" s="88">
        <f t="shared" si="212"/>
        <v>0</v>
      </c>
      <c r="J485" s="88">
        <f t="shared" si="212"/>
        <v>0</v>
      </c>
      <c r="K485" s="88">
        <f t="shared" si="212"/>
        <v>115023.2</v>
      </c>
      <c r="L485" s="88">
        <f t="shared" si="212"/>
        <v>0</v>
      </c>
      <c r="M485" s="88">
        <f t="shared" si="212"/>
        <v>0</v>
      </c>
      <c r="N485" s="88">
        <f t="shared" si="212"/>
        <v>0</v>
      </c>
      <c r="O485" s="88">
        <f t="shared" si="212"/>
        <v>0</v>
      </c>
    </row>
    <row r="486" spans="1:15" ht="15.75" x14ac:dyDescent="0.2">
      <c r="A486" s="135"/>
      <c r="B486" s="144"/>
      <c r="C486" s="80" t="s">
        <v>11</v>
      </c>
      <c r="D486" s="88">
        <f t="shared" si="203"/>
        <v>287838.81</v>
      </c>
      <c r="E486" s="88">
        <f>E491+E496</f>
        <v>0</v>
      </c>
      <c r="F486" s="88">
        <f t="shared" ref="F486:O486" si="213">F491+F496</f>
        <v>0</v>
      </c>
      <c r="G486" s="88">
        <f t="shared" si="213"/>
        <v>0</v>
      </c>
      <c r="H486" s="88">
        <f t="shared" si="213"/>
        <v>0</v>
      </c>
      <c r="I486" s="88">
        <f t="shared" si="213"/>
        <v>0</v>
      </c>
      <c r="J486" s="88">
        <f t="shared" si="213"/>
        <v>193000</v>
      </c>
      <c r="K486" s="88">
        <f t="shared" si="213"/>
        <v>94838.81</v>
      </c>
      <c r="L486" s="88">
        <f t="shared" si="213"/>
        <v>0</v>
      </c>
      <c r="M486" s="88">
        <f t="shared" si="213"/>
        <v>0</v>
      </c>
      <c r="N486" s="88">
        <f t="shared" si="213"/>
        <v>0</v>
      </c>
      <c r="O486" s="88">
        <f t="shared" si="213"/>
        <v>0</v>
      </c>
    </row>
    <row r="487" spans="1:15" ht="15.75" x14ac:dyDescent="0.2">
      <c r="A487" s="135"/>
      <c r="B487" s="144"/>
      <c r="C487" s="80" t="s">
        <v>12</v>
      </c>
      <c r="D487" s="88">
        <f t="shared" si="203"/>
        <v>21943.22</v>
      </c>
      <c r="E487" s="88">
        <f>E492+E497</f>
        <v>0</v>
      </c>
      <c r="F487" s="88">
        <f t="shared" ref="F487:O487" si="214">F492+F497</f>
        <v>0</v>
      </c>
      <c r="G487" s="88">
        <f t="shared" si="214"/>
        <v>0</v>
      </c>
      <c r="H487" s="88">
        <f t="shared" si="214"/>
        <v>0</v>
      </c>
      <c r="I487" s="88">
        <f t="shared" si="214"/>
        <v>0</v>
      </c>
      <c r="J487" s="88">
        <f t="shared" si="214"/>
        <v>15238.7</v>
      </c>
      <c r="K487" s="88">
        <f>K492+K497+K502</f>
        <v>6704.52</v>
      </c>
      <c r="L487" s="88">
        <f t="shared" si="214"/>
        <v>0</v>
      </c>
      <c r="M487" s="88">
        <f t="shared" si="214"/>
        <v>0</v>
      </c>
      <c r="N487" s="88">
        <f t="shared" si="214"/>
        <v>0</v>
      </c>
      <c r="O487" s="88">
        <f t="shared" si="214"/>
        <v>0</v>
      </c>
    </row>
    <row r="488" spans="1:15" ht="15.75" x14ac:dyDescent="0.2">
      <c r="A488" s="135"/>
      <c r="B488" s="144"/>
      <c r="C488" s="80" t="s">
        <v>13</v>
      </c>
      <c r="D488" s="88">
        <f t="shared" si="203"/>
        <v>0</v>
      </c>
      <c r="E488" s="88">
        <f>E493+E498</f>
        <v>0</v>
      </c>
      <c r="F488" s="88">
        <f t="shared" ref="F488:O488" si="215">F493+F498</f>
        <v>0</v>
      </c>
      <c r="G488" s="88">
        <f t="shared" si="215"/>
        <v>0</v>
      </c>
      <c r="H488" s="88">
        <f t="shared" si="215"/>
        <v>0</v>
      </c>
      <c r="I488" s="88">
        <f t="shared" si="215"/>
        <v>0</v>
      </c>
      <c r="J488" s="88">
        <f t="shared" si="215"/>
        <v>0</v>
      </c>
      <c r="K488" s="88">
        <f t="shared" si="215"/>
        <v>0</v>
      </c>
      <c r="L488" s="88">
        <f t="shared" si="215"/>
        <v>0</v>
      </c>
      <c r="M488" s="88">
        <f t="shared" si="215"/>
        <v>0</v>
      </c>
      <c r="N488" s="88">
        <f t="shared" si="215"/>
        <v>0</v>
      </c>
      <c r="O488" s="88">
        <f t="shared" si="215"/>
        <v>0</v>
      </c>
    </row>
    <row r="489" spans="1:15" ht="29.25" customHeight="1" x14ac:dyDescent="0.2">
      <c r="A489" s="135" t="s">
        <v>332</v>
      </c>
      <c r="B489" s="143" t="s">
        <v>399</v>
      </c>
      <c r="C489" s="89" t="s">
        <v>7</v>
      </c>
      <c r="D489" s="73">
        <f t="shared" si="203"/>
        <v>420220.53</v>
      </c>
      <c r="E489" s="73">
        <f>E490+E491+E492+E493</f>
        <v>0</v>
      </c>
      <c r="F489" s="73">
        <f t="shared" ref="F489:O489" si="216">F490+F491+F492+F493</f>
        <v>0</v>
      </c>
      <c r="G489" s="73">
        <f t="shared" si="216"/>
        <v>0</v>
      </c>
      <c r="H489" s="73">
        <f t="shared" si="216"/>
        <v>0</v>
      </c>
      <c r="I489" s="73">
        <f t="shared" si="216"/>
        <v>0</v>
      </c>
      <c r="J489" s="73">
        <f t="shared" si="216"/>
        <v>208238.7</v>
      </c>
      <c r="K489" s="73">
        <f t="shared" si="216"/>
        <v>211981.83000000002</v>
      </c>
      <c r="L489" s="73">
        <f t="shared" si="216"/>
        <v>0</v>
      </c>
      <c r="M489" s="73">
        <f t="shared" si="216"/>
        <v>0</v>
      </c>
      <c r="N489" s="73">
        <f t="shared" si="216"/>
        <v>0</v>
      </c>
      <c r="O489" s="73">
        <f t="shared" si="216"/>
        <v>0</v>
      </c>
    </row>
    <row r="490" spans="1:15" ht="24" customHeight="1" x14ac:dyDescent="0.2">
      <c r="A490" s="135"/>
      <c r="B490" s="144"/>
      <c r="C490" s="80" t="s">
        <v>10</v>
      </c>
      <c r="D490" s="73">
        <f t="shared" si="203"/>
        <v>115023.2</v>
      </c>
      <c r="E490" s="73">
        <v>0</v>
      </c>
      <c r="F490" s="73">
        <v>0</v>
      </c>
      <c r="G490" s="73">
        <v>0</v>
      </c>
      <c r="H490" s="73">
        <v>0</v>
      </c>
      <c r="I490" s="73">
        <v>0</v>
      </c>
      <c r="J490" s="73">
        <v>0</v>
      </c>
      <c r="K490" s="73">
        <v>115023.2</v>
      </c>
      <c r="L490" s="73">
        <v>0</v>
      </c>
      <c r="M490" s="73">
        <v>0</v>
      </c>
      <c r="N490" s="73">
        <v>0</v>
      </c>
      <c r="O490" s="73">
        <v>0</v>
      </c>
    </row>
    <row r="491" spans="1:15" ht="24" customHeight="1" x14ac:dyDescent="0.2">
      <c r="A491" s="135"/>
      <c r="B491" s="144"/>
      <c r="C491" s="80" t="s">
        <v>11</v>
      </c>
      <c r="D491" s="73">
        <f t="shared" si="203"/>
        <v>287838.81</v>
      </c>
      <c r="E491" s="73">
        <v>0</v>
      </c>
      <c r="F491" s="73">
        <v>0</v>
      </c>
      <c r="G491" s="73">
        <v>0</v>
      </c>
      <c r="H491" s="73">
        <v>0</v>
      </c>
      <c r="I491" s="73">
        <v>0</v>
      </c>
      <c r="J491" s="73">
        <v>193000</v>
      </c>
      <c r="K491" s="73">
        <v>94838.81</v>
      </c>
      <c r="L491" s="73">
        <v>0</v>
      </c>
      <c r="M491" s="73">
        <v>0</v>
      </c>
      <c r="N491" s="73">
        <v>0</v>
      </c>
      <c r="O491" s="73">
        <v>0</v>
      </c>
    </row>
    <row r="492" spans="1:15" ht="20.25" customHeight="1" x14ac:dyDescent="0.2">
      <c r="A492" s="135"/>
      <c r="B492" s="144"/>
      <c r="C492" s="80" t="s">
        <v>12</v>
      </c>
      <c r="D492" s="73">
        <f t="shared" si="203"/>
        <v>17358.52</v>
      </c>
      <c r="E492" s="73">
        <v>0</v>
      </c>
      <c r="F492" s="73">
        <v>0</v>
      </c>
      <c r="G492" s="73">
        <v>0</v>
      </c>
      <c r="H492" s="73">
        <v>0</v>
      </c>
      <c r="I492" s="73">
        <v>0</v>
      </c>
      <c r="J492" s="73">
        <f>12319.1+2918+1.6</f>
        <v>15238.7</v>
      </c>
      <c r="K492" s="73">
        <v>2119.8200000000002</v>
      </c>
      <c r="L492" s="73">
        <v>0</v>
      </c>
      <c r="M492" s="73">
        <v>0</v>
      </c>
      <c r="N492" s="73">
        <v>0</v>
      </c>
      <c r="O492" s="73">
        <v>0</v>
      </c>
    </row>
    <row r="493" spans="1:15" ht="30.75" customHeight="1" x14ac:dyDescent="0.2">
      <c r="A493" s="135"/>
      <c r="B493" s="144"/>
      <c r="C493" s="80" t="s">
        <v>13</v>
      </c>
      <c r="D493" s="73">
        <f t="shared" si="203"/>
        <v>0</v>
      </c>
      <c r="E493" s="73">
        <v>0</v>
      </c>
      <c r="F493" s="73">
        <v>0</v>
      </c>
      <c r="G493" s="73">
        <v>0</v>
      </c>
      <c r="H493" s="73">
        <v>0</v>
      </c>
      <c r="I493" s="73">
        <v>0</v>
      </c>
      <c r="J493" s="73">
        <v>0</v>
      </c>
      <c r="K493" s="73">
        <v>0</v>
      </c>
      <c r="L493" s="73">
        <v>0</v>
      </c>
      <c r="M493" s="73">
        <v>0</v>
      </c>
      <c r="N493" s="73">
        <v>0</v>
      </c>
      <c r="O493" s="73">
        <v>0</v>
      </c>
    </row>
    <row r="494" spans="1:15" ht="25.5" customHeight="1" x14ac:dyDescent="0.2">
      <c r="A494" s="139" t="s">
        <v>376</v>
      </c>
      <c r="B494" s="143" t="s">
        <v>422</v>
      </c>
      <c r="C494" s="89" t="s">
        <v>7</v>
      </c>
      <c r="D494" s="73">
        <f>E494+F494+G494+H494+I494+J494+K494+L494+M494+N494+O494</f>
        <v>4584.7</v>
      </c>
      <c r="E494" s="73">
        <f>E495+E496+E497+E498</f>
        <v>0</v>
      </c>
      <c r="F494" s="73">
        <f t="shared" ref="F494:O494" si="217">F495+F496+F497+F498</f>
        <v>0</v>
      </c>
      <c r="G494" s="73">
        <f t="shared" si="217"/>
        <v>0</v>
      </c>
      <c r="H494" s="73">
        <f t="shared" si="217"/>
        <v>0</v>
      </c>
      <c r="I494" s="73">
        <f t="shared" si="217"/>
        <v>0</v>
      </c>
      <c r="J494" s="73">
        <f t="shared" si="217"/>
        <v>0</v>
      </c>
      <c r="K494" s="73">
        <f t="shared" si="217"/>
        <v>4584.7</v>
      </c>
      <c r="L494" s="73">
        <f t="shared" si="217"/>
        <v>0</v>
      </c>
      <c r="M494" s="73">
        <f t="shared" si="217"/>
        <v>0</v>
      </c>
      <c r="N494" s="73">
        <f t="shared" si="217"/>
        <v>0</v>
      </c>
      <c r="O494" s="73">
        <f t="shared" si="217"/>
        <v>0</v>
      </c>
    </row>
    <row r="495" spans="1:15" ht="25.5" customHeight="1" x14ac:dyDescent="0.2">
      <c r="A495" s="140"/>
      <c r="B495" s="144"/>
      <c r="C495" s="80" t="s">
        <v>10</v>
      </c>
      <c r="D495" s="73">
        <f t="shared" ref="D495:D503" si="218">E495+F495+G495+H495+I495+J495+K495+L495+M495+N495+O495</f>
        <v>0</v>
      </c>
      <c r="E495" s="73">
        <v>0</v>
      </c>
      <c r="F495" s="73">
        <v>0</v>
      </c>
      <c r="G495" s="73">
        <v>0</v>
      </c>
      <c r="H495" s="73">
        <v>0</v>
      </c>
      <c r="I495" s="73">
        <v>0</v>
      </c>
      <c r="J495" s="73">
        <v>0</v>
      </c>
      <c r="K495" s="73">
        <v>0</v>
      </c>
      <c r="L495" s="73">
        <v>0</v>
      </c>
      <c r="M495" s="73">
        <v>0</v>
      </c>
      <c r="N495" s="73">
        <v>0</v>
      </c>
      <c r="O495" s="73">
        <v>0</v>
      </c>
    </row>
    <row r="496" spans="1:15" ht="25.5" customHeight="1" x14ac:dyDescent="0.2">
      <c r="A496" s="140"/>
      <c r="B496" s="144"/>
      <c r="C496" s="80" t="s">
        <v>11</v>
      </c>
      <c r="D496" s="73">
        <f t="shared" si="218"/>
        <v>0</v>
      </c>
      <c r="E496" s="73">
        <v>0</v>
      </c>
      <c r="F496" s="73">
        <v>0</v>
      </c>
      <c r="G496" s="73">
        <v>0</v>
      </c>
      <c r="H496" s="73">
        <v>0</v>
      </c>
      <c r="I496" s="73">
        <v>0</v>
      </c>
      <c r="J496" s="73">
        <v>0</v>
      </c>
      <c r="K496" s="73">
        <v>0</v>
      </c>
      <c r="L496" s="73">
        <v>0</v>
      </c>
      <c r="M496" s="73">
        <v>0</v>
      </c>
      <c r="N496" s="73">
        <v>0</v>
      </c>
      <c r="O496" s="73">
        <v>0</v>
      </c>
    </row>
    <row r="497" spans="1:23" ht="25.5" customHeight="1" x14ac:dyDescent="0.2">
      <c r="A497" s="140"/>
      <c r="B497" s="144"/>
      <c r="C497" s="80" t="s">
        <v>12</v>
      </c>
      <c r="D497" s="73">
        <f t="shared" si="218"/>
        <v>4584.7</v>
      </c>
      <c r="E497" s="73">
        <v>0</v>
      </c>
      <c r="F497" s="73">
        <v>0</v>
      </c>
      <c r="G497" s="73">
        <v>0</v>
      </c>
      <c r="H497" s="73">
        <v>0</v>
      </c>
      <c r="I497" s="73">
        <v>0</v>
      </c>
      <c r="J497" s="73">
        <v>0</v>
      </c>
      <c r="K497" s="73">
        <f>4584.7</f>
        <v>4584.7</v>
      </c>
      <c r="L497" s="73">
        <v>0</v>
      </c>
      <c r="M497" s="73">
        <v>0</v>
      </c>
      <c r="N497" s="73">
        <v>0</v>
      </c>
      <c r="O497" s="73">
        <v>0</v>
      </c>
    </row>
    <row r="498" spans="1:23" ht="25.5" customHeight="1" x14ac:dyDescent="0.2">
      <c r="A498" s="141"/>
      <c r="B498" s="144"/>
      <c r="C498" s="80" t="s">
        <v>13</v>
      </c>
      <c r="D498" s="73">
        <f t="shared" si="218"/>
        <v>0</v>
      </c>
      <c r="E498" s="73">
        <v>0</v>
      </c>
      <c r="F498" s="73">
        <v>0</v>
      </c>
      <c r="G498" s="73">
        <v>0</v>
      </c>
      <c r="H498" s="73">
        <v>0</v>
      </c>
      <c r="I498" s="73">
        <v>0</v>
      </c>
      <c r="J498" s="73">
        <v>0</v>
      </c>
      <c r="K498" s="73">
        <v>0</v>
      </c>
      <c r="L498" s="73">
        <v>0</v>
      </c>
      <c r="M498" s="73">
        <v>0</v>
      </c>
      <c r="N498" s="73">
        <v>0</v>
      </c>
      <c r="O498" s="73">
        <v>0</v>
      </c>
    </row>
    <row r="499" spans="1:23" ht="25.5" hidden="1" customHeight="1" x14ac:dyDescent="0.2">
      <c r="A499" s="139"/>
      <c r="B499" s="143" t="s">
        <v>400</v>
      </c>
      <c r="C499" s="89" t="s">
        <v>7</v>
      </c>
      <c r="D499" s="73">
        <f>E499+F499+G499+H499+I499+J499+K499+L499+M499+N499+O499</f>
        <v>0</v>
      </c>
      <c r="E499" s="73">
        <f>E500+E501+E502+E503</f>
        <v>0</v>
      </c>
      <c r="F499" s="73">
        <f t="shared" ref="F499:O499" si="219">F500+F501+F502+F503</f>
        <v>0</v>
      </c>
      <c r="G499" s="73">
        <f t="shared" si="219"/>
        <v>0</v>
      </c>
      <c r="H499" s="73">
        <f t="shared" si="219"/>
        <v>0</v>
      </c>
      <c r="I499" s="73">
        <f t="shared" si="219"/>
        <v>0</v>
      </c>
      <c r="J499" s="73">
        <f t="shared" si="219"/>
        <v>0</v>
      </c>
      <c r="K499" s="73">
        <f t="shared" si="219"/>
        <v>0</v>
      </c>
      <c r="L499" s="73">
        <f t="shared" si="219"/>
        <v>0</v>
      </c>
      <c r="M499" s="73">
        <f t="shared" si="219"/>
        <v>0</v>
      </c>
      <c r="N499" s="73">
        <f t="shared" si="219"/>
        <v>0</v>
      </c>
      <c r="O499" s="73">
        <f t="shared" si="219"/>
        <v>0</v>
      </c>
    </row>
    <row r="500" spans="1:23" ht="25.5" hidden="1" customHeight="1" x14ac:dyDescent="0.2">
      <c r="A500" s="140"/>
      <c r="B500" s="144"/>
      <c r="C500" s="80" t="s">
        <v>10</v>
      </c>
      <c r="D500" s="73">
        <f t="shared" si="218"/>
        <v>0</v>
      </c>
      <c r="E500" s="73">
        <v>0</v>
      </c>
      <c r="F500" s="73">
        <v>0</v>
      </c>
      <c r="G500" s="73">
        <v>0</v>
      </c>
      <c r="H500" s="73">
        <v>0</v>
      </c>
      <c r="I500" s="73">
        <v>0</v>
      </c>
      <c r="J500" s="73">
        <v>0</v>
      </c>
      <c r="K500" s="73">
        <v>0</v>
      </c>
      <c r="L500" s="73">
        <v>0</v>
      </c>
      <c r="M500" s="73">
        <v>0</v>
      </c>
      <c r="N500" s="73">
        <v>0</v>
      </c>
      <c r="O500" s="73">
        <v>0</v>
      </c>
    </row>
    <row r="501" spans="1:23" ht="25.5" hidden="1" customHeight="1" x14ac:dyDescent="0.2">
      <c r="A501" s="140"/>
      <c r="B501" s="144"/>
      <c r="C501" s="80" t="s">
        <v>11</v>
      </c>
      <c r="D501" s="73">
        <f t="shared" si="218"/>
        <v>0</v>
      </c>
      <c r="E501" s="73">
        <v>0</v>
      </c>
      <c r="F501" s="73">
        <v>0</v>
      </c>
      <c r="G501" s="73">
        <v>0</v>
      </c>
      <c r="H501" s="73">
        <v>0</v>
      </c>
      <c r="I501" s="73">
        <v>0</v>
      </c>
      <c r="J501" s="73">
        <v>0</v>
      </c>
      <c r="K501" s="73">
        <v>0</v>
      </c>
      <c r="L501" s="73">
        <v>0</v>
      </c>
      <c r="M501" s="73">
        <v>0</v>
      </c>
      <c r="N501" s="73">
        <v>0</v>
      </c>
      <c r="O501" s="73">
        <v>0</v>
      </c>
    </row>
    <row r="502" spans="1:23" ht="25.5" hidden="1" customHeight="1" x14ac:dyDescent="0.2">
      <c r="A502" s="140"/>
      <c r="B502" s="144"/>
      <c r="C502" s="80" t="s">
        <v>12</v>
      </c>
      <c r="D502" s="73">
        <f t="shared" si="218"/>
        <v>0</v>
      </c>
      <c r="E502" s="73">
        <v>0</v>
      </c>
      <c r="F502" s="73">
        <v>0</v>
      </c>
      <c r="G502" s="73">
        <v>0</v>
      </c>
      <c r="H502" s="73">
        <v>0</v>
      </c>
      <c r="I502" s="73">
        <v>0</v>
      </c>
      <c r="J502" s="73">
        <v>0</v>
      </c>
      <c r="K502" s="73">
        <f>1800-1800</f>
        <v>0</v>
      </c>
      <c r="L502" s="73">
        <v>0</v>
      </c>
      <c r="M502" s="73">
        <v>0</v>
      </c>
      <c r="N502" s="73">
        <v>0</v>
      </c>
      <c r="O502" s="73">
        <v>0</v>
      </c>
    </row>
    <row r="503" spans="1:23" ht="23.25" hidden="1" customHeight="1" x14ac:dyDescent="0.2">
      <c r="A503" s="141"/>
      <c r="B503" s="144"/>
      <c r="C503" s="80" t="s">
        <v>13</v>
      </c>
      <c r="D503" s="73">
        <f t="shared" si="218"/>
        <v>0</v>
      </c>
      <c r="E503" s="73">
        <v>0</v>
      </c>
      <c r="F503" s="73">
        <v>0</v>
      </c>
      <c r="G503" s="73">
        <v>0</v>
      </c>
      <c r="H503" s="73">
        <v>0</v>
      </c>
      <c r="I503" s="73">
        <v>0</v>
      </c>
      <c r="J503" s="73">
        <v>0</v>
      </c>
      <c r="K503" s="73">
        <v>0</v>
      </c>
      <c r="L503" s="73">
        <v>0</v>
      </c>
      <c r="M503" s="73">
        <v>0</v>
      </c>
      <c r="N503" s="73">
        <v>0</v>
      </c>
      <c r="O503" s="73">
        <v>0</v>
      </c>
    </row>
    <row r="504" spans="1:23" ht="15.75" x14ac:dyDescent="0.2">
      <c r="A504" s="135" t="s">
        <v>317</v>
      </c>
      <c r="B504" s="143" t="s">
        <v>370</v>
      </c>
      <c r="C504" s="89" t="s">
        <v>7</v>
      </c>
      <c r="D504" s="88">
        <f t="shared" si="203"/>
        <v>71929.2</v>
      </c>
      <c r="E504" s="88">
        <f t="shared" ref="E504:O504" si="220">E505+E506+E508+E510</f>
        <v>0</v>
      </c>
      <c r="F504" s="88">
        <f t="shared" si="220"/>
        <v>0</v>
      </c>
      <c r="G504" s="88">
        <f t="shared" si="220"/>
        <v>0</v>
      </c>
      <c r="H504" s="88">
        <f t="shared" si="220"/>
        <v>0</v>
      </c>
      <c r="I504" s="88">
        <f t="shared" si="220"/>
        <v>0</v>
      </c>
      <c r="J504" s="88">
        <f t="shared" si="220"/>
        <v>0</v>
      </c>
      <c r="K504" s="88">
        <f t="shared" si="220"/>
        <v>25529.200000000001</v>
      </c>
      <c r="L504" s="88">
        <f t="shared" si="220"/>
        <v>23200</v>
      </c>
      <c r="M504" s="88">
        <f t="shared" si="220"/>
        <v>23200</v>
      </c>
      <c r="N504" s="88">
        <f t="shared" si="220"/>
        <v>0</v>
      </c>
      <c r="O504" s="88">
        <f t="shared" si="220"/>
        <v>0</v>
      </c>
    </row>
    <row r="505" spans="1:23" ht="15.75" x14ac:dyDescent="0.2">
      <c r="A505" s="135"/>
      <c r="B505" s="144"/>
      <c r="C505" s="80" t="s">
        <v>10</v>
      </c>
      <c r="D505" s="88">
        <f t="shared" si="203"/>
        <v>0</v>
      </c>
      <c r="E505" s="88">
        <f>E512+E517</f>
        <v>0</v>
      </c>
      <c r="F505" s="88">
        <f t="shared" ref="F505:O505" si="221">F512+F517</f>
        <v>0</v>
      </c>
      <c r="G505" s="88">
        <f t="shared" si="221"/>
        <v>0</v>
      </c>
      <c r="H505" s="88">
        <f t="shared" si="221"/>
        <v>0</v>
      </c>
      <c r="I505" s="88">
        <f t="shared" si="221"/>
        <v>0</v>
      </c>
      <c r="J505" s="88">
        <f t="shared" si="221"/>
        <v>0</v>
      </c>
      <c r="K505" s="88">
        <f t="shared" si="221"/>
        <v>0</v>
      </c>
      <c r="L505" s="88">
        <f t="shared" si="221"/>
        <v>0</v>
      </c>
      <c r="M505" s="88">
        <f t="shared" si="221"/>
        <v>0</v>
      </c>
      <c r="N505" s="88">
        <f t="shared" si="221"/>
        <v>0</v>
      </c>
      <c r="O505" s="88">
        <f t="shared" si="221"/>
        <v>0</v>
      </c>
    </row>
    <row r="506" spans="1:23" ht="31.5" x14ac:dyDescent="0.2">
      <c r="A506" s="135"/>
      <c r="B506" s="144"/>
      <c r="C506" s="80" t="s">
        <v>69</v>
      </c>
      <c r="D506" s="88">
        <f t="shared" si="203"/>
        <v>67613.399999999994</v>
      </c>
      <c r="E506" s="88">
        <f>E513+E518</f>
        <v>0</v>
      </c>
      <c r="F506" s="88">
        <f t="shared" ref="F506:O506" si="222">F513+F518</f>
        <v>0</v>
      </c>
      <c r="G506" s="88">
        <f t="shared" si="222"/>
        <v>0</v>
      </c>
      <c r="H506" s="88">
        <f t="shared" si="222"/>
        <v>0</v>
      </c>
      <c r="I506" s="88">
        <f t="shared" si="222"/>
        <v>0</v>
      </c>
      <c r="J506" s="88">
        <f t="shared" si="222"/>
        <v>0</v>
      </c>
      <c r="K506" s="88">
        <f t="shared" si="222"/>
        <v>23997.4</v>
      </c>
      <c r="L506" s="88">
        <f t="shared" si="222"/>
        <v>21808</v>
      </c>
      <c r="M506" s="88">
        <f t="shared" si="222"/>
        <v>21808</v>
      </c>
      <c r="N506" s="88">
        <f t="shared" si="222"/>
        <v>0</v>
      </c>
      <c r="O506" s="88">
        <f t="shared" si="222"/>
        <v>0</v>
      </c>
    </row>
    <row r="507" spans="1:23" ht="39.75" customHeight="1" x14ac:dyDescent="0.2">
      <c r="A507" s="135"/>
      <c r="B507" s="144"/>
      <c r="C507" s="76" t="s">
        <v>81</v>
      </c>
      <c r="D507" s="75">
        <f t="shared" si="203"/>
        <v>43616</v>
      </c>
      <c r="E507" s="75">
        <v>0</v>
      </c>
      <c r="F507" s="75">
        <v>0</v>
      </c>
      <c r="G507" s="75">
        <v>0</v>
      </c>
      <c r="H507" s="75">
        <v>0</v>
      </c>
      <c r="I507" s="75">
        <v>0</v>
      </c>
      <c r="J507" s="75">
        <v>0</v>
      </c>
      <c r="K507" s="75">
        <v>0</v>
      </c>
      <c r="L507" s="75">
        <v>21808</v>
      </c>
      <c r="M507" s="75">
        <v>21808</v>
      </c>
      <c r="N507" s="75">
        <v>0</v>
      </c>
      <c r="O507" s="75">
        <v>0</v>
      </c>
    </row>
    <row r="508" spans="1:23" ht="31.5" x14ac:dyDescent="0.2">
      <c r="A508" s="135"/>
      <c r="B508" s="144"/>
      <c r="C508" s="80" t="s">
        <v>65</v>
      </c>
      <c r="D508" s="88">
        <f t="shared" si="203"/>
        <v>4315.8</v>
      </c>
      <c r="E508" s="88">
        <f>E514+E520</f>
        <v>0</v>
      </c>
      <c r="F508" s="88">
        <f t="shared" ref="F508:O508" si="223">F514+F520</f>
        <v>0</v>
      </c>
      <c r="G508" s="88">
        <f t="shared" si="223"/>
        <v>0</v>
      </c>
      <c r="H508" s="88">
        <f t="shared" si="223"/>
        <v>0</v>
      </c>
      <c r="I508" s="88">
        <f t="shared" si="223"/>
        <v>0</v>
      </c>
      <c r="J508" s="88">
        <f t="shared" si="223"/>
        <v>0</v>
      </c>
      <c r="K508" s="88">
        <f t="shared" si="223"/>
        <v>1531.8</v>
      </c>
      <c r="L508" s="88">
        <f t="shared" si="223"/>
        <v>1392</v>
      </c>
      <c r="M508" s="88">
        <f t="shared" si="223"/>
        <v>1392</v>
      </c>
      <c r="N508" s="88">
        <f t="shared" si="223"/>
        <v>0</v>
      </c>
      <c r="O508" s="88">
        <f t="shared" si="223"/>
        <v>0</v>
      </c>
    </row>
    <row r="509" spans="1:23" ht="31.5" x14ac:dyDescent="0.2">
      <c r="A509" s="135"/>
      <c r="B509" s="144"/>
      <c r="C509" s="76" t="s">
        <v>449</v>
      </c>
      <c r="D509" s="75">
        <f t="shared" si="203"/>
        <v>2784</v>
      </c>
      <c r="E509" s="73">
        <v>0</v>
      </c>
      <c r="F509" s="73">
        <v>0</v>
      </c>
      <c r="G509" s="73">
        <v>0</v>
      </c>
      <c r="H509" s="73">
        <v>0</v>
      </c>
      <c r="I509" s="73">
        <v>0</v>
      </c>
      <c r="J509" s="73">
        <v>0</v>
      </c>
      <c r="K509" s="75">
        <v>0</v>
      </c>
      <c r="L509" s="75">
        <v>1392</v>
      </c>
      <c r="M509" s="75">
        <v>1392</v>
      </c>
      <c r="N509" s="75">
        <v>0</v>
      </c>
      <c r="O509" s="75">
        <v>0</v>
      </c>
    </row>
    <row r="510" spans="1:23" ht="32.25" customHeight="1" x14ac:dyDescent="0.2">
      <c r="A510" s="135"/>
      <c r="B510" s="144"/>
      <c r="C510" s="80" t="s">
        <v>13</v>
      </c>
      <c r="D510" s="88">
        <f t="shared" si="203"/>
        <v>0</v>
      </c>
      <c r="E510" s="88">
        <f>E515+E522</f>
        <v>0</v>
      </c>
      <c r="F510" s="88">
        <f t="shared" ref="F510:O510" si="224">F515+F522</f>
        <v>0</v>
      </c>
      <c r="G510" s="88">
        <f t="shared" si="224"/>
        <v>0</v>
      </c>
      <c r="H510" s="88">
        <f t="shared" si="224"/>
        <v>0</v>
      </c>
      <c r="I510" s="88">
        <f t="shared" si="224"/>
        <v>0</v>
      </c>
      <c r="J510" s="88">
        <f t="shared" si="224"/>
        <v>0</v>
      </c>
      <c r="K510" s="88">
        <f t="shared" si="224"/>
        <v>0</v>
      </c>
      <c r="L510" s="88">
        <f t="shared" si="224"/>
        <v>0</v>
      </c>
      <c r="M510" s="88">
        <f t="shared" si="224"/>
        <v>0</v>
      </c>
      <c r="N510" s="88">
        <f t="shared" si="224"/>
        <v>0</v>
      </c>
      <c r="O510" s="88">
        <f t="shared" si="224"/>
        <v>0</v>
      </c>
    </row>
    <row r="511" spans="1:23" ht="15.75" hidden="1" x14ac:dyDescent="0.2">
      <c r="A511" s="135" t="s">
        <v>333</v>
      </c>
      <c r="B511" s="143" t="s">
        <v>318</v>
      </c>
      <c r="C511" s="89" t="s">
        <v>7</v>
      </c>
      <c r="D511" s="73">
        <f t="shared" si="203"/>
        <v>0</v>
      </c>
      <c r="E511" s="73">
        <f t="shared" ref="E511:J511" si="225">E512+E513+E514+E515</f>
        <v>0</v>
      </c>
      <c r="F511" s="73">
        <f t="shared" si="225"/>
        <v>0</v>
      </c>
      <c r="G511" s="73">
        <f t="shared" si="225"/>
        <v>0</v>
      </c>
      <c r="H511" s="73">
        <f t="shared" si="225"/>
        <v>0</v>
      </c>
      <c r="I511" s="73">
        <f t="shared" si="225"/>
        <v>0</v>
      </c>
      <c r="J511" s="73">
        <f t="shared" si="225"/>
        <v>0</v>
      </c>
      <c r="K511" s="73">
        <f>K512+K513+K514+K515</f>
        <v>0</v>
      </c>
      <c r="L511" s="73">
        <f>L512+L513+L514+L515</f>
        <v>0</v>
      </c>
      <c r="M511" s="73">
        <f>M512+M513+M514+M515</f>
        <v>0</v>
      </c>
      <c r="N511" s="73">
        <f>N512+N513+N514+N515</f>
        <v>0</v>
      </c>
      <c r="O511" s="73">
        <f>O512+O513+O514+O515</f>
        <v>0</v>
      </c>
      <c r="W511" s="90"/>
    </row>
    <row r="512" spans="1:23" ht="15.75" hidden="1" x14ac:dyDescent="0.2">
      <c r="A512" s="135"/>
      <c r="B512" s="144"/>
      <c r="C512" s="80" t="s">
        <v>10</v>
      </c>
      <c r="D512" s="73">
        <f t="shared" si="203"/>
        <v>0</v>
      </c>
      <c r="E512" s="73">
        <v>0</v>
      </c>
      <c r="F512" s="73">
        <v>0</v>
      </c>
      <c r="G512" s="73">
        <v>0</v>
      </c>
      <c r="H512" s="73">
        <v>0</v>
      </c>
      <c r="I512" s="73">
        <v>0</v>
      </c>
      <c r="J512" s="73">
        <v>0</v>
      </c>
      <c r="K512" s="73">
        <v>0</v>
      </c>
      <c r="L512" s="73">
        <v>0</v>
      </c>
      <c r="M512" s="73">
        <v>0</v>
      </c>
      <c r="N512" s="73">
        <v>0</v>
      </c>
      <c r="O512" s="73">
        <v>0</v>
      </c>
      <c r="W512" s="90"/>
    </row>
    <row r="513" spans="1:23" ht="15.75" hidden="1" x14ac:dyDescent="0.2">
      <c r="A513" s="135"/>
      <c r="B513" s="144"/>
      <c r="C513" s="80" t="s">
        <v>11</v>
      </c>
      <c r="D513" s="73">
        <f t="shared" ref="D513:D548" si="226">E513+F513+G513+H513+I513+J513+K513+L513+M513+N513+O513</f>
        <v>0</v>
      </c>
      <c r="E513" s="73">
        <v>0</v>
      </c>
      <c r="F513" s="73">
        <v>0</v>
      </c>
      <c r="G513" s="73">
        <v>0</v>
      </c>
      <c r="H513" s="73">
        <v>0</v>
      </c>
      <c r="I513" s="73">
        <v>0</v>
      </c>
      <c r="J513" s="73">
        <v>0</v>
      </c>
      <c r="K513" s="73">
        <v>0</v>
      </c>
      <c r="L513" s="73">
        <v>0</v>
      </c>
      <c r="M513" s="73">
        <v>0</v>
      </c>
      <c r="N513" s="73">
        <v>0</v>
      </c>
      <c r="O513" s="73">
        <v>0</v>
      </c>
      <c r="W513" s="90"/>
    </row>
    <row r="514" spans="1:23" ht="15.75" hidden="1" x14ac:dyDescent="0.2">
      <c r="A514" s="135"/>
      <c r="B514" s="144"/>
      <c r="C514" s="80" t="s">
        <v>12</v>
      </c>
      <c r="D514" s="73">
        <f t="shared" si="226"/>
        <v>0</v>
      </c>
      <c r="E514" s="73">
        <v>0</v>
      </c>
      <c r="F514" s="73">
        <v>0</v>
      </c>
      <c r="G514" s="73">
        <v>0</v>
      </c>
      <c r="H514" s="73">
        <v>0</v>
      </c>
      <c r="I514" s="73">
        <v>0</v>
      </c>
      <c r="J514" s="73">
        <v>0</v>
      </c>
      <c r="K514" s="73">
        <v>0</v>
      </c>
      <c r="L514" s="73">
        <f>98.2-11-2.5-57.4-27.3</f>
        <v>0</v>
      </c>
      <c r="M514" s="73">
        <f>416.2-416.2</f>
        <v>0</v>
      </c>
      <c r="N514" s="73">
        <v>0</v>
      </c>
      <c r="O514" s="73">
        <v>0</v>
      </c>
      <c r="W514" s="90"/>
    </row>
    <row r="515" spans="1:23" ht="17.25" hidden="1" customHeight="1" x14ac:dyDescent="0.2">
      <c r="A515" s="135"/>
      <c r="B515" s="144"/>
      <c r="C515" s="80" t="s">
        <v>13</v>
      </c>
      <c r="D515" s="73">
        <f t="shared" si="226"/>
        <v>0</v>
      </c>
      <c r="E515" s="73">
        <v>0</v>
      </c>
      <c r="F515" s="73">
        <v>0</v>
      </c>
      <c r="G515" s="73">
        <v>0</v>
      </c>
      <c r="H515" s="73">
        <v>0</v>
      </c>
      <c r="I515" s="73">
        <v>0</v>
      </c>
      <c r="J515" s="73">
        <v>0</v>
      </c>
      <c r="K515" s="73">
        <v>0</v>
      </c>
      <c r="L515" s="73">
        <v>0</v>
      </c>
      <c r="M515" s="73">
        <v>0</v>
      </c>
      <c r="N515" s="73">
        <v>0</v>
      </c>
      <c r="O515" s="73">
        <v>0</v>
      </c>
      <c r="W515" s="90"/>
    </row>
    <row r="516" spans="1:23" ht="17.25" customHeight="1" x14ac:dyDescent="0.2">
      <c r="A516" s="139" t="s">
        <v>333</v>
      </c>
      <c r="B516" s="139" t="s">
        <v>375</v>
      </c>
      <c r="C516" s="89" t="s">
        <v>7</v>
      </c>
      <c r="D516" s="73">
        <f>E516+F516+G516+H516+I516+J516+K516+L516+M516+N516+O516</f>
        <v>71929.2</v>
      </c>
      <c r="E516" s="73">
        <f t="shared" ref="E516:O516" si="227">E517+E518+E520+E522</f>
        <v>0</v>
      </c>
      <c r="F516" s="73">
        <f t="shared" si="227"/>
        <v>0</v>
      </c>
      <c r="G516" s="73">
        <f t="shared" si="227"/>
        <v>0</v>
      </c>
      <c r="H516" s="73">
        <f t="shared" si="227"/>
        <v>0</v>
      </c>
      <c r="I516" s="73">
        <f t="shared" si="227"/>
        <v>0</v>
      </c>
      <c r="J516" s="73">
        <f t="shared" si="227"/>
        <v>0</v>
      </c>
      <c r="K516" s="73">
        <f t="shared" si="227"/>
        <v>25529.200000000001</v>
      </c>
      <c r="L516" s="73">
        <f t="shared" si="227"/>
        <v>23200</v>
      </c>
      <c r="M516" s="73">
        <f t="shared" si="227"/>
        <v>23200</v>
      </c>
      <c r="N516" s="73">
        <f t="shared" si="227"/>
        <v>0</v>
      </c>
      <c r="O516" s="73">
        <f t="shared" si="227"/>
        <v>0</v>
      </c>
      <c r="W516" s="90"/>
    </row>
    <row r="517" spans="1:23" ht="17.25" customHeight="1" x14ac:dyDescent="0.2">
      <c r="A517" s="140"/>
      <c r="B517" s="140"/>
      <c r="C517" s="80" t="s">
        <v>10</v>
      </c>
      <c r="D517" s="73">
        <f t="shared" ref="D517:D522" si="228">E517+F517+G517+H517+I517+J517+K517+L517+M517+N517+O517</f>
        <v>0</v>
      </c>
      <c r="E517" s="73">
        <v>0</v>
      </c>
      <c r="F517" s="73">
        <v>0</v>
      </c>
      <c r="G517" s="73">
        <v>0</v>
      </c>
      <c r="H517" s="73">
        <v>0</v>
      </c>
      <c r="I517" s="73">
        <v>0</v>
      </c>
      <c r="J517" s="73">
        <v>0</v>
      </c>
      <c r="K517" s="73">
        <v>0</v>
      </c>
      <c r="L517" s="73">
        <v>0</v>
      </c>
      <c r="M517" s="73">
        <v>0</v>
      </c>
      <c r="N517" s="73">
        <v>0</v>
      </c>
      <c r="O517" s="73">
        <v>0</v>
      </c>
      <c r="W517" s="90"/>
    </row>
    <row r="518" spans="1:23" ht="33.75" customHeight="1" x14ac:dyDescent="0.2">
      <c r="A518" s="140"/>
      <c r="B518" s="140"/>
      <c r="C518" s="80" t="s">
        <v>69</v>
      </c>
      <c r="D518" s="73">
        <f t="shared" si="228"/>
        <v>67613.399999999994</v>
      </c>
      <c r="E518" s="73">
        <v>0</v>
      </c>
      <c r="F518" s="73">
        <v>0</v>
      </c>
      <c r="G518" s="73">
        <v>0</v>
      </c>
      <c r="H518" s="73">
        <v>0</v>
      </c>
      <c r="I518" s="73">
        <v>0</v>
      </c>
      <c r="J518" s="73">
        <v>0</v>
      </c>
      <c r="K518" s="73">
        <v>23997.4</v>
      </c>
      <c r="L518" s="73">
        <v>21808</v>
      </c>
      <c r="M518" s="73">
        <v>21808</v>
      </c>
      <c r="N518" s="73">
        <v>0</v>
      </c>
      <c r="O518" s="73">
        <v>0</v>
      </c>
      <c r="W518" s="90"/>
    </row>
    <row r="519" spans="1:23" ht="33.75" customHeight="1" x14ac:dyDescent="0.2">
      <c r="A519" s="140"/>
      <c r="B519" s="140"/>
      <c r="C519" s="76" t="s">
        <v>81</v>
      </c>
      <c r="D519" s="75">
        <f t="shared" si="228"/>
        <v>43616</v>
      </c>
      <c r="E519" s="75">
        <v>0</v>
      </c>
      <c r="F519" s="75">
        <v>0</v>
      </c>
      <c r="G519" s="75">
        <v>0</v>
      </c>
      <c r="H519" s="75">
        <v>0</v>
      </c>
      <c r="I519" s="75">
        <v>0</v>
      </c>
      <c r="J519" s="75">
        <v>0</v>
      </c>
      <c r="K519" s="75">
        <v>0</v>
      </c>
      <c r="L519" s="75">
        <v>21808</v>
      </c>
      <c r="M519" s="75">
        <v>21808</v>
      </c>
      <c r="N519" s="75">
        <v>0</v>
      </c>
      <c r="O519" s="75">
        <v>0</v>
      </c>
      <c r="W519" s="90"/>
    </row>
    <row r="520" spans="1:23" ht="30.75" customHeight="1" x14ac:dyDescent="0.2">
      <c r="A520" s="140"/>
      <c r="B520" s="140"/>
      <c r="C520" s="80" t="s">
        <v>65</v>
      </c>
      <c r="D520" s="73">
        <f t="shared" si="228"/>
        <v>4315.8</v>
      </c>
      <c r="E520" s="73">
        <v>0</v>
      </c>
      <c r="F520" s="73">
        <v>0</v>
      </c>
      <c r="G520" s="73">
        <v>0</v>
      </c>
      <c r="H520" s="73">
        <v>0</v>
      </c>
      <c r="I520" s="73">
        <v>0</v>
      </c>
      <c r="J520" s="73">
        <v>0</v>
      </c>
      <c r="K520" s="73">
        <f>1531.8</f>
        <v>1531.8</v>
      </c>
      <c r="L520" s="73">
        <v>1392</v>
      </c>
      <c r="M520" s="73">
        <v>1392</v>
      </c>
      <c r="N520" s="73">
        <v>0</v>
      </c>
      <c r="O520" s="73">
        <v>0</v>
      </c>
      <c r="W520" s="90"/>
    </row>
    <row r="521" spans="1:23" s="90" customFormat="1" ht="36" customHeight="1" x14ac:dyDescent="0.2">
      <c r="A521" s="140"/>
      <c r="B521" s="140"/>
      <c r="C521" s="76" t="s">
        <v>449</v>
      </c>
      <c r="D521" s="75">
        <f t="shared" si="228"/>
        <v>2784</v>
      </c>
      <c r="E521" s="73">
        <v>0</v>
      </c>
      <c r="F521" s="73">
        <v>0</v>
      </c>
      <c r="G521" s="73">
        <v>0</v>
      </c>
      <c r="H521" s="73">
        <v>0</v>
      </c>
      <c r="I521" s="73">
        <v>0</v>
      </c>
      <c r="J521" s="73">
        <v>0</v>
      </c>
      <c r="K521" s="75">
        <v>0</v>
      </c>
      <c r="L521" s="75">
        <v>1392</v>
      </c>
      <c r="M521" s="75">
        <v>1392</v>
      </c>
      <c r="N521" s="75">
        <v>0</v>
      </c>
      <c r="O521" s="75">
        <v>0</v>
      </c>
    </row>
    <row r="522" spans="1:23" ht="30" customHeight="1" x14ac:dyDescent="0.2">
      <c r="A522" s="141"/>
      <c r="B522" s="141"/>
      <c r="C522" s="80" t="s">
        <v>13</v>
      </c>
      <c r="D522" s="73">
        <f t="shared" si="228"/>
        <v>0</v>
      </c>
      <c r="E522" s="73">
        <v>0</v>
      </c>
      <c r="F522" s="73">
        <v>0</v>
      </c>
      <c r="G522" s="73">
        <v>0</v>
      </c>
      <c r="H522" s="73">
        <v>0</v>
      </c>
      <c r="I522" s="73">
        <v>0</v>
      </c>
      <c r="J522" s="73">
        <v>0</v>
      </c>
      <c r="K522" s="73">
        <v>0</v>
      </c>
      <c r="L522" s="73">
        <v>0</v>
      </c>
      <c r="M522" s="73">
        <v>0</v>
      </c>
      <c r="N522" s="73">
        <v>0</v>
      </c>
      <c r="O522" s="73">
        <v>0</v>
      </c>
      <c r="W522" s="90"/>
    </row>
    <row r="523" spans="1:23" ht="15.75" customHeight="1" x14ac:dyDescent="0.2">
      <c r="A523" s="145" t="s">
        <v>33</v>
      </c>
      <c r="B523" s="156" t="s">
        <v>46</v>
      </c>
      <c r="C523" s="78" t="s">
        <v>7</v>
      </c>
      <c r="D523" s="70">
        <f t="shared" si="226"/>
        <v>33480.5</v>
      </c>
      <c r="E523" s="70">
        <f>E524+E525+E526+E527</f>
        <v>20400</v>
      </c>
      <c r="F523" s="70">
        <f t="shared" ref="F523:O523" si="229">F524+F525+F526+F527</f>
        <v>3430</v>
      </c>
      <c r="G523" s="70">
        <f t="shared" si="229"/>
        <v>2049.1999999999998</v>
      </c>
      <c r="H523" s="70">
        <f t="shared" si="229"/>
        <v>3688.6</v>
      </c>
      <c r="I523" s="70">
        <f t="shared" si="229"/>
        <v>2475</v>
      </c>
      <c r="J523" s="70">
        <f>J524+J525+J526+J527</f>
        <v>227.4</v>
      </c>
      <c r="K523" s="70">
        <f t="shared" si="229"/>
        <v>251</v>
      </c>
      <c r="L523" s="70">
        <f t="shared" si="229"/>
        <v>278.5</v>
      </c>
      <c r="M523" s="70">
        <f>M524+M525+M526+M527</f>
        <v>312</v>
      </c>
      <c r="N523" s="70">
        <f t="shared" si="229"/>
        <v>185.8</v>
      </c>
      <c r="O523" s="70">
        <f t="shared" si="229"/>
        <v>183</v>
      </c>
      <c r="P523" s="61"/>
      <c r="Q523" s="61"/>
      <c r="W523" s="90"/>
    </row>
    <row r="524" spans="1:23" ht="15.75" customHeight="1" x14ac:dyDescent="0.2">
      <c r="A524" s="145"/>
      <c r="B524" s="143"/>
      <c r="C524" s="78" t="s">
        <v>10</v>
      </c>
      <c r="D524" s="73">
        <f t="shared" si="226"/>
        <v>0</v>
      </c>
      <c r="E524" s="73">
        <f>E529</f>
        <v>0</v>
      </c>
      <c r="F524" s="73">
        <f t="shared" ref="F524:O524" si="230">F529</f>
        <v>0</v>
      </c>
      <c r="G524" s="73">
        <f t="shared" si="230"/>
        <v>0</v>
      </c>
      <c r="H524" s="73">
        <f t="shared" si="230"/>
        <v>0</v>
      </c>
      <c r="I524" s="73">
        <f t="shared" si="230"/>
        <v>0</v>
      </c>
      <c r="J524" s="73">
        <f t="shared" si="230"/>
        <v>0</v>
      </c>
      <c r="K524" s="73">
        <f t="shared" si="230"/>
        <v>0</v>
      </c>
      <c r="L524" s="73">
        <f t="shared" si="230"/>
        <v>0</v>
      </c>
      <c r="M524" s="73">
        <f t="shared" si="230"/>
        <v>0</v>
      </c>
      <c r="N524" s="73">
        <f t="shared" si="230"/>
        <v>0</v>
      </c>
      <c r="O524" s="73">
        <f t="shared" si="230"/>
        <v>0</v>
      </c>
      <c r="W524" s="90"/>
    </row>
    <row r="525" spans="1:23" ht="15.75" customHeight="1" x14ac:dyDescent="0.2">
      <c r="A525" s="145"/>
      <c r="B525" s="143"/>
      <c r="C525" s="78" t="s">
        <v>11</v>
      </c>
      <c r="D525" s="73">
        <f t="shared" si="226"/>
        <v>0</v>
      </c>
      <c r="E525" s="73">
        <f>E530</f>
        <v>0</v>
      </c>
      <c r="F525" s="73">
        <f t="shared" ref="F525:O525" si="231">F539</f>
        <v>0</v>
      </c>
      <c r="G525" s="73">
        <f t="shared" si="231"/>
        <v>0</v>
      </c>
      <c r="H525" s="73">
        <f t="shared" si="231"/>
        <v>0</v>
      </c>
      <c r="I525" s="73">
        <f t="shared" si="231"/>
        <v>0</v>
      </c>
      <c r="J525" s="73">
        <f t="shared" si="231"/>
        <v>0</v>
      </c>
      <c r="K525" s="73">
        <f t="shared" si="231"/>
        <v>0</v>
      </c>
      <c r="L525" s="73">
        <f t="shared" si="231"/>
        <v>0</v>
      </c>
      <c r="M525" s="73">
        <f t="shared" si="231"/>
        <v>0</v>
      </c>
      <c r="N525" s="73">
        <f t="shared" si="231"/>
        <v>0</v>
      </c>
      <c r="O525" s="73">
        <f t="shared" si="231"/>
        <v>0</v>
      </c>
    </row>
    <row r="526" spans="1:23" ht="15.75" customHeight="1" x14ac:dyDescent="0.2">
      <c r="A526" s="145"/>
      <c r="B526" s="143"/>
      <c r="C526" s="78" t="s">
        <v>12</v>
      </c>
      <c r="D526" s="73">
        <f t="shared" si="226"/>
        <v>3215.5000000000005</v>
      </c>
      <c r="E526" s="73">
        <f>E531</f>
        <v>400</v>
      </c>
      <c r="F526" s="73">
        <f>F531</f>
        <v>430</v>
      </c>
      <c r="G526" s="73">
        <f t="shared" ref="G526:O526" si="232">G531</f>
        <v>449.2</v>
      </c>
      <c r="H526" s="73">
        <f t="shared" si="232"/>
        <v>235</v>
      </c>
      <c r="I526" s="73">
        <f t="shared" si="232"/>
        <v>263.60000000000002</v>
      </c>
      <c r="J526" s="73">
        <f t="shared" si="232"/>
        <v>227.4</v>
      </c>
      <c r="K526" s="73">
        <f t="shared" si="232"/>
        <v>251</v>
      </c>
      <c r="L526" s="73">
        <f t="shared" si="232"/>
        <v>278.5</v>
      </c>
      <c r="M526" s="73">
        <f t="shared" si="232"/>
        <v>312</v>
      </c>
      <c r="N526" s="73">
        <f t="shared" si="232"/>
        <v>185.8</v>
      </c>
      <c r="O526" s="73">
        <f t="shared" si="232"/>
        <v>183</v>
      </c>
    </row>
    <row r="527" spans="1:23" ht="15.75" x14ac:dyDescent="0.2">
      <c r="A527" s="145"/>
      <c r="B527" s="143"/>
      <c r="C527" s="78" t="s">
        <v>13</v>
      </c>
      <c r="D527" s="73">
        <f t="shared" si="226"/>
        <v>30265</v>
      </c>
      <c r="E527" s="73">
        <f>E532</f>
        <v>20000</v>
      </c>
      <c r="F527" s="73">
        <f t="shared" ref="F527:O527" si="233">F532</f>
        <v>3000</v>
      </c>
      <c r="G527" s="73">
        <f t="shared" si="233"/>
        <v>1600</v>
      </c>
      <c r="H527" s="73">
        <f t="shared" si="233"/>
        <v>3453.6</v>
      </c>
      <c r="I527" s="73">
        <f t="shared" si="233"/>
        <v>2211.4</v>
      </c>
      <c r="J527" s="73">
        <f t="shared" si="233"/>
        <v>0</v>
      </c>
      <c r="K527" s="73">
        <f t="shared" si="233"/>
        <v>0</v>
      </c>
      <c r="L527" s="73">
        <f t="shared" si="233"/>
        <v>0</v>
      </c>
      <c r="M527" s="73">
        <f t="shared" si="233"/>
        <v>0</v>
      </c>
      <c r="N527" s="73">
        <f t="shared" si="233"/>
        <v>0</v>
      </c>
      <c r="O527" s="73">
        <f t="shared" si="233"/>
        <v>0</v>
      </c>
    </row>
    <row r="528" spans="1:23" ht="19.5" customHeight="1" x14ac:dyDescent="0.2">
      <c r="A528" s="135" t="s">
        <v>132</v>
      </c>
      <c r="B528" s="143" t="s">
        <v>119</v>
      </c>
      <c r="C528" s="78" t="s">
        <v>7</v>
      </c>
      <c r="D528" s="73">
        <f t="shared" si="226"/>
        <v>33480.5</v>
      </c>
      <c r="E528" s="73">
        <f t="shared" ref="E528:O528" si="234">E529+E530+E531+E532</f>
        <v>20400</v>
      </c>
      <c r="F528" s="73">
        <f t="shared" si="234"/>
        <v>3430</v>
      </c>
      <c r="G528" s="73">
        <f t="shared" si="234"/>
        <v>2049.1999999999998</v>
      </c>
      <c r="H528" s="73">
        <f t="shared" si="234"/>
        <v>3688.6</v>
      </c>
      <c r="I528" s="73">
        <f t="shared" si="234"/>
        <v>2475</v>
      </c>
      <c r="J528" s="73">
        <f t="shared" si="234"/>
        <v>227.4</v>
      </c>
      <c r="K528" s="73">
        <f t="shared" si="234"/>
        <v>251</v>
      </c>
      <c r="L528" s="73">
        <f t="shared" si="234"/>
        <v>278.5</v>
      </c>
      <c r="M528" s="73">
        <f t="shared" si="234"/>
        <v>312</v>
      </c>
      <c r="N528" s="73">
        <f t="shared" si="234"/>
        <v>185.8</v>
      </c>
      <c r="O528" s="73">
        <f t="shared" si="234"/>
        <v>183</v>
      </c>
    </row>
    <row r="529" spans="1:15" ht="23.25" customHeight="1" x14ac:dyDescent="0.2">
      <c r="A529" s="135"/>
      <c r="B529" s="143"/>
      <c r="C529" s="78" t="s">
        <v>10</v>
      </c>
      <c r="D529" s="73">
        <f t="shared" si="226"/>
        <v>0</v>
      </c>
      <c r="E529" s="73">
        <f t="shared" ref="E529:O529" si="235">E534+E539+E544</f>
        <v>0</v>
      </c>
      <c r="F529" s="73">
        <f t="shared" si="235"/>
        <v>0</v>
      </c>
      <c r="G529" s="73">
        <f t="shared" si="235"/>
        <v>0</v>
      </c>
      <c r="H529" s="73">
        <f t="shared" si="235"/>
        <v>0</v>
      </c>
      <c r="I529" s="73">
        <f t="shared" si="235"/>
        <v>0</v>
      </c>
      <c r="J529" s="73">
        <f t="shared" si="235"/>
        <v>0</v>
      </c>
      <c r="K529" s="73">
        <f t="shared" si="235"/>
        <v>0</v>
      </c>
      <c r="L529" s="73">
        <f t="shared" si="235"/>
        <v>0</v>
      </c>
      <c r="M529" s="73">
        <f t="shared" si="235"/>
        <v>0</v>
      </c>
      <c r="N529" s="73">
        <f t="shared" si="235"/>
        <v>0</v>
      </c>
      <c r="O529" s="73">
        <f t="shared" si="235"/>
        <v>0</v>
      </c>
    </row>
    <row r="530" spans="1:15" ht="23.25" customHeight="1" x14ac:dyDescent="0.2">
      <c r="A530" s="135"/>
      <c r="B530" s="143"/>
      <c r="C530" s="78" t="s">
        <v>11</v>
      </c>
      <c r="D530" s="73">
        <f t="shared" si="226"/>
        <v>0</v>
      </c>
      <c r="E530" s="73">
        <f t="shared" ref="E530:O530" si="236">E535+E540+E545</f>
        <v>0</v>
      </c>
      <c r="F530" s="73">
        <f t="shared" si="236"/>
        <v>0</v>
      </c>
      <c r="G530" s="73">
        <f t="shared" si="236"/>
        <v>0</v>
      </c>
      <c r="H530" s="73">
        <f t="shared" si="236"/>
        <v>0</v>
      </c>
      <c r="I530" s="73">
        <f t="shared" si="236"/>
        <v>0</v>
      </c>
      <c r="J530" s="73">
        <f t="shared" si="236"/>
        <v>0</v>
      </c>
      <c r="K530" s="73">
        <f t="shared" si="236"/>
        <v>0</v>
      </c>
      <c r="L530" s="73">
        <f t="shared" si="236"/>
        <v>0</v>
      </c>
      <c r="M530" s="73">
        <f t="shared" si="236"/>
        <v>0</v>
      </c>
      <c r="N530" s="73">
        <f t="shared" si="236"/>
        <v>0</v>
      </c>
      <c r="O530" s="73">
        <f t="shared" si="236"/>
        <v>0</v>
      </c>
    </row>
    <row r="531" spans="1:15" ht="23.25" customHeight="1" x14ac:dyDescent="0.2">
      <c r="A531" s="135"/>
      <c r="B531" s="143"/>
      <c r="C531" s="78" t="s">
        <v>12</v>
      </c>
      <c r="D531" s="73">
        <f t="shared" si="226"/>
        <v>3215.5000000000005</v>
      </c>
      <c r="E531" s="73">
        <f t="shared" ref="E531:O531" si="237">E536+E541+E546</f>
        <v>400</v>
      </c>
      <c r="F531" s="73">
        <f t="shared" si="237"/>
        <v>430</v>
      </c>
      <c r="G531" s="73">
        <f t="shared" si="237"/>
        <v>449.2</v>
      </c>
      <c r="H531" s="73">
        <f t="shared" si="237"/>
        <v>235</v>
      </c>
      <c r="I531" s="73">
        <f>I536+I541+I546</f>
        <v>263.60000000000002</v>
      </c>
      <c r="J531" s="73">
        <f t="shared" si="237"/>
        <v>227.4</v>
      </c>
      <c r="K531" s="73">
        <f t="shared" si="237"/>
        <v>251</v>
      </c>
      <c r="L531" s="73">
        <f t="shared" si="237"/>
        <v>278.5</v>
      </c>
      <c r="M531" s="73">
        <f t="shared" si="237"/>
        <v>312</v>
      </c>
      <c r="N531" s="73">
        <f t="shared" si="237"/>
        <v>185.8</v>
      </c>
      <c r="O531" s="73">
        <f t="shared" si="237"/>
        <v>183</v>
      </c>
    </row>
    <row r="532" spans="1:15" ht="23.25" customHeight="1" x14ac:dyDescent="0.2">
      <c r="A532" s="135"/>
      <c r="B532" s="143"/>
      <c r="C532" s="78" t="s">
        <v>13</v>
      </c>
      <c r="D532" s="73">
        <f t="shared" si="226"/>
        <v>30265</v>
      </c>
      <c r="E532" s="73">
        <f t="shared" ref="E532:O532" si="238">E537+E542+E547</f>
        <v>20000</v>
      </c>
      <c r="F532" s="73">
        <f t="shared" si="238"/>
        <v>3000</v>
      </c>
      <c r="G532" s="73">
        <f t="shared" si="238"/>
        <v>1600</v>
      </c>
      <c r="H532" s="73">
        <f t="shared" si="238"/>
        <v>3453.6</v>
      </c>
      <c r="I532" s="73">
        <f t="shared" si="238"/>
        <v>2211.4</v>
      </c>
      <c r="J532" s="73">
        <f t="shared" si="238"/>
        <v>0</v>
      </c>
      <c r="K532" s="73">
        <f t="shared" si="238"/>
        <v>0</v>
      </c>
      <c r="L532" s="73">
        <f t="shared" si="238"/>
        <v>0</v>
      </c>
      <c r="M532" s="73">
        <f t="shared" si="238"/>
        <v>0</v>
      </c>
      <c r="N532" s="73">
        <f t="shared" si="238"/>
        <v>0</v>
      </c>
      <c r="O532" s="73">
        <f t="shared" si="238"/>
        <v>0</v>
      </c>
    </row>
    <row r="533" spans="1:15" ht="15.75" x14ac:dyDescent="0.2">
      <c r="A533" s="135" t="s">
        <v>120</v>
      </c>
      <c r="B533" s="143" t="s">
        <v>85</v>
      </c>
      <c r="C533" s="80" t="s">
        <v>7</v>
      </c>
      <c r="D533" s="73">
        <f t="shared" si="226"/>
        <v>3933.4</v>
      </c>
      <c r="E533" s="73">
        <f t="shared" ref="E533:J533" si="239">E534+E535+E536+E537</f>
        <v>0</v>
      </c>
      <c r="F533" s="73">
        <f t="shared" si="239"/>
        <v>0</v>
      </c>
      <c r="G533" s="73">
        <f t="shared" si="239"/>
        <v>0</v>
      </c>
      <c r="H533" s="73">
        <f t="shared" si="239"/>
        <v>2662</v>
      </c>
      <c r="I533" s="73">
        <f t="shared" si="239"/>
        <v>1271.4000000000001</v>
      </c>
      <c r="J533" s="73">
        <f t="shared" si="239"/>
        <v>0</v>
      </c>
      <c r="K533" s="73">
        <f>K534+K535+K536+K537</f>
        <v>0</v>
      </c>
      <c r="L533" s="73">
        <f>L534+L535+L536+L537</f>
        <v>0</v>
      </c>
      <c r="M533" s="73">
        <f>M534+M535+M536+M537</f>
        <v>0</v>
      </c>
      <c r="N533" s="73">
        <f>N534+N535+N536+N537</f>
        <v>0</v>
      </c>
      <c r="O533" s="73">
        <f>O534+O535+O536+O537</f>
        <v>0</v>
      </c>
    </row>
    <row r="534" spans="1:15" ht="15.75" customHeight="1" x14ac:dyDescent="0.2">
      <c r="A534" s="135"/>
      <c r="B534" s="143"/>
      <c r="C534" s="80" t="s">
        <v>10</v>
      </c>
      <c r="D534" s="73">
        <f t="shared" si="226"/>
        <v>0</v>
      </c>
      <c r="E534" s="73">
        <v>0</v>
      </c>
      <c r="F534" s="73">
        <v>0</v>
      </c>
      <c r="G534" s="73">
        <v>0</v>
      </c>
      <c r="H534" s="73">
        <v>0</v>
      </c>
      <c r="I534" s="73">
        <v>0</v>
      </c>
      <c r="J534" s="73">
        <v>0</v>
      </c>
      <c r="K534" s="73">
        <v>0</v>
      </c>
      <c r="L534" s="73">
        <v>0</v>
      </c>
      <c r="M534" s="73">
        <v>0</v>
      </c>
      <c r="N534" s="73">
        <v>0</v>
      </c>
      <c r="O534" s="73">
        <v>0</v>
      </c>
    </row>
    <row r="535" spans="1:15" ht="15.75" customHeight="1" x14ac:dyDescent="0.2">
      <c r="A535" s="135"/>
      <c r="B535" s="143"/>
      <c r="C535" s="80" t="s">
        <v>11</v>
      </c>
      <c r="D535" s="73">
        <f t="shared" si="226"/>
        <v>0</v>
      </c>
      <c r="E535" s="73">
        <v>0</v>
      </c>
      <c r="F535" s="73">
        <v>0</v>
      </c>
      <c r="G535" s="73">
        <v>0</v>
      </c>
      <c r="H535" s="73">
        <v>0</v>
      </c>
      <c r="I535" s="73">
        <v>0</v>
      </c>
      <c r="J535" s="73">
        <v>0</v>
      </c>
      <c r="K535" s="73">
        <v>0</v>
      </c>
      <c r="L535" s="73">
        <v>0</v>
      </c>
      <c r="M535" s="73">
        <v>0</v>
      </c>
      <c r="N535" s="73">
        <v>0</v>
      </c>
      <c r="O535" s="73">
        <v>0</v>
      </c>
    </row>
    <row r="536" spans="1:15" ht="15.75" customHeight="1" x14ac:dyDescent="0.2">
      <c r="A536" s="135"/>
      <c r="B536" s="143"/>
      <c r="C536" s="80" t="s">
        <v>12</v>
      </c>
      <c r="D536" s="73">
        <f t="shared" si="226"/>
        <v>0</v>
      </c>
      <c r="E536" s="73">
        <v>0</v>
      </c>
      <c r="F536" s="73">
        <v>0</v>
      </c>
      <c r="G536" s="73">
        <v>0</v>
      </c>
      <c r="H536" s="73">
        <v>0</v>
      </c>
      <c r="I536" s="73">
        <v>0</v>
      </c>
      <c r="J536" s="73">
        <v>0</v>
      </c>
      <c r="K536" s="73">
        <v>0</v>
      </c>
      <c r="L536" s="73">
        <v>0</v>
      </c>
      <c r="M536" s="73">
        <v>0</v>
      </c>
      <c r="N536" s="73">
        <v>0</v>
      </c>
      <c r="O536" s="73">
        <v>0</v>
      </c>
    </row>
    <row r="537" spans="1:15" ht="15.75" x14ac:dyDescent="0.2">
      <c r="A537" s="135"/>
      <c r="B537" s="143"/>
      <c r="C537" s="80" t="s">
        <v>13</v>
      </c>
      <c r="D537" s="73">
        <f t="shared" si="226"/>
        <v>3933.4</v>
      </c>
      <c r="E537" s="73">
        <v>0</v>
      </c>
      <c r="F537" s="73">
        <v>0</v>
      </c>
      <c r="G537" s="73">
        <v>0</v>
      </c>
      <c r="H537" s="73">
        <v>2662</v>
      </c>
      <c r="I537" s="73">
        <f>837+48.7+385.7</f>
        <v>1271.4000000000001</v>
      </c>
      <c r="J537" s="73">
        <v>0</v>
      </c>
      <c r="K537" s="73">
        <v>0</v>
      </c>
      <c r="L537" s="73">
        <v>0</v>
      </c>
      <c r="M537" s="73">
        <v>0</v>
      </c>
      <c r="N537" s="73">
        <v>0</v>
      </c>
      <c r="O537" s="73">
        <v>0</v>
      </c>
    </row>
    <row r="538" spans="1:15" ht="15.75" x14ac:dyDescent="0.2">
      <c r="A538" s="135" t="s">
        <v>121</v>
      </c>
      <c r="B538" s="143" t="s">
        <v>32</v>
      </c>
      <c r="C538" s="80" t="s">
        <v>7</v>
      </c>
      <c r="D538" s="73">
        <f t="shared" si="226"/>
        <v>3215.5000000000005</v>
      </c>
      <c r="E538" s="73">
        <f t="shared" ref="E538:J538" si="240">E539+E540+E541+E542</f>
        <v>400</v>
      </c>
      <c r="F538" s="73">
        <f t="shared" si="240"/>
        <v>430</v>
      </c>
      <c r="G538" s="73">
        <f t="shared" si="240"/>
        <v>449.2</v>
      </c>
      <c r="H538" s="73">
        <f t="shared" si="240"/>
        <v>235</v>
      </c>
      <c r="I538" s="73">
        <f t="shared" si="240"/>
        <v>263.60000000000002</v>
      </c>
      <c r="J538" s="73">
        <f t="shared" si="240"/>
        <v>227.4</v>
      </c>
      <c r="K538" s="73">
        <f>K539+K540+K541+K542</f>
        <v>251</v>
      </c>
      <c r="L538" s="73">
        <f>L539+L540+L541+L542</f>
        <v>278.5</v>
      </c>
      <c r="M538" s="73">
        <f>M539+M540+M541+M542</f>
        <v>312</v>
      </c>
      <c r="N538" s="73">
        <f>N539+N540+N541+N542</f>
        <v>185.8</v>
      </c>
      <c r="O538" s="73">
        <f>O539+O540+O541+O542</f>
        <v>183</v>
      </c>
    </row>
    <row r="539" spans="1:15" ht="15.75" x14ac:dyDescent="0.2">
      <c r="A539" s="135"/>
      <c r="B539" s="143"/>
      <c r="C539" s="78" t="s">
        <v>10</v>
      </c>
      <c r="D539" s="73">
        <f t="shared" si="226"/>
        <v>0</v>
      </c>
      <c r="E539" s="73">
        <v>0</v>
      </c>
      <c r="F539" s="73">
        <v>0</v>
      </c>
      <c r="G539" s="73">
        <v>0</v>
      </c>
      <c r="H539" s="73">
        <v>0</v>
      </c>
      <c r="I539" s="73">
        <v>0</v>
      </c>
      <c r="J539" s="73">
        <v>0</v>
      </c>
      <c r="K539" s="73">
        <v>0</v>
      </c>
      <c r="L539" s="73">
        <v>0</v>
      </c>
      <c r="M539" s="73">
        <v>0</v>
      </c>
      <c r="N539" s="73">
        <v>0</v>
      </c>
      <c r="O539" s="73">
        <v>0</v>
      </c>
    </row>
    <row r="540" spans="1:15" ht="15.75" x14ac:dyDescent="0.2">
      <c r="A540" s="135"/>
      <c r="B540" s="143"/>
      <c r="C540" s="78" t="s">
        <v>11</v>
      </c>
      <c r="D540" s="73">
        <f t="shared" si="226"/>
        <v>0</v>
      </c>
      <c r="E540" s="73">
        <v>0</v>
      </c>
      <c r="F540" s="73">
        <v>0</v>
      </c>
      <c r="G540" s="73">
        <v>0</v>
      </c>
      <c r="H540" s="73">
        <v>0</v>
      </c>
      <c r="I540" s="73">
        <v>0</v>
      </c>
      <c r="J540" s="73">
        <v>0</v>
      </c>
      <c r="K540" s="73">
        <v>0</v>
      </c>
      <c r="L540" s="73">
        <v>0</v>
      </c>
      <c r="M540" s="73">
        <v>0</v>
      </c>
      <c r="N540" s="73">
        <v>0</v>
      </c>
      <c r="O540" s="73">
        <v>0</v>
      </c>
    </row>
    <row r="541" spans="1:15" ht="15.75" x14ac:dyDescent="0.2">
      <c r="A541" s="135"/>
      <c r="B541" s="143"/>
      <c r="C541" s="78" t="s">
        <v>12</v>
      </c>
      <c r="D541" s="73">
        <f t="shared" si="226"/>
        <v>3215.5000000000005</v>
      </c>
      <c r="E541" s="73">
        <v>400</v>
      </c>
      <c r="F541" s="73">
        <v>430</v>
      </c>
      <c r="G541" s="73">
        <v>449.2</v>
      </c>
      <c r="H541" s="73">
        <v>235</v>
      </c>
      <c r="I541" s="73">
        <f>251.9+11.7</f>
        <v>263.60000000000002</v>
      </c>
      <c r="J541" s="88">
        <f>278.5-51.1</f>
        <v>227.4</v>
      </c>
      <c r="K541" s="88">
        <f>278.5-27.5</f>
        <v>251</v>
      </c>
      <c r="L541" s="88">
        <f>157.5+121</f>
        <v>278.5</v>
      </c>
      <c r="M541" s="88">
        <f>167-9.4+154.4</f>
        <v>312</v>
      </c>
      <c r="N541" s="73">
        <f>167.8+18</f>
        <v>185.8</v>
      </c>
      <c r="O541" s="73">
        <f>170.3+12.7</f>
        <v>183</v>
      </c>
    </row>
    <row r="542" spans="1:15" ht="15.75" x14ac:dyDescent="0.2">
      <c r="A542" s="135"/>
      <c r="B542" s="143"/>
      <c r="C542" s="78" t="s">
        <v>13</v>
      </c>
      <c r="D542" s="73">
        <f t="shared" si="226"/>
        <v>0</v>
      </c>
      <c r="E542" s="73">
        <v>0</v>
      </c>
      <c r="F542" s="73">
        <v>0</v>
      </c>
      <c r="G542" s="73">
        <v>0</v>
      </c>
      <c r="H542" s="73">
        <v>0</v>
      </c>
      <c r="I542" s="73">
        <v>0</v>
      </c>
      <c r="J542" s="73">
        <v>0</v>
      </c>
      <c r="K542" s="73">
        <v>0</v>
      </c>
      <c r="L542" s="73">
        <v>0</v>
      </c>
      <c r="M542" s="73">
        <v>0</v>
      </c>
      <c r="N542" s="73">
        <v>0</v>
      </c>
      <c r="O542" s="73">
        <v>0</v>
      </c>
    </row>
    <row r="543" spans="1:15" ht="15.75" x14ac:dyDescent="0.25">
      <c r="A543" s="135" t="s">
        <v>246</v>
      </c>
      <c r="B543" s="143" t="s">
        <v>57</v>
      </c>
      <c r="C543" s="91" t="s">
        <v>7</v>
      </c>
      <c r="D543" s="73">
        <f t="shared" si="226"/>
        <v>26331.599999999999</v>
      </c>
      <c r="E543" s="73">
        <f>E547+E546+E545</f>
        <v>20000</v>
      </c>
      <c r="F543" s="73">
        <f t="shared" ref="F543:O543" si="241">F544+F545+F546+F547</f>
        <v>3000</v>
      </c>
      <c r="G543" s="73">
        <f t="shared" si="241"/>
        <v>1600</v>
      </c>
      <c r="H543" s="73">
        <f t="shared" si="241"/>
        <v>791.6</v>
      </c>
      <c r="I543" s="73">
        <f t="shared" si="241"/>
        <v>940</v>
      </c>
      <c r="J543" s="73">
        <f t="shared" si="241"/>
        <v>0</v>
      </c>
      <c r="K543" s="73">
        <f t="shared" si="241"/>
        <v>0</v>
      </c>
      <c r="L543" s="73">
        <f t="shared" si="241"/>
        <v>0</v>
      </c>
      <c r="M543" s="73">
        <f t="shared" si="241"/>
        <v>0</v>
      </c>
      <c r="N543" s="73">
        <f t="shared" si="241"/>
        <v>0</v>
      </c>
      <c r="O543" s="73">
        <f t="shared" si="241"/>
        <v>0</v>
      </c>
    </row>
    <row r="544" spans="1:15" ht="15.75" x14ac:dyDescent="0.2">
      <c r="A544" s="135"/>
      <c r="B544" s="143"/>
      <c r="C544" s="78" t="s">
        <v>10</v>
      </c>
      <c r="D544" s="73">
        <f t="shared" si="226"/>
        <v>0</v>
      </c>
      <c r="E544" s="73">
        <v>0</v>
      </c>
      <c r="F544" s="73">
        <v>0</v>
      </c>
      <c r="G544" s="73">
        <v>0</v>
      </c>
      <c r="H544" s="73">
        <v>0</v>
      </c>
      <c r="I544" s="73">
        <v>0</v>
      </c>
      <c r="J544" s="73">
        <v>0</v>
      </c>
      <c r="K544" s="73">
        <v>0</v>
      </c>
      <c r="L544" s="73">
        <v>0</v>
      </c>
      <c r="M544" s="73">
        <v>0</v>
      </c>
      <c r="N544" s="73">
        <v>0</v>
      </c>
      <c r="O544" s="73">
        <v>0</v>
      </c>
    </row>
    <row r="545" spans="1:17" ht="15.75" x14ac:dyDescent="0.2">
      <c r="A545" s="135"/>
      <c r="B545" s="143"/>
      <c r="C545" s="78" t="s">
        <v>11</v>
      </c>
      <c r="D545" s="73">
        <f t="shared" si="226"/>
        <v>0</v>
      </c>
      <c r="E545" s="73">
        <v>0</v>
      </c>
      <c r="F545" s="73">
        <v>0</v>
      </c>
      <c r="G545" s="73">
        <v>0</v>
      </c>
      <c r="H545" s="73">
        <v>0</v>
      </c>
      <c r="I545" s="73">
        <v>0</v>
      </c>
      <c r="J545" s="73">
        <v>0</v>
      </c>
      <c r="K545" s="73">
        <v>0</v>
      </c>
      <c r="L545" s="73">
        <v>0</v>
      </c>
      <c r="M545" s="73">
        <v>0</v>
      </c>
      <c r="N545" s="73">
        <v>0</v>
      </c>
      <c r="O545" s="73">
        <v>0</v>
      </c>
    </row>
    <row r="546" spans="1:17" ht="15.75" x14ac:dyDescent="0.2">
      <c r="A546" s="135"/>
      <c r="B546" s="143"/>
      <c r="C546" s="78" t="s">
        <v>12</v>
      </c>
      <c r="D546" s="73">
        <f t="shared" si="226"/>
        <v>0</v>
      </c>
      <c r="E546" s="73">
        <v>0</v>
      </c>
      <c r="F546" s="73">
        <v>0</v>
      </c>
      <c r="G546" s="73">
        <v>0</v>
      </c>
      <c r="H546" s="73">
        <v>0</v>
      </c>
      <c r="I546" s="73">
        <v>0</v>
      </c>
      <c r="J546" s="88">
        <v>0</v>
      </c>
      <c r="K546" s="88">
        <v>0</v>
      </c>
      <c r="L546" s="88">
        <v>0</v>
      </c>
      <c r="M546" s="88">
        <v>0</v>
      </c>
      <c r="N546" s="88">
        <v>0</v>
      </c>
      <c r="O546" s="88">
        <v>0</v>
      </c>
    </row>
    <row r="547" spans="1:17" ht="15.75" x14ac:dyDescent="0.2">
      <c r="A547" s="135"/>
      <c r="B547" s="143"/>
      <c r="C547" s="78" t="s">
        <v>13</v>
      </c>
      <c r="D547" s="73">
        <f t="shared" si="226"/>
        <v>26331.599999999999</v>
      </c>
      <c r="E547" s="73">
        <v>20000</v>
      </c>
      <c r="F547" s="73">
        <v>3000</v>
      </c>
      <c r="G547" s="73">
        <v>1600</v>
      </c>
      <c r="H547" s="73">
        <v>791.6</v>
      </c>
      <c r="I547" s="73">
        <v>940</v>
      </c>
      <c r="J547" s="73">
        <v>0</v>
      </c>
      <c r="K547" s="73">
        <v>0</v>
      </c>
      <c r="L547" s="73">
        <v>0</v>
      </c>
      <c r="M547" s="73">
        <v>0</v>
      </c>
      <c r="N547" s="73">
        <v>0</v>
      </c>
      <c r="O547" s="73">
        <v>0</v>
      </c>
    </row>
    <row r="548" spans="1:17" ht="15.75" x14ac:dyDescent="0.2">
      <c r="A548" s="145" t="s">
        <v>39</v>
      </c>
      <c r="B548" s="151" t="s">
        <v>331</v>
      </c>
      <c r="C548" s="77" t="s">
        <v>7</v>
      </c>
      <c r="D548" s="70">
        <f t="shared" si="226"/>
        <v>161117.40000000002</v>
      </c>
      <c r="E548" s="70">
        <f t="shared" ref="E548:O548" si="242">E550+E551+E552+E554</f>
        <v>13860</v>
      </c>
      <c r="F548" s="70">
        <f t="shared" si="242"/>
        <v>15421.9</v>
      </c>
      <c r="G548" s="70">
        <f t="shared" si="242"/>
        <v>19594</v>
      </c>
      <c r="H548" s="70">
        <f t="shared" si="242"/>
        <v>13152.1</v>
      </c>
      <c r="I548" s="70">
        <f t="shared" si="242"/>
        <v>23011</v>
      </c>
      <c r="J548" s="70">
        <f t="shared" si="242"/>
        <v>14576.6</v>
      </c>
      <c r="K548" s="70">
        <f t="shared" si="242"/>
        <v>18850.3</v>
      </c>
      <c r="L548" s="70">
        <f t="shared" si="242"/>
        <v>16460</v>
      </c>
      <c r="M548" s="70">
        <f t="shared" si="242"/>
        <v>10035.4</v>
      </c>
      <c r="N548" s="70">
        <f>N550+N551+N552+N554</f>
        <v>8138.1</v>
      </c>
      <c r="O548" s="70">
        <f t="shared" si="242"/>
        <v>8018</v>
      </c>
      <c r="P548" s="61"/>
      <c r="Q548" s="61"/>
    </row>
    <row r="549" spans="1:17" ht="50.25" customHeight="1" x14ac:dyDescent="0.2">
      <c r="A549" s="145"/>
      <c r="B549" s="152"/>
      <c r="C549" s="79" t="s">
        <v>64</v>
      </c>
      <c r="D549" s="75">
        <f t="shared" ref="D549:D554" si="243">E549+F549+G549+H549+I549+J549+K549+L549+M549+N549+O549</f>
        <v>1971.3999999999999</v>
      </c>
      <c r="E549" s="75">
        <f>E559</f>
        <v>752.3</v>
      </c>
      <c r="F549" s="75">
        <f t="shared" ref="F549:O549" si="244">F559</f>
        <v>0</v>
      </c>
      <c r="G549" s="75">
        <f t="shared" si="244"/>
        <v>1219.0999999999999</v>
      </c>
      <c r="H549" s="75">
        <f t="shared" si="244"/>
        <v>0</v>
      </c>
      <c r="I549" s="75">
        <f t="shared" si="244"/>
        <v>0</v>
      </c>
      <c r="J549" s="75">
        <f t="shared" si="244"/>
        <v>0</v>
      </c>
      <c r="K549" s="75">
        <f t="shared" si="244"/>
        <v>0</v>
      </c>
      <c r="L549" s="75">
        <f t="shared" si="244"/>
        <v>0</v>
      </c>
      <c r="M549" s="75">
        <f t="shared" si="244"/>
        <v>0</v>
      </c>
      <c r="N549" s="75">
        <f t="shared" si="244"/>
        <v>0</v>
      </c>
      <c r="O549" s="75">
        <f t="shared" si="244"/>
        <v>0</v>
      </c>
    </row>
    <row r="550" spans="1:17" ht="18.75" customHeight="1" x14ac:dyDescent="0.2">
      <c r="A550" s="145"/>
      <c r="B550" s="152"/>
      <c r="C550" s="78" t="s">
        <v>10</v>
      </c>
      <c r="D550" s="73">
        <f t="shared" si="243"/>
        <v>0</v>
      </c>
      <c r="E550" s="73">
        <f>E556+E573</f>
        <v>0</v>
      </c>
      <c r="F550" s="73">
        <f t="shared" ref="F550:O550" si="245">F556+F573</f>
        <v>0</v>
      </c>
      <c r="G550" s="73">
        <f t="shared" si="245"/>
        <v>0</v>
      </c>
      <c r="H550" s="73">
        <f t="shared" si="245"/>
        <v>0</v>
      </c>
      <c r="I550" s="73">
        <f t="shared" si="245"/>
        <v>0</v>
      </c>
      <c r="J550" s="73">
        <v>0</v>
      </c>
      <c r="K550" s="73">
        <f t="shared" si="245"/>
        <v>0</v>
      </c>
      <c r="L550" s="73">
        <f t="shared" si="245"/>
        <v>0</v>
      </c>
      <c r="M550" s="73">
        <f t="shared" si="245"/>
        <v>0</v>
      </c>
      <c r="N550" s="73">
        <f t="shared" si="245"/>
        <v>0</v>
      </c>
      <c r="O550" s="73">
        <f t="shared" si="245"/>
        <v>0</v>
      </c>
    </row>
    <row r="551" spans="1:17" ht="16.5" customHeight="1" x14ac:dyDescent="0.2">
      <c r="A551" s="145"/>
      <c r="B551" s="152"/>
      <c r="C551" s="78" t="s">
        <v>11</v>
      </c>
      <c r="D551" s="73">
        <f t="shared" si="243"/>
        <v>708.6</v>
      </c>
      <c r="E551" s="73">
        <f t="shared" ref="E551:O551" si="246">E557+E574</f>
        <v>0</v>
      </c>
      <c r="F551" s="73">
        <f t="shared" si="246"/>
        <v>0</v>
      </c>
      <c r="G551" s="73">
        <f t="shared" si="246"/>
        <v>0</v>
      </c>
      <c r="H551" s="73">
        <f t="shared" si="246"/>
        <v>0</v>
      </c>
      <c r="I551" s="73">
        <f t="shared" si="246"/>
        <v>0</v>
      </c>
      <c r="J551" s="73">
        <v>708.6</v>
      </c>
      <c r="K551" s="73">
        <f t="shared" si="246"/>
        <v>0</v>
      </c>
      <c r="L551" s="73">
        <f t="shared" si="246"/>
        <v>0</v>
      </c>
      <c r="M551" s="73">
        <f t="shared" si="246"/>
        <v>0</v>
      </c>
      <c r="N551" s="73">
        <f t="shared" si="246"/>
        <v>0</v>
      </c>
      <c r="O551" s="73">
        <f t="shared" si="246"/>
        <v>0</v>
      </c>
    </row>
    <row r="552" spans="1:17" ht="32.25" customHeight="1" x14ac:dyDescent="0.2">
      <c r="A552" s="145"/>
      <c r="B552" s="152"/>
      <c r="C552" s="78" t="s">
        <v>65</v>
      </c>
      <c r="D552" s="73">
        <f t="shared" si="243"/>
        <v>160408.79999999999</v>
      </c>
      <c r="E552" s="73">
        <f t="shared" ref="E552:O552" si="247">E558+E575</f>
        <v>13860</v>
      </c>
      <c r="F552" s="73">
        <f t="shared" si="247"/>
        <v>15421.9</v>
      </c>
      <c r="G552" s="73">
        <f t="shared" si="247"/>
        <v>19594</v>
      </c>
      <c r="H552" s="73">
        <f t="shared" si="247"/>
        <v>13152.1</v>
      </c>
      <c r="I552" s="73">
        <f t="shared" si="247"/>
        <v>23011</v>
      </c>
      <c r="J552" s="73">
        <f t="shared" si="247"/>
        <v>13868</v>
      </c>
      <c r="K552" s="73">
        <f t="shared" si="247"/>
        <v>18850.3</v>
      </c>
      <c r="L552" s="73">
        <f t="shared" si="247"/>
        <v>16460</v>
      </c>
      <c r="M552" s="73">
        <f t="shared" si="247"/>
        <v>10035.4</v>
      </c>
      <c r="N552" s="73">
        <f t="shared" si="247"/>
        <v>8138.1</v>
      </c>
      <c r="O552" s="73">
        <f t="shared" si="247"/>
        <v>8018</v>
      </c>
    </row>
    <row r="553" spans="1:17" ht="32.25" customHeight="1" x14ac:dyDescent="0.2">
      <c r="A553" s="145"/>
      <c r="B553" s="152"/>
      <c r="C553" s="79" t="s">
        <v>79</v>
      </c>
      <c r="D553" s="75">
        <f t="shared" si="243"/>
        <v>1971.3999999999999</v>
      </c>
      <c r="E553" s="75">
        <f>E559</f>
        <v>752.3</v>
      </c>
      <c r="F553" s="75">
        <f t="shared" ref="F553:O553" si="248">F559</f>
        <v>0</v>
      </c>
      <c r="G553" s="75">
        <f t="shared" si="248"/>
        <v>1219.0999999999999</v>
      </c>
      <c r="H553" s="75">
        <f t="shared" si="248"/>
        <v>0</v>
      </c>
      <c r="I553" s="75">
        <f t="shared" si="248"/>
        <v>0</v>
      </c>
      <c r="J553" s="75">
        <f t="shared" si="248"/>
        <v>0</v>
      </c>
      <c r="K553" s="75">
        <f t="shared" si="248"/>
        <v>0</v>
      </c>
      <c r="L553" s="75">
        <f t="shared" si="248"/>
        <v>0</v>
      </c>
      <c r="M553" s="75">
        <f t="shared" si="248"/>
        <v>0</v>
      </c>
      <c r="N553" s="75">
        <f t="shared" si="248"/>
        <v>0</v>
      </c>
      <c r="O553" s="75">
        <f t="shared" si="248"/>
        <v>0</v>
      </c>
    </row>
    <row r="554" spans="1:17" ht="15.75" x14ac:dyDescent="0.2">
      <c r="A554" s="145"/>
      <c r="B554" s="153"/>
      <c r="C554" s="78" t="s">
        <v>13</v>
      </c>
      <c r="D554" s="73">
        <f t="shared" si="243"/>
        <v>0</v>
      </c>
      <c r="E554" s="73">
        <f>E560+E572</f>
        <v>0</v>
      </c>
      <c r="F554" s="73">
        <f t="shared" ref="F554:O554" si="249">F560</f>
        <v>0</v>
      </c>
      <c r="G554" s="73">
        <f t="shared" si="249"/>
        <v>0</v>
      </c>
      <c r="H554" s="73">
        <f t="shared" si="249"/>
        <v>0</v>
      </c>
      <c r="I554" s="73">
        <f t="shared" si="249"/>
        <v>0</v>
      </c>
      <c r="J554" s="73">
        <f t="shared" si="249"/>
        <v>0</v>
      </c>
      <c r="K554" s="73">
        <f t="shared" si="249"/>
        <v>0</v>
      </c>
      <c r="L554" s="73">
        <f t="shared" si="249"/>
        <v>0</v>
      </c>
      <c r="M554" s="73">
        <f t="shared" si="249"/>
        <v>0</v>
      </c>
      <c r="N554" s="73">
        <f t="shared" si="249"/>
        <v>0</v>
      </c>
      <c r="O554" s="73">
        <f t="shared" si="249"/>
        <v>0</v>
      </c>
    </row>
    <row r="555" spans="1:17" ht="15.75" x14ac:dyDescent="0.2">
      <c r="A555" s="139" t="s">
        <v>353</v>
      </c>
      <c r="B555" s="135" t="s">
        <v>91</v>
      </c>
      <c r="C555" s="78" t="s">
        <v>7</v>
      </c>
      <c r="D555" s="73">
        <f t="shared" ref="D555:D595" si="250">E555+F555+G555+H555+I555+J555+K555+L555+M555+N555+O555</f>
        <v>160408.79999999999</v>
      </c>
      <c r="E555" s="73">
        <f t="shared" ref="E555:O555" si="251">E558+E556+E557+E560</f>
        <v>13860</v>
      </c>
      <c r="F555" s="73">
        <f t="shared" si="251"/>
        <v>15421.9</v>
      </c>
      <c r="G555" s="73">
        <f t="shared" si="251"/>
        <v>19594</v>
      </c>
      <c r="H555" s="73">
        <f t="shared" si="251"/>
        <v>13152.1</v>
      </c>
      <c r="I555" s="73">
        <f t="shared" si="251"/>
        <v>23011</v>
      </c>
      <c r="J555" s="73">
        <f t="shared" si="251"/>
        <v>13868</v>
      </c>
      <c r="K555" s="73">
        <f t="shared" si="251"/>
        <v>18850.3</v>
      </c>
      <c r="L555" s="73">
        <f t="shared" si="251"/>
        <v>16460</v>
      </c>
      <c r="M555" s="73">
        <f t="shared" si="251"/>
        <v>10035.4</v>
      </c>
      <c r="N555" s="73">
        <f t="shared" si="251"/>
        <v>8138.1</v>
      </c>
      <c r="O555" s="73">
        <f t="shared" si="251"/>
        <v>8018</v>
      </c>
    </row>
    <row r="556" spans="1:17" ht="15.75" x14ac:dyDescent="0.2">
      <c r="A556" s="154"/>
      <c r="B556" s="135"/>
      <c r="C556" s="78" t="s">
        <v>10</v>
      </c>
      <c r="D556" s="73">
        <f t="shared" si="250"/>
        <v>0</v>
      </c>
      <c r="E556" s="73">
        <f>E562+E568</f>
        <v>0</v>
      </c>
      <c r="F556" s="73">
        <f t="shared" ref="F556:O556" si="252">F562+F568</f>
        <v>0</v>
      </c>
      <c r="G556" s="73">
        <f t="shared" si="252"/>
        <v>0</v>
      </c>
      <c r="H556" s="73">
        <f t="shared" si="252"/>
        <v>0</v>
      </c>
      <c r="I556" s="73">
        <f t="shared" si="252"/>
        <v>0</v>
      </c>
      <c r="J556" s="73">
        <f t="shared" si="252"/>
        <v>0</v>
      </c>
      <c r="K556" s="73">
        <f t="shared" si="252"/>
        <v>0</v>
      </c>
      <c r="L556" s="73">
        <f t="shared" si="252"/>
        <v>0</v>
      </c>
      <c r="M556" s="73">
        <f t="shared" si="252"/>
        <v>0</v>
      </c>
      <c r="N556" s="73">
        <f t="shared" si="252"/>
        <v>0</v>
      </c>
      <c r="O556" s="73">
        <f t="shared" si="252"/>
        <v>0</v>
      </c>
    </row>
    <row r="557" spans="1:17" ht="15.75" x14ac:dyDescent="0.2">
      <c r="A557" s="154"/>
      <c r="B557" s="135"/>
      <c r="C557" s="78" t="s">
        <v>11</v>
      </c>
      <c r="D557" s="73">
        <f t="shared" si="250"/>
        <v>0</v>
      </c>
      <c r="E557" s="73">
        <f t="shared" ref="E557:O557" si="253">E563+E569</f>
        <v>0</v>
      </c>
      <c r="F557" s="73">
        <f t="shared" si="253"/>
        <v>0</v>
      </c>
      <c r="G557" s="73">
        <f t="shared" si="253"/>
        <v>0</v>
      </c>
      <c r="H557" s="73">
        <f t="shared" si="253"/>
        <v>0</v>
      </c>
      <c r="I557" s="73">
        <f t="shared" si="253"/>
        <v>0</v>
      </c>
      <c r="J557" s="73">
        <f t="shared" si="253"/>
        <v>0</v>
      </c>
      <c r="K557" s="73">
        <f t="shared" si="253"/>
        <v>0</v>
      </c>
      <c r="L557" s="73">
        <f t="shared" si="253"/>
        <v>0</v>
      </c>
      <c r="M557" s="73">
        <f t="shared" si="253"/>
        <v>0</v>
      </c>
      <c r="N557" s="73">
        <f t="shared" si="253"/>
        <v>0</v>
      </c>
      <c r="O557" s="73">
        <f t="shared" si="253"/>
        <v>0</v>
      </c>
    </row>
    <row r="558" spans="1:17" ht="31.5" customHeight="1" x14ac:dyDescent="0.2">
      <c r="A558" s="154"/>
      <c r="B558" s="135"/>
      <c r="C558" s="78" t="s">
        <v>65</v>
      </c>
      <c r="D558" s="73">
        <f t="shared" si="250"/>
        <v>160408.79999999999</v>
      </c>
      <c r="E558" s="73">
        <f>E564+E570</f>
        <v>13860</v>
      </c>
      <c r="F558" s="73">
        <f t="shared" ref="F558:O558" si="254">F564+F570</f>
        <v>15421.9</v>
      </c>
      <c r="G558" s="73">
        <f t="shared" si="254"/>
        <v>19594</v>
      </c>
      <c r="H558" s="73">
        <f t="shared" si="254"/>
        <v>13152.1</v>
      </c>
      <c r="I558" s="73">
        <f t="shared" si="254"/>
        <v>23011</v>
      </c>
      <c r="J558" s="73">
        <f>J564+J570</f>
        <v>13868</v>
      </c>
      <c r="K558" s="73">
        <f t="shared" si="254"/>
        <v>18850.3</v>
      </c>
      <c r="L558" s="73">
        <f t="shared" si="254"/>
        <v>16460</v>
      </c>
      <c r="M558" s="73">
        <f t="shared" si="254"/>
        <v>10035.4</v>
      </c>
      <c r="N558" s="73">
        <f t="shared" si="254"/>
        <v>8138.1</v>
      </c>
      <c r="O558" s="73">
        <f t="shared" si="254"/>
        <v>8018</v>
      </c>
    </row>
    <row r="559" spans="1:17" ht="33" customHeight="1" x14ac:dyDescent="0.2">
      <c r="A559" s="154"/>
      <c r="B559" s="135"/>
      <c r="C559" s="79" t="s">
        <v>79</v>
      </c>
      <c r="D559" s="73">
        <f t="shared" si="250"/>
        <v>1971.3999999999999</v>
      </c>
      <c r="E559" s="75">
        <f>E565</f>
        <v>752.3</v>
      </c>
      <c r="F559" s="75">
        <f t="shared" ref="F559:O559" si="255">F565</f>
        <v>0</v>
      </c>
      <c r="G559" s="75">
        <f t="shared" si="255"/>
        <v>1219.0999999999999</v>
      </c>
      <c r="H559" s="75">
        <f t="shared" si="255"/>
        <v>0</v>
      </c>
      <c r="I559" s="75">
        <f t="shared" si="255"/>
        <v>0</v>
      </c>
      <c r="J559" s="75">
        <f t="shared" si="255"/>
        <v>0</v>
      </c>
      <c r="K559" s="75">
        <f t="shared" si="255"/>
        <v>0</v>
      </c>
      <c r="L559" s="75">
        <f t="shared" si="255"/>
        <v>0</v>
      </c>
      <c r="M559" s="75">
        <f t="shared" si="255"/>
        <v>0</v>
      </c>
      <c r="N559" s="75">
        <f t="shared" si="255"/>
        <v>0</v>
      </c>
      <c r="O559" s="75">
        <f t="shared" si="255"/>
        <v>0</v>
      </c>
    </row>
    <row r="560" spans="1:17" ht="17.25" customHeight="1" x14ac:dyDescent="0.2">
      <c r="A560" s="155"/>
      <c r="B560" s="135"/>
      <c r="C560" s="78" t="s">
        <v>13</v>
      </c>
      <c r="D560" s="73">
        <f t="shared" si="250"/>
        <v>0</v>
      </c>
      <c r="E560" s="73">
        <f t="shared" ref="E560:O560" si="256">E566+E571</f>
        <v>0</v>
      </c>
      <c r="F560" s="73">
        <f t="shared" si="256"/>
        <v>0</v>
      </c>
      <c r="G560" s="73">
        <f t="shared" si="256"/>
        <v>0</v>
      </c>
      <c r="H560" s="73">
        <f t="shared" si="256"/>
        <v>0</v>
      </c>
      <c r="I560" s="73">
        <f t="shared" si="256"/>
        <v>0</v>
      </c>
      <c r="J560" s="73">
        <f t="shared" si="256"/>
        <v>0</v>
      </c>
      <c r="K560" s="73">
        <f t="shared" si="256"/>
        <v>0</v>
      </c>
      <c r="L560" s="73">
        <f t="shared" si="256"/>
        <v>0</v>
      </c>
      <c r="M560" s="73">
        <f t="shared" si="256"/>
        <v>0</v>
      </c>
      <c r="N560" s="73">
        <f t="shared" si="256"/>
        <v>0</v>
      </c>
      <c r="O560" s="73">
        <f t="shared" si="256"/>
        <v>0</v>
      </c>
    </row>
    <row r="561" spans="1:24" ht="17.25" customHeight="1" x14ac:dyDescent="0.2">
      <c r="A561" s="146" t="s">
        <v>133</v>
      </c>
      <c r="B561" s="143" t="s">
        <v>137</v>
      </c>
      <c r="C561" s="78" t="s">
        <v>7</v>
      </c>
      <c r="D561" s="73">
        <f t="shared" si="250"/>
        <v>36232.199999999997</v>
      </c>
      <c r="E561" s="73">
        <f t="shared" ref="E561:O561" si="257">E562+E563+E564+E566</f>
        <v>6610.3</v>
      </c>
      <c r="F561" s="73">
        <f t="shared" si="257"/>
        <v>5421.9</v>
      </c>
      <c r="G561" s="73">
        <f t="shared" si="257"/>
        <v>1966.9</v>
      </c>
      <c r="H561" s="73">
        <f t="shared" si="257"/>
        <v>945.9</v>
      </c>
      <c r="I561" s="73">
        <f t="shared" si="257"/>
        <v>11181</v>
      </c>
      <c r="J561" s="73">
        <f t="shared" si="257"/>
        <v>2488.6000000000004</v>
      </c>
      <c r="K561" s="73">
        <f t="shared" si="257"/>
        <v>1158.3</v>
      </c>
      <c r="L561" s="73">
        <f t="shared" si="257"/>
        <v>3329.8</v>
      </c>
      <c r="M561" s="73">
        <f t="shared" si="257"/>
        <v>3129.5</v>
      </c>
      <c r="N561" s="73">
        <f t="shared" si="257"/>
        <v>0</v>
      </c>
      <c r="O561" s="73">
        <f t="shared" si="257"/>
        <v>0</v>
      </c>
    </row>
    <row r="562" spans="1:24" ht="15.75" x14ac:dyDescent="0.2">
      <c r="A562" s="146"/>
      <c r="B562" s="143"/>
      <c r="C562" s="78" t="s">
        <v>10</v>
      </c>
      <c r="D562" s="73">
        <f t="shared" si="250"/>
        <v>0</v>
      </c>
      <c r="E562" s="73">
        <v>0</v>
      </c>
      <c r="F562" s="73">
        <v>0</v>
      </c>
      <c r="G562" s="73">
        <v>0</v>
      </c>
      <c r="H562" s="73">
        <v>0</v>
      </c>
      <c r="I562" s="73">
        <v>0</v>
      </c>
      <c r="J562" s="73">
        <v>0</v>
      </c>
      <c r="K562" s="73">
        <v>0</v>
      </c>
      <c r="L562" s="73">
        <v>0</v>
      </c>
      <c r="M562" s="73">
        <v>0</v>
      </c>
      <c r="N562" s="73">
        <v>0</v>
      </c>
      <c r="O562" s="73">
        <v>0</v>
      </c>
    </row>
    <row r="563" spans="1:24" ht="15.75" x14ac:dyDescent="0.2">
      <c r="A563" s="146"/>
      <c r="B563" s="143"/>
      <c r="C563" s="78" t="s">
        <v>11</v>
      </c>
      <c r="D563" s="73">
        <f t="shared" si="250"/>
        <v>0</v>
      </c>
      <c r="E563" s="73">
        <v>0</v>
      </c>
      <c r="F563" s="73">
        <v>0</v>
      </c>
      <c r="G563" s="73">
        <v>0</v>
      </c>
      <c r="H563" s="73">
        <v>0</v>
      </c>
      <c r="I563" s="73">
        <v>0</v>
      </c>
      <c r="J563" s="73">
        <v>0</v>
      </c>
      <c r="K563" s="73">
        <v>0</v>
      </c>
      <c r="L563" s="73">
        <v>0</v>
      </c>
      <c r="M563" s="73">
        <v>0</v>
      </c>
      <c r="N563" s="73">
        <v>0</v>
      </c>
      <c r="O563" s="73">
        <v>0</v>
      </c>
    </row>
    <row r="564" spans="1:24" ht="31.5" x14ac:dyDescent="0.2">
      <c r="A564" s="146"/>
      <c r="B564" s="143"/>
      <c r="C564" s="78" t="s">
        <v>65</v>
      </c>
      <c r="D564" s="73">
        <f t="shared" si="250"/>
        <v>36232.199999999997</v>
      </c>
      <c r="E564" s="73">
        <v>6610.3</v>
      </c>
      <c r="F564" s="73">
        <v>5421.9</v>
      </c>
      <c r="G564" s="73">
        <v>1966.9</v>
      </c>
      <c r="H564" s="73">
        <v>945.9</v>
      </c>
      <c r="I564" s="73">
        <v>11181</v>
      </c>
      <c r="J564" s="73">
        <f>1513.4+227.7+600+147.5</f>
        <v>2488.6000000000004</v>
      </c>
      <c r="K564" s="73">
        <f>1059.4+633.1+454-1078.2+90</f>
        <v>1158.3</v>
      </c>
      <c r="L564" s="73">
        <f>523.5+4871.8-1722-343.5</f>
        <v>3329.8</v>
      </c>
      <c r="M564" s="73">
        <f>409.4+2720.1</f>
        <v>3129.5</v>
      </c>
      <c r="N564" s="73">
        <f>557.8-557.8</f>
        <v>0</v>
      </c>
      <c r="O564" s="73">
        <v>0</v>
      </c>
      <c r="X564" s="61"/>
    </row>
    <row r="565" spans="1:24" ht="31.5" x14ac:dyDescent="0.2">
      <c r="A565" s="146"/>
      <c r="B565" s="143"/>
      <c r="C565" s="79" t="s">
        <v>79</v>
      </c>
      <c r="D565" s="75">
        <f t="shared" si="250"/>
        <v>1971.3999999999999</v>
      </c>
      <c r="E565" s="75">
        <v>752.3</v>
      </c>
      <c r="F565" s="75">
        <v>0</v>
      </c>
      <c r="G565" s="75">
        <v>1219.0999999999999</v>
      </c>
      <c r="H565" s="75">
        <v>0</v>
      </c>
      <c r="I565" s="75">
        <v>0</v>
      </c>
      <c r="J565" s="75">
        <v>0</v>
      </c>
      <c r="K565" s="75">
        <v>0</v>
      </c>
      <c r="L565" s="75">
        <v>0</v>
      </c>
      <c r="M565" s="75">
        <v>0</v>
      </c>
      <c r="N565" s="75">
        <v>0</v>
      </c>
      <c r="O565" s="75">
        <v>0</v>
      </c>
    </row>
    <row r="566" spans="1:24" ht="19.5" customHeight="1" x14ac:dyDescent="0.2">
      <c r="A566" s="146"/>
      <c r="B566" s="143"/>
      <c r="C566" s="78" t="s">
        <v>13</v>
      </c>
      <c r="D566" s="73">
        <f t="shared" si="250"/>
        <v>0</v>
      </c>
      <c r="E566" s="73">
        <v>0</v>
      </c>
      <c r="F566" s="73">
        <v>0</v>
      </c>
      <c r="G566" s="73">
        <v>0</v>
      </c>
      <c r="H566" s="73">
        <v>0</v>
      </c>
      <c r="I566" s="73">
        <v>0</v>
      </c>
      <c r="J566" s="73">
        <v>0</v>
      </c>
      <c r="K566" s="73">
        <v>0</v>
      </c>
      <c r="L566" s="73">
        <v>0</v>
      </c>
      <c r="M566" s="73">
        <v>0</v>
      </c>
      <c r="N566" s="73">
        <v>0</v>
      </c>
      <c r="O566" s="73">
        <v>0</v>
      </c>
    </row>
    <row r="567" spans="1:24" ht="15.75" x14ac:dyDescent="0.2">
      <c r="A567" s="146" t="s">
        <v>83</v>
      </c>
      <c r="B567" s="143" t="s">
        <v>59</v>
      </c>
      <c r="C567" s="78" t="s">
        <v>7</v>
      </c>
      <c r="D567" s="73">
        <f t="shared" si="250"/>
        <v>124176.59999999999</v>
      </c>
      <c r="E567" s="73">
        <f t="shared" ref="E567:O567" si="258">E568+E569+E570+E571</f>
        <v>7249.7</v>
      </c>
      <c r="F567" s="73">
        <f t="shared" si="258"/>
        <v>10000</v>
      </c>
      <c r="G567" s="73">
        <f t="shared" si="258"/>
        <v>17627.099999999999</v>
      </c>
      <c r="H567" s="73">
        <f t="shared" si="258"/>
        <v>12206.2</v>
      </c>
      <c r="I567" s="73">
        <f t="shared" si="258"/>
        <v>11830</v>
      </c>
      <c r="J567" s="73">
        <f t="shared" si="258"/>
        <v>11379.4</v>
      </c>
      <c r="K567" s="73">
        <f t="shared" si="258"/>
        <v>17692</v>
      </c>
      <c r="L567" s="73">
        <f t="shared" si="258"/>
        <v>13130.2</v>
      </c>
      <c r="M567" s="73">
        <f t="shared" si="258"/>
        <v>6905.9</v>
      </c>
      <c r="N567" s="73">
        <f t="shared" si="258"/>
        <v>8138.1</v>
      </c>
      <c r="O567" s="73">
        <f t="shared" si="258"/>
        <v>8018</v>
      </c>
    </row>
    <row r="568" spans="1:24" ht="15.75" x14ac:dyDescent="0.2">
      <c r="A568" s="146"/>
      <c r="B568" s="143"/>
      <c r="C568" s="78" t="s">
        <v>10</v>
      </c>
      <c r="D568" s="73">
        <f t="shared" si="250"/>
        <v>0</v>
      </c>
      <c r="E568" s="73">
        <v>0</v>
      </c>
      <c r="F568" s="73">
        <v>0</v>
      </c>
      <c r="G568" s="73">
        <v>0</v>
      </c>
      <c r="H568" s="73">
        <v>0</v>
      </c>
      <c r="I568" s="73">
        <v>0</v>
      </c>
      <c r="J568" s="73">
        <v>0</v>
      </c>
      <c r="K568" s="73">
        <v>0</v>
      </c>
      <c r="L568" s="73">
        <v>0</v>
      </c>
      <c r="M568" s="73">
        <v>0</v>
      </c>
      <c r="N568" s="73">
        <v>0</v>
      </c>
      <c r="O568" s="73">
        <v>0</v>
      </c>
    </row>
    <row r="569" spans="1:24" ht="15.75" x14ac:dyDescent="0.2">
      <c r="A569" s="146"/>
      <c r="B569" s="143"/>
      <c r="C569" s="78" t="s">
        <v>11</v>
      </c>
      <c r="D569" s="73">
        <f t="shared" si="250"/>
        <v>0</v>
      </c>
      <c r="E569" s="73">
        <v>0</v>
      </c>
      <c r="F569" s="73">
        <v>0</v>
      </c>
      <c r="G569" s="73">
        <v>0</v>
      </c>
      <c r="H569" s="73">
        <v>0</v>
      </c>
      <c r="I569" s="73">
        <v>0</v>
      </c>
      <c r="J569" s="73">
        <v>0</v>
      </c>
      <c r="K569" s="73">
        <v>0</v>
      </c>
      <c r="L569" s="73">
        <v>0</v>
      </c>
      <c r="M569" s="73">
        <v>0</v>
      </c>
      <c r="N569" s="73">
        <v>0</v>
      </c>
      <c r="O569" s="73">
        <v>0</v>
      </c>
    </row>
    <row r="570" spans="1:24" ht="15.75" x14ac:dyDescent="0.2">
      <c r="A570" s="146"/>
      <c r="B570" s="143"/>
      <c r="C570" s="78" t="s">
        <v>12</v>
      </c>
      <c r="D570" s="73">
        <f t="shared" si="250"/>
        <v>124176.59999999999</v>
      </c>
      <c r="E570" s="73">
        <v>7249.7</v>
      </c>
      <c r="F570" s="73">
        <v>10000</v>
      </c>
      <c r="G570" s="73">
        <v>17627.099999999999</v>
      </c>
      <c r="H570" s="73">
        <v>12206.2</v>
      </c>
      <c r="I570" s="73">
        <v>11830</v>
      </c>
      <c r="J570" s="73">
        <f>11444.4-65</f>
        <v>11379.4</v>
      </c>
      <c r="K570" s="73">
        <f>8540+1940+2150+143.2+4918.8</f>
        <v>17692</v>
      </c>
      <c r="L570" s="73">
        <f>6900.2+4030+2200</f>
        <v>13130.2</v>
      </c>
      <c r="M570" s="73">
        <f>7316.7-410.8</f>
        <v>6905.9</v>
      </c>
      <c r="N570" s="73">
        <f>7352.5+785.6</f>
        <v>8138.1</v>
      </c>
      <c r="O570" s="73">
        <f>12200-4182</f>
        <v>8018</v>
      </c>
    </row>
    <row r="571" spans="1:24" ht="26.25" customHeight="1" x14ac:dyDescent="0.2">
      <c r="A571" s="146"/>
      <c r="B571" s="143"/>
      <c r="C571" s="80" t="s">
        <v>13</v>
      </c>
      <c r="D571" s="73">
        <f t="shared" si="250"/>
        <v>0</v>
      </c>
      <c r="E571" s="73">
        <v>0</v>
      </c>
      <c r="F571" s="73">
        <v>0</v>
      </c>
      <c r="G571" s="73">
        <v>0</v>
      </c>
      <c r="H571" s="73">
        <v>0</v>
      </c>
      <c r="I571" s="73">
        <v>0</v>
      </c>
      <c r="J571" s="73">
        <v>0</v>
      </c>
      <c r="K571" s="73">
        <v>0</v>
      </c>
      <c r="L571" s="73">
        <v>0</v>
      </c>
      <c r="M571" s="73">
        <v>0</v>
      </c>
      <c r="N571" s="73">
        <v>0</v>
      </c>
      <c r="O571" s="73">
        <v>0</v>
      </c>
    </row>
    <row r="572" spans="1:24" ht="15.75" x14ac:dyDescent="0.2">
      <c r="A572" s="139" t="s">
        <v>355</v>
      </c>
      <c r="B572" s="135" t="s">
        <v>362</v>
      </c>
      <c r="C572" s="78" t="s">
        <v>7</v>
      </c>
      <c r="D572" s="73">
        <f t="shared" si="250"/>
        <v>708.6</v>
      </c>
      <c r="E572" s="73">
        <f t="shared" ref="E572:O572" si="259">E575+E573+E574+E576</f>
        <v>0</v>
      </c>
      <c r="F572" s="73">
        <f t="shared" si="259"/>
        <v>0</v>
      </c>
      <c r="G572" s="73">
        <f t="shared" si="259"/>
        <v>0</v>
      </c>
      <c r="H572" s="73">
        <f t="shared" si="259"/>
        <v>0</v>
      </c>
      <c r="I572" s="73">
        <f t="shared" si="259"/>
        <v>0</v>
      </c>
      <c r="J572" s="73">
        <f t="shared" si="259"/>
        <v>708.6</v>
      </c>
      <c r="K572" s="73">
        <f t="shared" si="259"/>
        <v>0</v>
      </c>
      <c r="L572" s="73">
        <f t="shared" si="259"/>
        <v>0</v>
      </c>
      <c r="M572" s="73">
        <f t="shared" si="259"/>
        <v>0</v>
      </c>
      <c r="N572" s="73">
        <f t="shared" si="259"/>
        <v>0</v>
      </c>
      <c r="O572" s="73">
        <f t="shared" si="259"/>
        <v>0</v>
      </c>
    </row>
    <row r="573" spans="1:24" ht="15.75" x14ac:dyDescent="0.2">
      <c r="A573" s="154"/>
      <c r="B573" s="135"/>
      <c r="C573" s="78" t="s">
        <v>10</v>
      </c>
      <c r="D573" s="73">
        <f t="shared" si="250"/>
        <v>0</v>
      </c>
      <c r="E573" s="73">
        <f>E578</f>
        <v>0</v>
      </c>
      <c r="F573" s="73">
        <f t="shared" ref="F573:O573" si="260">F578</f>
        <v>0</v>
      </c>
      <c r="G573" s="73">
        <f t="shared" si="260"/>
        <v>0</v>
      </c>
      <c r="H573" s="73">
        <f t="shared" si="260"/>
        <v>0</v>
      </c>
      <c r="I573" s="73">
        <f t="shared" si="260"/>
        <v>0</v>
      </c>
      <c r="J573" s="73">
        <f t="shared" si="260"/>
        <v>0</v>
      </c>
      <c r="K573" s="73">
        <f t="shared" si="260"/>
        <v>0</v>
      </c>
      <c r="L573" s="73">
        <f t="shared" si="260"/>
        <v>0</v>
      </c>
      <c r="M573" s="73">
        <f t="shared" si="260"/>
        <v>0</v>
      </c>
      <c r="N573" s="73">
        <f t="shared" si="260"/>
        <v>0</v>
      </c>
      <c r="O573" s="73">
        <f t="shared" si="260"/>
        <v>0</v>
      </c>
    </row>
    <row r="574" spans="1:24" ht="15.75" x14ac:dyDescent="0.2">
      <c r="A574" s="154"/>
      <c r="B574" s="135"/>
      <c r="C574" s="78" t="s">
        <v>11</v>
      </c>
      <c r="D574" s="73">
        <f t="shared" si="250"/>
        <v>708.6</v>
      </c>
      <c r="E574" s="73">
        <f>E579</f>
        <v>0</v>
      </c>
      <c r="F574" s="73">
        <f t="shared" ref="F574:O574" si="261">F579</f>
        <v>0</v>
      </c>
      <c r="G574" s="73">
        <f t="shared" si="261"/>
        <v>0</v>
      </c>
      <c r="H574" s="73">
        <f t="shared" si="261"/>
        <v>0</v>
      </c>
      <c r="I574" s="73">
        <f t="shared" si="261"/>
        <v>0</v>
      </c>
      <c r="J574" s="73">
        <f t="shared" si="261"/>
        <v>708.6</v>
      </c>
      <c r="K574" s="73">
        <f t="shared" si="261"/>
        <v>0</v>
      </c>
      <c r="L574" s="73">
        <f t="shared" si="261"/>
        <v>0</v>
      </c>
      <c r="M574" s="73">
        <f t="shared" si="261"/>
        <v>0</v>
      </c>
      <c r="N574" s="73">
        <f t="shared" si="261"/>
        <v>0</v>
      </c>
      <c r="O574" s="73">
        <f t="shared" si="261"/>
        <v>0</v>
      </c>
    </row>
    <row r="575" spans="1:24" ht="31.5" customHeight="1" x14ac:dyDescent="0.2">
      <c r="A575" s="154"/>
      <c r="B575" s="135"/>
      <c r="C575" s="78" t="s">
        <v>65</v>
      </c>
      <c r="D575" s="73">
        <f t="shared" si="250"/>
        <v>0</v>
      </c>
      <c r="E575" s="73">
        <f>E580</f>
        <v>0</v>
      </c>
      <c r="F575" s="73">
        <f t="shared" ref="F575:O575" si="262">F580</f>
        <v>0</v>
      </c>
      <c r="G575" s="73">
        <f t="shared" si="262"/>
        <v>0</v>
      </c>
      <c r="H575" s="73">
        <f t="shared" si="262"/>
        <v>0</v>
      </c>
      <c r="I575" s="73">
        <f t="shared" si="262"/>
        <v>0</v>
      </c>
      <c r="J575" s="73">
        <f t="shared" si="262"/>
        <v>0</v>
      </c>
      <c r="K575" s="73">
        <f t="shared" si="262"/>
        <v>0</v>
      </c>
      <c r="L575" s="73">
        <f t="shared" si="262"/>
        <v>0</v>
      </c>
      <c r="M575" s="73">
        <f t="shared" si="262"/>
        <v>0</v>
      </c>
      <c r="N575" s="73">
        <f t="shared" si="262"/>
        <v>0</v>
      </c>
      <c r="O575" s="73">
        <f t="shared" si="262"/>
        <v>0</v>
      </c>
    </row>
    <row r="576" spans="1:24" ht="17.25" customHeight="1" x14ac:dyDescent="0.2">
      <c r="A576" s="155"/>
      <c r="B576" s="135"/>
      <c r="C576" s="78" t="s">
        <v>13</v>
      </c>
      <c r="D576" s="73">
        <f t="shared" si="250"/>
        <v>0</v>
      </c>
      <c r="E576" s="73">
        <f>E581</f>
        <v>0</v>
      </c>
      <c r="F576" s="73">
        <f t="shared" ref="F576:O576" si="263">F581</f>
        <v>0</v>
      </c>
      <c r="G576" s="73">
        <f t="shared" si="263"/>
        <v>0</v>
      </c>
      <c r="H576" s="73">
        <f t="shared" si="263"/>
        <v>0</v>
      </c>
      <c r="I576" s="73">
        <f t="shared" si="263"/>
        <v>0</v>
      </c>
      <c r="J576" s="73">
        <f t="shared" si="263"/>
        <v>0</v>
      </c>
      <c r="K576" s="73">
        <f t="shared" si="263"/>
        <v>0</v>
      </c>
      <c r="L576" s="73">
        <f t="shared" si="263"/>
        <v>0</v>
      </c>
      <c r="M576" s="73">
        <f t="shared" si="263"/>
        <v>0</v>
      </c>
      <c r="N576" s="73">
        <f t="shared" si="263"/>
        <v>0</v>
      </c>
      <c r="O576" s="73">
        <f t="shared" si="263"/>
        <v>0</v>
      </c>
    </row>
    <row r="577" spans="1:17" ht="15.75" x14ac:dyDescent="0.2">
      <c r="A577" s="146" t="s">
        <v>356</v>
      </c>
      <c r="B577" s="143" t="s">
        <v>363</v>
      </c>
      <c r="C577" s="78" t="s">
        <v>7</v>
      </c>
      <c r="D577" s="73">
        <f t="shared" si="250"/>
        <v>708.6</v>
      </c>
      <c r="E577" s="73">
        <f t="shared" ref="E577:O577" si="264">E578+E579+E580+E581</f>
        <v>0</v>
      </c>
      <c r="F577" s="73">
        <f t="shared" si="264"/>
        <v>0</v>
      </c>
      <c r="G577" s="73">
        <f t="shared" si="264"/>
        <v>0</v>
      </c>
      <c r="H577" s="73">
        <f t="shared" si="264"/>
        <v>0</v>
      </c>
      <c r="I577" s="73">
        <f t="shared" si="264"/>
        <v>0</v>
      </c>
      <c r="J577" s="73">
        <f t="shared" si="264"/>
        <v>708.6</v>
      </c>
      <c r="K577" s="73">
        <f t="shared" si="264"/>
        <v>0</v>
      </c>
      <c r="L577" s="73">
        <f t="shared" si="264"/>
        <v>0</v>
      </c>
      <c r="M577" s="73">
        <f t="shared" si="264"/>
        <v>0</v>
      </c>
      <c r="N577" s="73">
        <f t="shared" si="264"/>
        <v>0</v>
      </c>
      <c r="O577" s="73">
        <f t="shared" si="264"/>
        <v>0</v>
      </c>
    </row>
    <row r="578" spans="1:17" ht="15.75" x14ac:dyDescent="0.2">
      <c r="A578" s="146"/>
      <c r="B578" s="143"/>
      <c r="C578" s="78" t="s">
        <v>10</v>
      </c>
      <c r="D578" s="73">
        <f t="shared" si="250"/>
        <v>0</v>
      </c>
      <c r="E578" s="73">
        <v>0</v>
      </c>
      <c r="F578" s="73">
        <v>0</v>
      </c>
      <c r="G578" s="73">
        <v>0</v>
      </c>
      <c r="H578" s="73">
        <v>0</v>
      </c>
      <c r="I578" s="73">
        <v>0</v>
      </c>
      <c r="J578" s="73">
        <v>0</v>
      </c>
      <c r="K578" s="73">
        <v>0</v>
      </c>
      <c r="L578" s="73">
        <v>0</v>
      </c>
      <c r="M578" s="73">
        <v>0</v>
      </c>
      <c r="N578" s="73">
        <v>0</v>
      </c>
      <c r="O578" s="73">
        <v>0</v>
      </c>
    </row>
    <row r="579" spans="1:17" ht="15.75" x14ac:dyDescent="0.2">
      <c r="A579" s="146"/>
      <c r="B579" s="143"/>
      <c r="C579" s="78" t="s">
        <v>11</v>
      </c>
      <c r="D579" s="73">
        <f t="shared" si="250"/>
        <v>708.6</v>
      </c>
      <c r="E579" s="73">
        <v>0</v>
      </c>
      <c r="F579" s="73">
        <v>0</v>
      </c>
      <c r="G579" s="73">
        <v>0</v>
      </c>
      <c r="H579" s="73">
        <v>0</v>
      </c>
      <c r="I579" s="73">
        <v>0</v>
      </c>
      <c r="J579" s="73">
        <v>708.6</v>
      </c>
      <c r="K579" s="73">
        <v>0</v>
      </c>
      <c r="L579" s="73">
        <v>0</v>
      </c>
      <c r="M579" s="73">
        <v>0</v>
      </c>
      <c r="N579" s="73">
        <v>0</v>
      </c>
      <c r="O579" s="73">
        <v>0</v>
      </c>
    </row>
    <row r="580" spans="1:17" ht="23.25" customHeight="1" x14ac:dyDescent="0.2">
      <c r="A580" s="146"/>
      <c r="B580" s="143"/>
      <c r="C580" s="78" t="s">
        <v>12</v>
      </c>
      <c r="D580" s="73">
        <f t="shared" si="250"/>
        <v>0</v>
      </c>
      <c r="E580" s="73">
        <v>0</v>
      </c>
      <c r="F580" s="73">
        <v>0</v>
      </c>
      <c r="G580" s="73">
        <v>0</v>
      </c>
      <c r="H580" s="73">
        <v>0</v>
      </c>
      <c r="I580" s="73">
        <v>0</v>
      </c>
      <c r="J580" s="73">
        <v>0</v>
      </c>
      <c r="K580" s="73">
        <v>0</v>
      </c>
      <c r="L580" s="73">
        <v>0</v>
      </c>
      <c r="M580" s="73">
        <v>0</v>
      </c>
      <c r="N580" s="73">
        <v>0</v>
      </c>
      <c r="O580" s="73">
        <v>0</v>
      </c>
    </row>
    <row r="581" spans="1:17" ht="24.75" customHeight="1" x14ac:dyDescent="0.2">
      <c r="A581" s="146"/>
      <c r="B581" s="143"/>
      <c r="C581" s="80" t="s">
        <v>13</v>
      </c>
      <c r="D581" s="73">
        <f t="shared" si="250"/>
        <v>0</v>
      </c>
      <c r="E581" s="73">
        <v>0</v>
      </c>
      <c r="F581" s="73">
        <v>0</v>
      </c>
      <c r="G581" s="73">
        <v>0</v>
      </c>
      <c r="H581" s="73">
        <v>0</v>
      </c>
      <c r="I581" s="73">
        <v>0</v>
      </c>
      <c r="J581" s="73">
        <v>0</v>
      </c>
      <c r="K581" s="73">
        <v>0</v>
      </c>
      <c r="L581" s="73">
        <v>0</v>
      </c>
      <c r="M581" s="73">
        <v>0</v>
      </c>
      <c r="N581" s="73">
        <v>0</v>
      </c>
      <c r="O581" s="73">
        <v>0</v>
      </c>
    </row>
    <row r="582" spans="1:17" ht="15.75" customHeight="1" x14ac:dyDescent="0.2">
      <c r="A582" s="145" t="s">
        <v>31</v>
      </c>
      <c r="B582" s="156" t="s">
        <v>330</v>
      </c>
      <c r="C582" s="92" t="s">
        <v>7</v>
      </c>
      <c r="D582" s="70">
        <f>E582+F582+G582+H582+I582+J582+K582+L582+M582+N582+O582</f>
        <v>4000863.7620000001</v>
      </c>
      <c r="E582" s="70">
        <f>E583+E584+E586+E589</f>
        <v>228156.69999999998</v>
      </c>
      <c r="F582" s="70">
        <f>F583+F584+F586+F589</f>
        <v>279787.8</v>
      </c>
      <c r="G582" s="70">
        <f t="shared" ref="G582:L582" si="265">SUM(G583:G589)</f>
        <v>257795.10000000003</v>
      </c>
      <c r="H582" s="70">
        <f t="shared" si="265"/>
        <v>267713.5</v>
      </c>
      <c r="I582" s="70">
        <f t="shared" si="265"/>
        <v>352068.4</v>
      </c>
      <c r="J582" s="70">
        <f t="shared" si="265"/>
        <v>478026.3</v>
      </c>
      <c r="K582" s="70">
        <f t="shared" si="265"/>
        <v>781436.36200000008</v>
      </c>
      <c r="L582" s="70">
        <f t="shared" si="265"/>
        <v>562909.5</v>
      </c>
      <c r="M582" s="70">
        <f>M584+M586</f>
        <v>364211.00000000006</v>
      </c>
      <c r="N582" s="70">
        <f>SUM(N583:N589)</f>
        <v>213442.2</v>
      </c>
      <c r="O582" s="70">
        <f>SUM(O583:O589)</f>
        <v>215316.89999999997</v>
      </c>
      <c r="P582" s="59"/>
      <c r="Q582" s="71"/>
    </row>
    <row r="583" spans="1:17" ht="15.75" x14ac:dyDescent="0.2">
      <c r="A583" s="145"/>
      <c r="B583" s="156"/>
      <c r="C583" s="80" t="s">
        <v>10</v>
      </c>
      <c r="D583" s="73">
        <f t="shared" si="250"/>
        <v>0</v>
      </c>
      <c r="E583" s="73">
        <f>E602+E612+E622+E637+E647+E653</f>
        <v>0</v>
      </c>
      <c r="F583" s="73">
        <f t="shared" ref="F583:O583" si="266">F602+F612+F622+F637+F647+F653</f>
        <v>0</v>
      </c>
      <c r="G583" s="73">
        <f t="shared" si="266"/>
        <v>0</v>
      </c>
      <c r="H583" s="73">
        <f t="shared" si="266"/>
        <v>0</v>
      </c>
      <c r="I583" s="73">
        <f>I602+I612+I622+I637+I647+I653</f>
        <v>0</v>
      </c>
      <c r="J583" s="73">
        <f t="shared" si="266"/>
        <v>0</v>
      </c>
      <c r="K583" s="73">
        <f t="shared" si="266"/>
        <v>0</v>
      </c>
      <c r="L583" s="73">
        <f t="shared" si="266"/>
        <v>0</v>
      </c>
      <c r="M583" s="73">
        <f t="shared" si="266"/>
        <v>0</v>
      </c>
      <c r="N583" s="73">
        <f t="shared" si="266"/>
        <v>0</v>
      </c>
      <c r="O583" s="73">
        <f t="shared" si="266"/>
        <v>0</v>
      </c>
      <c r="P583" s="61"/>
      <c r="Q583" s="61"/>
    </row>
    <row r="584" spans="1:17" ht="31.5" x14ac:dyDescent="0.2">
      <c r="A584" s="145"/>
      <c r="B584" s="156"/>
      <c r="C584" s="80" t="s">
        <v>69</v>
      </c>
      <c r="D584" s="73">
        <f t="shared" si="250"/>
        <v>1091252.7</v>
      </c>
      <c r="E584" s="73">
        <f>E592+E705</f>
        <v>0</v>
      </c>
      <c r="F584" s="73">
        <f>F592+F705</f>
        <v>0</v>
      </c>
      <c r="G584" s="73">
        <f>G592+G705</f>
        <v>0</v>
      </c>
      <c r="H584" s="73">
        <f>H592+H705</f>
        <v>0</v>
      </c>
      <c r="I584" s="73">
        <f>I592+I705+I719</f>
        <v>159753.70000000001</v>
      </c>
      <c r="J584" s="73">
        <f>J592+J705+J719</f>
        <v>282920.3</v>
      </c>
      <c r="K584" s="73">
        <f>K592+K705</f>
        <v>368985.2</v>
      </c>
      <c r="L584" s="73">
        <f>L592+L705</f>
        <v>195620.5</v>
      </c>
      <c r="M584" s="73">
        <f>M592+M705</f>
        <v>83973</v>
      </c>
      <c r="N584" s="73">
        <f>N592+N705</f>
        <v>0</v>
      </c>
      <c r="O584" s="73">
        <f>O592+O705</f>
        <v>0</v>
      </c>
    </row>
    <row r="585" spans="1:17" ht="31.5" x14ac:dyDescent="0.2">
      <c r="A585" s="145"/>
      <c r="B585" s="156"/>
      <c r="C585" s="76" t="s">
        <v>81</v>
      </c>
      <c r="D585" s="75">
        <f t="shared" si="250"/>
        <v>11279.3</v>
      </c>
      <c r="E585" s="75">
        <f t="shared" ref="E585:L585" si="267">E706</f>
        <v>0</v>
      </c>
      <c r="F585" s="75">
        <f t="shared" si="267"/>
        <v>0</v>
      </c>
      <c r="G585" s="75">
        <f t="shared" si="267"/>
        <v>0</v>
      </c>
      <c r="H585" s="75">
        <f t="shared" si="267"/>
        <v>0</v>
      </c>
      <c r="I585" s="75">
        <f t="shared" si="267"/>
        <v>0</v>
      </c>
      <c r="J585" s="75">
        <f t="shared" si="267"/>
        <v>0</v>
      </c>
      <c r="K585" s="75">
        <f t="shared" si="267"/>
        <v>0</v>
      </c>
      <c r="L585" s="75">
        <f t="shared" si="267"/>
        <v>0</v>
      </c>
      <c r="M585" s="75">
        <f>M706</f>
        <v>11279.3</v>
      </c>
      <c r="N585" s="75">
        <f t="shared" ref="N585:O585" si="268">N706</f>
        <v>0</v>
      </c>
      <c r="O585" s="75">
        <f t="shared" si="268"/>
        <v>0</v>
      </c>
    </row>
    <row r="586" spans="1:17" ht="31.5" customHeight="1" x14ac:dyDescent="0.2">
      <c r="A586" s="145"/>
      <c r="B586" s="156"/>
      <c r="C586" s="80" t="s">
        <v>65</v>
      </c>
      <c r="D586" s="73">
        <f t="shared" si="250"/>
        <v>2909611.0620000004</v>
      </c>
      <c r="E586" s="73">
        <f>E593+E707</f>
        <v>228156.69999999998</v>
      </c>
      <c r="F586" s="73">
        <f>F593+F707</f>
        <v>279787.8</v>
      </c>
      <c r="G586" s="73">
        <f>G593+G707</f>
        <v>257795.10000000003</v>
      </c>
      <c r="H586" s="73">
        <f>H593+H707</f>
        <v>267713.5</v>
      </c>
      <c r="I586" s="73">
        <f>I593+I707+I720</f>
        <v>192314.7</v>
      </c>
      <c r="J586" s="73">
        <f>J593+J707+J720</f>
        <v>195106</v>
      </c>
      <c r="K586" s="73">
        <f>K593+K707+K730</f>
        <v>412451.16200000007</v>
      </c>
      <c r="L586" s="73">
        <f>L593+L707+L730</f>
        <v>367289</v>
      </c>
      <c r="M586" s="73">
        <f>M593+M707+M730</f>
        <v>280238.00000000006</v>
      </c>
      <c r="N586" s="73">
        <f>N593+N707+N730</f>
        <v>213442.2</v>
      </c>
      <c r="O586" s="73">
        <f>O593+O707+O730</f>
        <v>215316.89999999997</v>
      </c>
    </row>
    <row r="587" spans="1:17" ht="31.5" x14ac:dyDescent="0.2">
      <c r="A587" s="145"/>
      <c r="B587" s="156"/>
      <c r="C587" s="79" t="s">
        <v>79</v>
      </c>
      <c r="D587" s="75">
        <f>E587+F587+G587+H587+I587+J587+K587+L587+M587+N587+O587</f>
        <v>59050</v>
      </c>
      <c r="E587" s="75">
        <f>E594</f>
        <v>30550</v>
      </c>
      <c r="F587" s="75">
        <f>F656</f>
        <v>28500</v>
      </c>
      <c r="G587" s="75">
        <f>G656</f>
        <v>0</v>
      </c>
      <c r="H587" s="75">
        <f>H656</f>
        <v>0</v>
      </c>
      <c r="I587" s="75">
        <f>I656</f>
        <v>0</v>
      </c>
      <c r="J587" s="73">
        <f t="shared" ref="J587:O587" si="269">J605+J615+J625+J640+J650+J656</f>
        <v>0</v>
      </c>
      <c r="K587" s="73">
        <f t="shared" si="269"/>
        <v>0</v>
      </c>
      <c r="L587" s="73">
        <f t="shared" si="269"/>
        <v>0</v>
      </c>
      <c r="M587" s="75">
        <f>M594</f>
        <v>0</v>
      </c>
      <c r="N587" s="73">
        <f t="shared" si="269"/>
        <v>0</v>
      </c>
      <c r="O587" s="73">
        <f t="shared" si="269"/>
        <v>0</v>
      </c>
    </row>
    <row r="588" spans="1:17" ht="31.5" x14ac:dyDescent="0.2">
      <c r="A588" s="145"/>
      <c r="B588" s="156"/>
      <c r="C588" s="76" t="s">
        <v>449</v>
      </c>
      <c r="D588" s="75">
        <f>E588+F588+G588+H588+I588+J588+K588+L588+M588+N588+O588</f>
        <v>719.9</v>
      </c>
      <c r="E588" s="75">
        <f t="shared" ref="E588:L588" si="270">E708</f>
        <v>0</v>
      </c>
      <c r="F588" s="75">
        <f t="shared" si="270"/>
        <v>0</v>
      </c>
      <c r="G588" s="75">
        <f t="shared" si="270"/>
        <v>0</v>
      </c>
      <c r="H588" s="75">
        <f t="shared" si="270"/>
        <v>0</v>
      </c>
      <c r="I588" s="75">
        <f t="shared" si="270"/>
        <v>0</v>
      </c>
      <c r="J588" s="75">
        <f t="shared" si="270"/>
        <v>0</v>
      </c>
      <c r="K588" s="75">
        <f t="shared" si="270"/>
        <v>0</v>
      </c>
      <c r="L588" s="75">
        <f t="shared" si="270"/>
        <v>0</v>
      </c>
      <c r="M588" s="75">
        <f>M708</f>
        <v>719.9</v>
      </c>
      <c r="N588" s="75">
        <f t="shared" ref="N588:O588" si="271">N708</f>
        <v>0</v>
      </c>
      <c r="O588" s="75">
        <f t="shared" si="271"/>
        <v>0</v>
      </c>
    </row>
    <row r="589" spans="1:17" ht="31.5" customHeight="1" x14ac:dyDescent="0.2">
      <c r="A589" s="145"/>
      <c r="B589" s="156"/>
      <c r="C589" s="80" t="s">
        <v>13</v>
      </c>
      <c r="D589" s="73">
        <f t="shared" si="250"/>
        <v>0</v>
      </c>
      <c r="E589" s="73">
        <f>E605+E615+E625+E640+E651+E657</f>
        <v>0</v>
      </c>
      <c r="F589" s="73">
        <f>F605+F615+F625+F640+F651+F657</f>
        <v>0</v>
      </c>
      <c r="G589" s="73">
        <f>G605+G615+G625+G640+G651+G657</f>
        <v>0</v>
      </c>
      <c r="H589" s="73">
        <v>0</v>
      </c>
      <c r="I589" s="73">
        <f t="shared" ref="I589:O589" si="272">I605+I615+I625+I640+I651+I657</f>
        <v>0</v>
      </c>
      <c r="J589" s="73">
        <f t="shared" si="272"/>
        <v>0</v>
      </c>
      <c r="K589" s="73">
        <f t="shared" si="272"/>
        <v>0</v>
      </c>
      <c r="L589" s="73">
        <f t="shared" si="272"/>
        <v>0</v>
      </c>
      <c r="M589" s="73">
        <f t="shared" si="272"/>
        <v>0</v>
      </c>
      <c r="N589" s="73">
        <f t="shared" si="272"/>
        <v>0</v>
      </c>
      <c r="O589" s="73">
        <f t="shared" si="272"/>
        <v>0</v>
      </c>
    </row>
    <row r="590" spans="1:17" ht="15.75" x14ac:dyDescent="0.2">
      <c r="A590" s="135" t="s">
        <v>34</v>
      </c>
      <c r="B590" s="135" t="s">
        <v>122</v>
      </c>
      <c r="C590" s="80" t="s">
        <v>7</v>
      </c>
      <c r="D590" s="73">
        <f t="shared" si="250"/>
        <v>3005767.3620000007</v>
      </c>
      <c r="E590" s="73">
        <f t="shared" ref="E590:O590" si="273">E591+E592+E593+E595</f>
        <v>228156.69999999998</v>
      </c>
      <c r="F590" s="73">
        <f t="shared" si="273"/>
        <v>279787.8</v>
      </c>
      <c r="G590" s="73">
        <f t="shared" si="273"/>
        <v>257795.10000000003</v>
      </c>
      <c r="H590" s="73">
        <f t="shared" si="273"/>
        <v>267713.5</v>
      </c>
      <c r="I590" s="73">
        <f t="shared" si="273"/>
        <v>299568.40000000002</v>
      </c>
      <c r="J590" s="73">
        <f t="shared" si="273"/>
        <v>249909.09999999998</v>
      </c>
      <c r="K590" s="73">
        <f t="shared" si="273"/>
        <v>373970.76200000005</v>
      </c>
      <c r="L590" s="73">
        <f t="shared" si="273"/>
        <v>348526.2</v>
      </c>
      <c r="M590" s="73">
        <f t="shared" si="273"/>
        <v>271580.70000000007</v>
      </c>
      <c r="N590" s="73">
        <f t="shared" si="273"/>
        <v>213442.2</v>
      </c>
      <c r="O590" s="73">
        <f t="shared" si="273"/>
        <v>215316.89999999997</v>
      </c>
      <c r="P590" s="59"/>
      <c r="Q590" s="71"/>
    </row>
    <row r="591" spans="1:17" ht="18" customHeight="1" x14ac:dyDescent="0.2">
      <c r="A591" s="142"/>
      <c r="B591" s="150"/>
      <c r="C591" s="80" t="s">
        <v>10</v>
      </c>
      <c r="D591" s="73">
        <f t="shared" si="250"/>
        <v>0</v>
      </c>
      <c r="E591" s="73">
        <f t="shared" ref="E591:O591" si="274">E602+E612+E622+E637+E647+E653</f>
        <v>0</v>
      </c>
      <c r="F591" s="73">
        <f t="shared" si="274"/>
        <v>0</v>
      </c>
      <c r="G591" s="73">
        <f t="shared" si="274"/>
        <v>0</v>
      </c>
      <c r="H591" s="73">
        <f t="shared" si="274"/>
        <v>0</v>
      </c>
      <c r="I591" s="73">
        <f t="shared" si="274"/>
        <v>0</v>
      </c>
      <c r="J591" s="73">
        <f t="shared" si="274"/>
        <v>0</v>
      </c>
      <c r="K591" s="73">
        <f t="shared" si="274"/>
        <v>0</v>
      </c>
      <c r="L591" s="73">
        <f t="shared" si="274"/>
        <v>0</v>
      </c>
      <c r="M591" s="73">
        <f t="shared" si="274"/>
        <v>0</v>
      </c>
      <c r="N591" s="73">
        <f t="shared" si="274"/>
        <v>0</v>
      </c>
      <c r="O591" s="73">
        <f t="shared" si="274"/>
        <v>0</v>
      </c>
    </row>
    <row r="592" spans="1:17" ht="16.5" customHeight="1" x14ac:dyDescent="0.2">
      <c r="A592" s="142"/>
      <c r="B592" s="150"/>
      <c r="C592" s="80" t="s">
        <v>11</v>
      </c>
      <c r="D592" s="73">
        <f t="shared" si="250"/>
        <v>185826.8</v>
      </c>
      <c r="E592" s="73">
        <f>E603+E613+E623+E638+E648+E654+E608+E618+E628+E633+E643+E660+E705</f>
        <v>0</v>
      </c>
      <c r="F592" s="73">
        <f>F603+F613+F623+F638+F648+F654+F608+F618+F628+F633+F643+F660+F705</f>
        <v>0</v>
      </c>
      <c r="G592" s="73">
        <f>G603+G613+G623+G638+G648+G654+G608+G618+G628+G633+G643+G660+G705</f>
        <v>0</v>
      </c>
      <c r="H592" s="73">
        <f>H603+H613+H623+H638+H648+H654+H608+H618+H628+H633+H643+H660+H705</f>
        <v>0</v>
      </c>
      <c r="I592" s="73">
        <f t="shared" ref="I592:O592" si="275">I603+I613+I623+I638+I648+I654+I608+I618+I628+I633+I643+I660</f>
        <v>109753.7</v>
      </c>
      <c r="J592" s="73">
        <f t="shared" si="275"/>
        <v>69054.2</v>
      </c>
      <c r="K592" s="73">
        <f t="shared" si="275"/>
        <v>0</v>
      </c>
      <c r="L592" s="73">
        <f t="shared" si="275"/>
        <v>0</v>
      </c>
      <c r="M592" s="73">
        <f>M700</f>
        <v>7018.9</v>
      </c>
      <c r="N592" s="73">
        <f t="shared" si="275"/>
        <v>0</v>
      </c>
      <c r="O592" s="73">
        <f t="shared" si="275"/>
        <v>0</v>
      </c>
    </row>
    <row r="593" spans="1:15" ht="31.5" x14ac:dyDescent="0.2">
      <c r="A593" s="142"/>
      <c r="B593" s="150"/>
      <c r="C593" s="80" t="s">
        <v>65</v>
      </c>
      <c r="D593" s="73">
        <f t="shared" si="250"/>
        <v>2819940.5620000004</v>
      </c>
      <c r="E593" s="73">
        <f>E599+E604+E614+E619+E624+E634+E639+E649+E655+E661++E644+E707+E666</f>
        <v>228156.69999999998</v>
      </c>
      <c r="F593" s="73">
        <f>F599+F604+F614+F619+F624+F634+F639+F649+F655+F661++F644+F707+F666</f>
        <v>279787.8</v>
      </c>
      <c r="G593" s="73">
        <f>G599+G604+G614+G619+G624+G634+G639+G649+G655+G661++G644+G707+G666</f>
        <v>257795.10000000003</v>
      </c>
      <c r="H593" s="73">
        <f>H599+H604+H614+H619+H624+H634+H639+H649+H655+H661++H644+H707+H666</f>
        <v>267713.5</v>
      </c>
      <c r="I593" s="73">
        <f>I599+I604+I614+I619+I624+I634+I639+I649+I655+I661++I644+I666</f>
        <v>189814.7</v>
      </c>
      <c r="J593" s="73">
        <f>J599+J604+J614+J619+J624+J634+J639+J649+J655+J661++J644+J666</f>
        <v>180854.9</v>
      </c>
      <c r="K593" s="73">
        <f>K599+K604+K614+K619+K624+K634+K639+K649+K655+K661++K644+K666+K671+K676+K681+K686+K691</f>
        <v>373970.76200000005</v>
      </c>
      <c r="L593" s="73">
        <f>L599+L604+L614+L619+L624+L634+L639+L649+L655+L661++L644+L666+L671+L676+L681+L686+L691+L696</f>
        <v>348526.2</v>
      </c>
      <c r="M593" s="73">
        <f>M599+M604+M614+M619+M624+M634+M639+M649+M655+M661++M644+M666+M671+M676+M681+M686+M691+M696+M701</f>
        <v>264561.80000000005</v>
      </c>
      <c r="N593" s="73">
        <f>N599+N604+N614+N619+N624+N634+N639+N649+N655+N661++N644+N666+N671+N676+N681+N686+N691+N696</f>
        <v>213442.2</v>
      </c>
      <c r="O593" s="73">
        <f>O599+O604+O614+O619+O624+O634+O639+O649+O655+O661++O644+O666+O671+O676+O681+O686+O691+O696</f>
        <v>215316.89999999997</v>
      </c>
    </row>
    <row r="594" spans="1:15" ht="31.5" x14ac:dyDescent="0.2">
      <c r="A594" s="142"/>
      <c r="B594" s="150"/>
      <c r="C594" s="79" t="s">
        <v>79</v>
      </c>
      <c r="D594" s="75">
        <f t="shared" si="250"/>
        <v>59050</v>
      </c>
      <c r="E594" s="75">
        <f>E656+E650</f>
        <v>30550</v>
      </c>
      <c r="F594" s="75">
        <f>F656+F650</f>
        <v>28500</v>
      </c>
      <c r="G594" s="75">
        <f>G656+G650</f>
        <v>0</v>
      </c>
      <c r="H594" s="75">
        <f>H656+H650</f>
        <v>0</v>
      </c>
      <c r="I594" s="75">
        <f>I656+I650</f>
        <v>0</v>
      </c>
      <c r="J594" s="73">
        <f t="shared" ref="J594:O594" si="276">J605+J615+J625+J640+J650+J656</f>
        <v>0</v>
      </c>
      <c r="K594" s="73">
        <f t="shared" si="276"/>
        <v>0</v>
      </c>
      <c r="L594" s="73">
        <f t="shared" si="276"/>
        <v>0</v>
      </c>
      <c r="M594" s="73">
        <f t="shared" si="276"/>
        <v>0</v>
      </c>
      <c r="N594" s="73">
        <f t="shared" si="276"/>
        <v>0</v>
      </c>
      <c r="O594" s="73">
        <f t="shared" si="276"/>
        <v>0</v>
      </c>
    </row>
    <row r="595" spans="1:15" ht="17.25" customHeight="1" x14ac:dyDescent="0.2">
      <c r="A595" s="142"/>
      <c r="B595" s="150"/>
      <c r="C595" s="80" t="s">
        <v>13</v>
      </c>
      <c r="D595" s="73">
        <f t="shared" si="250"/>
        <v>0</v>
      </c>
      <c r="E595" s="73">
        <f>E615+E625+E640+E651+E657</f>
        <v>0</v>
      </c>
      <c r="F595" s="73">
        <f>F615+F625+F640+F651+F657</f>
        <v>0</v>
      </c>
      <c r="G595" s="73">
        <f>G615+G625+G640+G651+G657</f>
        <v>0</v>
      </c>
      <c r="H595" s="73">
        <f>H615+H625+H640+H651+H657</f>
        <v>0</v>
      </c>
      <c r="I595" s="73">
        <f>I615+I625+I640+I651+I657</f>
        <v>0</v>
      </c>
      <c r="J595" s="73">
        <v>0</v>
      </c>
      <c r="K595" s="73">
        <v>0</v>
      </c>
      <c r="L595" s="73">
        <v>0</v>
      </c>
      <c r="M595" s="73">
        <v>0</v>
      </c>
      <c r="N595" s="73">
        <v>0</v>
      </c>
      <c r="O595" s="73">
        <v>0</v>
      </c>
    </row>
    <row r="596" spans="1:15" ht="15.75" x14ac:dyDescent="0.2">
      <c r="A596" s="135" t="s">
        <v>123</v>
      </c>
      <c r="B596" s="143" t="s">
        <v>152</v>
      </c>
      <c r="C596" s="80" t="s">
        <v>7</v>
      </c>
      <c r="D596" s="73">
        <f>SUM(D597:D600)</f>
        <v>42071.3</v>
      </c>
      <c r="E596" s="73">
        <f t="shared" ref="E596:J596" si="277">SUM(E597:E600)</f>
        <v>42071.3</v>
      </c>
      <c r="F596" s="73">
        <f t="shared" si="277"/>
        <v>0</v>
      </c>
      <c r="G596" s="73">
        <f t="shared" si="277"/>
        <v>0</v>
      </c>
      <c r="H596" s="73">
        <f t="shared" si="277"/>
        <v>0</v>
      </c>
      <c r="I596" s="73">
        <f t="shared" si="277"/>
        <v>0</v>
      </c>
      <c r="J596" s="73">
        <f t="shared" si="277"/>
        <v>0</v>
      </c>
      <c r="K596" s="73">
        <v>0</v>
      </c>
      <c r="L596" s="73">
        <f>SUM(L597:L600)</f>
        <v>0</v>
      </c>
      <c r="M596" s="73">
        <f>SUM(M597:M600)</f>
        <v>0</v>
      </c>
      <c r="N596" s="73">
        <f>SUM(N597:N600)</f>
        <v>0</v>
      </c>
      <c r="O596" s="73">
        <v>0</v>
      </c>
    </row>
    <row r="597" spans="1:15" ht="18.75" customHeight="1" x14ac:dyDescent="0.2">
      <c r="A597" s="142"/>
      <c r="B597" s="143"/>
      <c r="C597" s="80" t="s">
        <v>10</v>
      </c>
      <c r="D597" s="73">
        <v>0</v>
      </c>
      <c r="E597" s="73">
        <v>0</v>
      </c>
      <c r="F597" s="73">
        <v>0</v>
      </c>
      <c r="G597" s="73">
        <v>0</v>
      </c>
      <c r="H597" s="73">
        <v>0</v>
      </c>
      <c r="I597" s="73">
        <v>0</v>
      </c>
      <c r="J597" s="73">
        <v>0</v>
      </c>
      <c r="K597" s="73">
        <v>0</v>
      </c>
      <c r="L597" s="73">
        <v>0</v>
      </c>
      <c r="M597" s="73">
        <v>0</v>
      </c>
      <c r="N597" s="73">
        <v>0</v>
      </c>
      <c r="O597" s="73">
        <v>0</v>
      </c>
    </row>
    <row r="598" spans="1:15" ht="17.25" customHeight="1" x14ac:dyDescent="0.2">
      <c r="A598" s="142"/>
      <c r="B598" s="143"/>
      <c r="C598" s="80" t="s">
        <v>11</v>
      </c>
      <c r="D598" s="88">
        <v>0</v>
      </c>
      <c r="E598" s="88">
        <v>0</v>
      </c>
      <c r="F598" s="88">
        <v>0</v>
      </c>
      <c r="G598" s="88">
        <v>0</v>
      </c>
      <c r="H598" s="88">
        <v>0</v>
      </c>
      <c r="I598" s="88">
        <v>0</v>
      </c>
      <c r="J598" s="88">
        <v>0</v>
      </c>
      <c r="K598" s="88">
        <v>0</v>
      </c>
      <c r="L598" s="88">
        <v>0</v>
      </c>
      <c r="M598" s="88">
        <v>0</v>
      </c>
      <c r="N598" s="88">
        <v>0</v>
      </c>
      <c r="O598" s="88">
        <v>0</v>
      </c>
    </row>
    <row r="599" spans="1:15" ht="17.25" customHeight="1" x14ac:dyDescent="0.2">
      <c r="A599" s="142"/>
      <c r="B599" s="143"/>
      <c r="C599" s="80" t="s">
        <v>12</v>
      </c>
      <c r="D599" s="73">
        <f>SUM(E599:J599)</f>
        <v>42071.3</v>
      </c>
      <c r="E599" s="73">
        <v>42071.3</v>
      </c>
      <c r="F599" s="73">
        <v>0</v>
      </c>
      <c r="G599" s="73">
        <v>0</v>
      </c>
      <c r="H599" s="73">
        <v>0</v>
      </c>
      <c r="I599" s="73">
        <v>0</v>
      </c>
      <c r="J599" s="73">
        <v>0</v>
      </c>
      <c r="K599" s="73">
        <v>0</v>
      </c>
      <c r="L599" s="73">
        <v>0</v>
      </c>
      <c r="M599" s="73">
        <v>0</v>
      </c>
      <c r="N599" s="73">
        <v>0</v>
      </c>
      <c r="O599" s="73">
        <v>0</v>
      </c>
    </row>
    <row r="600" spans="1:15" ht="25.5" customHeight="1" x14ac:dyDescent="0.2">
      <c r="A600" s="142"/>
      <c r="B600" s="143"/>
      <c r="C600" s="80" t="s">
        <v>13</v>
      </c>
      <c r="D600" s="73">
        <f>E600+F600+G600+H600+I600+J600</f>
        <v>0</v>
      </c>
      <c r="E600" s="73">
        <v>0</v>
      </c>
      <c r="F600" s="73">
        <v>0</v>
      </c>
      <c r="G600" s="73">
        <v>0</v>
      </c>
      <c r="H600" s="73">
        <v>0</v>
      </c>
      <c r="I600" s="73">
        <v>0</v>
      </c>
      <c r="J600" s="73">
        <v>0</v>
      </c>
      <c r="K600" s="73">
        <v>0</v>
      </c>
      <c r="L600" s="73">
        <v>0</v>
      </c>
      <c r="M600" s="73">
        <v>0</v>
      </c>
      <c r="N600" s="73">
        <v>0</v>
      </c>
      <c r="O600" s="73">
        <v>0</v>
      </c>
    </row>
    <row r="601" spans="1:15" ht="15.75" customHeight="1" x14ac:dyDescent="0.2">
      <c r="A601" s="135" t="s">
        <v>124</v>
      </c>
      <c r="B601" s="143" t="s">
        <v>135</v>
      </c>
      <c r="C601" s="80" t="s">
        <v>7</v>
      </c>
      <c r="D601" s="73">
        <f>E601+F601+G601+H601+I601+J601+K601+L601+M601+N601+O601</f>
        <v>224030.40000000002</v>
      </c>
      <c r="E601" s="73">
        <f t="shared" ref="E601:O601" si="278">SUM(E602:E605)</f>
        <v>0</v>
      </c>
      <c r="F601" s="73">
        <f t="shared" si="278"/>
        <v>52211</v>
      </c>
      <c r="G601" s="73">
        <f t="shared" si="278"/>
        <v>40056.800000000003</v>
      </c>
      <c r="H601" s="73">
        <f t="shared" si="278"/>
        <v>54812.9</v>
      </c>
      <c r="I601" s="73">
        <f t="shared" si="278"/>
        <v>33448.6</v>
      </c>
      <c r="J601" s="73">
        <f t="shared" si="278"/>
        <v>10688.6</v>
      </c>
      <c r="K601" s="73">
        <f t="shared" si="278"/>
        <v>32812.5</v>
      </c>
      <c r="L601" s="73">
        <f t="shared" si="278"/>
        <v>0</v>
      </c>
      <c r="M601" s="73">
        <f t="shared" si="278"/>
        <v>0</v>
      </c>
      <c r="N601" s="73">
        <f t="shared" si="278"/>
        <v>0</v>
      </c>
      <c r="O601" s="73">
        <f t="shared" si="278"/>
        <v>0</v>
      </c>
    </row>
    <row r="602" spans="1:15" ht="15.75" customHeight="1" x14ac:dyDescent="0.2">
      <c r="A602" s="142"/>
      <c r="B602" s="143"/>
      <c r="C602" s="80" t="s">
        <v>10</v>
      </c>
      <c r="D602" s="73">
        <f t="shared" ref="D602:D705" si="279">E602+F602+G602+H602+I602+J602+K602+L602+M602+N602+O602</f>
        <v>0</v>
      </c>
      <c r="E602" s="73">
        <v>0</v>
      </c>
      <c r="F602" s="73">
        <v>0</v>
      </c>
      <c r="G602" s="73">
        <v>0</v>
      </c>
      <c r="H602" s="73">
        <v>0</v>
      </c>
      <c r="I602" s="73">
        <v>0</v>
      </c>
      <c r="J602" s="73">
        <v>0</v>
      </c>
      <c r="K602" s="73">
        <v>0</v>
      </c>
      <c r="L602" s="73">
        <v>0</v>
      </c>
      <c r="M602" s="73">
        <v>0</v>
      </c>
      <c r="N602" s="73">
        <v>0</v>
      </c>
      <c r="O602" s="73">
        <v>0</v>
      </c>
    </row>
    <row r="603" spans="1:15" ht="15.75" customHeight="1" x14ac:dyDescent="0.2">
      <c r="A603" s="142"/>
      <c r="B603" s="143"/>
      <c r="C603" s="80" t="s">
        <v>11</v>
      </c>
      <c r="D603" s="73">
        <f t="shared" si="279"/>
        <v>0</v>
      </c>
      <c r="E603" s="88">
        <v>0</v>
      </c>
      <c r="F603" s="88">
        <v>0</v>
      </c>
      <c r="G603" s="88">
        <v>0</v>
      </c>
      <c r="H603" s="88">
        <v>0</v>
      </c>
      <c r="I603" s="88">
        <v>0</v>
      </c>
      <c r="J603" s="88">
        <v>0</v>
      </c>
      <c r="K603" s="88">
        <v>0</v>
      </c>
      <c r="L603" s="88">
        <v>0</v>
      </c>
      <c r="M603" s="88">
        <v>0</v>
      </c>
      <c r="N603" s="88">
        <v>0</v>
      </c>
      <c r="O603" s="88">
        <v>0</v>
      </c>
    </row>
    <row r="604" spans="1:15" ht="15.75" customHeight="1" x14ac:dyDescent="0.2">
      <c r="A604" s="142"/>
      <c r="B604" s="143"/>
      <c r="C604" s="80" t="s">
        <v>12</v>
      </c>
      <c r="D604" s="73">
        <f t="shared" si="279"/>
        <v>224030.40000000002</v>
      </c>
      <c r="E604" s="73">
        <v>0</v>
      </c>
      <c r="F604" s="73">
        <v>52211</v>
      </c>
      <c r="G604" s="73">
        <v>40056.800000000003</v>
      </c>
      <c r="H604" s="73">
        <v>54812.9</v>
      </c>
      <c r="I604" s="73">
        <f>33108.6+340</f>
        <v>33448.6</v>
      </c>
      <c r="J604" s="73">
        <f>10688.6-0.1+0.1</f>
        <v>10688.6</v>
      </c>
      <c r="K604" s="73">
        <f>33518.8-706.3</f>
        <v>32812.5</v>
      </c>
      <c r="L604" s="73">
        <v>0</v>
      </c>
      <c r="M604" s="73">
        <v>0</v>
      </c>
      <c r="N604" s="73">
        <v>0</v>
      </c>
      <c r="O604" s="73">
        <v>0</v>
      </c>
    </row>
    <row r="605" spans="1:15" ht="25.5" customHeight="1" x14ac:dyDescent="0.2">
      <c r="A605" s="142"/>
      <c r="B605" s="143"/>
      <c r="C605" s="80" t="s">
        <v>13</v>
      </c>
      <c r="D605" s="73">
        <f t="shared" si="279"/>
        <v>0</v>
      </c>
      <c r="E605" s="73">
        <v>0</v>
      </c>
      <c r="F605" s="73">
        <v>0</v>
      </c>
      <c r="G605" s="73">
        <v>0</v>
      </c>
      <c r="H605" s="73">
        <v>0</v>
      </c>
      <c r="I605" s="73">
        <v>0</v>
      </c>
      <c r="J605" s="73">
        <v>0</v>
      </c>
      <c r="K605" s="73">
        <v>0</v>
      </c>
      <c r="L605" s="73">
        <v>0</v>
      </c>
      <c r="M605" s="73">
        <v>0</v>
      </c>
      <c r="N605" s="73">
        <v>0</v>
      </c>
      <c r="O605" s="73">
        <v>0</v>
      </c>
    </row>
    <row r="606" spans="1:15" ht="24" customHeight="1" x14ac:dyDescent="0.2">
      <c r="A606" s="135" t="s">
        <v>125</v>
      </c>
      <c r="B606" s="143" t="s">
        <v>265</v>
      </c>
      <c r="C606" s="80" t="s">
        <v>7</v>
      </c>
      <c r="D606" s="73">
        <f t="shared" si="279"/>
        <v>54854.5</v>
      </c>
      <c r="E606" s="73">
        <f t="shared" ref="E606:O606" si="280">SUM(E607:E610)</f>
        <v>0</v>
      </c>
      <c r="F606" s="73">
        <f t="shared" si="280"/>
        <v>0</v>
      </c>
      <c r="G606" s="73">
        <f t="shared" si="280"/>
        <v>0</v>
      </c>
      <c r="H606" s="73">
        <f t="shared" si="280"/>
        <v>0</v>
      </c>
      <c r="I606" s="73">
        <f t="shared" si="280"/>
        <v>26485.599999999999</v>
      </c>
      <c r="J606" s="73">
        <f t="shared" si="280"/>
        <v>28368.9</v>
      </c>
      <c r="K606" s="73">
        <f t="shared" si="280"/>
        <v>0</v>
      </c>
      <c r="L606" s="73">
        <f t="shared" si="280"/>
        <v>0</v>
      </c>
      <c r="M606" s="73">
        <f t="shared" si="280"/>
        <v>0</v>
      </c>
      <c r="N606" s="73">
        <f t="shared" si="280"/>
        <v>0</v>
      </c>
      <c r="O606" s="73">
        <f t="shared" si="280"/>
        <v>0</v>
      </c>
    </row>
    <row r="607" spans="1:15" ht="24" customHeight="1" x14ac:dyDescent="0.2">
      <c r="A607" s="142"/>
      <c r="B607" s="143"/>
      <c r="C607" s="80" t="s">
        <v>10</v>
      </c>
      <c r="D607" s="73">
        <f t="shared" si="279"/>
        <v>0</v>
      </c>
      <c r="E607" s="73">
        <v>0</v>
      </c>
      <c r="F607" s="73">
        <v>0</v>
      </c>
      <c r="G607" s="73">
        <v>0</v>
      </c>
      <c r="H607" s="73">
        <v>0</v>
      </c>
      <c r="I607" s="73">
        <v>0</v>
      </c>
      <c r="J607" s="73">
        <v>0</v>
      </c>
      <c r="K607" s="73">
        <v>0</v>
      </c>
      <c r="L607" s="73">
        <v>0</v>
      </c>
      <c r="M607" s="73">
        <v>0</v>
      </c>
      <c r="N607" s="73">
        <v>0</v>
      </c>
      <c r="O607" s="73">
        <v>0</v>
      </c>
    </row>
    <row r="608" spans="1:15" ht="24" customHeight="1" x14ac:dyDescent="0.2">
      <c r="A608" s="142"/>
      <c r="B608" s="143"/>
      <c r="C608" s="80" t="s">
        <v>11</v>
      </c>
      <c r="D608" s="73">
        <f t="shared" si="279"/>
        <v>54854.5</v>
      </c>
      <c r="E608" s="88">
        <v>0</v>
      </c>
      <c r="F608" s="88">
        <v>0</v>
      </c>
      <c r="G608" s="88">
        <v>0</v>
      </c>
      <c r="H608" s="88">
        <v>0</v>
      </c>
      <c r="I608" s="88">
        <v>26485.599999999999</v>
      </c>
      <c r="J608" s="88">
        <f>39057.5-10688.6</f>
        <v>28368.9</v>
      </c>
      <c r="K608" s="88">
        <v>0</v>
      </c>
      <c r="L608" s="88">
        <v>0</v>
      </c>
      <c r="M608" s="88">
        <v>0</v>
      </c>
      <c r="N608" s="88">
        <v>0</v>
      </c>
      <c r="O608" s="88">
        <v>0</v>
      </c>
    </row>
    <row r="609" spans="1:15" ht="24" customHeight="1" x14ac:dyDescent="0.2">
      <c r="A609" s="142"/>
      <c r="B609" s="143"/>
      <c r="C609" s="80" t="s">
        <v>12</v>
      </c>
      <c r="D609" s="73">
        <f t="shared" si="279"/>
        <v>0</v>
      </c>
      <c r="E609" s="73">
        <v>0</v>
      </c>
      <c r="F609" s="73">
        <v>0</v>
      </c>
      <c r="G609" s="73">
        <v>0</v>
      </c>
      <c r="H609" s="73">
        <v>0</v>
      </c>
      <c r="I609" s="73">
        <v>0</v>
      </c>
      <c r="J609" s="73">
        <v>0</v>
      </c>
      <c r="K609" s="73">
        <v>0</v>
      </c>
      <c r="L609" s="73">
        <v>0</v>
      </c>
      <c r="M609" s="73">
        <v>0</v>
      </c>
      <c r="N609" s="73">
        <v>0</v>
      </c>
      <c r="O609" s="73">
        <v>0</v>
      </c>
    </row>
    <row r="610" spans="1:15" ht="24" customHeight="1" x14ac:dyDescent="0.2">
      <c r="A610" s="142"/>
      <c r="B610" s="143"/>
      <c r="C610" s="80" t="s">
        <v>13</v>
      </c>
      <c r="D610" s="73">
        <f t="shared" si="279"/>
        <v>0</v>
      </c>
      <c r="E610" s="73">
        <v>0</v>
      </c>
      <c r="F610" s="73">
        <v>0</v>
      </c>
      <c r="G610" s="73">
        <v>0</v>
      </c>
      <c r="H610" s="73">
        <v>0</v>
      </c>
      <c r="I610" s="73">
        <v>0</v>
      </c>
      <c r="J610" s="73">
        <v>0</v>
      </c>
      <c r="K610" s="73">
        <v>0</v>
      </c>
      <c r="L610" s="73">
        <v>0</v>
      </c>
      <c r="M610" s="73">
        <v>0</v>
      </c>
      <c r="N610" s="73">
        <v>0</v>
      </c>
      <c r="O610" s="73">
        <v>0</v>
      </c>
    </row>
    <row r="611" spans="1:15" ht="15.75" customHeight="1" x14ac:dyDescent="0.25">
      <c r="A611" s="135" t="s">
        <v>126</v>
      </c>
      <c r="B611" s="143" t="s">
        <v>44</v>
      </c>
      <c r="C611" s="93" t="s">
        <v>7</v>
      </c>
      <c r="D611" s="73">
        <f t="shared" si="279"/>
        <v>457857.39999999997</v>
      </c>
      <c r="E611" s="88">
        <f t="shared" ref="E611:O611" si="281">E612+E613+E614+E615</f>
        <v>47997.7</v>
      </c>
      <c r="F611" s="88">
        <f t="shared" si="281"/>
        <v>54818</v>
      </c>
      <c r="G611" s="88">
        <f>G612+G613+G614+G615</f>
        <v>75015.600000000006</v>
      </c>
      <c r="H611" s="88">
        <f t="shared" si="281"/>
        <v>70853</v>
      </c>
      <c r="I611" s="88">
        <f t="shared" si="281"/>
        <v>74592.900000000009</v>
      </c>
      <c r="J611" s="88">
        <f t="shared" si="281"/>
        <v>77207.3</v>
      </c>
      <c r="K611" s="88">
        <f t="shared" si="281"/>
        <v>53504.3</v>
      </c>
      <c r="L611" s="88">
        <f t="shared" si="281"/>
        <v>1605.8</v>
      </c>
      <c r="M611" s="88">
        <f t="shared" si="281"/>
        <v>1447.7999999999997</v>
      </c>
      <c r="N611" s="88">
        <f t="shared" si="281"/>
        <v>407.5</v>
      </c>
      <c r="O611" s="88">
        <f t="shared" si="281"/>
        <v>407.5</v>
      </c>
    </row>
    <row r="612" spans="1:15" ht="15.75" customHeight="1" x14ac:dyDescent="0.2">
      <c r="A612" s="142"/>
      <c r="B612" s="150"/>
      <c r="C612" s="80" t="s">
        <v>10</v>
      </c>
      <c r="D612" s="73">
        <f t="shared" si="279"/>
        <v>0</v>
      </c>
      <c r="E612" s="88">
        <v>0</v>
      </c>
      <c r="F612" s="88">
        <v>0</v>
      </c>
      <c r="G612" s="88">
        <v>0</v>
      </c>
      <c r="H612" s="88">
        <v>0</v>
      </c>
      <c r="I612" s="88">
        <v>0</v>
      </c>
      <c r="J612" s="88">
        <v>0</v>
      </c>
      <c r="K612" s="88">
        <v>0</v>
      </c>
      <c r="L612" s="88">
        <v>0</v>
      </c>
      <c r="M612" s="88">
        <v>0</v>
      </c>
      <c r="N612" s="88">
        <v>0</v>
      </c>
      <c r="O612" s="88">
        <v>0</v>
      </c>
    </row>
    <row r="613" spans="1:15" ht="15.75" customHeight="1" x14ac:dyDescent="0.2">
      <c r="A613" s="142"/>
      <c r="B613" s="150"/>
      <c r="C613" s="80" t="s">
        <v>11</v>
      </c>
      <c r="D613" s="73">
        <f t="shared" si="279"/>
        <v>0</v>
      </c>
      <c r="E613" s="88">
        <v>0</v>
      </c>
      <c r="F613" s="88">
        <v>0</v>
      </c>
      <c r="G613" s="88">
        <v>0</v>
      </c>
      <c r="H613" s="88">
        <v>0</v>
      </c>
      <c r="I613" s="88">
        <v>0</v>
      </c>
      <c r="J613" s="88">
        <v>0</v>
      </c>
      <c r="K613" s="88">
        <v>0</v>
      </c>
      <c r="L613" s="88">
        <v>0</v>
      </c>
      <c r="M613" s="88">
        <v>0</v>
      </c>
      <c r="N613" s="88">
        <v>0</v>
      </c>
      <c r="O613" s="88">
        <v>0</v>
      </c>
    </row>
    <row r="614" spans="1:15" ht="15.75" customHeight="1" x14ac:dyDescent="0.2">
      <c r="A614" s="142"/>
      <c r="B614" s="150"/>
      <c r="C614" s="80" t="s">
        <v>12</v>
      </c>
      <c r="D614" s="73">
        <f t="shared" si="279"/>
        <v>457857.39999999997</v>
      </c>
      <c r="E614" s="88">
        <v>47997.7</v>
      </c>
      <c r="F614" s="88">
        <v>54818</v>
      </c>
      <c r="G614" s="88">
        <v>75015.600000000006</v>
      </c>
      <c r="H614" s="88">
        <v>70853</v>
      </c>
      <c r="I614" s="88">
        <f>74919.3-326.4</f>
        <v>74592.900000000009</v>
      </c>
      <c r="J614" s="88">
        <f>78197.5-990.2</f>
        <v>77207.3</v>
      </c>
      <c r="K614" s="88">
        <f>83504.3-30000</f>
        <v>53504.3</v>
      </c>
      <c r="L614" s="88">
        <f>1664.8-59</f>
        <v>1605.8</v>
      </c>
      <c r="M614" s="88">
        <f>1835.8-1446.2+471.3+70.8+516.1</f>
        <v>1447.7999999999997</v>
      </c>
      <c r="N614" s="88">
        <f>1918.6-1511.1</f>
        <v>407.5</v>
      </c>
      <c r="O614" s="88">
        <f>1918.6-1511.1</f>
        <v>407.5</v>
      </c>
    </row>
    <row r="615" spans="1:15" ht="15.75" customHeight="1" x14ac:dyDescent="0.2">
      <c r="A615" s="142"/>
      <c r="B615" s="150"/>
      <c r="C615" s="80" t="s">
        <v>13</v>
      </c>
      <c r="D615" s="73">
        <f t="shared" si="279"/>
        <v>0</v>
      </c>
      <c r="E615" s="88">
        <v>0</v>
      </c>
      <c r="F615" s="88">
        <v>0</v>
      </c>
      <c r="G615" s="88">
        <v>0</v>
      </c>
      <c r="H615" s="88">
        <v>0</v>
      </c>
      <c r="I615" s="88">
        <v>0</v>
      </c>
      <c r="J615" s="88">
        <v>0</v>
      </c>
      <c r="K615" s="88">
        <v>0</v>
      </c>
      <c r="L615" s="88">
        <v>0</v>
      </c>
      <c r="M615" s="88">
        <v>0</v>
      </c>
      <c r="N615" s="88">
        <v>0</v>
      </c>
      <c r="O615" s="88">
        <v>0</v>
      </c>
    </row>
    <row r="616" spans="1:15" ht="17.25" customHeight="1" x14ac:dyDescent="0.25">
      <c r="A616" s="139" t="s">
        <v>127</v>
      </c>
      <c r="B616" s="135" t="s">
        <v>153</v>
      </c>
      <c r="C616" s="93" t="s">
        <v>7</v>
      </c>
      <c r="D616" s="73">
        <f t="shared" si="279"/>
        <v>25746.6</v>
      </c>
      <c r="E616" s="88">
        <f t="shared" ref="E616:K616" si="282">E617+E618+E619+E620</f>
        <v>25746.6</v>
      </c>
      <c r="F616" s="88">
        <f t="shared" si="282"/>
        <v>0</v>
      </c>
      <c r="G616" s="88">
        <f t="shared" si="282"/>
        <v>0</v>
      </c>
      <c r="H616" s="88">
        <f t="shared" si="282"/>
        <v>0</v>
      </c>
      <c r="I616" s="88">
        <f t="shared" si="282"/>
        <v>0</v>
      </c>
      <c r="J616" s="88">
        <f t="shared" si="282"/>
        <v>0</v>
      </c>
      <c r="K616" s="88">
        <f t="shared" si="282"/>
        <v>0</v>
      </c>
      <c r="L616" s="88">
        <f>L617+L618+L619+L620</f>
        <v>0</v>
      </c>
      <c r="M616" s="88">
        <f>M617+M618+M619+M620</f>
        <v>0</v>
      </c>
      <c r="N616" s="88">
        <f>N617+N618+N619+N620</f>
        <v>0</v>
      </c>
      <c r="O616" s="88">
        <f>O617+O618+O619+O620</f>
        <v>0</v>
      </c>
    </row>
    <row r="617" spans="1:15" ht="17.25" customHeight="1" x14ac:dyDescent="0.2">
      <c r="A617" s="154"/>
      <c r="B617" s="150"/>
      <c r="C617" s="80" t="s">
        <v>10</v>
      </c>
      <c r="D617" s="73">
        <f t="shared" si="279"/>
        <v>0</v>
      </c>
      <c r="E617" s="88">
        <v>0</v>
      </c>
      <c r="F617" s="88">
        <v>0</v>
      </c>
      <c r="G617" s="88">
        <v>0</v>
      </c>
      <c r="H617" s="88">
        <v>0</v>
      </c>
      <c r="I617" s="88">
        <v>0</v>
      </c>
      <c r="J617" s="88">
        <v>0</v>
      </c>
      <c r="K617" s="88">
        <v>0</v>
      </c>
      <c r="L617" s="88">
        <v>0</v>
      </c>
      <c r="M617" s="88">
        <v>0</v>
      </c>
      <c r="N617" s="88">
        <v>0</v>
      </c>
      <c r="O617" s="88">
        <v>0</v>
      </c>
    </row>
    <row r="618" spans="1:15" ht="18" customHeight="1" x14ac:dyDescent="0.2">
      <c r="A618" s="154"/>
      <c r="B618" s="150"/>
      <c r="C618" s="80" t="s">
        <v>11</v>
      </c>
      <c r="D618" s="73">
        <f t="shared" si="279"/>
        <v>0</v>
      </c>
      <c r="E618" s="88">
        <v>0</v>
      </c>
      <c r="F618" s="88">
        <v>0</v>
      </c>
      <c r="G618" s="88">
        <v>0</v>
      </c>
      <c r="H618" s="88">
        <v>0</v>
      </c>
      <c r="I618" s="88">
        <v>0</v>
      </c>
      <c r="J618" s="88">
        <v>0</v>
      </c>
      <c r="K618" s="88">
        <v>0</v>
      </c>
      <c r="L618" s="88">
        <v>0</v>
      </c>
      <c r="M618" s="88">
        <v>0</v>
      </c>
      <c r="N618" s="88">
        <v>0</v>
      </c>
      <c r="O618" s="88">
        <v>0</v>
      </c>
    </row>
    <row r="619" spans="1:15" ht="15.75" customHeight="1" x14ac:dyDescent="0.2">
      <c r="A619" s="154"/>
      <c r="B619" s="150"/>
      <c r="C619" s="80" t="s">
        <v>12</v>
      </c>
      <c r="D619" s="73">
        <f t="shared" si="279"/>
        <v>25746.6</v>
      </c>
      <c r="E619" s="88">
        <v>25746.6</v>
      </c>
      <c r="F619" s="88">
        <v>0</v>
      </c>
      <c r="G619" s="88">
        <v>0</v>
      </c>
      <c r="H619" s="88">
        <v>0</v>
      </c>
      <c r="I619" s="88">
        <v>0</v>
      </c>
      <c r="J619" s="88">
        <v>0</v>
      </c>
      <c r="K619" s="88">
        <v>0</v>
      </c>
      <c r="L619" s="88">
        <v>0</v>
      </c>
      <c r="M619" s="88">
        <v>0</v>
      </c>
      <c r="N619" s="88">
        <v>0</v>
      </c>
      <c r="O619" s="88">
        <v>0</v>
      </c>
    </row>
    <row r="620" spans="1:15" ht="33.75" customHeight="1" x14ac:dyDescent="0.2">
      <c r="A620" s="155"/>
      <c r="B620" s="150"/>
      <c r="C620" s="80" t="s">
        <v>13</v>
      </c>
      <c r="D620" s="73">
        <f t="shared" si="279"/>
        <v>0</v>
      </c>
      <c r="E620" s="88">
        <v>0</v>
      </c>
      <c r="F620" s="88">
        <v>0</v>
      </c>
      <c r="G620" s="88">
        <v>0</v>
      </c>
      <c r="H620" s="88">
        <v>0</v>
      </c>
      <c r="I620" s="88">
        <v>0</v>
      </c>
      <c r="J620" s="88">
        <v>0</v>
      </c>
      <c r="K620" s="88">
        <v>0</v>
      </c>
      <c r="L620" s="88">
        <v>0</v>
      </c>
      <c r="M620" s="88">
        <v>0</v>
      </c>
      <c r="N620" s="88">
        <v>0</v>
      </c>
      <c r="O620" s="88">
        <v>0</v>
      </c>
    </row>
    <row r="621" spans="1:15" ht="15.75" x14ac:dyDescent="0.2">
      <c r="A621" s="135" t="s">
        <v>128</v>
      </c>
      <c r="B621" s="143" t="s">
        <v>136</v>
      </c>
      <c r="C621" s="89" t="s">
        <v>7</v>
      </c>
      <c r="D621" s="73">
        <f>E621+F621+G621+H621+I621+J621+K621+L621+M621+N621+O621</f>
        <v>352354.50000000006</v>
      </c>
      <c r="E621" s="88">
        <f t="shared" ref="E621:J621" si="283">SUM(E622:E625)</f>
        <v>0</v>
      </c>
      <c r="F621" s="88">
        <f t="shared" si="283"/>
        <v>36667.5</v>
      </c>
      <c r="G621" s="88">
        <f t="shared" si="283"/>
        <v>33267.5</v>
      </c>
      <c r="H621" s="88">
        <f t="shared" si="283"/>
        <v>35169.599999999999</v>
      </c>
      <c r="I621" s="88">
        <f t="shared" si="283"/>
        <v>22060.600000000002</v>
      </c>
      <c r="J621" s="88">
        <f t="shared" si="283"/>
        <v>19768.5</v>
      </c>
      <c r="K621" s="88">
        <f>SUM(K622:K625)</f>
        <v>46323.700000000004</v>
      </c>
      <c r="L621" s="88">
        <f>SUM(L622:L625)</f>
        <v>56144.700000000004</v>
      </c>
      <c r="M621" s="88">
        <f>SUM(M622:M625)</f>
        <v>37834.700000000004</v>
      </c>
      <c r="N621" s="88">
        <f>SUM(N622:N625)</f>
        <v>32800.9</v>
      </c>
      <c r="O621" s="88">
        <f>SUM(O622:O625)</f>
        <v>32316.800000000003</v>
      </c>
    </row>
    <row r="622" spans="1:15" ht="15.75" customHeight="1" x14ac:dyDescent="0.2">
      <c r="A622" s="142"/>
      <c r="B622" s="144"/>
      <c r="C622" s="80" t="s">
        <v>10</v>
      </c>
      <c r="D622" s="73">
        <f t="shared" si="279"/>
        <v>0</v>
      </c>
      <c r="E622" s="88">
        <v>0</v>
      </c>
      <c r="F622" s="88">
        <v>0</v>
      </c>
      <c r="G622" s="88">
        <v>0</v>
      </c>
      <c r="H622" s="88">
        <v>0</v>
      </c>
      <c r="I622" s="88">
        <v>0</v>
      </c>
      <c r="J622" s="88">
        <v>0</v>
      </c>
      <c r="K622" s="88">
        <v>0</v>
      </c>
      <c r="L622" s="88">
        <v>0</v>
      </c>
      <c r="M622" s="88">
        <v>0</v>
      </c>
      <c r="N622" s="88">
        <v>0</v>
      </c>
      <c r="O622" s="88">
        <v>0</v>
      </c>
    </row>
    <row r="623" spans="1:15" ht="15.75" customHeight="1" x14ac:dyDescent="0.2">
      <c r="A623" s="142"/>
      <c r="B623" s="144"/>
      <c r="C623" s="80" t="s">
        <v>11</v>
      </c>
      <c r="D623" s="73">
        <f t="shared" si="279"/>
        <v>0</v>
      </c>
      <c r="E623" s="88">
        <v>0</v>
      </c>
      <c r="F623" s="88">
        <v>0</v>
      </c>
      <c r="G623" s="88">
        <v>0</v>
      </c>
      <c r="H623" s="88">
        <v>0</v>
      </c>
      <c r="I623" s="88">
        <v>0</v>
      </c>
      <c r="J623" s="88">
        <v>0</v>
      </c>
      <c r="K623" s="88">
        <v>0</v>
      </c>
      <c r="L623" s="88">
        <v>0</v>
      </c>
      <c r="M623" s="88">
        <v>0</v>
      </c>
      <c r="N623" s="88">
        <v>0</v>
      </c>
      <c r="O623" s="88">
        <v>0</v>
      </c>
    </row>
    <row r="624" spans="1:15" ht="15.75" customHeight="1" x14ac:dyDescent="0.2">
      <c r="A624" s="142"/>
      <c r="B624" s="144"/>
      <c r="C624" s="80" t="s">
        <v>12</v>
      </c>
      <c r="D624" s="73">
        <f t="shared" si="279"/>
        <v>352354.50000000006</v>
      </c>
      <c r="E624" s="88">
        <v>0</v>
      </c>
      <c r="F624" s="88">
        <v>36667.5</v>
      </c>
      <c r="G624" s="88">
        <v>33267.5</v>
      </c>
      <c r="H624" s="88">
        <v>35169.599999999999</v>
      </c>
      <c r="I624" s="88">
        <f>23852.9-1792.3</f>
        <v>22060.600000000002</v>
      </c>
      <c r="J624" s="88">
        <f>28768.5-9000</f>
        <v>19768.5</v>
      </c>
      <c r="K624" s="88">
        <f>29083+5516.8+7690+4019.9+14</f>
        <v>46323.700000000004</v>
      </c>
      <c r="L624" s="88">
        <f>34599.8+8000+6572.8+59+6913.1</f>
        <v>56144.700000000004</v>
      </c>
      <c r="M624" s="88">
        <f>35983.8-8149.1+10000</f>
        <v>37834.700000000004</v>
      </c>
      <c r="N624" s="88">
        <f>37423.1-4622.2</f>
        <v>32800.9</v>
      </c>
      <c r="O624" s="88">
        <f>87586.3-55269.5</f>
        <v>32316.800000000003</v>
      </c>
    </row>
    <row r="625" spans="1:17" ht="21.75" customHeight="1" x14ac:dyDescent="0.2">
      <c r="A625" s="142"/>
      <c r="B625" s="144"/>
      <c r="C625" s="80" t="s">
        <v>13</v>
      </c>
      <c r="D625" s="73">
        <f t="shared" si="279"/>
        <v>0</v>
      </c>
      <c r="E625" s="88">
        <v>0</v>
      </c>
      <c r="F625" s="88">
        <v>0</v>
      </c>
      <c r="G625" s="88">
        <v>0</v>
      </c>
      <c r="H625" s="88">
        <v>0</v>
      </c>
      <c r="I625" s="88">
        <v>0</v>
      </c>
      <c r="J625" s="88">
        <v>0</v>
      </c>
      <c r="K625" s="88">
        <v>0</v>
      </c>
      <c r="L625" s="88">
        <v>0</v>
      </c>
      <c r="M625" s="88">
        <v>0</v>
      </c>
      <c r="N625" s="88">
        <v>0</v>
      </c>
      <c r="O625" s="88">
        <v>0</v>
      </c>
    </row>
    <row r="626" spans="1:17" ht="22.5" customHeight="1" x14ac:dyDescent="0.25">
      <c r="A626" s="135" t="s">
        <v>205</v>
      </c>
      <c r="B626" s="143" t="s">
        <v>364</v>
      </c>
      <c r="C626" s="93" t="s">
        <v>7</v>
      </c>
      <c r="D626" s="73">
        <f>E626+F626+G626+H626+I626+J626+K626+L626+M626+N626+O626</f>
        <v>32005.9</v>
      </c>
      <c r="E626" s="88">
        <f t="shared" ref="E626:K626" si="284">SUM(E627:E630)</f>
        <v>0</v>
      </c>
      <c r="F626" s="88">
        <f t="shared" si="284"/>
        <v>0</v>
      </c>
      <c r="G626" s="88">
        <f t="shared" si="284"/>
        <v>0</v>
      </c>
      <c r="H626" s="88">
        <f t="shared" si="284"/>
        <v>0</v>
      </c>
      <c r="I626" s="88">
        <f t="shared" si="284"/>
        <v>22691.4</v>
      </c>
      <c r="J626" s="88">
        <f t="shared" si="284"/>
        <v>9314.5</v>
      </c>
      <c r="K626" s="88">
        <f t="shared" si="284"/>
        <v>0</v>
      </c>
      <c r="L626" s="88">
        <f>SUM(L627:L630)</f>
        <v>0</v>
      </c>
      <c r="M626" s="88">
        <f>SUM(M627:M630)</f>
        <v>0</v>
      </c>
      <c r="N626" s="88">
        <f>SUM(N627:N630)</f>
        <v>0</v>
      </c>
      <c r="O626" s="88">
        <f>SUM(O627:O630)</f>
        <v>0</v>
      </c>
      <c r="P626" s="61">
        <f>I624+I628</f>
        <v>44752</v>
      </c>
      <c r="Q626" s="61"/>
    </row>
    <row r="627" spans="1:17" ht="22.5" customHeight="1" x14ac:dyDescent="0.2">
      <c r="A627" s="142"/>
      <c r="B627" s="144"/>
      <c r="C627" s="80" t="s">
        <v>10</v>
      </c>
      <c r="D627" s="73">
        <f t="shared" si="279"/>
        <v>0</v>
      </c>
      <c r="E627" s="88">
        <v>0</v>
      </c>
      <c r="F627" s="88">
        <v>0</v>
      </c>
      <c r="G627" s="88">
        <v>0</v>
      </c>
      <c r="H627" s="88">
        <v>0</v>
      </c>
      <c r="I627" s="88">
        <v>0</v>
      </c>
      <c r="J627" s="88">
        <v>0</v>
      </c>
      <c r="K627" s="88">
        <v>0</v>
      </c>
      <c r="L627" s="88">
        <v>0</v>
      </c>
      <c r="M627" s="88">
        <v>0</v>
      </c>
      <c r="N627" s="88">
        <v>0</v>
      </c>
      <c r="O627" s="88">
        <v>0</v>
      </c>
    </row>
    <row r="628" spans="1:17" ht="22.5" customHeight="1" x14ac:dyDescent="0.2">
      <c r="A628" s="142"/>
      <c r="B628" s="144"/>
      <c r="C628" s="80" t="s">
        <v>11</v>
      </c>
      <c r="D628" s="73">
        <f t="shared" si="279"/>
        <v>32005.9</v>
      </c>
      <c r="E628" s="88">
        <v>0</v>
      </c>
      <c r="F628" s="88">
        <v>0</v>
      </c>
      <c r="G628" s="88">
        <v>0</v>
      </c>
      <c r="H628" s="88">
        <v>0</v>
      </c>
      <c r="I628" s="88">
        <v>22691.4</v>
      </c>
      <c r="J628" s="88">
        <f>38083-28768.5</f>
        <v>9314.5</v>
      </c>
      <c r="K628" s="88">
        <v>0</v>
      </c>
      <c r="L628" s="88">
        <v>0</v>
      </c>
      <c r="M628" s="88">
        <v>0</v>
      </c>
      <c r="N628" s="88">
        <v>0</v>
      </c>
      <c r="O628" s="88">
        <v>0</v>
      </c>
    </row>
    <row r="629" spans="1:17" ht="22.5" customHeight="1" x14ac:dyDescent="0.2">
      <c r="A629" s="142"/>
      <c r="B629" s="144"/>
      <c r="C629" s="80" t="s">
        <v>12</v>
      </c>
      <c r="D629" s="73">
        <f t="shared" si="279"/>
        <v>0</v>
      </c>
      <c r="E629" s="88">
        <v>0</v>
      </c>
      <c r="F629" s="88">
        <v>0</v>
      </c>
      <c r="G629" s="88">
        <v>0</v>
      </c>
      <c r="H629" s="88">
        <v>0</v>
      </c>
      <c r="I629" s="88">
        <v>0</v>
      </c>
      <c r="J629" s="88">
        <v>0</v>
      </c>
      <c r="K629" s="88">
        <v>0</v>
      </c>
      <c r="L629" s="88">
        <v>0</v>
      </c>
      <c r="M629" s="88">
        <v>0</v>
      </c>
      <c r="N629" s="88">
        <v>0</v>
      </c>
      <c r="O629" s="88">
        <v>0</v>
      </c>
    </row>
    <row r="630" spans="1:17" ht="22.5" customHeight="1" x14ac:dyDescent="0.2">
      <c r="A630" s="142"/>
      <c r="B630" s="144"/>
      <c r="C630" s="80" t="s">
        <v>13</v>
      </c>
      <c r="D630" s="73">
        <f t="shared" si="279"/>
        <v>0</v>
      </c>
      <c r="E630" s="88">
        <v>0</v>
      </c>
      <c r="F630" s="88">
        <v>0</v>
      </c>
      <c r="G630" s="88">
        <v>0</v>
      </c>
      <c r="H630" s="88">
        <v>0</v>
      </c>
      <c r="I630" s="88">
        <v>0</v>
      </c>
      <c r="J630" s="88">
        <v>0</v>
      </c>
      <c r="K630" s="88">
        <v>0</v>
      </c>
      <c r="L630" s="88">
        <v>0</v>
      </c>
      <c r="M630" s="88">
        <v>0</v>
      </c>
      <c r="N630" s="88">
        <v>0</v>
      </c>
      <c r="O630" s="88">
        <v>0</v>
      </c>
    </row>
    <row r="631" spans="1:17" ht="23.25" customHeight="1" x14ac:dyDescent="0.2">
      <c r="A631" s="135" t="s">
        <v>206</v>
      </c>
      <c r="B631" s="143" t="s">
        <v>228</v>
      </c>
      <c r="C631" s="80" t="s">
        <v>7</v>
      </c>
      <c r="D631" s="73">
        <f t="shared" si="279"/>
        <v>62441</v>
      </c>
      <c r="E631" s="88">
        <f t="shared" ref="E631:K631" si="285">SUM(E632:E635)</f>
        <v>62441</v>
      </c>
      <c r="F631" s="88">
        <f t="shared" si="285"/>
        <v>0</v>
      </c>
      <c r="G631" s="88">
        <f t="shared" si="285"/>
        <v>0</v>
      </c>
      <c r="H631" s="88">
        <f t="shared" si="285"/>
        <v>0</v>
      </c>
      <c r="I631" s="88">
        <f t="shared" si="285"/>
        <v>0</v>
      </c>
      <c r="J631" s="88">
        <f t="shared" si="285"/>
        <v>0</v>
      </c>
      <c r="K631" s="88">
        <f t="shared" si="285"/>
        <v>0</v>
      </c>
      <c r="L631" s="88">
        <f>SUM(L632:L635)</f>
        <v>0</v>
      </c>
      <c r="M631" s="88">
        <f>SUM(M632:M635)</f>
        <v>0</v>
      </c>
      <c r="N631" s="88">
        <f>SUM(N632:N635)</f>
        <v>0</v>
      </c>
      <c r="O631" s="88">
        <f>SUM(O632:O635)</f>
        <v>0</v>
      </c>
    </row>
    <row r="632" spans="1:17" ht="23.25" customHeight="1" x14ac:dyDescent="0.2">
      <c r="A632" s="142"/>
      <c r="B632" s="143"/>
      <c r="C632" s="80" t="s">
        <v>10</v>
      </c>
      <c r="D632" s="73">
        <f t="shared" si="279"/>
        <v>0</v>
      </c>
      <c r="E632" s="88">
        <v>0</v>
      </c>
      <c r="F632" s="88">
        <v>0</v>
      </c>
      <c r="G632" s="88">
        <v>0</v>
      </c>
      <c r="H632" s="88">
        <v>0</v>
      </c>
      <c r="I632" s="88">
        <v>0</v>
      </c>
      <c r="J632" s="88">
        <v>0</v>
      </c>
      <c r="K632" s="88">
        <v>0</v>
      </c>
      <c r="L632" s="88">
        <v>0</v>
      </c>
      <c r="M632" s="88">
        <v>0</v>
      </c>
      <c r="N632" s="88">
        <v>0</v>
      </c>
      <c r="O632" s="88">
        <v>0</v>
      </c>
    </row>
    <row r="633" spans="1:17" ht="23.25" customHeight="1" x14ac:dyDescent="0.2">
      <c r="A633" s="142"/>
      <c r="B633" s="143"/>
      <c r="C633" s="80" t="s">
        <v>11</v>
      </c>
      <c r="D633" s="73">
        <f t="shared" si="279"/>
        <v>0</v>
      </c>
      <c r="E633" s="88">
        <v>0</v>
      </c>
      <c r="F633" s="88">
        <v>0</v>
      </c>
      <c r="G633" s="88">
        <v>0</v>
      </c>
      <c r="H633" s="88">
        <v>0</v>
      </c>
      <c r="I633" s="88">
        <v>0</v>
      </c>
      <c r="J633" s="88">
        <v>0</v>
      </c>
      <c r="K633" s="88">
        <v>0</v>
      </c>
      <c r="L633" s="88">
        <v>0</v>
      </c>
      <c r="M633" s="88">
        <v>0</v>
      </c>
      <c r="N633" s="88">
        <v>0</v>
      </c>
      <c r="O633" s="88">
        <v>0</v>
      </c>
    </row>
    <row r="634" spans="1:17" ht="23.25" customHeight="1" x14ac:dyDescent="0.2">
      <c r="A634" s="142"/>
      <c r="B634" s="143"/>
      <c r="C634" s="80" t="s">
        <v>12</v>
      </c>
      <c r="D634" s="73">
        <f t="shared" si="279"/>
        <v>62441</v>
      </c>
      <c r="E634" s="88">
        <v>62441</v>
      </c>
      <c r="F634" s="88">
        <v>0</v>
      </c>
      <c r="G634" s="88">
        <v>0</v>
      </c>
      <c r="H634" s="88">
        <v>0</v>
      </c>
      <c r="I634" s="88">
        <v>0</v>
      </c>
      <c r="J634" s="88">
        <v>0</v>
      </c>
      <c r="K634" s="88">
        <v>0</v>
      </c>
      <c r="L634" s="88">
        <v>0</v>
      </c>
      <c r="M634" s="88">
        <v>0</v>
      </c>
      <c r="N634" s="88">
        <v>0</v>
      </c>
      <c r="O634" s="88">
        <v>0</v>
      </c>
    </row>
    <row r="635" spans="1:17" ht="23.25" customHeight="1" x14ac:dyDescent="0.2">
      <c r="A635" s="142"/>
      <c r="B635" s="143"/>
      <c r="C635" s="80" t="s">
        <v>13</v>
      </c>
      <c r="D635" s="73">
        <f t="shared" si="279"/>
        <v>0</v>
      </c>
      <c r="E635" s="88">
        <v>0</v>
      </c>
      <c r="F635" s="88">
        <v>0</v>
      </c>
      <c r="G635" s="88">
        <v>0</v>
      </c>
      <c r="H635" s="88">
        <v>0</v>
      </c>
      <c r="I635" s="88">
        <v>0</v>
      </c>
      <c r="J635" s="88">
        <v>0</v>
      </c>
      <c r="K635" s="88">
        <v>0</v>
      </c>
      <c r="L635" s="88">
        <v>0</v>
      </c>
      <c r="M635" s="88">
        <v>0</v>
      </c>
      <c r="N635" s="88">
        <v>0</v>
      </c>
      <c r="O635" s="88">
        <v>0</v>
      </c>
    </row>
    <row r="636" spans="1:17" ht="24.75" customHeight="1" x14ac:dyDescent="0.2">
      <c r="A636" s="135" t="s">
        <v>207</v>
      </c>
      <c r="B636" s="143" t="s">
        <v>443</v>
      </c>
      <c r="C636" s="80" t="s">
        <v>7</v>
      </c>
      <c r="D636" s="73">
        <f>E636+F636+G636+H636+I636+J636+K636+L636+M636+N636+O636</f>
        <v>597188.30000000005</v>
      </c>
      <c r="E636" s="88">
        <f t="shared" ref="E636:O636" si="286">SUM(E637:E640)</f>
        <v>1932.4</v>
      </c>
      <c r="F636" s="88">
        <f t="shared" si="286"/>
        <v>76373.399999999994</v>
      </c>
      <c r="G636" s="88">
        <f t="shared" si="286"/>
        <v>73973.399999999994</v>
      </c>
      <c r="H636" s="88">
        <f t="shared" si="286"/>
        <v>75506</v>
      </c>
      <c r="I636" s="88">
        <f t="shared" si="286"/>
        <v>14907.4</v>
      </c>
      <c r="J636" s="88">
        <f t="shared" si="286"/>
        <v>34818.300000000003</v>
      </c>
      <c r="K636" s="88">
        <f t="shared" si="286"/>
        <v>103745.79999999999</v>
      </c>
      <c r="L636" s="88">
        <f t="shared" si="286"/>
        <v>94719.7</v>
      </c>
      <c r="M636" s="88">
        <f t="shared" si="286"/>
        <v>46506.19999999999</v>
      </c>
      <c r="N636" s="88">
        <f t="shared" si="286"/>
        <v>36138.799999999996</v>
      </c>
      <c r="O636" s="88">
        <f t="shared" si="286"/>
        <v>38566.899999999987</v>
      </c>
    </row>
    <row r="637" spans="1:17" ht="24.75" customHeight="1" x14ac:dyDescent="0.2">
      <c r="A637" s="142"/>
      <c r="B637" s="143"/>
      <c r="C637" s="80" t="s">
        <v>10</v>
      </c>
      <c r="D637" s="73">
        <f t="shared" si="279"/>
        <v>0</v>
      </c>
      <c r="E637" s="88">
        <v>0</v>
      </c>
      <c r="F637" s="88">
        <v>0</v>
      </c>
      <c r="G637" s="88">
        <v>0</v>
      </c>
      <c r="H637" s="88">
        <v>0</v>
      </c>
      <c r="I637" s="88">
        <v>0</v>
      </c>
      <c r="J637" s="88">
        <v>0</v>
      </c>
      <c r="K637" s="88">
        <v>0</v>
      </c>
      <c r="L637" s="88">
        <v>0</v>
      </c>
      <c r="M637" s="88">
        <v>0</v>
      </c>
      <c r="N637" s="88">
        <v>0</v>
      </c>
      <c r="O637" s="88">
        <v>0</v>
      </c>
    </row>
    <row r="638" spans="1:17" ht="24.75" customHeight="1" x14ac:dyDescent="0.2">
      <c r="A638" s="142"/>
      <c r="B638" s="143"/>
      <c r="C638" s="80" t="s">
        <v>11</v>
      </c>
      <c r="D638" s="73">
        <f t="shared" si="279"/>
        <v>0</v>
      </c>
      <c r="E638" s="88">
        <v>0</v>
      </c>
      <c r="F638" s="88">
        <v>0</v>
      </c>
      <c r="G638" s="88">
        <v>0</v>
      </c>
      <c r="H638" s="88">
        <v>0</v>
      </c>
      <c r="I638" s="88">
        <v>0</v>
      </c>
      <c r="J638" s="88">
        <v>0</v>
      </c>
      <c r="K638" s="88">
        <v>0</v>
      </c>
      <c r="L638" s="88">
        <v>0</v>
      </c>
      <c r="M638" s="88">
        <v>0</v>
      </c>
      <c r="N638" s="88">
        <v>0</v>
      </c>
      <c r="O638" s="88">
        <v>0</v>
      </c>
    </row>
    <row r="639" spans="1:17" ht="24.75" customHeight="1" x14ac:dyDescent="0.2">
      <c r="A639" s="142"/>
      <c r="B639" s="143"/>
      <c r="C639" s="80" t="s">
        <v>12</v>
      </c>
      <c r="D639" s="73">
        <f t="shared" si="279"/>
        <v>597188.30000000005</v>
      </c>
      <c r="E639" s="88">
        <v>1932.4</v>
      </c>
      <c r="F639" s="88">
        <v>76373.399999999994</v>
      </c>
      <c r="G639" s="88">
        <v>73973.399999999994</v>
      </c>
      <c r="H639" s="88">
        <v>75506</v>
      </c>
      <c r="I639" s="88">
        <f>21398.5-6491.1</f>
        <v>14907.4</v>
      </c>
      <c r="J639" s="88">
        <f>42143.1-20000+4043.7+8631.5</f>
        <v>34818.300000000003</v>
      </c>
      <c r="K639" s="88">
        <f>62603+5000+2210.9+4495+16930+12506.9</f>
        <v>103745.79999999999</v>
      </c>
      <c r="L639" s="88">
        <f>72098+61.2+16000-1839.5+8400</f>
        <v>94719.7</v>
      </c>
      <c r="M639" s="88">
        <f>74981.9-6930.1-9269.9-8913-19332.1+15000+969.4</f>
        <v>46506.19999999999</v>
      </c>
      <c r="N639" s="57">
        <f>77981.2-7311.3-11903.5-19332.1-3295.5</f>
        <v>36138.799999999996</v>
      </c>
      <c r="O639" s="88">
        <f>141380.3-83481.3-19332.1</f>
        <v>38566.899999999987</v>
      </c>
    </row>
    <row r="640" spans="1:17" ht="44.25" customHeight="1" x14ac:dyDescent="0.2">
      <c r="A640" s="142"/>
      <c r="B640" s="143"/>
      <c r="C640" s="80" t="s">
        <v>13</v>
      </c>
      <c r="D640" s="73">
        <f t="shared" si="279"/>
        <v>0</v>
      </c>
      <c r="E640" s="88">
        <v>0</v>
      </c>
      <c r="F640" s="88">
        <v>0</v>
      </c>
      <c r="G640" s="88">
        <v>0</v>
      </c>
      <c r="H640" s="88">
        <v>0</v>
      </c>
      <c r="I640" s="88">
        <v>0</v>
      </c>
      <c r="J640" s="88">
        <v>0</v>
      </c>
      <c r="K640" s="88">
        <v>0</v>
      </c>
      <c r="L640" s="88">
        <v>0</v>
      </c>
      <c r="M640" s="88">
        <v>0</v>
      </c>
      <c r="N640" s="88">
        <v>0</v>
      </c>
      <c r="O640" s="88">
        <v>0</v>
      </c>
    </row>
    <row r="641" spans="1:26" ht="33" customHeight="1" x14ac:dyDescent="0.2">
      <c r="A641" s="135" t="s">
        <v>231</v>
      </c>
      <c r="B641" s="143" t="s">
        <v>361</v>
      </c>
      <c r="C641" s="80" t="s">
        <v>7</v>
      </c>
      <c r="D641" s="73">
        <f>E641+F641+G641+H641+I641+J641+K641+L641+M641+N641+O641</f>
        <v>91947.5</v>
      </c>
      <c r="E641" s="88">
        <f t="shared" ref="E641:O641" si="287">SUM(E642:E645)</f>
        <v>0</v>
      </c>
      <c r="F641" s="88">
        <f t="shared" si="287"/>
        <v>0</v>
      </c>
      <c r="G641" s="88">
        <f t="shared" si="287"/>
        <v>0</v>
      </c>
      <c r="H641" s="88">
        <f t="shared" si="287"/>
        <v>0</v>
      </c>
      <c r="I641" s="88">
        <f>SUM(I642:I645)</f>
        <v>60576.7</v>
      </c>
      <c r="J641" s="88">
        <f t="shared" si="287"/>
        <v>31370.799999999996</v>
      </c>
      <c r="K641" s="88">
        <f t="shared" si="287"/>
        <v>0</v>
      </c>
      <c r="L641" s="88">
        <f t="shared" si="287"/>
        <v>0</v>
      </c>
      <c r="M641" s="88">
        <f t="shared" si="287"/>
        <v>0</v>
      </c>
      <c r="N641" s="88">
        <f t="shared" si="287"/>
        <v>0</v>
      </c>
      <c r="O641" s="88">
        <f t="shared" si="287"/>
        <v>0</v>
      </c>
    </row>
    <row r="642" spans="1:26" ht="33" customHeight="1" x14ac:dyDescent="0.2">
      <c r="A642" s="142"/>
      <c r="B642" s="143"/>
      <c r="C642" s="80" t="s">
        <v>10</v>
      </c>
      <c r="D642" s="73">
        <f t="shared" si="279"/>
        <v>0</v>
      </c>
      <c r="E642" s="88">
        <v>0</v>
      </c>
      <c r="F642" s="88">
        <v>0</v>
      </c>
      <c r="G642" s="88">
        <v>0</v>
      </c>
      <c r="H642" s="88">
        <v>0</v>
      </c>
      <c r="I642" s="88">
        <v>0</v>
      </c>
      <c r="J642" s="88">
        <v>0</v>
      </c>
      <c r="K642" s="88">
        <v>0</v>
      </c>
      <c r="L642" s="88">
        <v>0</v>
      </c>
      <c r="M642" s="88">
        <v>0</v>
      </c>
      <c r="N642" s="88">
        <v>0</v>
      </c>
      <c r="O642" s="88">
        <v>0</v>
      </c>
    </row>
    <row r="643" spans="1:26" ht="33" customHeight="1" x14ac:dyDescent="0.2">
      <c r="A643" s="142"/>
      <c r="B643" s="143"/>
      <c r="C643" s="80" t="s">
        <v>11</v>
      </c>
      <c r="D643" s="73">
        <f t="shared" si="279"/>
        <v>91947.5</v>
      </c>
      <c r="E643" s="88">
        <v>0</v>
      </c>
      <c r="F643" s="88">
        <v>0</v>
      </c>
      <c r="G643" s="88">
        <v>0</v>
      </c>
      <c r="H643" s="88">
        <v>0</v>
      </c>
      <c r="I643" s="88">
        <v>60576.7</v>
      </c>
      <c r="J643" s="88">
        <f>73513.9-42143.1</f>
        <v>31370.799999999996</v>
      </c>
      <c r="K643" s="88">
        <v>0</v>
      </c>
      <c r="L643" s="88">
        <v>0</v>
      </c>
      <c r="M643" s="88">
        <v>0</v>
      </c>
      <c r="N643" s="88">
        <v>0</v>
      </c>
      <c r="O643" s="88">
        <v>0</v>
      </c>
    </row>
    <row r="644" spans="1:26" ht="33" customHeight="1" x14ac:dyDescent="0.2">
      <c r="A644" s="142"/>
      <c r="B644" s="143"/>
      <c r="C644" s="80" t="s">
        <v>12</v>
      </c>
      <c r="D644" s="73">
        <f t="shared" si="279"/>
        <v>0</v>
      </c>
      <c r="E644" s="88">
        <v>0</v>
      </c>
      <c r="F644" s="88">
        <v>0</v>
      </c>
      <c r="G644" s="88">
        <v>0</v>
      </c>
      <c r="H644" s="88">
        <v>0</v>
      </c>
      <c r="I644" s="88">
        <v>0</v>
      </c>
      <c r="J644" s="88">
        <v>0</v>
      </c>
      <c r="K644" s="88">
        <v>0</v>
      </c>
      <c r="L644" s="88">
        <v>0</v>
      </c>
      <c r="M644" s="88">
        <v>0</v>
      </c>
      <c r="N644" s="88">
        <v>0</v>
      </c>
      <c r="O644" s="88">
        <v>0</v>
      </c>
    </row>
    <row r="645" spans="1:26" ht="33" customHeight="1" x14ac:dyDescent="0.2">
      <c r="A645" s="142"/>
      <c r="B645" s="143"/>
      <c r="C645" s="80" t="s">
        <v>13</v>
      </c>
      <c r="D645" s="73">
        <f t="shared" si="279"/>
        <v>0</v>
      </c>
      <c r="E645" s="88">
        <v>0</v>
      </c>
      <c r="F645" s="88">
        <v>0</v>
      </c>
      <c r="G645" s="88">
        <v>0</v>
      </c>
      <c r="H645" s="88">
        <v>0</v>
      </c>
      <c r="I645" s="88">
        <v>0</v>
      </c>
      <c r="J645" s="88">
        <v>0</v>
      </c>
      <c r="K645" s="88">
        <v>0</v>
      </c>
      <c r="L645" s="88">
        <v>0</v>
      </c>
      <c r="M645" s="88">
        <v>0</v>
      </c>
      <c r="N645" s="88">
        <v>0</v>
      </c>
      <c r="O645" s="88">
        <v>0</v>
      </c>
    </row>
    <row r="646" spans="1:26" ht="17.25" customHeight="1" x14ac:dyDescent="0.2">
      <c r="A646" s="135" t="s">
        <v>266</v>
      </c>
      <c r="B646" s="147" t="s">
        <v>53</v>
      </c>
      <c r="C646" s="80" t="s">
        <v>7</v>
      </c>
      <c r="D646" s="73">
        <f t="shared" si="279"/>
        <v>256238.36199999999</v>
      </c>
      <c r="E646" s="88">
        <f>E649+E648+E647+E651</f>
        <v>19291.8</v>
      </c>
      <c r="F646" s="88">
        <f t="shared" ref="F646:K646" si="288">SUM(F647:F651)</f>
        <v>23807.200000000001</v>
      </c>
      <c r="G646" s="88">
        <f t="shared" si="288"/>
        <v>28234.6</v>
      </c>
      <c r="H646" s="88">
        <f t="shared" si="288"/>
        <v>22369.4</v>
      </c>
      <c r="I646" s="88">
        <f t="shared" si="288"/>
        <v>22792.7</v>
      </c>
      <c r="J646" s="88">
        <f t="shared" si="288"/>
        <v>25918.3</v>
      </c>
      <c r="K646" s="88">
        <f t="shared" si="288"/>
        <v>42433.862000000001</v>
      </c>
      <c r="L646" s="88">
        <f>SUM(L647:L651)</f>
        <v>35783.599999999999</v>
      </c>
      <c r="M646" s="88">
        <f>SUM(M647:M651)</f>
        <v>14683.499999999998</v>
      </c>
      <c r="N646" s="88">
        <f>SUM(N647:N651)</f>
        <v>10539.5</v>
      </c>
      <c r="O646" s="88">
        <f>SUM(O647:O651)</f>
        <v>10383.900000000001</v>
      </c>
    </row>
    <row r="647" spans="1:26" ht="15.75" x14ac:dyDescent="0.2">
      <c r="A647" s="135"/>
      <c r="B647" s="176"/>
      <c r="C647" s="80" t="s">
        <v>10</v>
      </c>
      <c r="D647" s="73">
        <f t="shared" si="279"/>
        <v>0</v>
      </c>
      <c r="E647" s="88">
        <v>0</v>
      </c>
      <c r="F647" s="88">
        <v>0</v>
      </c>
      <c r="G647" s="88">
        <v>0</v>
      </c>
      <c r="H647" s="88">
        <v>0</v>
      </c>
      <c r="I647" s="88">
        <v>0</v>
      </c>
      <c r="J647" s="88">
        <v>0</v>
      </c>
      <c r="K647" s="88">
        <v>0</v>
      </c>
      <c r="L647" s="88">
        <v>0</v>
      </c>
      <c r="M647" s="88">
        <v>0</v>
      </c>
      <c r="N647" s="88">
        <v>0</v>
      </c>
      <c r="O647" s="88">
        <v>0</v>
      </c>
    </row>
    <row r="648" spans="1:26" ht="15.75" x14ac:dyDescent="0.2">
      <c r="A648" s="135"/>
      <c r="B648" s="176"/>
      <c r="C648" s="80" t="s">
        <v>11</v>
      </c>
      <c r="D648" s="73">
        <f t="shared" si="279"/>
        <v>0</v>
      </c>
      <c r="E648" s="88">
        <v>0</v>
      </c>
      <c r="F648" s="88">
        <v>0</v>
      </c>
      <c r="G648" s="88">
        <v>0</v>
      </c>
      <c r="H648" s="88">
        <v>0</v>
      </c>
      <c r="I648" s="88">
        <v>0</v>
      </c>
      <c r="J648" s="88">
        <v>0</v>
      </c>
      <c r="K648" s="88">
        <v>0</v>
      </c>
      <c r="L648" s="88">
        <v>0</v>
      </c>
      <c r="M648" s="88">
        <v>0</v>
      </c>
      <c r="N648" s="88">
        <v>0</v>
      </c>
      <c r="O648" s="88">
        <v>0</v>
      </c>
    </row>
    <row r="649" spans="1:26" ht="15.75" x14ac:dyDescent="0.2">
      <c r="A649" s="135"/>
      <c r="B649" s="176"/>
      <c r="C649" s="80" t="s">
        <v>12</v>
      </c>
      <c r="D649" s="73">
        <f t="shared" si="279"/>
        <v>256238.36199999999</v>
      </c>
      <c r="E649" s="88">
        <v>19291.8</v>
      </c>
      <c r="F649" s="88">
        <v>23807.200000000001</v>
      </c>
      <c r="G649" s="88">
        <v>28234.6</v>
      </c>
      <c r="H649" s="88">
        <v>22369.4</v>
      </c>
      <c r="I649" s="88">
        <v>22792.7</v>
      </c>
      <c r="J649" s="88">
        <f>18632.6-10699.7+10699.7+882.9+4000+4000-1000-597.2</f>
        <v>25918.3</v>
      </c>
      <c r="K649" s="88">
        <f>11060+1000+77+720.212+320+757+1740.4+2283.7+17440.1-2283.7-17440.1+5201.8-555.089+0.089+15000+9149.5+77-1950-71.45-90-74+71.4</f>
        <v>42433.862000000001</v>
      </c>
      <c r="L649" s="88">
        <f>12252.7+7988.6-400+40.6+400+1380.6+2120.3+11056+181.4+56.6+7239+266.5+51.2-1300-90.5-6000+540.6</f>
        <v>35783.599999999999</v>
      </c>
      <c r="M649" s="88">
        <f>9475.8-9269.9+9269.9-1299.3-471.3+854+155.6+3000+315.3+1290.5+129.3-43.6+277.9+841.1+158.2-841.1+841.1</f>
        <v>14683.499999999998</v>
      </c>
      <c r="N649" s="88">
        <f>9522.1+1017.4</f>
        <v>10539.5</v>
      </c>
      <c r="O649" s="88">
        <f>28657.9-18274</f>
        <v>10383.900000000001</v>
      </c>
      <c r="X649" s="61"/>
      <c r="Y649" s="61"/>
      <c r="Z649" s="61"/>
    </row>
    <row r="650" spans="1:26" ht="31.5" customHeight="1" x14ac:dyDescent="0.2">
      <c r="A650" s="135"/>
      <c r="B650" s="176"/>
      <c r="C650" s="76" t="s">
        <v>79</v>
      </c>
      <c r="D650" s="75">
        <f t="shared" si="279"/>
        <v>1874.1</v>
      </c>
      <c r="E650" s="94">
        <v>1874.1</v>
      </c>
      <c r="F650" s="94">
        <v>0</v>
      </c>
      <c r="G650" s="94">
        <v>0</v>
      </c>
      <c r="H650" s="94">
        <v>0</v>
      </c>
      <c r="I650" s="94">
        <v>0</v>
      </c>
      <c r="J650" s="94">
        <v>0</v>
      </c>
      <c r="K650" s="94">
        <v>0</v>
      </c>
      <c r="L650" s="94">
        <v>0</v>
      </c>
      <c r="M650" s="94">
        <v>0</v>
      </c>
      <c r="N650" s="94">
        <v>0</v>
      </c>
      <c r="O650" s="94">
        <v>0</v>
      </c>
    </row>
    <row r="651" spans="1:26" ht="15.75" x14ac:dyDescent="0.2">
      <c r="A651" s="135"/>
      <c r="B651" s="177"/>
      <c r="C651" s="80" t="s">
        <v>13</v>
      </c>
      <c r="D651" s="73">
        <f t="shared" si="279"/>
        <v>0</v>
      </c>
      <c r="E651" s="88">
        <v>0</v>
      </c>
      <c r="F651" s="88">
        <v>0</v>
      </c>
      <c r="G651" s="88">
        <v>0</v>
      </c>
      <c r="H651" s="88">
        <v>0</v>
      </c>
      <c r="I651" s="88">
        <v>0</v>
      </c>
      <c r="J651" s="88">
        <v>0</v>
      </c>
      <c r="K651" s="88">
        <v>0</v>
      </c>
      <c r="L651" s="88">
        <v>0</v>
      </c>
      <c r="M651" s="88">
        <v>0</v>
      </c>
      <c r="N651" s="88">
        <v>0</v>
      </c>
      <c r="O651" s="88">
        <v>0</v>
      </c>
    </row>
    <row r="652" spans="1:26" ht="21" customHeight="1" x14ac:dyDescent="0.2">
      <c r="A652" s="135" t="s">
        <v>267</v>
      </c>
      <c r="B652" s="143" t="s">
        <v>250</v>
      </c>
      <c r="C652" s="80" t="s">
        <v>7</v>
      </c>
      <c r="D652" s="73">
        <f t="shared" si="279"/>
        <v>144488.4</v>
      </c>
      <c r="E652" s="88">
        <f t="shared" ref="E652:O652" si="289">E653+E654+E655+E657</f>
        <v>28675.9</v>
      </c>
      <c r="F652" s="88">
        <f t="shared" si="289"/>
        <v>35910.699999999997</v>
      </c>
      <c r="G652" s="88">
        <f t="shared" si="289"/>
        <v>6899.6</v>
      </c>
      <c r="H652" s="88">
        <f t="shared" si="289"/>
        <v>8413.2000000000007</v>
      </c>
      <c r="I652" s="88">
        <f t="shared" si="289"/>
        <v>18601.100000000002</v>
      </c>
      <c r="J652" s="88">
        <f t="shared" si="289"/>
        <v>9981.3000000000011</v>
      </c>
      <c r="K652" s="88">
        <f t="shared" si="289"/>
        <v>18751</v>
      </c>
      <c r="L652" s="88">
        <f t="shared" si="289"/>
        <v>17255.599999999999</v>
      </c>
      <c r="M652" s="88">
        <f t="shared" si="289"/>
        <v>0</v>
      </c>
      <c r="N652" s="88">
        <f t="shared" si="289"/>
        <v>0</v>
      </c>
      <c r="O652" s="88">
        <f t="shared" si="289"/>
        <v>0</v>
      </c>
    </row>
    <row r="653" spans="1:26" ht="21" customHeight="1" x14ac:dyDescent="0.2">
      <c r="A653" s="135"/>
      <c r="B653" s="144"/>
      <c r="C653" s="80" t="s">
        <v>10</v>
      </c>
      <c r="D653" s="73">
        <f t="shared" si="279"/>
        <v>0</v>
      </c>
      <c r="E653" s="88">
        <v>0</v>
      </c>
      <c r="F653" s="88">
        <v>0</v>
      </c>
      <c r="G653" s="88">
        <v>0</v>
      </c>
      <c r="H653" s="88">
        <v>0</v>
      </c>
      <c r="I653" s="88">
        <v>0</v>
      </c>
      <c r="J653" s="88">
        <v>0</v>
      </c>
      <c r="K653" s="88">
        <v>0</v>
      </c>
      <c r="L653" s="88">
        <v>0</v>
      </c>
      <c r="M653" s="88">
        <v>0</v>
      </c>
      <c r="N653" s="88">
        <v>0</v>
      </c>
      <c r="O653" s="88">
        <v>0</v>
      </c>
    </row>
    <row r="654" spans="1:26" ht="21" customHeight="1" x14ac:dyDescent="0.2">
      <c r="A654" s="135"/>
      <c r="B654" s="144"/>
      <c r="C654" s="80" t="s">
        <v>11</v>
      </c>
      <c r="D654" s="73">
        <f t="shared" si="279"/>
        <v>0</v>
      </c>
      <c r="E654" s="88">
        <v>0</v>
      </c>
      <c r="F654" s="88">
        <v>0</v>
      </c>
      <c r="G654" s="88">
        <v>0</v>
      </c>
      <c r="H654" s="88">
        <v>0</v>
      </c>
      <c r="I654" s="88">
        <v>0</v>
      </c>
      <c r="J654" s="88">
        <v>0</v>
      </c>
      <c r="K654" s="88">
        <v>0</v>
      </c>
      <c r="L654" s="88">
        <v>0</v>
      </c>
      <c r="M654" s="88">
        <v>0</v>
      </c>
      <c r="N654" s="88">
        <v>0</v>
      </c>
      <c r="O654" s="88">
        <v>0</v>
      </c>
    </row>
    <row r="655" spans="1:26" ht="33" customHeight="1" x14ac:dyDescent="0.2">
      <c r="A655" s="135"/>
      <c r="B655" s="144"/>
      <c r="C655" s="80" t="s">
        <v>65</v>
      </c>
      <c r="D655" s="73">
        <f t="shared" si="279"/>
        <v>144488.4</v>
      </c>
      <c r="E655" s="88">
        <f>E656</f>
        <v>28675.9</v>
      </c>
      <c r="F655" s="88">
        <v>35910.699999999997</v>
      </c>
      <c r="G655" s="88">
        <v>6899.6</v>
      </c>
      <c r="H655" s="88">
        <v>8413.2000000000007</v>
      </c>
      <c r="I655" s="88">
        <f>20814-605.6-1607.3</f>
        <v>18601.100000000002</v>
      </c>
      <c r="J655" s="88">
        <f>15000+5950-3250+1905.9-9574.5+50-100.2+0.1</f>
        <v>9981.3000000000011</v>
      </c>
      <c r="K655" s="88">
        <f>20300-1400-149+18659.2-6396.3-12262.8-0.1</f>
        <v>18751</v>
      </c>
      <c r="L655" s="88">
        <f>21000-700*4-700+700-248.4-200-160-270-66</f>
        <v>17255.599999999999</v>
      </c>
      <c r="M655" s="88">
        <f>12594.4-12594.4</f>
        <v>0</v>
      </c>
      <c r="N655" s="88">
        <f>12655.9-12655.9</f>
        <v>0</v>
      </c>
      <c r="O655" s="88">
        <f>15000-15000</f>
        <v>0</v>
      </c>
    </row>
    <row r="656" spans="1:26" ht="30.75" customHeight="1" x14ac:dyDescent="0.2">
      <c r="A656" s="135"/>
      <c r="B656" s="144"/>
      <c r="C656" s="79" t="s">
        <v>79</v>
      </c>
      <c r="D656" s="75">
        <f t="shared" si="279"/>
        <v>57175.9</v>
      </c>
      <c r="E656" s="94">
        <v>28675.9</v>
      </c>
      <c r="F656" s="94">
        <v>28500</v>
      </c>
      <c r="G656" s="94">
        <v>0</v>
      </c>
      <c r="H656" s="94">
        <v>0</v>
      </c>
      <c r="I656" s="94">
        <v>0</v>
      </c>
      <c r="J656" s="94">
        <v>0</v>
      </c>
      <c r="K656" s="94">
        <v>0</v>
      </c>
      <c r="L656" s="94">
        <v>0</v>
      </c>
      <c r="M656" s="94">
        <v>0</v>
      </c>
      <c r="N656" s="94">
        <v>0</v>
      </c>
      <c r="O656" s="94">
        <v>0</v>
      </c>
    </row>
    <row r="657" spans="1:19" ht="21" customHeight="1" x14ac:dyDescent="0.2">
      <c r="A657" s="135"/>
      <c r="B657" s="144"/>
      <c r="C657" s="80" t="s">
        <v>13</v>
      </c>
      <c r="D657" s="73">
        <f t="shared" si="279"/>
        <v>0</v>
      </c>
      <c r="E657" s="88">
        <v>0</v>
      </c>
      <c r="F657" s="88">
        <v>0</v>
      </c>
      <c r="G657" s="88">
        <v>0</v>
      </c>
      <c r="H657" s="88">
        <v>0</v>
      </c>
      <c r="I657" s="88">
        <v>0</v>
      </c>
      <c r="J657" s="88">
        <v>0</v>
      </c>
      <c r="K657" s="88">
        <v>0</v>
      </c>
      <c r="L657" s="88">
        <v>0</v>
      </c>
      <c r="M657" s="88">
        <v>0</v>
      </c>
      <c r="N657" s="88">
        <v>0</v>
      </c>
      <c r="O657" s="88">
        <v>0</v>
      </c>
    </row>
    <row r="658" spans="1:19" ht="15.75" x14ac:dyDescent="0.2">
      <c r="A658" s="135" t="s">
        <v>268</v>
      </c>
      <c r="B658" s="135" t="s">
        <v>242</v>
      </c>
      <c r="C658" s="89" t="s">
        <v>7</v>
      </c>
      <c r="D658" s="73">
        <f t="shared" si="279"/>
        <v>951</v>
      </c>
      <c r="E658" s="88">
        <f>E659+E660+E661+E662</f>
        <v>0</v>
      </c>
      <c r="F658" s="88">
        <f t="shared" ref="F658:K658" si="290">F659+F660+F661+F662</f>
        <v>0</v>
      </c>
      <c r="G658" s="88">
        <f t="shared" si="290"/>
        <v>347.6</v>
      </c>
      <c r="H658" s="88">
        <f t="shared" si="290"/>
        <v>589.4</v>
      </c>
      <c r="I658" s="88">
        <f t="shared" si="290"/>
        <v>14</v>
      </c>
      <c r="J658" s="88">
        <f t="shared" si="290"/>
        <v>0</v>
      </c>
      <c r="K658" s="88">
        <f t="shared" si="290"/>
        <v>0</v>
      </c>
      <c r="L658" s="88">
        <f>L659+L660+L661+L662</f>
        <v>0</v>
      </c>
      <c r="M658" s="88">
        <f>M659+M660+M661+M662</f>
        <v>0</v>
      </c>
      <c r="N658" s="88">
        <f>N659+N660+N661+N662</f>
        <v>0</v>
      </c>
      <c r="O658" s="88">
        <f>O659+O660+O661+O662</f>
        <v>0</v>
      </c>
    </row>
    <row r="659" spans="1:19" ht="15.75" x14ac:dyDescent="0.2">
      <c r="A659" s="135"/>
      <c r="B659" s="135"/>
      <c r="C659" s="80" t="s">
        <v>10</v>
      </c>
      <c r="D659" s="73">
        <f t="shared" si="279"/>
        <v>0</v>
      </c>
      <c r="E659" s="88">
        <v>0</v>
      </c>
      <c r="F659" s="88">
        <v>0</v>
      </c>
      <c r="G659" s="88">
        <v>0</v>
      </c>
      <c r="H659" s="88">
        <v>0</v>
      </c>
      <c r="I659" s="88">
        <v>0</v>
      </c>
      <c r="J659" s="88">
        <v>0</v>
      </c>
      <c r="K659" s="88">
        <v>0</v>
      </c>
      <c r="L659" s="88">
        <v>0</v>
      </c>
      <c r="M659" s="88">
        <v>0</v>
      </c>
      <c r="N659" s="88">
        <v>0</v>
      </c>
      <c r="O659" s="88">
        <v>0</v>
      </c>
    </row>
    <row r="660" spans="1:19" ht="15.75" x14ac:dyDescent="0.2">
      <c r="A660" s="135"/>
      <c r="B660" s="135"/>
      <c r="C660" s="80" t="s">
        <v>11</v>
      </c>
      <c r="D660" s="73">
        <f t="shared" si="279"/>
        <v>0</v>
      </c>
      <c r="E660" s="88">
        <v>0</v>
      </c>
      <c r="F660" s="88">
        <v>0</v>
      </c>
      <c r="G660" s="88">
        <v>0</v>
      </c>
      <c r="H660" s="88">
        <v>0</v>
      </c>
      <c r="I660" s="88">
        <v>0</v>
      </c>
      <c r="J660" s="88">
        <v>0</v>
      </c>
      <c r="K660" s="88">
        <v>0</v>
      </c>
      <c r="L660" s="88">
        <v>0</v>
      </c>
      <c r="M660" s="88">
        <v>0</v>
      </c>
      <c r="N660" s="88">
        <v>0</v>
      </c>
      <c r="O660" s="88">
        <v>0</v>
      </c>
    </row>
    <row r="661" spans="1:19" ht="15.75" x14ac:dyDescent="0.2">
      <c r="A661" s="135"/>
      <c r="B661" s="135"/>
      <c r="C661" s="80" t="s">
        <v>12</v>
      </c>
      <c r="D661" s="73">
        <f t="shared" si="279"/>
        <v>951</v>
      </c>
      <c r="E661" s="88">
        <v>0</v>
      </c>
      <c r="F661" s="88">
        <v>0</v>
      </c>
      <c r="G661" s="88">
        <v>347.6</v>
      </c>
      <c r="H661" s="88">
        <v>589.4</v>
      </c>
      <c r="I661" s="88">
        <v>14</v>
      </c>
      <c r="J661" s="88">
        <v>0</v>
      </c>
      <c r="K661" s="88">
        <v>0</v>
      </c>
      <c r="L661" s="88">
        <v>0</v>
      </c>
      <c r="M661" s="88">
        <v>0</v>
      </c>
      <c r="N661" s="88">
        <v>0</v>
      </c>
      <c r="O661" s="88">
        <v>0</v>
      </c>
    </row>
    <row r="662" spans="1:19" ht="18" customHeight="1" x14ac:dyDescent="0.2">
      <c r="A662" s="135"/>
      <c r="B662" s="135"/>
      <c r="C662" s="80" t="s">
        <v>13</v>
      </c>
      <c r="D662" s="73">
        <f t="shared" si="279"/>
        <v>0</v>
      </c>
      <c r="E662" s="88">
        <v>0</v>
      </c>
      <c r="F662" s="88">
        <v>0</v>
      </c>
      <c r="G662" s="88">
        <v>0</v>
      </c>
      <c r="H662" s="88">
        <v>0</v>
      </c>
      <c r="I662" s="88">
        <v>0</v>
      </c>
      <c r="J662" s="88">
        <v>0</v>
      </c>
      <c r="K662" s="88">
        <v>0</v>
      </c>
      <c r="L662" s="88">
        <v>0</v>
      </c>
      <c r="M662" s="88">
        <v>0</v>
      </c>
      <c r="N662" s="88">
        <v>0</v>
      </c>
      <c r="O662" s="88">
        <v>0</v>
      </c>
    </row>
    <row r="663" spans="1:19" ht="15.75" x14ac:dyDescent="0.2">
      <c r="A663" s="135" t="s">
        <v>307</v>
      </c>
      <c r="B663" s="135" t="s">
        <v>308</v>
      </c>
      <c r="C663" s="89" t="s">
        <v>7</v>
      </c>
      <c r="D663" s="73">
        <f t="shared" ref="D663:D693" si="291">E663+F663+G663+H663+I663+J663+K663+L663+M663+N663+O663</f>
        <v>5870</v>
      </c>
      <c r="E663" s="88">
        <f>E664+E665+E666+E667</f>
        <v>0</v>
      </c>
      <c r="F663" s="88">
        <f t="shared" ref="F663:O663" si="292">F664+F665+F666+F667</f>
        <v>0</v>
      </c>
      <c r="G663" s="88">
        <f t="shared" si="292"/>
        <v>0</v>
      </c>
      <c r="H663" s="88">
        <f t="shared" si="292"/>
        <v>0</v>
      </c>
      <c r="I663" s="88">
        <f>I664+I665+I666+I667</f>
        <v>3397.4</v>
      </c>
      <c r="J663" s="88">
        <f t="shared" si="292"/>
        <v>2472.6</v>
      </c>
      <c r="K663" s="88">
        <f t="shared" si="292"/>
        <v>0</v>
      </c>
      <c r="L663" s="88">
        <f t="shared" si="292"/>
        <v>0</v>
      </c>
      <c r="M663" s="88">
        <f t="shared" si="292"/>
        <v>0</v>
      </c>
      <c r="N663" s="88">
        <f t="shared" si="292"/>
        <v>0</v>
      </c>
      <c r="O663" s="88">
        <f t="shared" si="292"/>
        <v>0</v>
      </c>
      <c r="P663" s="59">
        <v>3397.4</v>
      </c>
      <c r="Q663" s="71">
        <f>I663-P663</f>
        <v>0</v>
      </c>
      <c r="S663" s="84"/>
    </row>
    <row r="664" spans="1:19" ht="15.75" x14ac:dyDescent="0.2">
      <c r="A664" s="135"/>
      <c r="B664" s="135"/>
      <c r="C664" s="80" t="s">
        <v>10</v>
      </c>
      <c r="D664" s="73">
        <f t="shared" si="291"/>
        <v>0</v>
      </c>
      <c r="E664" s="88">
        <v>0</v>
      </c>
      <c r="F664" s="88">
        <v>0</v>
      </c>
      <c r="G664" s="88">
        <v>0</v>
      </c>
      <c r="H664" s="88">
        <v>0</v>
      </c>
      <c r="I664" s="88">
        <v>0</v>
      </c>
      <c r="J664" s="88">
        <v>0</v>
      </c>
      <c r="K664" s="88">
        <v>0</v>
      </c>
      <c r="L664" s="88">
        <v>0</v>
      </c>
      <c r="M664" s="88">
        <v>0</v>
      </c>
      <c r="N664" s="88">
        <v>0</v>
      </c>
      <c r="O664" s="88">
        <v>0</v>
      </c>
    </row>
    <row r="665" spans="1:19" ht="15.75" x14ac:dyDescent="0.2">
      <c r="A665" s="135"/>
      <c r="B665" s="135"/>
      <c r="C665" s="80" t="s">
        <v>11</v>
      </c>
      <c r="D665" s="73">
        <f t="shared" si="291"/>
        <v>0</v>
      </c>
      <c r="E665" s="88">
        <v>0</v>
      </c>
      <c r="F665" s="88">
        <v>0</v>
      </c>
      <c r="G665" s="88">
        <v>0</v>
      </c>
      <c r="H665" s="88">
        <v>0</v>
      </c>
      <c r="I665" s="88">
        <v>0</v>
      </c>
      <c r="J665" s="88">
        <v>0</v>
      </c>
      <c r="K665" s="88">
        <v>0</v>
      </c>
      <c r="L665" s="88">
        <v>0</v>
      </c>
      <c r="M665" s="88">
        <v>0</v>
      </c>
      <c r="N665" s="88">
        <v>0</v>
      </c>
      <c r="O665" s="88">
        <v>0</v>
      </c>
    </row>
    <row r="666" spans="1:19" ht="15.75" x14ac:dyDescent="0.2">
      <c r="A666" s="135"/>
      <c r="B666" s="135"/>
      <c r="C666" s="80" t="s">
        <v>12</v>
      </c>
      <c r="D666" s="73">
        <f t="shared" si="291"/>
        <v>5870</v>
      </c>
      <c r="E666" s="88">
        <v>0</v>
      </c>
      <c r="F666" s="88">
        <v>0</v>
      </c>
      <c r="G666" s="88">
        <v>0</v>
      </c>
      <c r="H666" s="88">
        <v>0</v>
      </c>
      <c r="I666" s="88">
        <v>3397.4</v>
      </c>
      <c r="J666" s="88">
        <f>3250-648.3-129.1</f>
        <v>2472.6</v>
      </c>
      <c r="K666" s="88">
        <f>5000-5000</f>
        <v>0</v>
      </c>
      <c r="L666" s="88">
        <v>0</v>
      </c>
      <c r="M666" s="88">
        <v>0</v>
      </c>
      <c r="N666" s="88">
        <v>0</v>
      </c>
      <c r="O666" s="88">
        <v>0</v>
      </c>
    </row>
    <row r="667" spans="1:19" ht="15.75" x14ac:dyDescent="0.2">
      <c r="A667" s="135"/>
      <c r="B667" s="135"/>
      <c r="C667" s="80" t="s">
        <v>13</v>
      </c>
      <c r="D667" s="73">
        <f t="shared" si="291"/>
        <v>0</v>
      </c>
      <c r="E667" s="88">
        <v>0</v>
      </c>
      <c r="F667" s="88">
        <v>0</v>
      </c>
      <c r="G667" s="88">
        <v>0</v>
      </c>
      <c r="H667" s="88">
        <v>0</v>
      </c>
      <c r="I667" s="88">
        <v>0</v>
      </c>
      <c r="J667" s="88">
        <v>0</v>
      </c>
      <c r="K667" s="88">
        <v>0</v>
      </c>
      <c r="L667" s="88">
        <v>0</v>
      </c>
      <c r="M667" s="88">
        <v>0</v>
      </c>
      <c r="N667" s="88">
        <v>0</v>
      </c>
      <c r="O667" s="88">
        <v>0</v>
      </c>
    </row>
    <row r="668" spans="1:19" ht="15.75" x14ac:dyDescent="0.2">
      <c r="A668" s="135" t="s">
        <v>384</v>
      </c>
      <c r="B668" s="135" t="s">
        <v>385</v>
      </c>
      <c r="C668" s="89" t="s">
        <v>7</v>
      </c>
      <c r="D668" s="73">
        <f t="shared" si="291"/>
        <v>1215.9000000000001</v>
      </c>
      <c r="E668" s="88">
        <f>E669+E670+E671+E672</f>
        <v>0</v>
      </c>
      <c r="F668" s="88">
        <f t="shared" ref="F668:O668" si="293">F669+F670+F671+F672</f>
        <v>0</v>
      </c>
      <c r="G668" s="88">
        <f t="shared" si="293"/>
        <v>0</v>
      </c>
      <c r="H668" s="88">
        <f t="shared" si="293"/>
        <v>0</v>
      </c>
      <c r="I668" s="88">
        <f>I669+I670+I671+I672</f>
        <v>0</v>
      </c>
      <c r="J668" s="88">
        <f t="shared" si="293"/>
        <v>0</v>
      </c>
      <c r="K668" s="88">
        <f t="shared" si="293"/>
        <v>1215.9000000000001</v>
      </c>
      <c r="L668" s="88">
        <f t="shared" si="293"/>
        <v>0</v>
      </c>
      <c r="M668" s="88">
        <f t="shared" si="293"/>
        <v>0</v>
      </c>
      <c r="N668" s="88">
        <f t="shared" si="293"/>
        <v>0</v>
      </c>
      <c r="O668" s="88">
        <f t="shared" si="293"/>
        <v>0</v>
      </c>
    </row>
    <row r="669" spans="1:19" ht="15.75" x14ac:dyDescent="0.2">
      <c r="A669" s="135"/>
      <c r="B669" s="135"/>
      <c r="C669" s="80" t="s">
        <v>10</v>
      </c>
      <c r="D669" s="73">
        <f t="shared" si="291"/>
        <v>0</v>
      </c>
      <c r="E669" s="88">
        <v>0</v>
      </c>
      <c r="F669" s="88">
        <v>0</v>
      </c>
      <c r="G669" s="88">
        <v>0</v>
      </c>
      <c r="H669" s="88">
        <v>0</v>
      </c>
      <c r="I669" s="88">
        <v>0</v>
      </c>
      <c r="J669" s="88">
        <v>0</v>
      </c>
      <c r="K669" s="88">
        <v>0</v>
      </c>
      <c r="L669" s="88">
        <v>0</v>
      </c>
      <c r="M669" s="88">
        <v>0</v>
      </c>
      <c r="N669" s="88">
        <v>0</v>
      </c>
      <c r="O669" s="88">
        <v>0</v>
      </c>
    </row>
    <row r="670" spans="1:19" ht="15.75" x14ac:dyDescent="0.2">
      <c r="A670" s="135"/>
      <c r="B670" s="135"/>
      <c r="C670" s="80" t="s">
        <v>11</v>
      </c>
      <c r="D670" s="73">
        <f t="shared" si="291"/>
        <v>0</v>
      </c>
      <c r="E670" s="88">
        <v>0</v>
      </c>
      <c r="F670" s="88">
        <v>0</v>
      </c>
      <c r="G670" s="88">
        <v>0</v>
      </c>
      <c r="H670" s="88">
        <v>0</v>
      </c>
      <c r="I670" s="88">
        <v>0</v>
      </c>
      <c r="J670" s="88">
        <v>0</v>
      </c>
      <c r="K670" s="88">
        <v>0</v>
      </c>
      <c r="L670" s="88">
        <v>0</v>
      </c>
      <c r="M670" s="88">
        <v>0</v>
      </c>
      <c r="N670" s="88">
        <v>0</v>
      </c>
      <c r="O670" s="88">
        <v>0</v>
      </c>
    </row>
    <row r="671" spans="1:19" ht="15.75" x14ac:dyDescent="0.2">
      <c r="A671" s="135"/>
      <c r="B671" s="135"/>
      <c r="C671" s="80" t="s">
        <v>12</v>
      </c>
      <c r="D671" s="73">
        <f t="shared" si="291"/>
        <v>1215.9000000000001</v>
      </c>
      <c r="E671" s="88">
        <v>0</v>
      </c>
      <c r="F671" s="88">
        <v>0</v>
      </c>
      <c r="G671" s="88">
        <v>0</v>
      </c>
      <c r="H671" s="88">
        <v>0</v>
      </c>
      <c r="I671" s="88">
        <v>0</v>
      </c>
      <c r="J671" s="88">
        <v>0</v>
      </c>
      <c r="K671" s="88">
        <v>1215.9000000000001</v>
      </c>
      <c r="L671" s="88">
        <f>1493.4-1493.4</f>
        <v>0</v>
      </c>
      <c r="M671" s="88">
        <v>0</v>
      </c>
      <c r="N671" s="88">
        <v>0</v>
      </c>
      <c r="O671" s="88">
        <v>0</v>
      </c>
    </row>
    <row r="672" spans="1:19" ht="15.75" x14ac:dyDescent="0.2">
      <c r="A672" s="135"/>
      <c r="B672" s="135"/>
      <c r="C672" s="80" t="s">
        <v>13</v>
      </c>
      <c r="D672" s="73">
        <f t="shared" si="291"/>
        <v>0</v>
      </c>
      <c r="E672" s="88">
        <v>0</v>
      </c>
      <c r="F672" s="88">
        <v>0</v>
      </c>
      <c r="G672" s="88">
        <v>0</v>
      </c>
      <c r="H672" s="88">
        <v>0</v>
      </c>
      <c r="I672" s="88">
        <v>0</v>
      </c>
      <c r="J672" s="88">
        <v>0</v>
      </c>
      <c r="K672" s="88">
        <v>0</v>
      </c>
      <c r="L672" s="88">
        <v>0</v>
      </c>
      <c r="M672" s="88">
        <v>0</v>
      </c>
      <c r="N672" s="88">
        <v>0</v>
      </c>
      <c r="O672" s="88">
        <v>0</v>
      </c>
    </row>
    <row r="673" spans="1:15" ht="15.75" x14ac:dyDescent="0.2">
      <c r="A673" s="135" t="s">
        <v>387</v>
      </c>
      <c r="B673" s="135" t="s">
        <v>405</v>
      </c>
      <c r="C673" s="89" t="s">
        <v>7</v>
      </c>
      <c r="D673" s="73">
        <f t="shared" si="291"/>
        <v>604932.29999999993</v>
      </c>
      <c r="E673" s="88">
        <f t="shared" ref="E673:O673" si="294">E674+E675+E676+E677</f>
        <v>0</v>
      </c>
      <c r="F673" s="88">
        <f t="shared" si="294"/>
        <v>0</v>
      </c>
      <c r="G673" s="88">
        <f t="shared" si="294"/>
        <v>0</v>
      </c>
      <c r="H673" s="88">
        <f t="shared" si="294"/>
        <v>0</v>
      </c>
      <c r="I673" s="88">
        <f t="shared" si="294"/>
        <v>0</v>
      </c>
      <c r="J673" s="88">
        <f t="shared" si="294"/>
        <v>0</v>
      </c>
      <c r="K673" s="88">
        <f t="shared" si="294"/>
        <v>52637.4</v>
      </c>
      <c r="L673" s="88">
        <f t="shared" si="294"/>
        <v>131936.5</v>
      </c>
      <c r="M673" s="88">
        <f t="shared" si="294"/>
        <v>154882.70000000001</v>
      </c>
      <c r="N673" s="88">
        <f t="shared" si="294"/>
        <v>132688.29999999999</v>
      </c>
      <c r="O673" s="88">
        <f t="shared" si="294"/>
        <v>132787.4</v>
      </c>
    </row>
    <row r="674" spans="1:15" ht="15.75" x14ac:dyDescent="0.2">
      <c r="A674" s="135"/>
      <c r="B674" s="135"/>
      <c r="C674" s="80" t="s">
        <v>10</v>
      </c>
      <c r="D674" s="73">
        <f t="shared" si="291"/>
        <v>0</v>
      </c>
      <c r="E674" s="88">
        <v>0</v>
      </c>
      <c r="F674" s="88">
        <v>0</v>
      </c>
      <c r="G674" s="88">
        <v>0</v>
      </c>
      <c r="H674" s="88">
        <v>0</v>
      </c>
      <c r="I674" s="88">
        <v>0</v>
      </c>
      <c r="J674" s="88">
        <v>0</v>
      </c>
      <c r="K674" s="88">
        <v>0</v>
      </c>
      <c r="L674" s="88">
        <v>0</v>
      </c>
      <c r="M674" s="88">
        <v>0</v>
      </c>
      <c r="N674" s="88">
        <v>0</v>
      </c>
      <c r="O674" s="88">
        <v>0</v>
      </c>
    </row>
    <row r="675" spans="1:15" ht="15.75" x14ac:dyDescent="0.2">
      <c r="A675" s="135"/>
      <c r="B675" s="135"/>
      <c r="C675" s="80" t="s">
        <v>11</v>
      </c>
      <c r="D675" s="73">
        <f t="shared" si="291"/>
        <v>0</v>
      </c>
      <c r="E675" s="88">
        <v>0</v>
      </c>
      <c r="F675" s="88">
        <v>0</v>
      </c>
      <c r="G675" s="88">
        <v>0</v>
      </c>
      <c r="H675" s="88">
        <v>0</v>
      </c>
      <c r="I675" s="88">
        <v>0</v>
      </c>
      <c r="J675" s="88">
        <v>0</v>
      </c>
      <c r="K675" s="88">
        <v>0</v>
      </c>
      <c r="L675" s="88">
        <v>0</v>
      </c>
      <c r="M675" s="88">
        <v>0</v>
      </c>
      <c r="N675" s="88">
        <v>0</v>
      </c>
      <c r="O675" s="88">
        <v>0</v>
      </c>
    </row>
    <row r="676" spans="1:15" ht="31.5" x14ac:dyDescent="0.2">
      <c r="A676" s="135"/>
      <c r="B676" s="135"/>
      <c r="C676" s="80" t="s">
        <v>65</v>
      </c>
      <c r="D676" s="73">
        <f t="shared" si="291"/>
        <v>604932.29999999993</v>
      </c>
      <c r="E676" s="88">
        <v>0</v>
      </c>
      <c r="F676" s="88">
        <v>0</v>
      </c>
      <c r="G676" s="88">
        <v>0</v>
      </c>
      <c r="H676" s="88">
        <v>0</v>
      </c>
      <c r="I676" s="88">
        <v>0</v>
      </c>
      <c r="J676" s="88">
        <v>0</v>
      </c>
      <c r="K676" s="88">
        <f>30000+22637.4+2056-2056</f>
        <v>52637.4</v>
      </c>
      <c r="L676" s="88">
        <f>126936.5-12775.3+12775.3+5000</f>
        <v>131936.5</v>
      </c>
      <c r="M676" s="88">
        <f>179515.2-77898.6+9922+3500+39844.1</f>
        <v>154882.70000000001</v>
      </c>
      <c r="N676" s="88">
        <f>198915.9-66227.6</f>
        <v>132688.29999999999</v>
      </c>
      <c r="O676" s="88">
        <f>0+132787.4</f>
        <v>132787.4</v>
      </c>
    </row>
    <row r="677" spans="1:15" ht="15.75" x14ac:dyDescent="0.2">
      <c r="A677" s="135"/>
      <c r="B677" s="135"/>
      <c r="C677" s="80" t="s">
        <v>13</v>
      </c>
      <c r="D677" s="73">
        <f t="shared" si="291"/>
        <v>0</v>
      </c>
      <c r="E677" s="88">
        <v>0</v>
      </c>
      <c r="F677" s="88">
        <v>0</v>
      </c>
      <c r="G677" s="88">
        <v>0</v>
      </c>
      <c r="H677" s="88">
        <v>0</v>
      </c>
      <c r="I677" s="88">
        <v>0</v>
      </c>
      <c r="J677" s="88">
        <v>0</v>
      </c>
      <c r="K677" s="88">
        <v>0</v>
      </c>
      <c r="L677" s="88">
        <v>0</v>
      </c>
      <c r="M677" s="88">
        <v>0</v>
      </c>
      <c r="N677" s="88">
        <v>0</v>
      </c>
      <c r="O677" s="88">
        <v>0</v>
      </c>
    </row>
    <row r="678" spans="1:15" ht="15.75" x14ac:dyDescent="0.2">
      <c r="A678" s="135" t="s">
        <v>390</v>
      </c>
      <c r="B678" s="135" t="s">
        <v>397</v>
      </c>
      <c r="C678" s="89" t="s">
        <v>7</v>
      </c>
      <c r="D678" s="73">
        <f t="shared" ref="D678" si="295">E678+F678+G678+H678+I678+J678+K678+L678+M678+N678+O678</f>
        <v>20707.8</v>
      </c>
      <c r="E678" s="88">
        <f>E679+E680+E681+E682</f>
        <v>0</v>
      </c>
      <c r="F678" s="88">
        <f t="shared" ref="F678:O678" si="296">F679+F680+F681+F682</f>
        <v>0</v>
      </c>
      <c r="G678" s="88">
        <f t="shared" si="296"/>
        <v>0</v>
      </c>
      <c r="H678" s="88">
        <f t="shared" si="296"/>
        <v>0</v>
      </c>
      <c r="I678" s="88">
        <f>I679+I680+I681+I682</f>
        <v>0</v>
      </c>
      <c r="J678" s="88">
        <f t="shared" si="296"/>
        <v>0</v>
      </c>
      <c r="K678" s="88">
        <f t="shared" si="296"/>
        <v>12262.8</v>
      </c>
      <c r="L678" s="88">
        <f t="shared" si="296"/>
        <v>8445</v>
      </c>
      <c r="M678" s="88">
        <f t="shared" si="296"/>
        <v>0</v>
      </c>
      <c r="N678" s="88">
        <f t="shared" si="296"/>
        <v>0</v>
      </c>
      <c r="O678" s="88">
        <f t="shared" si="296"/>
        <v>0</v>
      </c>
    </row>
    <row r="679" spans="1:15" ht="15.75" x14ac:dyDescent="0.2">
      <c r="A679" s="135"/>
      <c r="B679" s="135"/>
      <c r="C679" s="80" t="s">
        <v>10</v>
      </c>
      <c r="D679" s="73">
        <f t="shared" si="291"/>
        <v>0</v>
      </c>
      <c r="E679" s="88">
        <v>0</v>
      </c>
      <c r="F679" s="88">
        <v>0</v>
      </c>
      <c r="G679" s="88">
        <v>0</v>
      </c>
      <c r="H679" s="88">
        <v>0</v>
      </c>
      <c r="I679" s="88">
        <v>0</v>
      </c>
      <c r="J679" s="88">
        <v>0</v>
      </c>
      <c r="K679" s="88">
        <v>0</v>
      </c>
      <c r="L679" s="88">
        <v>0</v>
      </c>
      <c r="M679" s="88">
        <v>0</v>
      </c>
      <c r="N679" s="88">
        <v>0</v>
      </c>
      <c r="O679" s="88">
        <v>0</v>
      </c>
    </row>
    <row r="680" spans="1:15" ht="15.75" x14ac:dyDescent="0.2">
      <c r="A680" s="135"/>
      <c r="B680" s="135"/>
      <c r="C680" s="80" t="s">
        <v>11</v>
      </c>
      <c r="D680" s="73">
        <f>E680+F680+G680+H680+I680+J680+K680+L680+M680+N680+O680</f>
        <v>0</v>
      </c>
      <c r="E680" s="88">
        <v>0</v>
      </c>
      <c r="F680" s="88">
        <v>0</v>
      </c>
      <c r="G680" s="88">
        <v>0</v>
      </c>
      <c r="H680" s="88">
        <v>0</v>
      </c>
      <c r="I680" s="88">
        <v>0</v>
      </c>
      <c r="J680" s="88">
        <v>0</v>
      </c>
      <c r="K680" s="88">
        <v>0</v>
      </c>
      <c r="L680" s="88">
        <v>0</v>
      </c>
      <c r="M680" s="88">
        <v>0</v>
      </c>
      <c r="N680" s="88">
        <v>0</v>
      </c>
      <c r="O680" s="88">
        <v>0</v>
      </c>
    </row>
    <row r="681" spans="1:15" ht="15.75" x14ac:dyDescent="0.2">
      <c r="A681" s="135"/>
      <c r="B681" s="135"/>
      <c r="C681" s="80" t="s">
        <v>12</v>
      </c>
      <c r="D681" s="73">
        <f t="shared" si="291"/>
        <v>20707.8</v>
      </c>
      <c r="E681" s="88">
        <v>0</v>
      </c>
      <c r="F681" s="88">
        <v>0</v>
      </c>
      <c r="G681" s="88">
        <v>0</v>
      </c>
      <c r="H681" s="88">
        <v>0</v>
      </c>
      <c r="I681" s="88">
        <v>0</v>
      </c>
      <c r="J681" s="88">
        <v>0</v>
      </c>
      <c r="K681" s="88">
        <v>12262.8</v>
      </c>
      <c r="L681" s="88">
        <f>3955.5-0.1-1380.6+5870.2</f>
        <v>8445</v>
      </c>
      <c r="M681" s="88">
        <v>0</v>
      </c>
      <c r="N681" s="88">
        <v>0</v>
      </c>
      <c r="O681" s="88">
        <v>0</v>
      </c>
    </row>
    <row r="682" spans="1:15" ht="15.75" x14ac:dyDescent="0.2">
      <c r="A682" s="135"/>
      <c r="B682" s="135"/>
      <c r="C682" s="80" t="s">
        <v>13</v>
      </c>
      <c r="D682" s="73">
        <f t="shared" si="291"/>
        <v>0</v>
      </c>
      <c r="E682" s="88">
        <v>0</v>
      </c>
      <c r="F682" s="88">
        <v>0</v>
      </c>
      <c r="G682" s="88">
        <v>0</v>
      </c>
      <c r="H682" s="88">
        <v>0</v>
      </c>
      <c r="I682" s="88">
        <v>0</v>
      </c>
      <c r="J682" s="88">
        <v>0</v>
      </c>
      <c r="K682" s="88">
        <v>0</v>
      </c>
      <c r="L682" s="88">
        <v>0</v>
      </c>
      <c r="M682" s="88">
        <v>0</v>
      </c>
      <c r="N682" s="88">
        <v>0</v>
      </c>
      <c r="O682" s="88">
        <v>0</v>
      </c>
    </row>
    <row r="683" spans="1:15" ht="15.75" customHeight="1" x14ac:dyDescent="0.2">
      <c r="A683" s="135" t="s">
        <v>391</v>
      </c>
      <c r="B683" s="135" t="s">
        <v>442</v>
      </c>
      <c r="C683" s="89" t="s">
        <v>7</v>
      </c>
      <c r="D683" s="73">
        <f t="shared" si="291"/>
        <v>11510.400000000001</v>
      </c>
      <c r="E683" s="88">
        <f>E684+E685+E686+E687</f>
        <v>0</v>
      </c>
      <c r="F683" s="88">
        <f t="shared" ref="F683:O683" si="297">F684+F685+F686+F687</f>
        <v>0</v>
      </c>
      <c r="G683" s="88">
        <f t="shared" si="297"/>
        <v>0</v>
      </c>
      <c r="H683" s="88">
        <f t="shared" si="297"/>
        <v>0</v>
      </c>
      <c r="I683" s="88">
        <f>I684+I685+I686+I687</f>
        <v>0</v>
      </c>
      <c r="J683" s="88">
        <f t="shared" si="297"/>
        <v>0</v>
      </c>
      <c r="K683" s="88">
        <f t="shared" si="297"/>
        <v>2738.4</v>
      </c>
      <c r="L683" s="88">
        <f t="shared" si="297"/>
        <v>2635.3</v>
      </c>
      <c r="M683" s="88">
        <f t="shared" si="297"/>
        <v>4415.1000000000004</v>
      </c>
      <c r="N683" s="88">
        <f t="shared" si="297"/>
        <v>867.2</v>
      </c>
      <c r="O683" s="88">
        <f t="shared" si="297"/>
        <v>854.4</v>
      </c>
    </row>
    <row r="684" spans="1:15" ht="15.75" x14ac:dyDescent="0.2">
      <c r="A684" s="135"/>
      <c r="B684" s="135"/>
      <c r="C684" s="80" t="s">
        <v>10</v>
      </c>
      <c r="D684" s="73">
        <f t="shared" si="291"/>
        <v>0</v>
      </c>
      <c r="E684" s="88">
        <v>0</v>
      </c>
      <c r="F684" s="88">
        <v>0</v>
      </c>
      <c r="G684" s="88">
        <v>0</v>
      </c>
      <c r="H684" s="88">
        <v>0</v>
      </c>
      <c r="I684" s="88">
        <v>0</v>
      </c>
      <c r="J684" s="88">
        <v>0</v>
      </c>
      <c r="K684" s="88">
        <v>0</v>
      </c>
      <c r="L684" s="88">
        <v>0</v>
      </c>
      <c r="M684" s="88">
        <v>0</v>
      </c>
      <c r="N684" s="88">
        <v>0</v>
      </c>
      <c r="O684" s="88">
        <v>0</v>
      </c>
    </row>
    <row r="685" spans="1:15" ht="15.75" x14ac:dyDescent="0.2">
      <c r="A685" s="135"/>
      <c r="B685" s="135"/>
      <c r="C685" s="80" t="s">
        <v>11</v>
      </c>
      <c r="D685" s="73">
        <f>E685+F685+G685+H685+I685+J685+K685+L685+M685+N685+O685</f>
        <v>0</v>
      </c>
      <c r="E685" s="88">
        <v>0</v>
      </c>
      <c r="F685" s="88">
        <v>0</v>
      </c>
      <c r="G685" s="88">
        <v>0</v>
      </c>
      <c r="H685" s="88">
        <v>0</v>
      </c>
      <c r="I685" s="88">
        <v>0</v>
      </c>
      <c r="J685" s="88">
        <v>0</v>
      </c>
      <c r="K685" s="88">
        <v>0</v>
      </c>
      <c r="L685" s="88">
        <v>0</v>
      </c>
      <c r="M685" s="88">
        <v>0</v>
      </c>
      <c r="N685" s="88">
        <v>0</v>
      </c>
      <c r="O685" s="88">
        <v>0</v>
      </c>
    </row>
    <row r="686" spans="1:15" ht="15.75" x14ac:dyDescent="0.2">
      <c r="A686" s="135"/>
      <c r="B686" s="135"/>
      <c r="C686" s="80" t="s">
        <v>12</v>
      </c>
      <c r="D686" s="73">
        <f t="shared" si="291"/>
        <v>11510.400000000001</v>
      </c>
      <c r="E686" s="88">
        <v>0</v>
      </c>
      <c r="F686" s="88">
        <v>0</v>
      </c>
      <c r="G686" s="88">
        <v>0</v>
      </c>
      <c r="H686" s="88">
        <v>0</v>
      </c>
      <c r="I686" s="88">
        <v>0</v>
      </c>
      <c r="J686" s="88">
        <v>0</v>
      </c>
      <c r="K686" s="88">
        <f>5000-2261.6-2056+2056</f>
        <v>2738.4</v>
      </c>
      <c r="L686" s="88">
        <f>735.3+600+1300</f>
        <v>2635.3</v>
      </c>
      <c r="M686" s="88">
        <f>779.7+352.4+3283</f>
        <v>4415.1000000000004</v>
      </c>
      <c r="N686" s="88">
        <f>783.5+83.7</f>
        <v>867.2</v>
      </c>
      <c r="O686" s="88">
        <f>0+854.4</f>
        <v>854.4</v>
      </c>
    </row>
    <row r="687" spans="1:15" ht="15.75" x14ac:dyDescent="0.2">
      <c r="A687" s="135"/>
      <c r="B687" s="135"/>
      <c r="C687" s="80" t="s">
        <v>13</v>
      </c>
      <c r="D687" s="73">
        <f t="shared" si="291"/>
        <v>0</v>
      </c>
      <c r="E687" s="88">
        <v>0</v>
      </c>
      <c r="F687" s="88">
        <v>0</v>
      </c>
      <c r="G687" s="88">
        <v>0</v>
      </c>
      <c r="H687" s="88">
        <v>0</v>
      </c>
      <c r="I687" s="88">
        <v>0</v>
      </c>
      <c r="J687" s="88">
        <v>0</v>
      </c>
      <c r="K687" s="88">
        <v>0</v>
      </c>
      <c r="L687" s="88">
        <v>0</v>
      </c>
      <c r="M687" s="88">
        <v>0</v>
      </c>
      <c r="N687" s="88">
        <v>0</v>
      </c>
      <c r="O687" s="88">
        <v>0</v>
      </c>
    </row>
    <row r="688" spans="1:15" ht="15.75" customHeight="1" x14ac:dyDescent="0.2">
      <c r="A688" s="135" t="s">
        <v>398</v>
      </c>
      <c r="B688" s="135" t="s">
        <v>402</v>
      </c>
      <c r="C688" s="89" t="s">
        <v>7</v>
      </c>
      <c r="D688" s="73">
        <f t="shared" ref="D688" si="298">E688+F688+G688+H688+I688+J688+K688+L688+M688+N688+O688</f>
        <v>7545.1</v>
      </c>
      <c r="E688" s="88">
        <f>E689+E690+E691+E692</f>
        <v>0</v>
      </c>
      <c r="F688" s="88">
        <f t="shared" ref="F688:O688" si="299">F689+F690+F691+F692</f>
        <v>0</v>
      </c>
      <c r="G688" s="88">
        <f t="shared" si="299"/>
        <v>0</v>
      </c>
      <c r="H688" s="88">
        <f t="shared" si="299"/>
        <v>0</v>
      </c>
      <c r="I688" s="88">
        <f>I689+I690+I691+I692</f>
        <v>0</v>
      </c>
      <c r="J688" s="88">
        <f t="shared" si="299"/>
        <v>0</v>
      </c>
      <c r="K688" s="88">
        <f t="shared" si="299"/>
        <v>7545.1</v>
      </c>
      <c r="L688" s="88">
        <f t="shared" si="299"/>
        <v>0</v>
      </c>
      <c r="M688" s="88">
        <f t="shared" si="299"/>
        <v>0</v>
      </c>
      <c r="N688" s="88">
        <f t="shared" si="299"/>
        <v>0</v>
      </c>
      <c r="O688" s="88">
        <f t="shared" si="299"/>
        <v>0</v>
      </c>
    </row>
    <row r="689" spans="1:15" ht="15.75" x14ac:dyDescent="0.2">
      <c r="A689" s="135"/>
      <c r="B689" s="135"/>
      <c r="C689" s="80" t="s">
        <v>10</v>
      </c>
      <c r="D689" s="73">
        <f t="shared" si="291"/>
        <v>0</v>
      </c>
      <c r="E689" s="88">
        <v>0</v>
      </c>
      <c r="F689" s="88">
        <v>0</v>
      </c>
      <c r="G689" s="88">
        <v>0</v>
      </c>
      <c r="H689" s="88">
        <v>0</v>
      </c>
      <c r="I689" s="88">
        <v>0</v>
      </c>
      <c r="J689" s="88">
        <v>0</v>
      </c>
      <c r="K689" s="88">
        <v>0</v>
      </c>
      <c r="L689" s="88">
        <v>0</v>
      </c>
      <c r="M689" s="88">
        <v>0</v>
      </c>
      <c r="N689" s="88">
        <v>0</v>
      </c>
      <c r="O689" s="88">
        <v>0</v>
      </c>
    </row>
    <row r="690" spans="1:15" ht="15.75" x14ac:dyDescent="0.2">
      <c r="A690" s="135"/>
      <c r="B690" s="135"/>
      <c r="C690" s="80" t="s">
        <v>11</v>
      </c>
      <c r="D690" s="73">
        <f>E690+F690+G690+H690+I690+J690+K690+L690+M690+N690+O690</f>
        <v>0</v>
      </c>
      <c r="E690" s="88">
        <v>0</v>
      </c>
      <c r="F690" s="88">
        <v>0</v>
      </c>
      <c r="G690" s="88">
        <v>0</v>
      </c>
      <c r="H690" s="88">
        <v>0</v>
      </c>
      <c r="I690" s="88">
        <v>0</v>
      </c>
      <c r="J690" s="88">
        <v>0</v>
      </c>
      <c r="K690" s="88">
        <v>0</v>
      </c>
      <c r="L690" s="88">
        <v>0</v>
      </c>
      <c r="M690" s="88">
        <v>0</v>
      </c>
      <c r="N690" s="88">
        <v>0</v>
      </c>
      <c r="O690" s="88">
        <v>0</v>
      </c>
    </row>
    <row r="691" spans="1:15" ht="15.75" x14ac:dyDescent="0.2">
      <c r="A691" s="135"/>
      <c r="B691" s="135"/>
      <c r="C691" s="80" t="s">
        <v>12</v>
      </c>
      <c r="D691" s="73">
        <f t="shared" si="291"/>
        <v>7545.1</v>
      </c>
      <c r="E691" s="88">
        <v>0</v>
      </c>
      <c r="F691" s="88">
        <v>0</v>
      </c>
      <c r="G691" s="88">
        <v>0</v>
      </c>
      <c r="H691" s="88">
        <v>0</v>
      </c>
      <c r="I691" s="88">
        <v>0</v>
      </c>
      <c r="J691" s="88">
        <v>0</v>
      </c>
      <c r="K691" s="88">
        <v>7545.1</v>
      </c>
      <c r="L691" s="88">
        <v>0</v>
      </c>
      <c r="M691" s="88">
        <v>0</v>
      </c>
      <c r="N691" s="88">
        <v>0</v>
      </c>
      <c r="O691" s="88">
        <v>0</v>
      </c>
    </row>
    <row r="692" spans="1:15" ht="15.75" x14ac:dyDescent="0.2">
      <c r="A692" s="135"/>
      <c r="B692" s="135"/>
      <c r="C692" s="80" t="s">
        <v>13</v>
      </c>
      <c r="D692" s="73">
        <f t="shared" si="291"/>
        <v>0</v>
      </c>
      <c r="E692" s="88">
        <v>0</v>
      </c>
      <c r="F692" s="88">
        <v>0</v>
      </c>
      <c r="G692" s="88">
        <v>0</v>
      </c>
      <c r="H692" s="88">
        <v>0</v>
      </c>
      <c r="I692" s="88">
        <v>0</v>
      </c>
      <c r="J692" s="88">
        <v>0</v>
      </c>
      <c r="K692" s="88">
        <v>0</v>
      </c>
      <c r="L692" s="88">
        <v>0</v>
      </c>
      <c r="M692" s="88">
        <v>0</v>
      </c>
      <c r="N692" s="88">
        <v>0</v>
      </c>
      <c r="O692" s="88">
        <v>0</v>
      </c>
    </row>
    <row r="693" spans="1:15" ht="15.75" x14ac:dyDescent="0.2">
      <c r="A693" s="135" t="s">
        <v>432</v>
      </c>
      <c r="B693" s="135" t="s">
        <v>433</v>
      </c>
      <c r="C693" s="89" t="s">
        <v>7</v>
      </c>
      <c r="D693" s="73">
        <f t="shared" si="291"/>
        <v>4343.7999999999993</v>
      </c>
      <c r="E693" s="88">
        <f>E694+E695+E696+E697</f>
        <v>0</v>
      </c>
      <c r="F693" s="88">
        <f t="shared" ref="F693:H693" si="300">F694+F695+F696+F697</f>
        <v>0</v>
      </c>
      <c r="G693" s="88">
        <f t="shared" si="300"/>
        <v>0</v>
      </c>
      <c r="H693" s="88">
        <f t="shared" si="300"/>
        <v>0</v>
      </c>
      <c r="I693" s="88">
        <f>I694+I695+I696+I697</f>
        <v>0</v>
      </c>
      <c r="J693" s="88">
        <f t="shared" ref="J693:O693" si="301">J694+J695+J696+J697</f>
        <v>0</v>
      </c>
      <c r="K693" s="88">
        <f t="shared" si="301"/>
        <v>0</v>
      </c>
      <c r="L693" s="88">
        <f t="shared" si="301"/>
        <v>0</v>
      </c>
      <c r="M693" s="88">
        <f t="shared" si="301"/>
        <v>4343.7999999999993</v>
      </c>
      <c r="N693" s="88">
        <f t="shared" si="301"/>
        <v>0</v>
      </c>
      <c r="O693" s="88">
        <f t="shared" si="301"/>
        <v>0</v>
      </c>
    </row>
    <row r="694" spans="1:15" ht="15.75" x14ac:dyDescent="0.2">
      <c r="A694" s="135"/>
      <c r="B694" s="135"/>
      <c r="C694" s="80" t="s">
        <v>10</v>
      </c>
      <c r="D694" s="73">
        <f t="shared" ref="D694" si="302">E694+F694+G694+H694+I694+J694+K694+L694+M694+N694+O694</f>
        <v>0</v>
      </c>
      <c r="E694" s="88">
        <v>0</v>
      </c>
      <c r="F694" s="88">
        <v>0</v>
      </c>
      <c r="G694" s="88">
        <v>0</v>
      </c>
      <c r="H694" s="88">
        <v>0</v>
      </c>
      <c r="I694" s="88">
        <v>0</v>
      </c>
      <c r="J694" s="88">
        <v>0</v>
      </c>
      <c r="K694" s="88">
        <v>0</v>
      </c>
      <c r="L694" s="88">
        <v>0</v>
      </c>
      <c r="M694" s="88">
        <v>0</v>
      </c>
      <c r="N694" s="88">
        <v>0</v>
      </c>
      <c r="O694" s="88">
        <v>0</v>
      </c>
    </row>
    <row r="695" spans="1:15" ht="15.75" x14ac:dyDescent="0.2">
      <c r="A695" s="135"/>
      <c r="B695" s="135"/>
      <c r="C695" s="80" t="s">
        <v>11</v>
      </c>
      <c r="D695" s="73">
        <f>E695+F695+G695+H695+I695+J695+K695+L695+M695+N695+O695</f>
        <v>0</v>
      </c>
      <c r="E695" s="88">
        <v>0</v>
      </c>
      <c r="F695" s="88">
        <v>0</v>
      </c>
      <c r="G695" s="88">
        <v>0</v>
      </c>
      <c r="H695" s="88">
        <v>0</v>
      </c>
      <c r="I695" s="88">
        <v>0</v>
      </c>
      <c r="J695" s="88">
        <v>0</v>
      </c>
      <c r="K695" s="88">
        <v>0</v>
      </c>
      <c r="L695" s="88">
        <v>0</v>
      </c>
      <c r="M695" s="88">
        <v>0</v>
      </c>
      <c r="N695" s="88">
        <v>0</v>
      </c>
      <c r="O695" s="88">
        <v>0</v>
      </c>
    </row>
    <row r="696" spans="1:15" ht="15.75" x14ac:dyDescent="0.2">
      <c r="A696" s="135"/>
      <c r="B696" s="135"/>
      <c r="C696" s="80" t="s">
        <v>12</v>
      </c>
      <c r="D696" s="73">
        <f t="shared" ref="D696:D699" si="303">E696+F696+G696+H696+I696+J696+K696+L696+M696+N696+O696</f>
        <v>4343.7999999999993</v>
      </c>
      <c r="E696" s="88">
        <v>0</v>
      </c>
      <c r="F696" s="88">
        <v>0</v>
      </c>
      <c r="G696" s="88">
        <v>0</v>
      </c>
      <c r="H696" s="88">
        <v>0</v>
      </c>
      <c r="I696" s="88">
        <v>0</v>
      </c>
      <c r="J696" s="88">
        <v>0</v>
      </c>
      <c r="K696" s="88">
        <v>0</v>
      </c>
      <c r="L696" s="88">
        <f>4928.6-2120.3-2808.3</f>
        <v>0</v>
      </c>
      <c r="M696" s="88">
        <f>4343.9-0.1</f>
        <v>4343.7999999999993</v>
      </c>
      <c r="N696" s="88">
        <v>0</v>
      </c>
      <c r="O696" s="88">
        <v>0</v>
      </c>
    </row>
    <row r="697" spans="1:15" ht="15.75" x14ac:dyDescent="0.2">
      <c r="A697" s="135"/>
      <c r="B697" s="135"/>
      <c r="C697" s="80" t="s">
        <v>13</v>
      </c>
      <c r="D697" s="73">
        <f t="shared" si="303"/>
        <v>0</v>
      </c>
      <c r="E697" s="88">
        <v>0</v>
      </c>
      <c r="F697" s="88">
        <v>0</v>
      </c>
      <c r="G697" s="88">
        <v>0</v>
      </c>
      <c r="H697" s="88">
        <v>0</v>
      </c>
      <c r="I697" s="88">
        <v>0</v>
      </c>
      <c r="J697" s="88">
        <v>0</v>
      </c>
      <c r="K697" s="88">
        <v>0</v>
      </c>
      <c r="L697" s="88">
        <v>0</v>
      </c>
      <c r="M697" s="88">
        <v>0</v>
      </c>
      <c r="N697" s="88">
        <v>0</v>
      </c>
      <c r="O697" s="88">
        <v>0</v>
      </c>
    </row>
    <row r="698" spans="1:15" ht="15.75" x14ac:dyDescent="0.2">
      <c r="A698" s="135" t="s">
        <v>450</v>
      </c>
      <c r="B698" s="135" t="s">
        <v>451</v>
      </c>
      <c r="C698" s="89" t="s">
        <v>7</v>
      </c>
      <c r="D698" s="73">
        <f t="shared" si="303"/>
        <v>7466.9</v>
      </c>
      <c r="E698" s="88">
        <f>E699+E700+E701+E702</f>
        <v>0</v>
      </c>
      <c r="F698" s="88">
        <f t="shared" ref="F698:H698" si="304">F699+F700+F701+F702</f>
        <v>0</v>
      </c>
      <c r="G698" s="88">
        <f t="shared" si="304"/>
        <v>0</v>
      </c>
      <c r="H698" s="88">
        <f t="shared" si="304"/>
        <v>0</v>
      </c>
      <c r="I698" s="88">
        <f>I699+I700+I701+I702</f>
        <v>0</v>
      </c>
      <c r="J698" s="88">
        <f t="shared" ref="J698:O698" si="305">J699+J700+J701+J702</f>
        <v>0</v>
      </c>
      <c r="K698" s="88">
        <f t="shared" si="305"/>
        <v>0</v>
      </c>
      <c r="L698" s="88">
        <f t="shared" si="305"/>
        <v>0</v>
      </c>
      <c r="M698" s="88">
        <f t="shared" si="305"/>
        <v>7466.9</v>
      </c>
      <c r="N698" s="88">
        <f t="shared" si="305"/>
        <v>0</v>
      </c>
      <c r="O698" s="88">
        <f t="shared" si="305"/>
        <v>0</v>
      </c>
    </row>
    <row r="699" spans="1:15" ht="15.75" x14ac:dyDescent="0.2">
      <c r="A699" s="135"/>
      <c r="B699" s="135"/>
      <c r="C699" s="80" t="s">
        <v>10</v>
      </c>
      <c r="D699" s="73">
        <f t="shared" si="303"/>
        <v>0</v>
      </c>
      <c r="E699" s="88">
        <v>0</v>
      </c>
      <c r="F699" s="88">
        <v>0</v>
      </c>
      <c r="G699" s="88">
        <v>0</v>
      </c>
      <c r="H699" s="88">
        <v>0</v>
      </c>
      <c r="I699" s="88">
        <v>0</v>
      </c>
      <c r="J699" s="88">
        <v>0</v>
      </c>
      <c r="K699" s="88">
        <v>0</v>
      </c>
      <c r="L699" s="88">
        <v>0</v>
      </c>
      <c r="M699" s="88">
        <v>0</v>
      </c>
      <c r="N699" s="88">
        <v>0</v>
      </c>
      <c r="O699" s="88">
        <v>0</v>
      </c>
    </row>
    <row r="700" spans="1:15" ht="15.75" x14ac:dyDescent="0.2">
      <c r="A700" s="135"/>
      <c r="B700" s="135"/>
      <c r="C700" s="80" t="s">
        <v>11</v>
      </c>
      <c r="D700" s="73">
        <f>E700+F700+G700+H700+I700+J700+K700+L700+M700+N700+O700</f>
        <v>7018.9</v>
      </c>
      <c r="E700" s="88">
        <v>0</v>
      </c>
      <c r="F700" s="88">
        <v>0</v>
      </c>
      <c r="G700" s="88">
        <v>0</v>
      </c>
      <c r="H700" s="88">
        <v>0</v>
      </c>
      <c r="I700" s="88">
        <v>0</v>
      </c>
      <c r="J700" s="88">
        <v>0</v>
      </c>
      <c r="K700" s="88">
        <v>0</v>
      </c>
      <c r="L700" s="88">
        <v>0</v>
      </c>
      <c r="M700" s="88">
        <v>7018.9</v>
      </c>
      <c r="N700" s="88">
        <v>0</v>
      </c>
      <c r="O700" s="88">
        <v>0</v>
      </c>
    </row>
    <row r="701" spans="1:15" ht="15.75" x14ac:dyDescent="0.2">
      <c r="A701" s="135"/>
      <c r="B701" s="135"/>
      <c r="C701" s="80" t="s">
        <v>12</v>
      </c>
      <c r="D701" s="73">
        <f t="shared" ref="D701:D702" si="306">E701+F701+G701+H701+I701+J701+K701+L701+M701+N701+O701</f>
        <v>448</v>
      </c>
      <c r="E701" s="88">
        <v>0</v>
      </c>
      <c r="F701" s="88">
        <v>0</v>
      </c>
      <c r="G701" s="88">
        <v>0</v>
      </c>
      <c r="H701" s="88">
        <v>0</v>
      </c>
      <c r="I701" s="88">
        <v>0</v>
      </c>
      <c r="J701" s="88">
        <v>0</v>
      </c>
      <c r="K701" s="88">
        <v>0</v>
      </c>
      <c r="L701" s="88">
        <f>4928.6-2120.3-2808.3</f>
        <v>0</v>
      </c>
      <c r="M701" s="88">
        <v>448</v>
      </c>
      <c r="N701" s="88">
        <v>0</v>
      </c>
      <c r="O701" s="88">
        <v>0</v>
      </c>
    </row>
    <row r="702" spans="1:15" ht="15.75" x14ac:dyDescent="0.2">
      <c r="A702" s="135"/>
      <c r="B702" s="135"/>
      <c r="C702" s="80" t="s">
        <v>13</v>
      </c>
      <c r="D702" s="73">
        <f t="shared" si="306"/>
        <v>0</v>
      </c>
      <c r="E702" s="88">
        <v>0</v>
      </c>
      <c r="F702" s="88">
        <v>0</v>
      </c>
      <c r="G702" s="88">
        <v>0</v>
      </c>
      <c r="H702" s="88">
        <v>0</v>
      </c>
      <c r="I702" s="88">
        <v>0</v>
      </c>
      <c r="J702" s="88">
        <v>0</v>
      </c>
      <c r="K702" s="88">
        <v>0</v>
      </c>
      <c r="L702" s="88">
        <v>0</v>
      </c>
      <c r="M702" s="88">
        <v>0</v>
      </c>
      <c r="N702" s="88">
        <v>0</v>
      </c>
      <c r="O702" s="88">
        <v>0</v>
      </c>
    </row>
    <row r="703" spans="1:15" ht="15.75" x14ac:dyDescent="0.2">
      <c r="A703" s="135" t="s">
        <v>282</v>
      </c>
      <c r="B703" s="135" t="s">
        <v>283</v>
      </c>
      <c r="C703" s="80" t="s">
        <v>7</v>
      </c>
      <c r="D703" s="73">
        <f t="shared" si="279"/>
        <v>968496.90000000014</v>
      </c>
      <c r="E703" s="73">
        <f t="shared" ref="E703:O703" si="307">E704+E705+E707+E709</f>
        <v>0</v>
      </c>
      <c r="F703" s="73">
        <f t="shared" si="307"/>
        <v>0</v>
      </c>
      <c r="G703" s="73">
        <f t="shared" si="307"/>
        <v>0</v>
      </c>
      <c r="H703" s="73">
        <f t="shared" si="307"/>
        <v>0</v>
      </c>
      <c r="I703" s="73">
        <f t="shared" si="307"/>
        <v>52500</v>
      </c>
      <c r="J703" s="73">
        <f>J704+J705+J707+J709</f>
        <v>227517.2</v>
      </c>
      <c r="K703" s="73">
        <f t="shared" si="307"/>
        <v>393667.4</v>
      </c>
      <c r="L703" s="73">
        <f t="shared" si="307"/>
        <v>208770.3</v>
      </c>
      <c r="M703" s="73">
        <f t="shared" si="307"/>
        <v>86042</v>
      </c>
      <c r="N703" s="73">
        <f t="shared" si="307"/>
        <v>0</v>
      </c>
      <c r="O703" s="73">
        <f t="shared" si="307"/>
        <v>0</v>
      </c>
    </row>
    <row r="704" spans="1:15" ht="15.75" x14ac:dyDescent="0.2">
      <c r="A704" s="142"/>
      <c r="B704" s="150"/>
      <c r="C704" s="80" t="s">
        <v>10</v>
      </c>
      <c r="D704" s="73">
        <f t="shared" si="279"/>
        <v>0</v>
      </c>
      <c r="E704" s="73">
        <f>E711</f>
        <v>0</v>
      </c>
      <c r="F704" s="73">
        <f t="shared" ref="F704:K704" si="308">F711</f>
        <v>0</v>
      </c>
      <c r="G704" s="73">
        <f t="shared" si="308"/>
        <v>0</v>
      </c>
      <c r="H704" s="73">
        <f t="shared" si="308"/>
        <v>0</v>
      </c>
      <c r="I704" s="73">
        <f t="shared" si="308"/>
        <v>0</v>
      </c>
      <c r="J704" s="73">
        <f>J711</f>
        <v>0</v>
      </c>
      <c r="K704" s="73">
        <f t="shared" si="308"/>
        <v>0</v>
      </c>
      <c r="L704" s="73">
        <f>L744+L754+L766+L782+L793+L800</f>
        <v>0</v>
      </c>
      <c r="M704" s="73">
        <f>M744+M754+M766+M782+M793+M800</f>
        <v>0</v>
      </c>
      <c r="N704" s="73">
        <f>N744+N754+N766+N782+N793+N800</f>
        <v>0</v>
      </c>
      <c r="O704" s="73">
        <f>O744+O754+O766+O782+O793+O800</f>
        <v>0</v>
      </c>
    </row>
    <row r="705" spans="1:15" ht="31.5" x14ac:dyDescent="0.2">
      <c r="A705" s="142"/>
      <c r="B705" s="150"/>
      <c r="C705" s="80" t="s">
        <v>69</v>
      </c>
      <c r="D705" s="73">
        <f t="shared" si="279"/>
        <v>905425.9</v>
      </c>
      <c r="E705" s="73">
        <f t="shared" ref="E705:O705" si="309">E712</f>
        <v>0</v>
      </c>
      <c r="F705" s="73">
        <f t="shared" si="309"/>
        <v>0</v>
      </c>
      <c r="G705" s="73">
        <f t="shared" si="309"/>
        <v>0</v>
      </c>
      <c r="H705" s="73">
        <f t="shared" si="309"/>
        <v>0</v>
      </c>
      <c r="I705" s="73">
        <f t="shared" si="309"/>
        <v>50000</v>
      </c>
      <c r="J705" s="73">
        <f>J712</f>
        <v>213866.1</v>
      </c>
      <c r="K705" s="73">
        <f t="shared" si="309"/>
        <v>368985.2</v>
      </c>
      <c r="L705" s="73">
        <f t="shared" si="309"/>
        <v>195620.5</v>
      </c>
      <c r="M705" s="73">
        <f t="shared" si="309"/>
        <v>76954.100000000006</v>
      </c>
      <c r="N705" s="73">
        <f t="shared" si="309"/>
        <v>0</v>
      </c>
      <c r="O705" s="73">
        <f t="shared" si="309"/>
        <v>0</v>
      </c>
    </row>
    <row r="706" spans="1:15" ht="31.5" x14ac:dyDescent="0.2">
      <c r="A706" s="142"/>
      <c r="B706" s="150"/>
      <c r="C706" s="76" t="s">
        <v>81</v>
      </c>
      <c r="D706" s="75">
        <f t="shared" ref="D706" si="310">E706+F706+G706+H706+I706+J706+K706+L706+M706+N706+O706</f>
        <v>11279.3</v>
      </c>
      <c r="E706" s="75">
        <v>0</v>
      </c>
      <c r="F706" s="75">
        <v>0</v>
      </c>
      <c r="G706" s="75">
        <v>0</v>
      </c>
      <c r="H706" s="75">
        <v>0</v>
      </c>
      <c r="I706" s="75">
        <v>0</v>
      </c>
      <c r="J706" s="75">
        <v>0</v>
      </c>
      <c r="K706" s="75">
        <v>0</v>
      </c>
      <c r="L706" s="75">
        <v>0</v>
      </c>
      <c r="M706" s="75">
        <v>11279.3</v>
      </c>
      <c r="N706" s="73">
        <v>0</v>
      </c>
      <c r="O706" s="73">
        <v>0</v>
      </c>
    </row>
    <row r="707" spans="1:15" ht="31.5" x14ac:dyDescent="0.2">
      <c r="A707" s="142"/>
      <c r="B707" s="150"/>
      <c r="C707" s="80" t="s">
        <v>65</v>
      </c>
      <c r="D707" s="73">
        <f t="shared" ref="D707:D756" si="311">E707+F707+G707+H707+I707+J707+K707+L707+M707+N707+O707</f>
        <v>63071.000000000007</v>
      </c>
      <c r="E707" s="73">
        <f t="shared" ref="E707:O707" si="312">E714</f>
        <v>0</v>
      </c>
      <c r="F707" s="73">
        <f t="shared" si="312"/>
        <v>0</v>
      </c>
      <c r="G707" s="73">
        <f t="shared" si="312"/>
        <v>0</v>
      </c>
      <c r="H707" s="73">
        <f t="shared" si="312"/>
        <v>0</v>
      </c>
      <c r="I707" s="73">
        <f t="shared" si="312"/>
        <v>2500</v>
      </c>
      <c r="J707" s="73">
        <f>J714</f>
        <v>13651.1</v>
      </c>
      <c r="K707" s="73">
        <f t="shared" si="312"/>
        <v>24682.2</v>
      </c>
      <c r="L707" s="73">
        <f t="shared" si="312"/>
        <v>13149.8</v>
      </c>
      <c r="M707" s="73">
        <f t="shared" si="312"/>
        <v>9087.9</v>
      </c>
      <c r="N707" s="73">
        <f t="shared" si="312"/>
        <v>0</v>
      </c>
      <c r="O707" s="73">
        <f t="shared" si="312"/>
        <v>0</v>
      </c>
    </row>
    <row r="708" spans="1:15" ht="31.5" x14ac:dyDescent="0.2">
      <c r="A708" s="142"/>
      <c r="B708" s="150"/>
      <c r="C708" s="76" t="s">
        <v>449</v>
      </c>
      <c r="D708" s="75">
        <f t="shared" ref="D708" si="313">E708+F708+G708+H708+I708+J708+K708+L708+M708+N708+O708</f>
        <v>719.9</v>
      </c>
      <c r="E708" s="75">
        <v>0</v>
      </c>
      <c r="F708" s="75">
        <v>0</v>
      </c>
      <c r="G708" s="75">
        <v>0</v>
      </c>
      <c r="H708" s="75">
        <v>0</v>
      </c>
      <c r="I708" s="75">
        <v>0</v>
      </c>
      <c r="J708" s="75">
        <v>0</v>
      </c>
      <c r="K708" s="75">
        <v>0</v>
      </c>
      <c r="L708" s="75">
        <v>0</v>
      </c>
      <c r="M708" s="75">
        <v>719.9</v>
      </c>
      <c r="N708" s="75">
        <v>0</v>
      </c>
      <c r="O708" s="75">
        <v>0</v>
      </c>
    </row>
    <row r="709" spans="1:15" ht="33" customHeight="1" x14ac:dyDescent="0.2">
      <c r="A709" s="142"/>
      <c r="B709" s="150"/>
      <c r="C709" s="80" t="s">
        <v>13</v>
      </c>
      <c r="D709" s="73">
        <f t="shared" si="311"/>
        <v>0</v>
      </c>
      <c r="E709" s="73">
        <f t="shared" ref="E709:K709" si="314">E716</f>
        <v>0</v>
      </c>
      <c r="F709" s="73">
        <f t="shared" si="314"/>
        <v>0</v>
      </c>
      <c r="G709" s="73">
        <f t="shared" si="314"/>
        <v>0</v>
      </c>
      <c r="H709" s="73">
        <f t="shared" si="314"/>
        <v>0</v>
      </c>
      <c r="I709" s="73">
        <f t="shared" si="314"/>
        <v>0</v>
      </c>
      <c r="J709" s="73">
        <f>J716</f>
        <v>0</v>
      </c>
      <c r="K709" s="73">
        <f t="shared" si="314"/>
        <v>0</v>
      </c>
      <c r="L709" s="73">
        <v>0</v>
      </c>
      <c r="M709" s="73">
        <v>0</v>
      </c>
      <c r="N709" s="73">
        <v>0</v>
      </c>
      <c r="O709" s="73">
        <v>0</v>
      </c>
    </row>
    <row r="710" spans="1:15" ht="15.75" x14ac:dyDescent="0.2">
      <c r="A710" s="135" t="s">
        <v>284</v>
      </c>
      <c r="B710" s="135" t="s">
        <v>285</v>
      </c>
      <c r="C710" s="80" t="s">
        <v>7</v>
      </c>
      <c r="D710" s="73">
        <f t="shared" si="311"/>
        <v>968496.90000000014</v>
      </c>
      <c r="E710" s="73">
        <f t="shared" ref="E710:J710" si="315">E711+E712+E714+E716</f>
        <v>0</v>
      </c>
      <c r="F710" s="73">
        <f t="shared" si="315"/>
        <v>0</v>
      </c>
      <c r="G710" s="73">
        <f t="shared" si="315"/>
        <v>0</v>
      </c>
      <c r="H710" s="73">
        <f t="shared" si="315"/>
        <v>0</v>
      </c>
      <c r="I710" s="73">
        <f t="shared" si="315"/>
        <v>52500</v>
      </c>
      <c r="J710" s="73">
        <f t="shared" si="315"/>
        <v>227517.2</v>
      </c>
      <c r="K710" s="73">
        <f>K711+K712+K714+K716</f>
        <v>393667.4</v>
      </c>
      <c r="L710" s="73">
        <f t="shared" ref="L710:O710" si="316">L711+L712+L714+L716</f>
        <v>208770.3</v>
      </c>
      <c r="M710" s="73">
        <f t="shared" si="316"/>
        <v>86042</v>
      </c>
      <c r="N710" s="73">
        <f t="shared" si="316"/>
        <v>0</v>
      </c>
      <c r="O710" s="73">
        <f t="shared" si="316"/>
        <v>0</v>
      </c>
    </row>
    <row r="711" spans="1:15" ht="15.75" x14ac:dyDescent="0.2">
      <c r="A711" s="135"/>
      <c r="B711" s="135"/>
      <c r="C711" s="80" t="s">
        <v>10</v>
      </c>
      <c r="D711" s="73">
        <f t="shared" si="311"/>
        <v>0</v>
      </c>
      <c r="E711" s="73">
        <f t="shared" ref="E711:K711" si="317">E749+E760+E771+E787+E798+E805</f>
        <v>0</v>
      </c>
      <c r="F711" s="73">
        <f t="shared" si="317"/>
        <v>0</v>
      </c>
      <c r="G711" s="73">
        <f t="shared" si="317"/>
        <v>0</v>
      </c>
      <c r="H711" s="73">
        <f t="shared" si="317"/>
        <v>0</v>
      </c>
      <c r="I711" s="73">
        <f t="shared" si="317"/>
        <v>0</v>
      </c>
      <c r="J711" s="73">
        <f t="shared" si="317"/>
        <v>0</v>
      </c>
      <c r="K711" s="73">
        <f t="shared" si="317"/>
        <v>0</v>
      </c>
      <c r="L711" s="73">
        <f>L749+L760+L771+L787+L798+L805</f>
        <v>0</v>
      </c>
      <c r="M711" s="73">
        <f>M749+M760+M771+M787+M798+M805</f>
        <v>0</v>
      </c>
      <c r="N711" s="73">
        <f>N749+N760+N771+N787+N798+N805</f>
        <v>0</v>
      </c>
      <c r="O711" s="73">
        <f>O749+O760+O771+O787+O798+O805</f>
        <v>0</v>
      </c>
    </row>
    <row r="712" spans="1:15" ht="31.5" x14ac:dyDescent="0.2">
      <c r="A712" s="135"/>
      <c r="B712" s="135"/>
      <c r="C712" s="80" t="s">
        <v>69</v>
      </c>
      <c r="D712" s="73">
        <f t="shared" si="311"/>
        <v>905425.9</v>
      </c>
      <c r="E712" s="73">
        <v>0</v>
      </c>
      <c r="F712" s="73">
        <v>0</v>
      </c>
      <c r="G712" s="73">
        <v>0</v>
      </c>
      <c r="H712" s="73">
        <v>0</v>
      </c>
      <c r="I712" s="73">
        <v>50000</v>
      </c>
      <c r="J712" s="73">
        <v>213866.1</v>
      </c>
      <c r="K712" s="73">
        <v>368985.2</v>
      </c>
      <c r="L712" s="73">
        <v>195620.5</v>
      </c>
      <c r="M712" s="73">
        <f>34491.5+42462.6</f>
        <v>76954.100000000006</v>
      </c>
      <c r="N712" s="73">
        <v>0</v>
      </c>
      <c r="O712" s="73">
        <v>0</v>
      </c>
    </row>
    <row r="713" spans="1:15" ht="30" customHeight="1" x14ac:dyDescent="0.2">
      <c r="A713" s="135"/>
      <c r="B713" s="135"/>
      <c r="C713" s="76" t="s">
        <v>81</v>
      </c>
      <c r="D713" s="75">
        <f t="shared" si="311"/>
        <v>11279.3</v>
      </c>
      <c r="E713" s="75">
        <v>0</v>
      </c>
      <c r="F713" s="75">
        <v>0</v>
      </c>
      <c r="G713" s="75">
        <v>0</v>
      </c>
      <c r="H713" s="75">
        <v>0</v>
      </c>
      <c r="I713" s="75">
        <v>0</v>
      </c>
      <c r="J713" s="75">
        <v>0</v>
      </c>
      <c r="K713" s="75">
        <v>0</v>
      </c>
      <c r="L713" s="75">
        <v>0</v>
      </c>
      <c r="M713" s="75">
        <v>11279.3</v>
      </c>
      <c r="N713" s="73">
        <v>0</v>
      </c>
      <c r="O713" s="73">
        <v>0</v>
      </c>
    </row>
    <row r="714" spans="1:15" ht="31.5" x14ac:dyDescent="0.2">
      <c r="A714" s="135"/>
      <c r="B714" s="135"/>
      <c r="C714" s="80" t="s">
        <v>65</v>
      </c>
      <c r="D714" s="73">
        <f t="shared" si="311"/>
        <v>63071.000000000007</v>
      </c>
      <c r="E714" s="73">
        <v>0</v>
      </c>
      <c r="F714" s="73">
        <v>0</v>
      </c>
      <c r="G714" s="73">
        <v>0</v>
      </c>
      <c r="H714" s="73">
        <v>0</v>
      </c>
      <c r="I714" s="73">
        <v>2500</v>
      </c>
      <c r="J714" s="73">
        <v>13651.1</v>
      </c>
      <c r="K714" s="73">
        <v>24682.2</v>
      </c>
      <c r="L714" s="73">
        <f>12486.4+663.4</f>
        <v>13149.8</v>
      </c>
      <c r="M714" s="73">
        <f>1481.6+4723.2+172.7+2710.4</f>
        <v>9087.9</v>
      </c>
      <c r="N714" s="73">
        <v>0</v>
      </c>
      <c r="O714" s="73">
        <v>0</v>
      </c>
    </row>
    <row r="715" spans="1:15" ht="30" customHeight="1" x14ac:dyDescent="0.2">
      <c r="A715" s="135"/>
      <c r="B715" s="135"/>
      <c r="C715" s="76" t="s">
        <v>449</v>
      </c>
      <c r="D715" s="75">
        <f t="shared" si="311"/>
        <v>719.9</v>
      </c>
      <c r="E715" s="75">
        <v>0</v>
      </c>
      <c r="F715" s="75">
        <v>0</v>
      </c>
      <c r="G715" s="75">
        <v>0</v>
      </c>
      <c r="H715" s="75">
        <v>0</v>
      </c>
      <c r="I715" s="75">
        <v>0</v>
      </c>
      <c r="J715" s="75">
        <v>0</v>
      </c>
      <c r="K715" s="75">
        <v>0</v>
      </c>
      <c r="L715" s="75">
        <v>0</v>
      </c>
      <c r="M715" s="75">
        <v>719.9</v>
      </c>
      <c r="N715" s="75">
        <v>0</v>
      </c>
      <c r="O715" s="75">
        <v>0</v>
      </c>
    </row>
    <row r="716" spans="1:15" ht="30.75" customHeight="1" x14ac:dyDescent="0.2">
      <c r="A716" s="135"/>
      <c r="B716" s="135"/>
      <c r="C716" s="80" t="s">
        <v>13</v>
      </c>
      <c r="D716" s="73">
        <f t="shared" si="311"/>
        <v>0</v>
      </c>
      <c r="E716" s="73">
        <f>E763+E774+E790+E802+E809</f>
        <v>0</v>
      </c>
      <c r="F716" s="73">
        <f>F763+F774+F790+F802+F809</f>
        <v>0</v>
      </c>
      <c r="G716" s="73">
        <f>G763+G774+G790+G802+G809</f>
        <v>0</v>
      </c>
      <c r="H716" s="73">
        <f>H763+H774+H790+H802+H809</f>
        <v>0</v>
      </c>
      <c r="I716" s="73">
        <f>I763+I774+I790+I802+I809</f>
        <v>0</v>
      </c>
      <c r="J716" s="73">
        <v>0</v>
      </c>
      <c r="K716" s="73">
        <v>0</v>
      </c>
      <c r="L716" s="73">
        <v>0</v>
      </c>
      <c r="M716" s="73">
        <v>0</v>
      </c>
      <c r="N716" s="73">
        <v>0</v>
      </c>
      <c r="O716" s="73">
        <v>0</v>
      </c>
    </row>
    <row r="717" spans="1:15" ht="21" customHeight="1" x14ac:dyDescent="0.2">
      <c r="A717" s="135" t="s">
        <v>357</v>
      </c>
      <c r="B717" s="135" t="s">
        <v>358</v>
      </c>
      <c r="C717" s="80" t="s">
        <v>7</v>
      </c>
      <c r="D717" s="73">
        <f>E717+F717+G717+H717+I717+J717+K717+L717+M717+N717+O717</f>
        <v>600</v>
      </c>
      <c r="E717" s="73">
        <f t="shared" ref="E717:O717" si="318">E718+E719+E720+E721</f>
        <v>0</v>
      </c>
      <c r="F717" s="73">
        <f t="shared" si="318"/>
        <v>0</v>
      </c>
      <c r="G717" s="73">
        <f t="shared" si="318"/>
        <v>0</v>
      </c>
      <c r="H717" s="73">
        <f t="shared" si="318"/>
        <v>0</v>
      </c>
      <c r="I717" s="73">
        <f t="shared" si="318"/>
        <v>0</v>
      </c>
      <c r="J717" s="73">
        <f t="shared" si="318"/>
        <v>600</v>
      </c>
      <c r="K717" s="73">
        <f t="shared" si="318"/>
        <v>0</v>
      </c>
      <c r="L717" s="73">
        <f t="shared" si="318"/>
        <v>0</v>
      </c>
      <c r="M717" s="73">
        <f t="shared" si="318"/>
        <v>0</v>
      </c>
      <c r="N717" s="73">
        <f t="shared" si="318"/>
        <v>0</v>
      </c>
      <c r="O717" s="73">
        <f t="shared" si="318"/>
        <v>0</v>
      </c>
    </row>
    <row r="718" spans="1:15" ht="21" customHeight="1" x14ac:dyDescent="0.2">
      <c r="A718" s="142"/>
      <c r="B718" s="150"/>
      <c r="C718" s="80" t="s">
        <v>10</v>
      </c>
      <c r="D718" s="73">
        <f>E718+F718+G718+H718+I718+J718+K718+L718+M718+N718+O718</f>
        <v>0</v>
      </c>
      <c r="E718" s="73">
        <f>E723</f>
        <v>0</v>
      </c>
      <c r="F718" s="73">
        <f t="shared" ref="F718:K718" si="319">F723</f>
        <v>0</v>
      </c>
      <c r="G718" s="73">
        <f t="shared" si="319"/>
        <v>0</v>
      </c>
      <c r="H718" s="73">
        <f t="shared" si="319"/>
        <v>0</v>
      </c>
      <c r="I718" s="73">
        <f t="shared" si="319"/>
        <v>0</v>
      </c>
      <c r="J718" s="73">
        <f t="shared" si="319"/>
        <v>0</v>
      </c>
      <c r="K718" s="73">
        <f t="shared" si="319"/>
        <v>0</v>
      </c>
      <c r="L718" s="73">
        <f>L754+L765+L776+L792+L803+L810</f>
        <v>0</v>
      </c>
      <c r="M718" s="73">
        <f>M754+M765+M776+M792+M803+M810</f>
        <v>0</v>
      </c>
      <c r="N718" s="73">
        <f>N754+N765+N776+N792+N803+N810</f>
        <v>0</v>
      </c>
      <c r="O718" s="73">
        <f>O754+O765+O776+O792+O803+O810</f>
        <v>0</v>
      </c>
    </row>
    <row r="719" spans="1:15" ht="21" customHeight="1" x14ac:dyDescent="0.2">
      <c r="A719" s="142"/>
      <c r="B719" s="150"/>
      <c r="C719" s="80" t="s">
        <v>11</v>
      </c>
      <c r="D719" s="73">
        <f t="shared" si="311"/>
        <v>0</v>
      </c>
      <c r="E719" s="73">
        <f t="shared" ref="E719:K719" si="320">E724</f>
        <v>0</v>
      </c>
      <c r="F719" s="73">
        <f t="shared" si="320"/>
        <v>0</v>
      </c>
      <c r="G719" s="73">
        <f t="shared" si="320"/>
        <v>0</v>
      </c>
      <c r="H719" s="73">
        <f t="shared" si="320"/>
        <v>0</v>
      </c>
      <c r="I719" s="73">
        <f t="shared" si="320"/>
        <v>0</v>
      </c>
      <c r="J719" s="73">
        <f t="shared" si="320"/>
        <v>0</v>
      </c>
      <c r="K719" s="73">
        <f t="shared" si="320"/>
        <v>0</v>
      </c>
      <c r="L719" s="73">
        <v>0</v>
      </c>
      <c r="M719" s="73">
        <v>0</v>
      </c>
      <c r="N719" s="73">
        <v>0</v>
      </c>
      <c r="O719" s="73">
        <v>0</v>
      </c>
    </row>
    <row r="720" spans="1:15" ht="21" customHeight="1" x14ac:dyDescent="0.2">
      <c r="A720" s="142"/>
      <c r="B720" s="150"/>
      <c r="C720" s="80" t="s">
        <v>12</v>
      </c>
      <c r="D720" s="73">
        <f t="shared" ref="D720:D726" si="321">E720+F720+G720+H720+I720+J720+K720+L720+M720+N720+O720</f>
        <v>600</v>
      </c>
      <c r="E720" s="73">
        <f t="shared" ref="E720:K720" si="322">E725</f>
        <v>0</v>
      </c>
      <c r="F720" s="73">
        <f t="shared" si="322"/>
        <v>0</v>
      </c>
      <c r="G720" s="73">
        <f t="shared" si="322"/>
        <v>0</v>
      </c>
      <c r="H720" s="73">
        <f t="shared" si="322"/>
        <v>0</v>
      </c>
      <c r="I720" s="73">
        <f t="shared" si="322"/>
        <v>0</v>
      </c>
      <c r="J720" s="73">
        <f t="shared" si="322"/>
        <v>600</v>
      </c>
      <c r="K720" s="73">
        <f t="shared" si="322"/>
        <v>0</v>
      </c>
      <c r="L720" s="73">
        <v>0</v>
      </c>
      <c r="M720" s="73">
        <v>0</v>
      </c>
      <c r="N720" s="73">
        <v>0</v>
      </c>
      <c r="O720" s="73">
        <v>0</v>
      </c>
    </row>
    <row r="721" spans="1:19" ht="41.25" customHeight="1" x14ac:dyDescent="0.2">
      <c r="A721" s="142"/>
      <c r="B721" s="150"/>
      <c r="C721" s="80" t="s">
        <v>13</v>
      </c>
      <c r="D721" s="73">
        <f t="shared" si="321"/>
        <v>0</v>
      </c>
      <c r="E721" s="73">
        <f t="shared" ref="E721:K721" si="323">E726</f>
        <v>0</v>
      </c>
      <c r="F721" s="73">
        <f t="shared" si="323"/>
        <v>0</v>
      </c>
      <c r="G721" s="73">
        <f t="shared" si="323"/>
        <v>0</v>
      </c>
      <c r="H721" s="73">
        <f t="shared" si="323"/>
        <v>0</v>
      </c>
      <c r="I721" s="73">
        <f t="shared" si="323"/>
        <v>0</v>
      </c>
      <c r="J721" s="73">
        <f t="shared" si="323"/>
        <v>0</v>
      </c>
      <c r="K721" s="73">
        <f t="shared" si="323"/>
        <v>0</v>
      </c>
      <c r="L721" s="73">
        <v>0</v>
      </c>
      <c r="M721" s="73">
        <v>0</v>
      </c>
      <c r="N721" s="73">
        <v>0</v>
      </c>
      <c r="O721" s="73">
        <v>0</v>
      </c>
    </row>
    <row r="722" spans="1:19" ht="15.75" x14ac:dyDescent="0.2">
      <c r="A722" s="135" t="s">
        <v>359</v>
      </c>
      <c r="B722" s="135" t="s">
        <v>360</v>
      </c>
      <c r="C722" s="80" t="s">
        <v>7</v>
      </c>
      <c r="D722" s="73">
        <f t="shared" si="321"/>
        <v>600</v>
      </c>
      <c r="E722" s="73">
        <f t="shared" ref="E722:O722" si="324">E723+E724+E725+E726</f>
        <v>0</v>
      </c>
      <c r="F722" s="73">
        <f t="shared" si="324"/>
        <v>0</v>
      </c>
      <c r="G722" s="73">
        <f t="shared" si="324"/>
        <v>0</v>
      </c>
      <c r="H722" s="73">
        <f t="shared" si="324"/>
        <v>0</v>
      </c>
      <c r="I722" s="73">
        <f t="shared" si="324"/>
        <v>0</v>
      </c>
      <c r="J722" s="73">
        <f t="shared" si="324"/>
        <v>600</v>
      </c>
      <c r="K722" s="73">
        <f t="shared" si="324"/>
        <v>0</v>
      </c>
      <c r="L722" s="73">
        <f t="shared" si="324"/>
        <v>0</v>
      </c>
      <c r="M722" s="73">
        <f t="shared" si="324"/>
        <v>0</v>
      </c>
      <c r="N722" s="73">
        <f t="shared" si="324"/>
        <v>0</v>
      </c>
      <c r="O722" s="73">
        <f t="shared" si="324"/>
        <v>0</v>
      </c>
    </row>
    <row r="723" spans="1:19" ht="15.75" x14ac:dyDescent="0.2">
      <c r="A723" s="135"/>
      <c r="B723" s="135"/>
      <c r="C723" s="80" t="s">
        <v>10</v>
      </c>
      <c r="D723" s="73">
        <f t="shared" si="321"/>
        <v>0</v>
      </c>
      <c r="E723" s="73">
        <f t="shared" ref="E723:O723" si="325">E760+E770+E781+E797+E808+E815</f>
        <v>0</v>
      </c>
      <c r="F723" s="73">
        <f t="shared" si="325"/>
        <v>0</v>
      </c>
      <c r="G723" s="73">
        <f t="shared" si="325"/>
        <v>0</v>
      </c>
      <c r="H723" s="73">
        <f t="shared" si="325"/>
        <v>0</v>
      </c>
      <c r="I723" s="73">
        <f t="shared" si="325"/>
        <v>0</v>
      </c>
      <c r="J723" s="73">
        <f t="shared" si="325"/>
        <v>0</v>
      </c>
      <c r="K723" s="73">
        <f t="shared" si="325"/>
        <v>0</v>
      </c>
      <c r="L723" s="73">
        <f t="shared" si="325"/>
        <v>0</v>
      </c>
      <c r="M723" s="73">
        <f t="shared" si="325"/>
        <v>0</v>
      </c>
      <c r="N723" s="73">
        <f t="shared" si="325"/>
        <v>0</v>
      </c>
      <c r="O723" s="73">
        <f t="shared" si="325"/>
        <v>0</v>
      </c>
    </row>
    <row r="724" spans="1:19" ht="15.75" x14ac:dyDescent="0.2">
      <c r="A724" s="135"/>
      <c r="B724" s="135"/>
      <c r="C724" s="80" t="s">
        <v>11</v>
      </c>
      <c r="D724" s="73">
        <f t="shared" si="321"/>
        <v>0</v>
      </c>
      <c r="E724" s="73">
        <v>0</v>
      </c>
      <c r="F724" s="73">
        <v>0</v>
      </c>
      <c r="G724" s="73">
        <v>0</v>
      </c>
      <c r="H724" s="73">
        <v>0</v>
      </c>
      <c r="I724" s="73">
        <v>0</v>
      </c>
      <c r="J724" s="73">
        <v>0</v>
      </c>
      <c r="K724" s="73">
        <v>0</v>
      </c>
      <c r="L724" s="73">
        <v>0</v>
      </c>
      <c r="M724" s="73">
        <v>0</v>
      </c>
      <c r="N724" s="73">
        <v>0</v>
      </c>
      <c r="O724" s="73">
        <v>0</v>
      </c>
    </row>
    <row r="725" spans="1:19" ht="15.75" x14ac:dyDescent="0.2">
      <c r="A725" s="135"/>
      <c r="B725" s="135"/>
      <c r="C725" s="80" t="s">
        <v>12</v>
      </c>
      <c r="D725" s="73">
        <f t="shared" si="321"/>
        <v>600</v>
      </c>
      <c r="E725" s="73">
        <v>0</v>
      </c>
      <c r="F725" s="73">
        <v>0</v>
      </c>
      <c r="G725" s="73">
        <v>0</v>
      </c>
      <c r="H725" s="73">
        <v>0</v>
      </c>
      <c r="I725" s="73">
        <v>0</v>
      </c>
      <c r="J725" s="73">
        <v>600</v>
      </c>
      <c r="K725" s="73">
        <v>0</v>
      </c>
      <c r="L725" s="73">
        <v>0</v>
      </c>
      <c r="M725" s="73">
        <v>0</v>
      </c>
      <c r="N725" s="73">
        <v>0</v>
      </c>
      <c r="O725" s="73">
        <v>0</v>
      </c>
    </row>
    <row r="726" spans="1:19" ht="24" customHeight="1" x14ac:dyDescent="0.2">
      <c r="A726" s="135"/>
      <c r="B726" s="135"/>
      <c r="C726" s="80" t="s">
        <v>13</v>
      </c>
      <c r="D726" s="73">
        <f t="shared" si="321"/>
        <v>0</v>
      </c>
      <c r="E726" s="73">
        <f>E773+E784+E800+E812+E819</f>
        <v>0</v>
      </c>
      <c r="F726" s="73">
        <f>F773+F784+F800+F812+F819</f>
        <v>0</v>
      </c>
      <c r="G726" s="73">
        <f>G773+G784+G800+G812+G819</f>
        <v>0</v>
      </c>
      <c r="H726" s="73">
        <f>H773+H784+H800+H812+H819</f>
        <v>0</v>
      </c>
      <c r="I726" s="73">
        <f>I773+I784+I800+I812+I819</f>
        <v>0</v>
      </c>
      <c r="J726" s="73">
        <v>0</v>
      </c>
      <c r="K726" s="73">
        <v>0</v>
      </c>
      <c r="L726" s="73">
        <v>0</v>
      </c>
      <c r="M726" s="73">
        <v>0</v>
      </c>
      <c r="N726" s="73">
        <v>0</v>
      </c>
      <c r="O726" s="73">
        <v>0</v>
      </c>
    </row>
    <row r="727" spans="1:19" ht="24" customHeight="1" x14ac:dyDescent="0.2">
      <c r="A727" s="135" t="s">
        <v>392</v>
      </c>
      <c r="B727" s="135" t="s">
        <v>394</v>
      </c>
      <c r="C727" s="80" t="s">
        <v>7</v>
      </c>
      <c r="D727" s="73">
        <f>E727+F727+G727+H727+I727+J727+K727+L727+M727+N727+O727</f>
        <v>25999.5</v>
      </c>
      <c r="E727" s="73">
        <f>E728+E729+E730+E731</f>
        <v>0</v>
      </c>
      <c r="F727" s="73">
        <f t="shared" ref="F727:O727" si="326">F728+F729+F730+F731</f>
        <v>0</v>
      </c>
      <c r="G727" s="73">
        <f t="shared" si="326"/>
        <v>0</v>
      </c>
      <c r="H727" s="73">
        <f t="shared" si="326"/>
        <v>0</v>
      </c>
      <c r="I727" s="73">
        <f t="shared" si="326"/>
        <v>0</v>
      </c>
      <c r="J727" s="73">
        <f t="shared" si="326"/>
        <v>0</v>
      </c>
      <c r="K727" s="73">
        <f t="shared" si="326"/>
        <v>13798.2</v>
      </c>
      <c r="L727" s="73">
        <f t="shared" si="326"/>
        <v>5613</v>
      </c>
      <c r="M727" s="73">
        <f t="shared" si="326"/>
        <v>6588.2999999999993</v>
      </c>
      <c r="N727" s="73">
        <f t="shared" si="326"/>
        <v>0</v>
      </c>
      <c r="O727" s="73">
        <f t="shared" si="326"/>
        <v>0</v>
      </c>
    </row>
    <row r="728" spans="1:19" ht="24" customHeight="1" x14ac:dyDescent="0.2">
      <c r="A728" s="142"/>
      <c r="B728" s="150"/>
      <c r="C728" s="80" t="s">
        <v>10</v>
      </c>
      <c r="D728" s="73">
        <f t="shared" ref="D728:D736" si="327">E728+F728+G728+H728+I728+J728+K728+L728+M728+N728+O728</f>
        <v>0</v>
      </c>
      <c r="E728" s="73">
        <f t="shared" ref="E728:I728" si="328">E765+E775+E786+E802+E813+E820</f>
        <v>0</v>
      </c>
      <c r="F728" s="73">
        <f t="shared" si="328"/>
        <v>0</v>
      </c>
      <c r="G728" s="73">
        <f t="shared" si="328"/>
        <v>0</v>
      </c>
      <c r="H728" s="73">
        <f t="shared" si="328"/>
        <v>0</v>
      </c>
      <c r="I728" s="73">
        <f t="shared" si="328"/>
        <v>0</v>
      </c>
      <c r="J728" s="73">
        <v>0</v>
      </c>
      <c r="K728" s="73">
        <f t="shared" ref="K728:O728" si="329">K765+K775+K786+K802+K813+K820</f>
        <v>0</v>
      </c>
      <c r="L728" s="73">
        <f t="shared" si="329"/>
        <v>0</v>
      </c>
      <c r="M728" s="73">
        <f t="shared" si="329"/>
        <v>0</v>
      </c>
      <c r="N728" s="73">
        <f t="shared" si="329"/>
        <v>0</v>
      </c>
      <c r="O728" s="73">
        <f t="shared" si="329"/>
        <v>0</v>
      </c>
    </row>
    <row r="729" spans="1:19" ht="24" customHeight="1" x14ac:dyDescent="0.2">
      <c r="A729" s="142"/>
      <c r="B729" s="150"/>
      <c r="C729" s="80" t="s">
        <v>11</v>
      </c>
      <c r="D729" s="73">
        <f t="shared" si="327"/>
        <v>0</v>
      </c>
      <c r="E729" s="73">
        <v>0</v>
      </c>
      <c r="F729" s="73">
        <v>0</v>
      </c>
      <c r="G729" s="73">
        <v>0</v>
      </c>
      <c r="H729" s="73">
        <v>0</v>
      </c>
      <c r="I729" s="73">
        <v>0</v>
      </c>
      <c r="J729" s="73">
        <v>0</v>
      </c>
      <c r="K729" s="73">
        <v>0</v>
      </c>
      <c r="L729" s="73">
        <v>0</v>
      </c>
      <c r="M729" s="73">
        <v>0</v>
      </c>
      <c r="N729" s="73">
        <v>0</v>
      </c>
      <c r="O729" s="73">
        <v>0</v>
      </c>
    </row>
    <row r="730" spans="1:19" ht="24" customHeight="1" x14ac:dyDescent="0.2">
      <c r="A730" s="142"/>
      <c r="B730" s="150"/>
      <c r="C730" s="80" t="s">
        <v>12</v>
      </c>
      <c r="D730" s="73">
        <f t="shared" si="327"/>
        <v>25999.5</v>
      </c>
      <c r="E730" s="73">
        <v>0</v>
      </c>
      <c r="F730" s="73">
        <v>0</v>
      </c>
      <c r="G730" s="73">
        <v>0</v>
      </c>
      <c r="H730" s="73">
        <v>0</v>
      </c>
      <c r="I730" s="73">
        <v>0</v>
      </c>
      <c r="J730" s="73">
        <f>J735</f>
        <v>0</v>
      </c>
      <c r="K730" s="73">
        <f>K735</f>
        <v>13798.2</v>
      </c>
      <c r="L730" s="73">
        <f>L735+L740</f>
        <v>5613</v>
      </c>
      <c r="M730" s="73">
        <f t="shared" ref="M730:S730" si="330">M735+M740</f>
        <v>6588.2999999999993</v>
      </c>
      <c r="N730" s="73">
        <f t="shared" si="330"/>
        <v>0</v>
      </c>
      <c r="O730" s="73">
        <f t="shared" si="330"/>
        <v>0</v>
      </c>
      <c r="P730" s="73">
        <f t="shared" si="330"/>
        <v>0</v>
      </c>
      <c r="Q730" s="73">
        <f t="shared" si="330"/>
        <v>0</v>
      </c>
      <c r="R730" s="73">
        <f t="shared" si="330"/>
        <v>0</v>
      </c>
      <c r="S730" s="73">
        <f t="shared" si="330"/>
        <v>0</v>
      </c>
    </row>
    <row r="731" spans="1:19" ht="24" customHeight="1" x14ac:dyDescent="0.2">
      <c r="A731" s="142"/>
      <c r="B731" s="150"/>
      <c r="C731" s="80" t="s">
        <v>13</v>
      </c>
      <c r="D731" s="73">
        <f t="shared" si="327"/>
        <v>0</v>
      </c>
      <c r="E731" s="73">
        <f>E778+E789+E805+E817+E824</f>
        <v>0</v>
      </c>
      <c r="F731" s="73">
        <f>F778+F789+F805+F817+F824</f>
        <v>0</v>
      </c>
      <c r="G731" s="73">
        <f>G778+G789+G805+G817+G824</f>
        <v>0</v>
      </c>
      <c r="H731" s="73">
        <f>H778+H789+H805+H817+H824</f>
        <v>0</v>
      </c>
      <c r="I731" s="73">
        <f>I778+I789+I805+I817+I824</f>
        <v>0</v>
      </c>
      <c r="J731" s="73">
        <v>0</v>
      </c>
      <c r="K731" s="73">
        <v>0</v>
      </c>
      <c r="L731" s="73">
        <v>0</v>
      </c>
      <c r="M731" s="73">
        <v>0</v>
      </c>
      <c r="N731" s="73">
        <v>0</v>
      </c>
      <c r="O731" s="73">
        <v>0</v>
      </c>
    </row>
    <row r="732" spans="1:19" ht="24" customHeight="1" x14ac:dyDescent="0.2">
      <c r="A732" s="135" t="s">
        <v>393</v>
      </c>
      <c r="B732" s="135" t="s">
        <v>395</v>
      </c>
      <c r="C732" s="80" t="s">
        <v>7</v>
      </c>
      <c r="D732" s="73">
        <f t="shared" ref="D732:N732" si="331">D733+D734+D735+D736</f>
        <v>18358.600000000002</v>
      </c>
      <c r="E732" s="73">
        <f t="shared" si="331"/>
        <v>0</v>
      </c>
      <c r="F732" s="73">
        <f t="shared" si="331"/>
        <v>0</v>
      </c>
      <c r="G732" s="73">
        <f t="shared" si="331"/>
        <v>0</v>
      </c>
      <c r="H732" s="73">
        <f t="shared" si="331"/>
        <v>0</v>
      </c>
      <c r="I732" s="73">
        <f t="shared" si="331"/>
        <v>0</v>
      </c>
      <c r="J732" s="73">
        <f t="shared" si="331"/>
        <v>0</v>
      </c>
      <c r="K732" s="73">
        <f t="shared" si="331"/>
        <v>13798.2</v>
      </c>
      <c r="L732" s="73">
        <f t="shared" si="331"/>
        <v>598</v>
      </c>
      <c r="M732" s="73">
        <f t="shared" si="331"/>
        <v>3962.4</v>
      </c>
      <c r="N732" s="73">
        <f t="shared" si="331"/>
        <v>0</v>
      </c>
      <c r="O732" s="73"/>
    </row>
    <row r="733" spans="1:19" ht="24" customHeight="1" x14ac:dyDescent="0.2">
      <c r="A733" s="135"/>
      <c r="B733" s="135"/>
      <c r="C733" s="80" t="s">
        <v>10</v>
      </c>
      <c r="D733" s="73">
        <f>E733+F733+G733+H733+I733+J733+K733+L733+M733+N733+O733</f>
        <v>0</v>
      </c>
      <c r="E733" s="73">
        <f t="shared" ref="E733:I733" si="332">E770+E780+E791+E807+E818+E825</f>
        <v>0</v>
      </c>
      <c r="F733" s="73">
        <f t="shared" si="332"/>
        <v>0</v>
      </c>
      <c r="G733" s="73">
        <f t="shared" si="332"/>
        <v>0</v>
      </c>
      <c r="H733" s="73">
        <f t="shared" si="332"/>
        <v>0</v>
      </c>
      <c r="I733" s="73">
        <f t="shared" si="332"/>
        <v>0</v>
      </c>
      <c r="J733" s="73">
        <v>0</v>
      </c>
      <c r="K733" s="73">
        <f t="shared" ref="K733:O733" si="333">K770+K780+K791+K807+K818+K825</f>
        <v>0</v>
      </c>
      <c r="L733" s="73">
        <f t="shared" si="333"/>
        <v>0</v>
      </c>
      <c r="M733" s="73">
        <f t="shared" si="333"/>
        <v>0</v>
      </c>
      <c r="N733" s="73">
        <f t="shared" si="333"/>
        <v>0</v>
      </c>
      <c r="O733" s="73">
        <f t="shared" si="333"/>
        <v>0</v>
      </c>
    </row>
    <row r="734" spans="1:19" ht="24" customHeight="1" x14ac:dyDescent="0.2">
      <c r="A734" s="135"/>
      <c r="B734" s="135"/>
      <c r="C734" s="80" t="s">
        <v>11</v>
      </c>
      <c r="D734" s="73">
        <f t="shared" si="327"/>
        <v>0</v>
      </c>
      <c r="E734" s="73">
        <v>0</v>
      </c>
      <c r="F734" s="73">
        <v>0</v>
      </c>
      <c r="G734" s="73">
        <v>0</v>
      </c>
      <c r="H734" s="73">
        <v>0</v>
      </c>
      <c r="I734" s="73">
        <v>0</v>
      </c>
      <c r="J734" s="73">
        <v>0</v>
      </c>
      <c r="K734" s="73">
        <v>0</v>
      </c>
      <c r="L734" s="73">
        <v>0</v>
      </c>
      <c r="M734" s="73">
        <v>0</v>
      </c>
      <c r="N734" s="73">
        <v>0</v>
      </c>
      <c r="O734" s="73">
        <v>0</v>
      </c>
    </row>
    <row r="735" spans="1:19" ht="24" customHeight="1" x14ac:dyDescent="0.2">
      <c r="A735" s="135"/>
      <c r="B735" s="135"/>
      <c r="C735" s="80" t="s">
        <v>12</v>
      </c>
      <c r="D735" s="73">
        <f t="shared" si="327"/>
        <v>18358.600000000002</v>
      </c>
      <c r="E735" s="73">
        <v>0</v>
      </c>
      <c r="F735" s="73">
        <v>0</v>
      </c>
      <c r="G735" s="73">
        <v>0</v>
      </c>
      <c r="H735" s="73">
        <v>0</v>
      </c>
      <c r="I735" s="73">
        <v>0</v>
      </c>
      <c r="J735" s="73">
        <v>0</v>
      </c>
      <c r="K735" s="73">
        <f>19000-5201.8+71.4-71.4</f>
        <v>13798.2</v>
      </c>
      <c r="L735" s="73">
        <f>700+8000-8000-102</f>
        <v>598</v>
      </c>
      <c r="M735" s="73">
        <f>0+3962.4</f>
        <v>3962.4</v>
      </c>
      <c r="N735" s="73">
        <v>0</v>
      </c>
      <c r="O735" s="73">
        <v>0</v>
      </c>
    </row>
    <row r="736" spans="1:19" ht="24" customHeight="1" x14ac:dyDescent="0.2">
      <c r="A736" s="135"/>
      <c r="B736" s="135"/>
      <c r="C736" s="80" t="s">
        <v>13</v>
      </c>
      <c r="D736" s="73">
        <f t="shared" si="327"/>
        <v>0</v>
      </c>
      <c r="E736" s="73">
        <f>E783+E794+E810+E822+E829</f>
        <v>0</v>
      </c>
      <c r="F736" s="73">
        <f>F783+F794+F810+F822+F829</f>
        <v>0</v>
      </c>
      <c r="G736" s="73">
        <f>G783+G794+G810+G822+G829</f>
        <v>0</v>
      </c>
      <c r="H736" s="73">
        <f>H783+H794+H810+H822+H829</f>
        <v>0</v>
      </c>
      <c r="I736" s="73">
        <f>I783+I794+I810+I822+I829</f>
        <v>0</v>
      </c>
      <c r="J736" s="73">
        <v>0</v>
      </c>
      <c r="K736" s="73">
        <v>0</v>
      </c>
      <c r="L736" s="73">
        <v>0</v>
      </c>
      <c r="M736" s="73">
        <v>0</v>
      </c>
      <c r="N736" s="73">
        <v>0</v>
      </c>
      <c r="O736" s="73">
        <v>0</v>
      </c>
    </row>
    <row r="737" spans="1:17" ht="24" customHeight="1" x14ac:dyDescent="0.2">
      <c r="A737" s="135" t="s">
        <v>416</v>
      </c>
      <c r="B737" s="143" t="s">
        <v>417</v>
      </c>
      <c r="C737" s="80" t="s">
        <v>7</v>
      </c>
      <c r="D737" s="73">
        <f t="shared" ref="D737:N737" si="334">D738+D739+D740+D741</f>
        <v>7640.9</v>
      </c>
      <c r="E737" s="73">
        <f t="shared" si="334"/>
        <v>0</v>
      </c>
      <c r="F737" s="73">
        <f t="shared" si="334"/>
        <v>0</v>
      </c>
      <c r="G737" s="73">
        <f t="shared" si="334"/>
        <v>0</v>
      </c>
      <c r="H737" s="73">
        <f t="shared" si="334"/>
        <v>0</v>
      </c>
      <c r="I737" s="73">
        <f t="shared" si="334"/>
        <v>0</v>
      </c>
      <c r="J737" s="73">
        <f t="shared" si="334"/>
        <v>0</v>
      </c>
      <c r="K737" s="73">
        <f t="shared" si="334"/>
        <v>0</v>
      </c>
      <c r="L737" s="73">
        <f t="shared" si="334"/>
        <v>5015</v>
      </c>
      <c r="M737" s="73">
        <f t="shared" si="334"/>
        <v>2625.8999999999996</v>
      </c>
      <c r="N737" s="73">
        <f t="shared" si="334"/>
        <v>0</v>
      </c>
      <c r="O737" s="73"/>
    </row>
    <row r="738" spans="1:17" ht="24" customHeight="1" x14ac:dyDescent="0.2">
      <c r="A738" s="135"/>
      <c r="B738" s="143"/>
      <c r="C738" s="80" t="s">
        <v>10</v>
      </c>
      <c r="D738" s="73">
        <f>E738+F738+G738+H738+I738+J738+K738+L738+M738+N738+O738</f>
        <v>0</v>
      </c>
      <c r="E738" s="73">
        <f t="shared" ref="E738:I738" si="335">E775+E785+E796+E812+E823+E830</f>
        <v>0</v>
      </c>
      <c r="F738" s="73">
        <f t="shared" si="335"/>
        <v>0</v>
      </c>
      <c r="G738" s="73">
        <f t="shared" si="335"/>
        <v>0</v>
      </c>
      <c r="H738" s="73">
        <f t="shared" si="335"/>
        <v>0</v>
      </c>
      <c r="I738" s="73">
        <f t="shared" si="335"/>
        <v>0</v>
      </c>
      <c r="J738" s="73">
        <v>0</v>
      </c>
      <c r="K738" s="73">
        <f t="shared" ref="K738:O738" si="336">K775+K785+K796+K812+K823+K830</f>
        <v>0</v>
      </c>
      <c r="L738" s="73">
        <f t="shared" si="336"/>
        <v>0</v>
      </c>
      <c r="M738" s="73">
        <f t="shared" si="336"/>
        <v>0</v>
      </c>
      <c r="N738" s="73">
        <f t="shared" si="336"/>
        <v>0</v>
      </c>
      <c r="O738" s="73">
        <f t="shared" si="336"/>
        <v>0</v>
      </c>
    </row>
    <row r="739" spans="1:17" ht="24" customHeight="1" x14ac:dyDescent="0.2">
      <c r="A739" s="135"/>
      <c r="B739" s="143"/>
      <c r="C739" s="80" t="s">
        <v>11</v>
      </c>
      <c r="D739" s="73">
        <f t="shared" ref="D739:D741" si="337">E739+F739+G739+H739+I739+J739+K739+L739+M739+N739+O739</f>
        <v>0</v>
      </c>
      <c r="E739" s="73">
        <v>0</v>
      </c>
      <c r="F739" s="73">
        <v>0</v>
      </c>
      <c r="G739" s="73">
        <v>0</v>
      </c>
      <c r="H739" s="73">
        <v>0</v>
      </c>
      <c r="I739" s="73">
        <v>0</v>
      </c>
      <c r="J739" s="73">
        <v>0</v>
      </c>
      <c r="K739" s="73">
        <v>0</v>
      </c>
      <c r="L739" s="73">
        <v>0</v>
      </c>
      <c r="M739" s="73">
        <v>0</v>
      </c>
      <c r="N739" s="73">
        <v>0</v>
      </c>
      <c r="O739" s="73">
        <v>0</v>
      </c>
    </row>
    <row r="740" spans="1:17" ht="24" customHeight="1" x14ac:dyDescent="0.2">
      <c r="A740" s="135"/>
      <c r="B740" s="143"/>
      <c r="C740" s="80" t="s">
        <v>12</v>
      </c>
      <c r="D740" s="73">
        <f t="shared" si="337"/>
        <v>7640.9</v>
      </c>
      <c r="E740" s="73">
        <v>0</v>
      </c>
      <c r="F740" s="73">
        <v>0</v>
      </c>
      <c r="G740" s="73">
        <v>0</v>
      </c>
      <c r="H740" s="73">
        <v>0</v>
      </c>
      <c r="I740" s="73">
        <v>0</v>
      </c>
      <c r="J740" s="73">
        <v>0</v>
      </c>
      <c r="K740" s="73">
        <v>0</v>
      </c>
      <c r="L740" s="73">
        <f>2484.5+2515.5+15</f>
        <v>5015</v>
      </c>
      <c r="M740" s="73">
        <f>1435.1+1190.8</f>
        <v>2625.8999999999996</v>
      </c>
      <c r="N740" s="73">
        <v>0</v>
      </c>
      <c r="O740" s="73">
        <v>0</v>
      </c>
    </row>
    <row r="741" spans="1:17" ht="24" customHeight="1" x14ac:dyDescent="0.2">
      <c r="A741" s="135"/>
      <c r="B741" s="143"/>
      <c r="C741" s="80" t="s">
        <v>13</v>
      </c>
      <c r="D741" s="73">
        <f t="shared" si="337"/>
        <v>0</v>
      </c>
      <c r="E741" s="73">
        <f>E788+E799+E815+E827+E834</f>
        <v>0</v>
      </c>
      <c r="F741" s="73">
        <f>F788+F799+F815+F827+F834</f>
        <v>0</v>
      </c>
      <c r="G741" s="73">
        <f>G788+G799+G815+G827+G834</f>
        <v>0</v>
      </c>
      <c r="H741" s="73">
        <f>H788+H799+H815+H827+H834</f>
        <v>0</v>
      </c>
      <c r="I741" s="73">
        <f>I788+I799+I815+I827+I834</f>
        <v>0</v>
      </c>
      <c r="J741" s="73">
        <v>0</v>
      </c>
      <c r="K741" s="73">
        <v>0</v>
      </c>
      <c r="L741" s="73">
        <v>0</v>
      </c>
      <c r="M741" s="73">
        <v>0</v>
      </c>
      <c r="N741" s="73">
        <v>0</v>
      </c>
      <c r="O741" s="73">
        <v>0</v>
      </c>
    </row>
    <row r="742" spans="1:17" ht="15.75" x14ac:dyDescent="0.2">
      <c r="A742" s="145" t="s">
        <v>42</v>
      </c>
      <c r="B742" s="156" t="s">
        <v>327</v>
      </c>
      <c r="C742" s="77" t="s">
        <v>7</v>
      </c>
      <c r="D742" s="70">
        <f t="shared" si="311"/>
        <v>584661.07500000007</v>
      </c>
      <c r="E742" s="70">
        <f t="shared" ref="E742:O742" si="338">E745+E743+E744+E746</f>
        <v>31873.5</v>
      </c>
      <c r="F742" s="70">
        <f t="shared" si="338"/>
        <v>32215.200000000001</v>
      </c>
      <c r="G742" s="70">
        <f t="shared" si="338"/>
        <v>32536.1</v>
      </c>
      <c r="H742" s="70">
        <f t="shared" si="338"/>
        <v>34467.4</v>
      </c>
      <c r="I742" s="70">
        <f t="shared" si="338"/>
        <v>42249.1</v>
      </c>
      <c r="J742" s="70">
        <f t="shared" si="338"/>
        <v>51925.4</v>
      </c>
      <c r="K742" s="70">
        <f t="shared" si="338"/>
        <v>66037.599999999991</v>
      </c>
      <c r="L742" s="70">
        <f t="shared" si="338"/>
        <v>68745.7</v>
      </c>
      <c r="M742" s="70">
        <f t="shared" si="338"/>
        <v>71951.274999999994</v>
      </c>
      <c r="N742" s="70">
        <f t="shared" si="338"/>
        <v>74615.900000000009</v>
      </c>
      <c r="O742" s="70">
        <f t="shared" si="338"/>
        <v>78043.900000000009</v>
      </c>
      <c r="P742" s="61">
        <f>D743+D744+D745+D746</f>
        <v>584661.07500000007</v>
      </c>
      <c r="Q742" s="61"/>
    </row>
    <row r="743" spans="1:17" ht="19.5" customHeight="1" x14ac:dyDescent="0.2">
      <c r="A743" s="145"/>
      <c r="B743" s="156"/>
      <c r="C743" s="78" t="s">
        <v>10</v>
      </c>
      <c r="D743" s="73">
        <f t="shared" si="311"/>
        <v>0</v>
      </c>
      <c r="E743" s="73">
        <f t="shared" ref="E743:K746" si="339">E748</f>
        <v>0</v>
      </c>
      <c r="F743" s="73">
        <f t="shared" si="339"/>
        <v>0</v>
      </c>
      <c r="G743" s="73">
        <f t="shared" si="339"/>
        <v>0</v>
      </c>
      <c r="H743" s="73">
        <f t="shared" si="339"/>
        <v>0</v>
      </c>
      <c r="I743" s="73">
        <f t="shared" si="339"/>
        <v>0</v>
      </c>
      <c r="J743" s="73">
        <f t="shared" si="339"/>
        <v>0</v>
      </c>
      <c r="K743" s="73">
        <f t="shared" si="339"/>
        <v>0</v>
      </c>
      <c r="L743" s="73">
        <f t="shared" ref="L743:O744" si="340">L748</f>
        <v>0</v>
      </c>
      <c r="M743" s="73">
        <f t="shared" si="340"/>
        <v>0</v>
      </c>
      <c r="N743" s="73">
        <f t="shared" si="340"/>
        <v>0</v>
      </c>
      <c r="O743" s="73">
        <f t="shared" si="340"/>
        <v>0</v>
      </c>
    </row>
    <row r="744" spans="1:17" ht="16.5" customHeight="1" x14ac:dyDescent="0.2">
      <c r="A744" s="145"/>
      <c r="B744" s="156"/>
      <c r="C744" s="78" t="s">
        <v>11</v>
      </c>
      <c r="D744" s="73">
        <f t="shared" si="311"/>
        <v>0</v>
      </c>
      <c r="E744" s="73">
        <f t="shared" si="339"/>
        <v>0</v>
      </c>
      <c r="F744" s="73">
        <f t="shared" si="339"/>
        <v>0</v>
      </c>
      <c r="G744" s="73">
        <f t="shared" si="339"/>
        <v>0</v>
      </c>
      <c r="H744" s="73">
        <f t="shared" si="339"/>
        <v>0</v>
      </c>
      <c r="I744" s="73">
        <f t="shared" si="339"/>
        <v>0</v>
      </c>
      <c r="J744" s="73">
        <f>J749</f>
        <v>0</v>
      </c>
      <c r="K744" s="73">
        <f>K749</f>
        <v>0</v>
      </c>
      <c r="L744" s="73">
        <f t="shared" si="340"/>
        <v>0</v>
      </c>
      <c r="M744" s="73">
        <f t="shared" si="340"/>
        <v>0</v>
      </c>
      <c r="N744" s="73">
        <f t="shared" si="340"/>
        <v>0</v>
      </c>
      <c r="O744" s="73">
        <f t="shared" si="340"/>
        <v>0</v>
      </c>
    </row>
    <row r="745" spans="1:17" ht="15" customHeight="1" x14ac:dyDescent="0.2">
      <c r="A745" s="145"/>
      <c r="B745" s="156"/>
      <c r="C745" s="78" t="s">
        <v>12</v>
      </c>
      <c r="D745" s="73">
        <f t="shared" si="311"/>
        <v>584661.07500000007</v>
      </c>
      <c r="E745" s="73">
        <f>E750</f>
        <v>31873.5</v>
      </c>
      <c r="F745" s="73">
        <f t="shared" si="339"/>
        <v>32215.200000000001</v>
      </c>
      <c r="G745" s="73">
        <f>G747</f>
        <v>32536.1</v>
      </c>
      <c r="H745" s="73">
        <f>H747</f>
        <v>34467.4</v>
      </c>
      <c r="I745" s="73">
        <f>I747</f>
        <v>42249.1</v>
      </c>
      <c r="J745" s="73">
        <f t="shared" ref="J745:M745" si="341">J750</f>
        <v>51925.4</v>
      </c>
      <c r="K745" s="73">
        <f t="shared" si="341"/>
        <v>66037.599999999991</v>
      </c>
      <c r="L745" s="73">
        <f t="shared" si="341"/>
        <v>68745.7</v>
      </c>
      <c r="M745" s="73">
        <f t="shared" si="341"/>
        <v>71951.274999999994</v>
      </c>
      <c r="N745" s="73">
        <f>N750</f>
        <v>74615.900000000009</v>
      </c>
      <c r="O745" s="73">
        <f>O750</f>
        <v>78043.900000000009</v>
      </c>
    </row>
    <row r="746" spans="1:17" s="95" customFormat="1" ht="45" customHeight="1" x14ac:dyDescent="0.25">
      <c r="A746" s="145"/>
      <c r="B746" s="156"/>
      <c r="C746" s="78" t="s">
        <v>13</v>
      </c>
      <c r="D746" s="73">
        <f t="shared" si="311"/>
        <v>0</v>
      </c>
      <c r="E746" s="73">
        <f t="shared" si="339"/>
        <v>0</v>
      </c>
      <c r="F746" s="73">
        <f t="shared" si="339"/>
        <v>0</v>
      </c>
      <c r="G746" s="73">
        <f t="shared" si="339"/>
        <v>0</v>
      </c>
      <c r="H746" s="73">
        <f t="shared" si="339"/>
        <v>0</v>
      </c>
      <c r="I746" s="73">
        <f t="shared" si="339"/>
        <v>0</v>
      </c>
      <c r="J746" s="73">
        <f t="shared" ref="J746:O746" si="342">J751</f>
        <v>0</v>
      </c>
      <c r="K746" s="73">
        <f t="shared" si="342"/>
        <v>0</v>
      </c>
      <c r="L746" s="73">
        <f t="shared" si="342"/>
        <v>0</v>
      </c>
      <c r="M746" s="73">
        <f t="shared" si="342"/>
        <v>0</v>
      </c>
      <c r="N746" s="73">
        <f t="shared" si="342"/>
        <v>0</v>
      </c>
      <c r="O746" s="73">
        <f t="shared" si="342"/>
        <v>0</v>
      </c>
    </row>
    <row r="747" spans="1:17" ht="15.75" customHeight="1" x14ac:dyDescent="0.2">
      <c r="A747" s="135" t="s">
        <v>334</v>
      </c>
      <c r="B747" s="143" t="s">
        <v>144</v>
      </c>
      <c r="C747" s="78" t="s">
        <v>7</v>
      </c>
      <c r="D747" s="73">
        <f t="shared" si="311"/>
        <v>584661.07500000007</v>
      </c>
      <c r="E747" s="73">
        <f t="shared" ref="E747:O747" si="343">SUM(E748:E751)</f>
        <v>31873.5</v>
      </c>
      <c r="F747" s="73">
        <f t="shared" si="343"/>
        <v>32215.200000000001</v>
      </c>
      <c r="G747" s="73">
        <f t="shared" si="343"/>
        <v>32536.1</v>
      </c>
      <c r="H747" s="73">
        <f t="shared" si="343"/>
        <v>34467.4</v>
      </c>
      <c r="I747" s="73">
        <f t="shared" si="343"/>
        <v>42249.1</v>
      </c>
      <c r="J747" s="73">
        <f t="shared" si="343"/>
        <v>51925.4</v>
      </c>
      <c r="K747" s="73">
        <f t="shared" si="343"/>
        <v>66037.599999999991</v>
      </c>
      <c r="L747" s="73">
        <f t="shared" si="343"/>
        <v>68745.7</v>
      </c>
      <c r="M747" s="73">
        <f t="shared" si="343"/>
        <v>71951.274999999994</v>
      </c>
      <c r="N747" s="73">
        <f t="shared" si="343"/>
        <v>74615.900000000009</v>
      </c>
      <c r="O747" s="73">
        <f t="shared" si="343"/>
        <v>78043.900000000009</v>
      </c>
    </row>
    <row r="748" spans="1:17" ht="17.25" customHeight="1" x14ac:dyDescent="0.2">
      <c r="A748" s="135"/>
      <c r="B748" s="143"/>
      <c r="C748" s="78" t="s">
        <v>10</v>
      </c>
      <c r="D748" s="73">
        <f t="shared" si="311"/>
        <v>0</v>
      </c>
      <c r="E748" s="73">
        <v>0</v>
      </c>
      <c r="F748" s="73">
        <v>0</v>
      </c>
      <c r="G748" s="73">
        <v>0</v>
      </c>
      <c r="H748" s="73">
        <v>0</v>
      </c>
      <c r="I748" s="73">
        <v>0</v>
      </c>
      <c r="J748" s="73">
        <v>0</v>
      </c>
      <c r="K748" s="73">
        <v>0</v>
      </c>
      <c r="L748" s="73">
        <v>0</v>
      </c>
      <c r="M748" s="73">
        <v>0</v>
      </c>
      <c r="N748" s="73">
        <v>0</v>
      </c>
      <c r="O748" s="73">
        <v>0</v>
      </c>
    </row>
    <row r="749" spans="1:17" ht="18" customHeight="1" x14ac:dyDescent="0.2">
      <c r="A749" s="135"/>
      <c r="B749" s="143"/>
      <c r="C749" s="78" t="s">
        <v>11</v>
      </c>
      <c r="D749" s="73">
        <f t="shared" si="311"/>
        <v>0</v>
      </c>
      <c r="E749" s="73">
        <v>0</v>
      </c>
      <c r="F749" s="73">
        <v>0</v>
      </c>
      <c r="G749" s="73">
        <v>0</v>
      </c>
      <c r="H749" s="73">
        <v>0</v>
      </c>
      <c r="I749" s="73">
        <v>0</v>
      </c>
      <c r="J749" s="73">
        <v>0</v>
      </c>
      <c r="K749" s="73">
        <v>0</v>
      </c>
      <c r="L749" s="73">
        <v>0</v>
      </c>
      <c r="M749" s="73">
        <v>0</v>
      </c>
      <c r="N749" s="73">
        <v>0</v>
      </c>
      <c r="O749" s="73">
        <v>0</v>
      </c>
    </row>
    <row r="750" spans="1:17" ht="18" customHeight="1" x14ac:dyDescent="0.2">
      <c r="A750" s="135"/>
      <c r="B750" s="143"/>
      <c r="C750" s="78" t="s">
        <v>12</v>
      </c>
      <c r="D750" s="73">
        <f t="shared" si="311"/>
        <v>584661.07500000007</v>
      </c>
      <c r="E750" s="73">
        <f>E755</f>
        <v>31873.5</v>
      </c>
      <c r="F750" s="73">
        <f>F755</f>
        <v>32215.200000000001</v>
      </c>
      <c r="G750" s="73">
        <f>G755</f>
        <v>32536.1</v>
      </c>
      <c r="H750" s="73">
        <f t="shared" ref="H750:O750" si="344">H755</f>
        <v>34467.4</v>
      </c>
      <c r="I750" s="73">
        <f t="shared" si="344"/>
        <v>42249.1</v>
      </c>
      <c r="J750" s="73">
        <f t="shared" si="344"/>
        <v>51925.4</v>
      </c>
      <c r="K750" s="73">
        <f t="shared" si="344"/>
        <v>66037.599999999991</v>
      </c>
      <c r="L750" s="73">
        <f t="shared" si="344"/>
        <v>68745.7</v>
      </c>
      <c r="M750" s="73">
        <f t="shared" si="344"/>
        <v>71951.274999999994</v>
      </c>
      <c r="N750" s="73">
        <f t="shared" si="344"/>
        <v>74615.900000000009</v>
      </c>
      <c r="O750" s="73">
        <f t="shared" si="344"/>
        <v>78043.900000000009</v>
      </c>
    </row>
    <row r="751" spans="1:17" ht="15.75" customHeight="1" x14ac:dyDescent="0.2">
      <c r="A751" s="135"/>
      <c r="B751" s="143"/>
      <c r="C751" s="78" t="s">
        <v>13</v>
      </c>
      <c r="D751" s="73">
        <f t="shared" si="311"/>
        <v>0</v>
      </c>
      <c r="E751" s="73">
        <v>0</v>
      </c>
      <c r="F751" s="73">
        <v>0</v>
      </c>
      <c r="G751" s="73">
        <v>0</v>
      </c>
      <c r="H751" s="73">
        <v>0</v>
      </c>
      <c r="I751" s="73">
        <v>0</v>
      </c>
      <c r="J751" s="73">
        <v>0</v>
      </c>
      <c r="K751" s="73">
        <v>0</v>
      </c>
      <c r="L751" s="73">
        <v>0</v>
      </c>
      <c r="M751" s="73">
        <v>0</v>
      </c>
      <c r="N751" s="73">
        <v>0</v>
      </c>
      <c r="O751" s="73">
        <v>0</v>
      </c>
    </row>
    <row r="752" spans="1:17" ht="15.75" x14ac:dyDescent="0.2">
      <c r="A752" s="135" t="s">
        <v>143</v>
      </c>
      <c r="B752" s="143" t="s">
        <v>56</v>
      </c>
      <c r="C752" s="78" t="s">
        <v>7</v>
      </c>
      <c r="D752" s="73">
        <f t="shared" si="311"/>
        <v>584661.07500000007</v>
      </c>
      <c r="E752" s="73">
        <f t="shared" ref="E752:O752" si="345">SUM(E753:E756)</f>
        <v>31873.5</v>
      </c>
      <c r="F752" s="73">
        <f t="shared" si="345"/>
        <v>32215.200000000001</v>
      </c>
      <c r="G752" s="73">
        <f t="shared" si="345"/>
        <v>32536.1</v>
      </c>
      <c r="H752" s="73">
        <f t="shared" si="345"/>
        <v>34467.4</v>
      </c>
      <c r="I752" s="73">
        <f t="shared" si="345"/>
        <v>42249.1</v>
      </c>
      <c r="J752" s="73">
        <f t="shared" si="345"/>
        <v>51925.4</v>
      </c>
      <c r="K752" s="73">
        <f t="shared" si="345"/>
        <v>66037.599999999991</v>
      </c>
      <c r="L752" s="73">
        <f t="shared" si="345"/>
        <v>68745.7</v>
      </c>
      <c r="M752" s="73">
        <f t="shared" si="345"/>
        <v>71951.274999999994</v>
      </c>
      <c r="N752" s="73">
        <f t="shared" si="345"/>
        <v>74615.900000000009</v>
      </c>
      <c r="O752" s="73">
        <f t="shared" si="345"/>
        <v>78043.900000000009</v>
      </c>
    </row>
    <row r="753" spans="1:15" ht="15.75" x14ac:dyDescent="0.2">
      <c r="A753" s="135"/>
      <c r="B753" s="143"/>
      <c r="C753" s="78" t="s">
        <v>10</v>
      </c>
      <c r="D753" s="73">
        <f t="shared" si="311"/>
        <v>0</v>
      </c>
      <c r="E753" s="73">
        <v>0</v>
      </c>
      <c r="F753" s="73">
        <v>0</v>
      </c>
      <c r="G753" s="73">
        <v>0</v>
      </c>
      <c r="H753" s="73">
        <v>0</v>
      </c>
      <c r="I753" s="73">
        <v>0</v>
      </c>
      <c r="J753" s="73">
        <v>0</v>
      </c>
      <c r="K753" s="73">
        <v>0</v>
      </c>
      <c r="L753" s="73">
        <v>0</v>
      </c>
      <c r="M753" s="73">
        <v>0</v>
      </c>
      <c r="N753" s="73">
        <v>0</v>
      </c>
      <c r="O753" s="73">
        <v>0</v>
      </c>
    </row>
    <row r="754" spans="1:15" ht="15.75" x14ac:dyDescent="0.2">
      <c r="A754" s="135"/>
      <c r="B754" s="143"/>
      <c r="C754" s="78" t="s">
        <v>11</v>
      </c>
      <c r="D754" s="73">
        <f t="shared" si="311"/>
        <v>0</v>
      </c>
      <c r="E754" s="73">
        <v>0</v>
      </c>
      <c r="F754" s="73">
        <v>0</v>
      </c>
      <c r="G754" s="73">
        <v>0</v>
      </c>
      <c r="H754" s="73">
        <v>0</v>
      </c>
      <c r="I754" s="73">
        <v>0</v>
      </c>
      <c r="J754" s="73">
        <v>0</v>
      </c>
      <c r="K754" s="73">
        <v>0</v>
      </c>
      <c r="L754" s="73">
        <v>0</v>
      </c>
      <c r="M754" s="73">
        <v>0</v>
      </c>
      <c r="N754" s="73">
        <v>0</v>
      </c>
      <c r="O754" s="73">
        <v>0</v>
      </c>
    </row>
    <row r="755" spans="1:15" ht="15.75" x14ac:dyDescent="0.2">
      <c r="A755" s="135"/>
      <c r="B755" s="143"/>
      <c r="C755" s="78" t="s">
        <v>12</v>
      </c>
      <c r="D755" s="73">
        <f t="shared" si="311"/>
        <v>584661.07500000007</v>
      </c>
      <c r="E755" s="73">
        <v>31873.5</v>
      </c>
      <c r="F755" s="73">
        <v>32215.200000000001</v>
      </c>
      <c r="G755" s="73">
        <v>32536.1</v>
      </c>
      <c r="H755" s="73">
        <v>34467.4</v>
      </c>
      <c r="I755" s="73">
        <f>41599.1+650</f>
        <v>42249.1</v>
      </c>
      <c r="J755" s="73">
        <f>42649.1+750.8+7821.5+406.1+218.1+79.8</f>
        <v>51925.4</v>
      </c>
      <c r="K755" s="73">
        <f>57248.6+400.1+8388.9</f>
        <v>66037.599999999991</v>
      </c>
      <c r="L755" s="73">
        <f>67673.6+671.4-0.1+56.6+181.4+400-400-56.6-181.4-600+600+163+135.8+102</f>
        <v>68745.7</v>
      </c>
      <c r="M755" s="73">
        <f>70380+663.1+70.8+258.275+579.2-841.1+841.1-0.1</f>
        <v>71951.274999999994</v>
      </c>
      <c r="N755" s="73">
        <f>73150.6+1465.3</f>
        <v>74615.900000000009</v>
      </c>
      <c r="O755" s="73">
        <f>73150.6+4893.3</f>
        <v>78043.900000000009</v>
      </c>
    </row>
    <row r="756" spans="1:15" ht="21.75" customHeight="1" x14ac:dyDescent="0.2">
      <c r="A756" s="135"/>
      <c r="B756" s="143"/>
      <c r="C756" s="78" t="s">
        <v>13</v>
      </c>
      <c r="D756" s="73">
        <f t="shared" si="311"/>
        <v>0</v>
      </c>
      <c r="E756" s="73">
        <v>0</v>
      </c>
      <c r="F756" s="73">
        <v>0</v>
      </c>
      <c r="G756" s="73">
        <v>0</v>
      </c>
      <c r="H756" s="73">
        <v>0</v>
      </c>
      <c r="I756" s="73">
        <v>0</v>
      </c>
      <c r="J756" s="73">
        <v>0</v>
      </c>
      <c r="K756" s="73">
        <v>0</v>
      </c>
      <c r="L756" s="73">
        <v>0</v>
      </c>
      <c r="M756" s="73">
        <v>0</v>
      </c>
      <c r="N756" s="73">
        <v>0</v>
      </c>
      <c r="O756" s="73">
        <v>0</v>
      </c>
    </row>
    <row r="757" spans="1:15" ht="21.75" customHeight="1" x14ac:dyDescent="0.2">
      <c r="A757" s="96"/>
      <c r="B757" s="97"/>
      <c r="C757" s="98"/>
      <c r="D757" s="81"/>
      <c r="E757" s="81"/>
      <c r="F757" s="81"/>
      <c r="G757" s="81"/>
      <c r="H757" s="81"/>
      <c r="I757" s="81"/>
      <c r="J757" s="81"/>
      <c r="K757" s="81"/>
      <c r="L757" s="81"/>
      <c r="M757" s="81"/>
      <c r="N757" s="81"/>
      <c r="O757" s="81"/>
    </row>
    <row r="758" spans="1:15" ht="15.75" x14ac:dyDescent="0.2">
      <c r="A758" s="99"/>
      <c r="B758" s="99"/>
      <c r="C758" s="99"/>
      <c r="D758" s="100"/>
      <c r="E758" s="99"/>
      <c r="F758" s="99"/>
      <c r="G758" s="99"/>
      <c r="H758" s="101"/>
      <c r="I758" s="99"/>
      <c r="J758" s="99"/>
      <c r="K758" s="102"/>
    </row>
    <row r="767" spans="1:15" x14ac:dyDescent="0.2">
      <c r="D767" s="61"/>
    </row>
  </sheetData>
  <autoFilter ref="A7:Y756"/>
  <mergeCells count="278">
    <mergeCell ref="A50:A55"/>
    <mergeCell ref="B50:B55"/>
    <mergeCell ref="A727:A731"/>
    <mergeCell ref="B727:B731"/>
    <mergeCell ref="B489:B493"/>
    <mergeCell ref="A464:A468"/>
    <mergeCell ref="B561:B566"/>
    <mergeCell ref="A567:A571"/>
    <mergeCell ref="B567:B571"/>
    <mergeCell ref="A543:A547"/>
    <mergeCell ref="B543:B547"/>
    <mergeCell ref="B572:B576"/>
    <mergeCell ref="B523:B527"/>
    <mergeCell ref="A621:A625"/>
    <mergeCell ref="B616:B620"/>
    <mergeCell ref="B703:B709"/>
    <mergeCell ref="A673:A677"/>
    <mergeCell ref="B673:B677"/>
    <mergeCell ref="B61:B67"/>
    <mergeCell ref="B144:B151"/>
    <mergeCell ref="B128:B136"/>
    <mergeCell ref="B120:B127"/>
    <mergeCell ref="A381:A385"/>
    <mergeCell ref="B381:B385"/>
    <mergeCell ref="B199:B205"/>
    <mergeCell ref="B178:B183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296:A300"/>
    <mergeCell ref="A668:A672"/>
    <mergeCell ref="B668:B672"/>
    <mergeCell ref="B582:B589"/>
    <mergeCell ref="A555:A560"/>
    <mergeCell ref="A582:A589"/>
    <mergeCell ref="A626:A630"/>
    <mergeCell ref="A577:A581"/>
    <mergeCell ref="A606:A610"/>
    <mergeCell ref="A572:A576"/>
    <mergeCell ref="B611:B615"/>
    <mergeCell ref="A616:A620"/>
    <mergeCell ref="A611:A615"/>
    <mergeCell ref="A590:A595"/>
    <mergeCell ref="A601:A605"/>
    <mergeCell ref="A646:A651"/>
    <mergeCell ref="B646:B651"/>
    <mergeCell ref="B658:B662"/>
    <mergeCell ref="A658:A662"/>
    <mergeCell ref="L1:O1"/>
    <mergeCell ref="D5:O5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A38:A43"/>
    <mergeCell ref="B38:B43"/>
    <mergeCell ref="B44:B49"/>
    <mergeCell ref="A44:A49"/>
    <mergeCell ref="A206:A210"/>
    <mergeCell ref="A18:A27"/>
    <mergeCell ref="A446:A451"/>
    <mergeCell ref="B18:B27"/>
    <mergeCell ref="B56:B60"/>
    <mergeCell ref="B74:B80"/>
    <mergeCell ref="A351:A355"/>
    <mergeCell ref="A406:A410"/>
    <mergeCell ref="A401:A405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752:A756"/>
    <mergeCell ref="B747:B751"/>
    <mergeCell ref="A747:A751"/>
    <mergeCell ref="B752:B756"/>
    <mergeCell ref="B636:B640"/>
    <mergeCell ref="A636:A640"/>
    <mergeCell ref="A717:A721"/>
    <mergeCell ref="B717:B721"/>
    <mergeCell ref="A742:A746"/>
    <mergeCell ref="B742:B746"/>
    <mergeCell ref="B710:B716"/>
    <mergeCell ref="A710:A716"/>
    <mergeCell ref="A722:A726"/>
    <mergeCell ref="B722:B726"/>
    <mergeCell ref="A652:A657"/>
    <mergeCell ref="B652:B657"/>
    <mergeCell ref="A703:A709"/>
    <mergeCell ref="A737:A741"/>
    <mergeCell ref="B737:B741"/>
    <mergeCell ref="A732:A736"/>
    <mergeCell ref="B732:B736"/>
    <mergeCell ref="A688:A692"/>
    <mergeCell ref="B688:B692"/>
    <mergeCell ref="A678:A682"/>
    <mergeCell ref="B291:B295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A61:A67"/>
    <mergeCell ref="B678:B682"/>
    <mergeCell ref="A683:A687"/>
    <mergeCell ref="B683:B687"/>
    <mergeCell ref="B464:B468"/>
    <mergeCell ref="A511:A515"/>
    <mergeCell ref="B452:B458"/>
    <mergeCell ref="B484:B488"/>
    <mergeCell ref="B590:B595"/>
    <mergeCell ref="B606:B610"/>
    <mergeCell ref="B601:B605"/>
    <mergeCell ref="A538:A542"/>
    <mergeCell ref="A533:A537"/>
    <mergeCell ref="A504:A510"/>
    <mergeCell ref="A548:A554"/>
    <mergeCell ref="B538:B542"/>
    <mergeCell ref="B548:B554"/>
    <mergeCell ref="B533:B537"/>
    <mergeCell ref="A641:A645"/>
    <mergeCell ref="B641:B645"/>
    <mergeCell ref="B511:B515"/>
    <mergeCell ref="A516:A522"/>
    <mergeCell ref="B528:B532"/>
    <mergeCell ref="A499:A503"/>
    <mergeCell ref="B446:B451"/>
    <mergeCell ref="A431:A435"/>
    <mergeCell ref="B426:B430"/>
    <mergeCell ref="A426:A430"/>
    <mergeCell ref="A436:A440"/>
    <mergeCell ref="B436:B440"/>
    <mergeCell ref="A474:A478"/>
    <mergeCell ref="B474:B478"/>
    <mergeCell ref="B459:B463"/>
    <mergeCell ref="B469:B473"/>
    <mergeCell ref="A441:A445"/>
    <mergeCell ref="B441:B445"/>
    <mergeCell ref="A361:A365"/>
    <mergeCell ref="B361:B365"/>
    <mergeCell ref="B406:B410"/>
    <mergeCell ref="B401:B405"/>
    <mergeCell ref="A411:A415"/>
    <mergeCell ref="B411:B415"/>
    <mergeCell ref="A421:A425"/>
    <mergeCell ref="B421:B425"/>
    <mergeCell ref="A416:A420"/>
    <mergeCell ref="A396:A400"/>
    <mergeCell ref="B396:B400"/>
    <mergeCell ref="A391:A395"/>
    <mergeCell ref="B391:B395"/>
    <mergeCell ref="A386:A390"/>
    <mergeCell ref="B386:B390"/>
    <mergeCell ref="B416:B420"/>
    <mergeCell ref="A528:A532"/>
    <mergeCell ref="B516:B522"/>
    <mergeCell ref="A469:A473"/>
    <mergeCell ref="A452:A458"/>
    <mergeCell ref="A489:A493"/>
    <mergeCell ref="B555:B560"/>
    <mergeCell ref="B631:B635"/>
    <mergeCell ref="B626:B630"/>
    <mergeCell ref="A631:A635"/>
    <mergeCell ref="A561:A566"/>
    <mergeCell ref="B499:B503"/>
    <mergeCell ref="B504:B510"/>
    <mergeCell ref="A494:A498"/>
    <mergeCell ref="B494:B498"/>
    <mergeCell ref="A479:A483"/>
    <mergeCell ref="B479:B483"/>
    <mergeCell ref="A698:A702"/>
    <mergeCell ref="B698:B702"/>
    <mergeCell ref="A356:A360"/>
    <mergeCell ref="B356:B360"/>
    <mergeCell ref="B431:B435"/>
    <mergeCell ref="A663:A667"/>
    <mergeCell ref="B663:B667"/>
    <mergeCell ref="A596:A600"/>
    <mergeCell ref="B276:B280"/>
    <mergeCell ref="A276:A280"/>
    <mergeCell ref="B621:B625"/>
    <mergeCell ref="B596:B600"/>
    <mergeCell ref="B577:B581"/>
    <mergeCell ref="A523:A527"/>
    <mergeCell ref="A484:A488"/>
    <mergeCell ref="A693:A697"/>
    <mergeCell ref="B693:B697"/>
    <mergeCell ref="B366:B370"/>
    <mergeCell ref="A366:A370"/>
    <mergeCell ref="B371:B375"/>
    <mergeCell ref="B376:B380"/>
    <mergeCell ref="A371:A375"/>
    <mergeCell ref="A376:A380"/>
    <mergeCell ref="A459:A463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2023-08-03T02:10:14Z</cp:lastPrinted>
  <dcterms:created xsi:type="dcterms:W3CDTF">1996-10-08T23:32:33Z</dcterms:created>
  <dcterms:modified xsi:type="dcterms:W3CDTF">2023-08-03T02:10:35Z</dcterms:modified>
</cp:coreProperties>
</file>