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6585" yWindow="285" windowWidth="21915" windowHeight="11850" firstSheet="1" activeTab="1"/>
  </bookViews>
  <sheets>
    <sheet name="Таблица № 3" sheetId="5" state="hidden" r:id="rId1"/>
    <sheet name="Таблица № 3_" sheetId="6" r:id="rId2"/>
  </sheets>
  <definedNames>
    <definedName name="_Par1041" localSheetId="0">'Таблица № 3'!#REF!</definedName>
    <definedName name="_Par1041" localSheetId="1">'Таблица № 3_'!#REF!</definedName>
    <definedName name="_Par1453" localSheetId="0">'Таблица № 3'!#REF!</definedName>
    <definedName name="_Par1453" localSheetId="1">'Таблица № 3_'!#REF!</definedName>
    <definedName name="_Par321" localSheetId="0">'Таблица № 3'!#REF!</definedName>
    <definedName name="_Par321" localSheetId="1">'Таблица № 3_'!#REF!</definedName>
    <definedName name="_Par788" localSheetId="0">'Таблица № 3'!#REF!</definedName>
    <definedName name="_Par788" localSheetId="1">'Таблица № 3_'!#REF!</definedName>
    <definedName name="_xlnm._FilterDatabase" localSheetId="0" hidden="1">'Таблица № 3'!$A$6:$S$120</definedName>
    <definedName name="_xlnm._FilterDatabase" localSheetId="1" hidden="1">'Таблица № 3_'!$A$7:$Y$716</definedName>
    <definedName name="_xlnm.Print_Area" localSheetId="0">'Таблица № 3'!$A$1:$S$120</definedName>
    <definedName name="_xlnm.Print_Area" localSheetId="1">'Таблица № 3_'!$A$1:$Z$720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655" i="6" l="1"/>
  <c r="L618" i="6"/>
  <c r="L593" i="6"/>
  <c r="L583" i="6"/>
  <c r="L399" i="6" l="1"/>
  <c r="L359" i="6"/>
  <c r="L487" i="6"/>
  <c r="M344" i="6" l="1"/>
  <c r="N198" i="6" l="1"/>
  <c r="M198" i="6"/>
  <c r="N378" i="6" l="1"/>
  <c r="N379" i="6"/>
  <c r="M378" i="6"/>
  <c r="M379" i="6"/>
  <c r="O344" i="6"/>
  <c r="O343" i="6"/>
  <c r="N344" i="6"/>
  <c r="N343" i="6"/>
  <c r="M343" i="6"/>
  <c r="N199" i="6"/>
  <c r="M199" i="6"/>
  <c r="O583" i="6" l="1"/>
  <c r="O29" i="6" l="1"/>
  <c r="O32" i="6"/>
  <c r="N535" i="6" l="1"/>
  <c r="M535" i="6"/>
  <c r="O715" i="6"/>
  <c r="N715" i="6"/>
  <c r="M715" i="6"/>
  <c r="M695" i="6"/>
  <c r="O655" i="6"/>
  <c r="N655" i="6"/>
  <c r="M655" i="6"/>
  <c r="O645" i="6"/>
  <c r="N645" i="6"/>
  <c r="M645" i="6"/>
  <c r="O624" i="6"/>
  <c r="N624" i="6"/>
  <c r="M624" i="6"/>
  <c r="O618" i="6"/>
  <c r="N618" i="6"/>
  <c r="M618" i="6"/>
  <c r="O608" i="6"/>
  <c r="N608" i="6"/>
  <c r="M608" i="6"/>
  <c r="O593" i="6"/>
  <c r="N593" i="6"/>
  <c r="M593" i="6"/>
  <c r="N583" i="6"/>
  <c r="M583" i="6"/>
  <c r="O541" i="6" l="1"/>
  <c r="N541" i="6"/>
  <c r="M541" i="6"/>
  <c r="O512" i="6"/>
  <c r="N512" i="6"/>
  <c r="M512" i="6"/>
  <c r="O437" i="6"/>
  <c r="N437" i="6"/>
  <c r="M437" i="6"/>
  <c r="O430" i="6"/>
  <c r="N430" i="6"/>
  <c r="M430" i="6"/>
  <c r="N419" i="6"/>
  <c r="M419" i="6"/>
  <c r="O399" i="6"/>
  <c r="N399" i="6"/>
  <c r="M399" i="6"/>
  <c r="O389" i="6"/>
  <c r="N389" i="6"/>
  <c r="M389" i="6"/>
  <c r="O376" i="6"/>
  <c r="O341" i="6"/>
  <c r="L715" i="6" l="1"/>
  <c r="L199" i="6"/>
  <c r="L624" i="6" l="1"/>
  <c r="L457" i="6" l="1"/>
  <c r="L650" i="6" l="1"/>
  <c r="L238" i="6" l="1"/>
  <c r="L608" i="6" l="1"/>
  <c r="L541" i="6"/>
  <c r="L389" i="6" l="1"/>
  <c r="L198" i="6"/>
  <c r="L32" i="6" l="1"/>
  <c r="D355" i="6"/>
  <c r="D354" i="6"/>
  <c r="D353" i="6"/>
  <c r="D351" i="6" s="1"/>
  <c r="D352" i="6"/>
  <c r="O351" i="6"/>
  <c r="N351" i="6"/>
  <c r="M351" i="6"/>
  <c r="L351" i="6"/>
  <c r="K351" i="6"/>
  <c r="J351" i="6"/>
  <c r="I351" i="6"/>
  <c r="H351" i="6"/>
  <c r="G351" i="6"/>
  <c r="F351" i="6"/>
  <c r="E351" i="6"/>
  <c r="M341" i="6" l="1"/>
  <c r="D345" i="6"/>
  <c r="L344" i="6"/>
  <c r="D344" i="6" s="1"/>
  <c r="N341" i="6"/>
  <c r="L343" i="6"/>
  <c r="D343" i="6" s="1"/>
  <c r="D342" i="6"/>
  <c r="K341" i="6"/>
  <c r="J341" i="6"/>
  <c r="I341" i="6"/>
  <c r="H341" i="6"/>
  <c r="G341" i="6"/>
  <c r="F341" i="6"/>
  <c r="E341" i="6"/>
  <c r="D380" i="6"/>
  <c r="D379" i="6"/>
  <c r="D378" i="6"/>
  <c r="D377" i="6"/>
  <c r="N376" i="6"/>
  <c r="M376" i="6"/>
  <c r="L376" i="6"/>
  <c r="K376" i="6"/>
  <c r="J376" i="6"/>
  <c r="I376" i="6"/>
  <c r="H376" i="6"/>
  <c r="G376" i="6"/>
  <c r="F376" i="6"/>
  <c r="E376" i="6"/>
  <c r="L341" i="6" l="1"/>
  <c r="D341" i="6"/>
  <c r="D376" i="6"/>
  <c r="L645" i="6" l="1"/>
  <c r="L437" i="6" l="1"/>
  <c r="L430" i="6"/>
  <c r="L665" i="6" l="1"/>
  <c r="O184" i="6" l="1"/>
  <c r="L700" i="6" l="1"/>
  <c r="D458" i="6" l="1"/>
  <c r="D457" i="6"/>
  <c r="D456" i="6"/>
  <c r="D455" i="6"/>
  <c r="O454" i="6"/>
  <c r="N454" i="6"/>
  <c r="M454" i="6"/>
  <c r="L454" i="6"/>
  <c r="K454" i="6"/>
  <c r="J454" i="6"/>
  <c r="I454" i="6"/>
  <c r="H454" i="6"/>
  <c r="G454" i="6"/>
  <c r="F454" i="6"/>
  <c r="E454" i="6"/>
  <c r="E449" i="6"/>
  <c r="F449" i="6"/>
  <c r="G449" i="6"/>
  <c r="H449" i="6"/>
  <c r="I449" i="6"/>
  <c r="J449" i="6"/>
  <c r="K449" i="6"/>
  <c r="L449" i="6"/>
  <c r="M449" i="6"/>
  <c r="N449" i="6"/>
  <c r="O449" i="6"/>
  <c r="D450" i="6"/>
  <c r="D451" i="6"/>
  <c r="D452" i="6"/>
  <c r="D453" i="6"/>
  <c r="D449" i="6" l="1"/>
  <c r="D454" i="6"/>
  <c r="L695" i="6"/>
  <c r="L640" i="6" l="1"/>
  <c r="D666" i="6" l="1"/>
  <c r="D665" i="6"/>
  <c r="D664" i="6"/>
  <c r="D663" i="6"/>
  <c r="O662" i="6"/>
  <c r="N662" i="6"/>
  <c r="M662" i="6"/>
  <c r="L662" i="6"/>
  <c r="K662" i="6"/>
  <c r="J662" i="6"/>
  <c r="I662" i="6"/>
  <c r="H662" i="6"/>
  <c r="G662" i="6"/>
  <c r="F662" i="6"/>
  <c r="E662" i="6"/>
  <c r="L535" i="6"/>
  <c r="L562" i="6"/>
  <c r="D662" i="6" l="1"/>
  <c r="L512" i="6"/>
  <c r="L442" i="6" l="1"/>
  <c r="L424" i="6" l="1"/>
  <c r="L374" i="6" l="1"/>
  <c r="D374" i="6" s="1"/>
  <c r="L338" i="6"/>
  <c r="L328" i="6" s="1"/>
  <c r="L364" i="6"/>
  <c r="M329" i="6"/>
  <c r="N329" i="6"/>
  <c r="O329" i="6"/>
  <c r="M328" i="6"/>
  <c r="N328" i="6"/>
  <c r="O328" i="6"/>
  <c r="P328" i="6"/>
  <c r="Q328" i="6"/>
  <c r="R328" i="6"/>
  <c r="S328" i="6"/>
  <c r="T328" i="6"/>
  <c r="U328" i="6"/>
  <c r="V328" i="6"/>
  <c r="L329" i="6"/>
  <c r="M362" i="6"/>
  <c r="N362" i="6"/>
  <c r="O362" i="6"/>
  <c r="L362" i="6"/>
  <c r="M365" i="6"/>
  <c r="N365" i="6"/>
  <c r="O365" i="6"/>
  <c r="L365" i="6"/>
  <c r="M363" i="6"/>
  <c r="N363" i="6"/>
  <c r="O363" i="6"/>
  <c r="L363" i="6"/>
  <c r="M364" i="6"/>
  <c r="M361" i="6" s="1"/>
  <c r="N364" i="6"/>
  <c r="O364" i="6"/>
  <c r="O361" i="6" s="1"/>
  <c r="P364" i="6"/>
  <c r="Q364" i="6"/>
  <c r="R364" i="6"/>
  <c r="S364" i="6"/>
  <c r="T364" i="6"/>
  <c r="U364" i="6"/>
  <c r="V364" i="6"/>
  <c r="K361" i="6"/>
  <c r="J361" i="6"/>
  <c r="I361" i="6"/>
  <c r="H361" i="6"/>
  <c r="G361" i="6"/>
  <c r="F361" i="6"/>
  <c r="E361" i="6"/>
  <c r="D375" i="6"/>
  <c r="D373" i="6"/>
  <c r="D372" i="6"/>
  <c r="O371" i="6"/>
  <c r="N371" i="6"/>
  <c r="M371" i="6"/>
  <c r="K371" i="6"/>
  <c r="J371" i="6"/>
  <c r="I371" i="6"/>
  <c r="H371" i="6"/>
  <c r="G371" i="6"/>
  <c r="F371" i="6"/>
  <c r="E371" i="6"/>
  <c r="D370" i="6"/>
  <c r="D369" i="6"/>
  <c r="D368" i="6"/>
  <c r="D367" i="6"/>
  <c r="O366" i="6"/>
  <c r="N366" i="6"/>
  <c r="M366" i="6"/>
  <c r="L366" i="6"/>
  <c r="K366" i="6"/>
  <c r="J366" i="6"/>
  <c r="I366" i="6"/>
  <c r="H366" i="6"/>
  <c r="G366" i="6"/>
  <c r="F366" i="6"/>
  <c r="E366" i="6"/>
  <c r="L371" i="6" l="1"/>
  <c r="N361" i="6"/>
  <c r="N326" i="6"/>
  <c r="O326" i="6"/>
  <c r="D366" i="6"/>
  <c r="D364" i="6"/>
  <c r="M326" i="6"/>
  <c r="D371" i="6"/>
  <c r="L361" i="6"/>
  <c r="D363" i="6"/>
  <c r="D362" i="6"/>
  <c r="D365" i="6"/>
  <c r="D361" i="6" l="1"/>
  <c r="M562" i="6"/>
  <c r="L278" i="6" l="1"/>
  <c r="D360" i="6" l="1"/>
  <c r="D359" i="6"/>
  <c r="D358" i="6"/>
  <c r="D357" i="6"/>
  <c r="O356" i="6"/>
  <c r="N356" i="6"/>
  <c r="M356" i="6"/>
  <c r="L356" i="6"/>
  <c r="K356" i="6"/>
  <c r="J356" i="6"/>
  <c r="I356" i="6"/>
  <c r="H356" i="6"/>
  <c r="G356" i="6"/>
  <c r="F356" i="6"/>
  <c r="E356" i="6"/>
  <c r="D356" i="6" l="1"/>
  <c r="K472" i="6"/>
  <c r="L279" i="6" l="1"/>
  <c r="M690" i="6" l="1"/>
  <c r="N690" i="6"/>
  <c r="O690" i="6"/>
  <c r="P690" i="6"/>
  <c r="Q690" i="6"/>
  <c r="R690" i="6"/>
  <c r="S690" i="6"/>
  <c r="L690" i="6"/>
  <c r="I701" i="6"/>
  <c r="H701" i="6"/>
  <c r="G701" i="6"/>
  <c r="F701" i="6"/>
  <c r="E701" i="6"/>
  <c r="D700" i="6"/>
  <c r="D699" i="6"/>
  <c r="O698" i="6"/>
  <c r="N698" i="6"/>
  <c r="N697" i="6" s="1"/>
  <c r="M698" i="6"/>
  <c r="L698" i="6"/>
  <c r="K698" i="6"/>
  <c r="K697" i="6" s="1"/>
  <c r="I698" i="6"/>
  <c r="I697" i="6" s="1"/>
  <c r="H698" i="6"/>
  <c r="H697" i="6" s="1"/>
  <c r="G698" i="6"/>
  <c r="F698" i="6"/>
  <c r="F697" i="6" s="1"/>
  <c r="E698" i="6"/>
  <c r="E697" i="6" s="1"/>
  <c r="M697" i="6"/>
  <c r="J697" i="6"/>
  <c r="D698" i="6" l="1"/>
  <c r="L697" i="6"/>
  <c r="D701" i="6"/>
  <c r="G697" i="6"/>
  <c r="D697" i="6" l="1"/>
  <c r="D340" i="6"/>
  <c r="D339" i="6"/>
  <c r="D338" i="6"/>
  <c r="D337" i="6"/>
  <c r="O336" i="6"/>
  <c r="N336" i="6"/>
  <c r="M336" i="6"/>
  <c r="L336" i="6"/>
  <c r="K336" i="6"/>
  <c r="J336" i="6"/>
  <c r="I336" i="6"/>
  <c r="H336" i="6"/>
  <c r="G336" i="6"/>
  <c r="F336" i="6"/>
  <c r="E336" i="6"/>
  <c r="D335" i="6"/>
  <c r="D334" i="6"/>
  <c r="D333" i="6"/>
  <c r="D332" i="6"/>
  <c r="O331" i="6"/>
  <c r="N331" i="6"/>
  <c r="M331" i="6"/>
  <c r="L331" i="6"/>
  <c r="K331" i="6"/>
  <c r="J331" i="6"/>
  <c r="I331" i="6"/>
  <c r="H331" i="6"/>
  <c r="G331" i="6"/>
  <c r="F331" i="6"/>
  <c r="E331" i="6"/>
  <c r="D331" i="6" l="1"/>
  <c r="D336" i="6"/>
  <c r="M487" i="6" l="1"/>
  <c r="D350" i="6" l="1"/>
  <c r="D349" i="6"/>
  <c r="D348" i="6"/>
  <c r="D347" i="6"/>
  <c r="O346" i="6"/>
  <c r="N346" i="6"/>
  <c r="M346" i="6"/>
  <c r="L346" i="6"/>
  <c r="K346" i="6"/>
  <c r="J346" i="6"/>
  <c r="I346" i="6"/>
  <c r="H346" i="6"/>
  <c r="G346" i="6"/>
  <c r="F346" i="6"/>
  <c r="E346" i="6"/>
  <c r="D346" i="6" l="1"/>
  <c r="N562" i="6"/>
  <c r="P32" i="6" l="1"/>
  <c r="Q32" i="6"/>
  <c r="R32" i="6"/>
  <c r="S32" i="6"/>
  <c r="T32" i="6"/>
  <c r="U32" i="6"/>
  <c r="V32" i="6"/>
  <c r="M298" i="6"/>
  <c r="N298" i="6"/>
  <c r="L298" i="6"/>
  <c r="M238" i="6"/>
  <c r="N238" i="6"/>
  <c r="M670" i="6" l="1"/>
  <c r="N670" i="6"/>
  <c r="O670" i="6"/>
  <c r="M669" i="6"/>
  <c r="N669" i="6"/>
  <c r="O669" i="6"/>
  <c r="L670" i="6"/>
  <c r="L669" i="6"/>
  <c r="K284" i="6" l="1"/>
  <c r="K264" i="6"/>
  <c r="K261" i="6" s="1"/>
  <c r="K535" i="6" l="1"/>
  <c r="K238" i="6"/>
  <c r="K298" i="6"/>
  <c r="L326" i="6" l="1"/>
  <c r="D330" i="6"/>
  <c r="D329" i="6"/>
  <c r="D328" i="6"/>
  <c r="D327" i="6"/>
  <c r="K326" i="6"/>
  <c r="J326" i="6"/>
  <c r="I326" i="6"/>
  <c r="H326" i="6"/>
  <c r="G326" i="6"/>
  <c r="F326" i="6"/>
  <c r="E326" i="6"/>
  <c r="D326" i="6" l="1"/>
  <c r="K624" i="6"/>
  <c r="K593" i="6" l="1"/>
  <c r="K618" i="6" l="1"/>
  <c r="D325" i="6" l="1"/>
  <c r="D324" i="6"/>
  <c r="D323" i="6"/>
  <c r="D322" i="6"/>
  <c r="K321" i="6"/>
  <c r="J321" i="6"/>
  <c r="I321" i="6"/>
  <c r="H321" i="6"/>
  <c r="G321" i="6"/>
  <c r="F321" i="6"/>
  <c r="E321" i="6"/>
  <c r="D321" i="6" l="1"/>
  <c r="K695" i="6" l="1"/>
  <c r="K690" i="6" s="1"/>
  <c r="K655" i="6"/>
  <c r="K645" i="6"/>
  <c r="K608" i="6"/>
  <c r="K477" i="6"/>
  <c r="K430" i="6"/>
  <c r="K399" i="6"/>
  <c r="K319" i="6"/>
  <c r="K314" i="6"/>
  <c r="K209" i="6"/>
  <c r="K204" i="6"/>
  <c r="K492" i="6" l="1"/>
  <c r="K389" i="6" l="1"/>
  <c r="K437" i="6" l="1"/>
  <c r="K38" i="6"/>
  <c r="K224" i="6" l="1"/>
  <c r="K635" i="6" l="1"/>
  <c r="L419" i="6"/>
  <c r="K44" i="6"/>
  <c r="K541" i="6" l="1"/>
  <c r="K512" i="6"/>
  <c r="K294" i="6" l="1"/>
  <c r="K419" i="6" l="1"/>
  <c r="O562" i="6" l="1"/>
  <c r="O556" i="6" s="1"/>
  <c r="N556" i="6"/>
  <c r="M556" i="6"/>
  <c r="L556" i="6"/>
  <c r="L529" i="6"/>
  <c r="M529" i="6"/>
  <c r="N529" i="6"/>
  <c r="O529" i="6"/>
  <c r="L502" i="6"/>
  <c r="L497" i="6" s="1"/>
  <c r="M502" i="6"/>
  <c r="M497" i="6" s="1"/>
  <c r="N502" i="6"/>
  <c r="N497" i="6" s="1"/>
  <c r="O502" i="6"/>
  <c r="O497" i="6" s="1"/>
  <c r="M424" i="6"/>
  <c r="N424" i="6"/>
  <c r="L384" i="6"/>
  <c r="M384" i="6"/>
  <c r="N384" i="6"/>
  <c r="O384" i="6"/>
  <c r="K573" i="6" l="1"/>
  <c r="K316" i="6" l="1"/>
  <c r="J316" i="6"/>
  <c r="I316" i="6"/>
  <c r="H316" i="6"/>
  <c r="G316" i="6"/>
  <c r="F316" i="6"/>
  <c r="E316" i="6"/>
  <c r="D317" i="6"/>
  <c r="D318" i="6"/>
  <c r="D319" i="6"/>
  <c r="D320" i="6"/>
  <c r="D316" i="6" l="1"/>
  <c r="K462" i="6"/>
  <c r="D478" i="6"/>
  <c r="D477" i="6"/>
  <c r="D476" i="6"/>
  <c r="D475" i="6"/>
  <c r="O474" i="6"/>
  <c r="N474" i="6"/>
  <c r="M474" i="6"/>
  <c r="L474" i="6"/>
  <c r="K474" i="6"/>
  <c r="J474" i="6"/>
  <c r="I474" i="6"/>
  <c r="H474" i="6"/>
  <c r="G474" i="6"/>
  <c r="F474" i="6"/>
  <c r="E474" i="6"/>
  <c r="D474" i="6" l="1"/>
  <c r="K251" i="6"/>
  <c r="D661" i="6" l="1"/>
  <c r="D660" i="6"/>
  <c r="D659" i="6"/>
  <c r="D658" i="6"/>
  <c r="O657" i="6"/>
  <c r="N657" i="6"/>
  <c r="M657" i="6"/>
  <c r="L657" i="6"/>
  <c r="K657" i="6"/>
  <c r="J657" i="6"/>
  <c r="I657" i="6"/>
  <c r="H657" i="6"/>
  <c r="G657" i="6"/>
  <c r="F657" i="6"/>
  <c r="E657" i="6"/>
  <c r="D657" i="6" l="1"/>
  <c r="J690" i="6"/>
  <c r="J687" i="6" s="1"/>
  <c r="O693" i="6"/>
  <c r="N693" i="6"/>
  <c r="N692" i="6" s="1"/>
  <c r="M693" i="6"/>
  <c r="L693" i="6"/>
  <c r="L692" i="6" s="1"/>
  <c r="K693" i="6"/>
  <c r="K692" i="6" s="1"/>
  <c r="O688" i="6"/>
  <c r="O687" i="6" s="1"/>
  <c r="N688" i="6"/>
  <c r="N687" i="6" s="1"/>
  <c r="M688" i="6"/>
  <c r="M687" i="6" s="1"/>
  <c r="L688" i="6"/>
  <c r="L687" i="6" s="1"/>
  <c r="K688" i="6"/>
  <c r="I696" i="6"/>
  <c r="H696" i="6"/>
  <c r="G696" i="6"/>
  <c r="F696" i="6"/>
  <c r="E696" i="6"/>
  <c r="I693" i="6"/>
  <c r="H693" i="6"/>
  <c r="G693" i="6"/>
  <c r="F693" i="6"/>
  <c r="E693" i="6"/>
  <c r="I691" i="6"/>
  <c r="H691" i="6"/>
  <c r="G691" i="6"/>
  <c r="F691" i="6"/>
  <c r="E691" i="6"/>
  <c r="I688" i="6"/>
  <c r="H688" i="6"/>
  <c r="G688" i="6"/>
  <c r="F688" i="6"/>
  <c r="E688" i="6"/>
  <c r="D695" i="6"/>
  <c r="D694" i="6"/>
  <c r="M692" i="6"/>
  <c r="J692" i="6"/>
  <c r="D689" i="6"/>
  <c r="D656" i="6"/>
  <c r="D655" i="6"/>
  <c r="D654" i="6"/>
  <c r="D653" i="6"/>
  <c r="O652" i="6"/>
  <c r="N652" i="6"/>
  <c r="M652" i="6"/>
  <c r="L652" i="6"/>
  <c r="K652" i="6"/>
  <c r="J652" i="6"/>
  <c r="I652" i="6"/>
  <c r="H652" i="6"/>
  <c r="G652" i="6"/>
  <c r="F652" i="6"/>
  <c r="E652" i="6"/>
  <c r="D649" i="6"/>
  <c r="D651" i="6"/>
  <c r="D650" i="6"/>
  <c r="D648" i="6"/>
  <c r="O647" i="6"/>
  <c r="N647" i="6"/>
  <c r="M647" i="6"/>
  <c r="L647" i="6"/>
  <c r="K647" i="6"/>
  <c r="J647" i="6"/>
  <c r="I647" i="6"/>
  <c r="H647" i="6"/>
  <c r="G647" i="6"/>
  <c r="F647" i="6"/>
  <c r="E647" i="6"/>
  <c r="I687" i="6" l="1"/>
  <c r="G692" i="6"/>
  <c r="E687" i="6"/>
  <c r="G687" i="6"/>
  <c r="F687" i="6"/>
  <c r="H687" i="6"/>
  <c r="D693" i="6"/>
  <c r="I692" i="6"/>
  <c r="D652" i="6"/>
  <c r="D691" i="6"/>
  <c r="D688" i="6"/>
  <c r="E692" i="6"/>
  <c r="F692" i="6"/>
  <c r="H692" i="6"/>
  <c r="D696" i="6"/>
  <c r="D692" i="6" s="1"/>
  <c r="D690" i="6"/>
  <c r="K687" i="6"/>
  <c r="D647" i="6"/>
  <c r="D687" i="6" l="1"/>
  <c r="K29" i="6"/>
  <c r="E311" i="6" l="1"/>
  <c r="F311" i="6"/>
  <c r="G311" i="6"/>
  <c r="H311" i="6"/>
  <c r="I311" i="6"/>
  <c r="J311" i="6"/>
  <c r="D313" i="6"/>
  <c r="D314" i="6"/>
  <c r="D315" i="6"/>
  <c r="D312" i="6"/>
  <c r="K311" i="6"/>
  <c r="D311" i="6" l="1"/>
  <c r="K274" i="6"/>
  <c r="K424" i="6" l="1"/>
  <c r="K184" i="6" l="1"/>
  <c r="K32" i="6" s="1"/>
  <c r="O642" i="6" l="1"/>
  <c r="N642" i="6"/>
  <c r="M642" i="6"/>
  <c r="L642" i="6"/>
  <c r="K642" i="6"/>
  <c r="J642" i="6"/>
  <c r="I642" i="6"/>
  <c r="H642" i="6"/>
  <c r="G642" i="6"/>
  <c r="F642" i="6"/>
  <c r="E642" i="6"/>
  <c r="D646" i="6"/>
  <c r="D645" i="6"/>
  <c r="D644" i="6"/>
  <c r="D643" i="6"/>
  <c r="K715" i="6"/>
  <c r="K583" i="6"/>
  <c r="K384" i="6"/>
  <c r="D417" i="6"/>
  <c r="D418" i="6"/>
  <c r="D419" i="6"/>
  <c r="D420" i="6"/>
  <c r="F416" i="6"/>
  <c r="G416" i="6"/>
  <c r="H416" i="6"/>
  <c r="I416" i="6"/>
  <c r="J416" i="6"/>
  <c r="K416" i="6"/>
  <c r="L416" i="6"/>
  <c r="M416" i="6"/>
  <c r="N416" i="6"/>
  <c r="O416" i="6"/>
  <c r="E416" i="6"/>
  <c r="D642" i="6" l="1"/>
  <c r="D416" i="6"/>
  <c r="O637" i="6"/>
  <c r="N637" i="6"/>
  <c r="M637" i="6"/>
  <c r="L637" i="6"/>
  <c r="K637" i="6"/>
  <c r="J637" i="6"/>
  <c r="I637" i="6"/>
  <c r="H637" i="6"/>
  <c r="G637" i="6"/>
  <c r="F637" i="6"/>
  <c r="E637" i="6"/>
  <c r="D641" i="6"/>
  <c r="D640" i="6"/>
  <c r="D639" i="6"/>
  <c r="D638" i="6"/>
  <c r="D637" i="6" l="1"/>
  <c r="D310" i="6"/>
  <c r="D309" i="6"/>
  <c r="D308" i="6"/>
  <c r="D307" i="6"/>
  <c r="O306" i="6"/>
  <c r="N306" i="6"/>
  <c r="M306" i="6"/>
  <c r="L306" i="6"/>
  <c r="K306" i="6"/>
  <c r="J306" i="6"/>
  <c r="I306" i="6"/>
  <c r="H306" i="6"/>
  <c r="G306" i="6"/>
  <c r="F306" i="6"/>
  <c r="E306" i="6"/>
  <c r="D306" i="6" l="1"/>
  <c r="M301" i="6"/>
  <c r="N301" i="6"/>
  <c r="O301" i="6"/>
  <c r="L301" i="6"/>
  <c r="K301" i="6"/>
  <c r="F301" i="6"/>
  <c r="G301" i="6"/>
  <c r="H301" i="6"/>
  <c r="I301" i="6"/>
  <c r="J301" i="6"/>
  <c r="E301" i="6"/>
  <c r="D305" i="6"/>
  <c r="D304" i="6"/>
  <c r="D303" i="6"/>
  <c r="D302" i="6"/>
  <c r="D301" i="6" l="1"/>
  <c r="K562" i="6" l="1"/>
  <c r="K489" i="6" l="1"/>
  <c r="E460" i="6" l="1"/>
  <c r="F460" i="6"/>
  <c r="G460" i="6"/>
  <c r="H460" i="6"/>
  <c r="I460" i="6"/>
  <c r="J460" i="6"/>
  <c r="F463" i="6" l="1"/>
  <c r="G463" i="6"/>
  <c r="H463" i="6"/>
  <c r="I463" i="6"/>
  <c r="J463" i="6"/>
  <c r="K463" i="6"/>
  <c r="L463" i="6"/>
  <c r="M463" i="6"/>
  <c r="N463" i="6"/>
  <c r="O463" i="6"/>
  <c r="E463" i="6"/>
  <c r="F462" i="6"/>
  <c r="G462" i="6"/>
  <c r="H462" i="6"/>
  <c r="I462" i="6"/>
  <c r="L462" i="6"/>
  <c r="M462" i="6"/>
  <c r="N462" i="6"/>
  <c r="O462" i="6"/>
  <c r="E462" i="6"/>
  <c r="F461" i="6"/>
  <c r="G461" i="6"/>
  <c r="H461" i="6"/>
  <c r="I461" i="6"/>
  <c r="J461" i="6"/>
  <c r="K461" i="6"/>
  <c r="L461" i="6"/>
  <c r="M461" i="6"/>
  <c r="N461" i="6"/>
  <c r="O461" i="6"/>
  <c r="E461" i="6"/>
  <c r="K460" i="6"/>
  <c r="L460" i="6"/>
  <c r="M460" i="6"/>
  <c r="N460" i="6"/>
  <c r="O460" i="6"/>
  <c r="D470" i="6"/>
  <c r="D471" i="6"/>
  <c r="D472" i="6"/>
  <c r="D473" i="6"/>
  <c r="F469" i="6"/>
  <c r="G469" i="6"/>
  <c r="H469" i="6"/>
  <c r="I469" i="6"/>
  <c r="J469" i="6"/>
  <c r="K469" i="6"/>
  <c r="L469" i="6"/>
  <c r="M469" i="6"/>
  <c r="N469" i="6"/>
  <c r="O469" i="6"/>
  <c r="E469" i="6"/>
  <c r="F464" i="6"/>
  <c r="G464" i="6"/>
  <c r="H464" i="6"/>
  <c r="I464" i="6"/>
  <c r="K464" i="6"/>
  <c r="L464" i="6"/>
  <c r="M464" i="6"/>
  <c r="N464" i="6"/>
  <c r="O464" i="6"/>
  <c r="E464" i="6"/>
  <c r="D490" i="6"/>
  <c r="D491" i="6"/>
  <c r="D492" i="6"/>
  <c r="D493" i="6"/>
  <c r="F483" i="6"/>
  <c r="G483" i="6"/>
  <c r="H483" i="6"/>
  <c r="I483" i="6"/>
  <c r="J483" i="6"/>
  <c r="K483" i="6"/>
  <c r="L483" i="6"/>
  <c r="M483" i="6"/>
  <c r="N483" i="6"/>
  <c r="O483" i="6"/>
  <c r="E483" i="6"/>
  <c r="F482" i="6"/>
  <c r="G482" i="6"/>
  <c r="H482" i="6"/>
  <c r="I482" i="6"/>
  <c r="J482" i="6"/>
  <c r="K482" i="6"/>
  <c r="L482" i="6"/>
  <c r="M482" i="6"/>
  <c r="N482" i="6"/>
  <c r="O482" i="6"/>
  <c r="E482" i="6"/>
  <c r="F481" i="6"/>
  <c r="G481" i="6"/>
  <c r="H481" i="6"/>
  <c r="I481" i="6"/>
  <c r="J481" i="6"/>
  <c r="K481" i="6"/>
  <c r="L481" i="6"/>
  <c r="M481" i="6"/>
  <c r="N481" i="6"/>
  <c r="O481" i="6"/>
  <c r="E481" i="6"/>
  <c r="F480" i="6"/>
  <c r="G480" i="6"/>
  <c r="H480" i="6"/>
  <c r="I480" i="6"/>
  <c r="J480" i="6"/>
  <c r="K480" i="6"/>
  <c r="L480" i="6"/>
  <c r="M480" i="6"/>
  <c r="N480" i="6"/>
  <c r="O480" i="6"/>
  <c r="E480" i="6"/>
  <c r="F489" i="6"/>
  <c r="G489" i="6"/>
  <c r="H489" i="6"/>
  <c r="I489" i="6"/>
  <c r="J489" i="6"/>
  <c r="L489" i="6"/>
  <c r="M489" i="6"/>
  <c r="N489" i="6"/>
  <c r="O489" i="6"/>
  <c r="E489" i="6"/>
  <c r="D469" i="6" l="1"/>
  <c r="D489" i="6"/>
  <c r="F27" i="6"/>
  <c r="G27" i="6"/>
  <c r="H27" i="6"/>
  <c r="I27" i="6"/>
  <c r="J27" i="6"/>
  <c r="K27" i="6"/>
  <c r="K26" i="6" s="1"/>
  <c r="L27" i="6"/>
  <c r="M27" i="6"/>
  <c r="N27" i="6"/>
  <c r="O27" i="6"/>
  <c r="F28" i="6"/>
  <c r="G28" i="6"/>
  <c r="H28" i="6"/>
  <c r="I28" i="6"/>
  <c r="J28" i="6"/>
  <c r="K28" i="6"/>
  <c r="F296" i="6"/>
  <c r="G296" i="6"/>
  <c r="H296" i="6"/>
  <c r="I296" i="6"/>
  <c r="J296" i="6"/>
  <c r="K296" i="6"/>
  <c r="L296" i="6"/>
  <c r="M296" i="6"/>
  <c r="N296" i="6"/>
  <c r="O296" i="6"/>
  <c r="E296" i="6"/>
  <c r="D299" i="6"/>
  <c r="D300" i="6"/>
  <c r="D297" i="6"/>
  <c r="D298" i="6"/>
  <c r="D296" i="6" l="1"/>
  <c r="J624" i="6" l="1"/>
  <c r="J577" i="6"/>
  <c r="J264" i="6"/>
  <c r="J715" i="6" l="1"/>
  <c r="J618" i="6" l="1"/>
  <c r="J608" i="6"/>
  <c r="J573" i="6"/>
  <c r="J541" i="6"/>
  <c r="J512" i="6"/>
  <c r="J389" i="6"/>
  <c r="J583" i="6" l="1"/>
  <c r="J430" i="6"/>
  <c r="J399" i="6"/>
  <c r="J269" i="6"/>
  <c r="J184" i="6"/>
  <c r="J274" i="6"/>
  <c r="J38" i="6"/>
  <c r="J635" i="6"/>
  <c r="J219" i="6"/>
  <c r="J535" i="6" l="1"/>
  <c r="M196" i="6" l="1"/>
  <c r="L196" i="6"/>
  <c r="K196" i="6"/>
  <c r="O447" i="6"/>
  <c r="O424" i="6" s="1"/>
  <c r="L561" i="6"/>
  <c r="L555" i="6" s="1"/>
  <c r="M561" i="6"/>
  <c r="N561" i="6"/>
  <c r="O561" i="6"/>
  <c r="K561" i="6"/>
  <c r="M555" i="6"/>
  <c r="K669" i="6"/>
  <c r="D277" i="6"/>
  <c r="D278" i="6"/>
  <c r="D279" i="6"/>
  <c r="D280" i="6"/>
  <c r="D282" i="6"/>
  <c r="D283" i="6"/>
  <c r="D284" i="6"/>
  <c r="D285" i="6"/>
  <c r="D288" i="6"/>
  <c r="D289" i="6"/>
  <c r="D290" i="6"/>
  <c r="D292" i="6"/>
  <c r="D293" i="6"/>
  <c r="D294" i="6"/>
  <c r="D295" i="6"/>
  <c r="O291" i="6"/>
  <c r="N291" i="6"/>
  <c r="M291" i="6"/>
  <c r="L291" i="6"/>
  <c r="K291" i="6"/>
  <c r="J291" i="6"/>
  <c r="I291" i="6"/>
  <c r="H291" i="6"/>
  <c r="G291" i="6"/>
  <c r="F291" i="6"/>
  <c r="E291" i="6"/>
  <c r="E287" i="6" s="1"/>
  <c r="D287" i="6" s="1"/>
  <c r="O286" i="6"/>
  <c r="N286" i="6"/>
  <c r="M286" i="6"/>
  <c r="L286" i="6"/>
  <c r="K286" i="6"/>
  <c r="J286" i="6"/>
  <c r="I286" i="6"/>
  <c r="H286" i="6"/>
  <c r="G286" i="6"/>
  <c r="F286" i="6"/>
  <c r="O281" i="6"/>
  <c r="N281" i="6"/>
  <c r="M281" i="6"/>
  <c r="L281" i="6"/>
  <c r="K281" i="6"/>
  <c r="J281" i="6"/>
  <c r="I281" i="6"/>
  <c r="H281" i="6"/>
  <c r="G281" i="6"/>
  <c r="F281" i="6"/>
  <c r="E281" i="6"/>
  <c r="O276" i="6"/>
  <c r="N276" i="6"/>
  <c r="M276" i="6"/>
  <c r="L276" i="6"/>
  <c r="K276" i="6"/>
  <c r="J276" i="6"/>
  <c r="I276" i="6"/>
  <c r="H276" i="6"/>
  <c r="G276" i="6"/>
  <c r="F276" i="6"/>
  <c r="E276" i="6"/>
  <c r="H271" i="6"/>
  <c r="J442" i="6"/>
  <c r="J467" i="6"/>
  <c r="D467" i="6" s="1"/>
  <c r="J669" i="6"/>
  <c r="J670" i="6"/>
  <c r="J671" i="6"/>
  <c r="J204" i="6"/>
  <c r="J201" i="6" s="1"/>
  <c r="E529" i="6"/>
  <c r="J529" i="6"/>
  <c r="J593" i="6"/>
  <c r="J437" i="6"/>
  <c r="J612" i="6"/>
  <c r="J597" i="6"/>
  <c r="D597" i="6" s="1"/>
  <c r="J403" i="6"/>
  <c r="J393" i="6"/>
  <c r="J383" i="6" s="1"/>
  <c r="J196" i="6"/>
  <c r="J484" i="6"/>
  <c r="K484" i="6"/>
  <c r="L484" i="6"/>
  <c r="J62" i="6"/>
  <c r="D62" i="6" s="1"/>
  <c r="D140" i="6"/>
  <c r="J249" i="6"/>
  <c r="D249" i="6" s="1"/>
  <c r="I554" i="6"/>
  <c r="E554" i="6"/>
  <c r="I686" i="6"/>
  <c r="I681" i="6" s="1"/>
  <c r="H686" i="6"/>
  <c r="H681" i="6" s="1"/>
  <c r="G686" i="6"/>
  <c r="G681" i="6" s="1"/>
  <c r="F686" i="6"/>
  <c r="F681" i="6" s="1"/>
  <c r="E686" i="6"/>
  <c r="E681" i="6" s="1"/>
  <c r="D685" i="6"/>
  <c r="D684" i="6"/>
  <c r="O683" i="6"/>
  <c r="O682" i="6" s="1"/>
  <c r="N683" i="6"/>
  <c r="N682" i="6" s="1"/>
  <c r="M683" i="6"/>
  <c r="M682" i="6" s="1"/>
  <c r="L683" i="6"/>
  <c r="L682" i="6" s="1"/>
  <c r="K683" i="6"/>
  <c r="K682" i="6" s="1"/>
  <c r="J683" i="6"/>
  <c r="J682" i="6" s="1"/>
  <c r="I683" i="6"/>
  <c r="I678" i="6" s="1"/>
  <c r="H683" i="6"/>
  <c r="G683" i="6"/>
  <c r="F683" i="6"/>
  <c r="F678" i="6" s="1"/>
  <c r="E683" i="6"/>
  <c r="E678" i="6" s="1"/>
  <c r="K681" i="6"/>
  <c r="J681" i="6"/>
  <c r="K680" i="6"/>
  <c r="J680" i="6"/>
  <c r="I680" i="6"/>
  <c r="H680" i="6"/>
  <c r="G680" i="6"/>
  <c r="E680" i="6"/>
  <c r="F680" i="6"/>
  <c r="K679" i="6"/>
  <c r="J679" i="6"/>
  <c r="I679" i="6"/>
  <c r="H679" i="6"/>
  <c r="G679" i="6"/>
  <c r="F679" i="6"/>
  <c r="E679" i="6"/>
  <c r="O678" i="6"/>
  <c r="O677" i="6" s="1"/>
  <c r="N678" i="6"/>
  <c r="N677" i="6" s="1"/>
  <c r="M678" i="6"/>
  <c r="M677" i="6" s="1"/>
  <c r="L678" i="6"/>
  <c r="L677" i="6" s="1"/>
  <c r="J259" i="6"/>
  <c r="J256" i="6" s="1"/>
  <c r="E527" i="6"/>
  <c r="F527" i="6"/>
  <c r="G527" i="6"/>
  <c r="G544" i="6"/>
  <c r="H527" i="6"/>
  <c r="I527" i="6"/>
  <c r="J527" i="6"/>
  <c r="K527" i="6"/>
  <c r="K544" i="6"/>
  <c r="L527" i="6"/>
  <c r="M527" i="6"/>
  <c r="N527" i="6"/>
  <c r="O527" i="6"/>
  <c r="O544" i="6"/>
  <c r="E528" i="6"/>
  <c r="F528" i="6"/>
  <c r="G528" i="6"/>
  <c r="H528" i="6"/>
  <c r="H545" i="6"/>
  <c r="I528" i="6"/>
  <c r="J528" i="6"/>
  <c r="K528" i="6"/>
  <c r="L528" i="6"/>
  <c r="L531" i="6"/>
  <c r="L525" i="6" s="1"/>
  <c r="M528" i="6"/>
  <c r="N528" i="6"/>
  <c r="O528" i="6"/>
  <c r="F529" i="6"/>
  <c r="F546" i="6"/>
  <c r="G529" i="6"/>
  <c r="H529" i="6"/>
  <c r="I529" i="6"/>
  <c r="K529" i="6"/>
  <c r="K546" i="6"/>
  <c r="E530" i="6"/>
  <c r="E520" i="6" s="1"/>
  <c r="F530" i="6"/>
  <c r="F524" i="6" s="1"/>
  <c r="G530" i="6"/>
  <c r="H530" i="6"/>
  <c r="H524" i="6" s="1"/>
  <c r="I530" i="6"/>
  <c r="I524" i="6" s="1"/>
  <c r="J530" i="6"/>
  <c r="J524" i="6" s="1"/>
  <c r="K530" i="6"/>
  <c r="L530" i="6"/>
  <c r="L524" i="6" s="1"/>
  <c r="M530" i="6"/>
  <c r="M520" i="6" s="1"/>
  <c r="N530" i="6"/>
  <c r="N524" i="6" s="1"/>
  <c r="O530" i="6"/>
  <c r="E531" i="6"/>
  <c r="F531" i="6"/>
  <c r="G531" i="6"/>
  <c r="H531" i="6"/>
  <c r="I531" i="6"/>
  <c r="J531" i="6"/>
  <c r="K531" i="6"/>
  <c r="K525" i="6" s="1"/>
  <c r="M531" i="6"/>
  <c r="N531" i="6"/>
  <c r="N525" i="6" s="1"/>
  <c r="O531" i="6"/>
  <c r="O525" i="6" s="1"/>
  <c r="F544" i="6"/>
  <c r="H544" i="6"/>
  <c r="I544" i="6"/>
  <c r="J544" i="6"/>
  <c r="L544" i="6"/>
  <c r="M544" i="6"/>
  <c r="N544" i="6"/>
  <c r="F545" i="6"/>
  <c r="G545" i="6"/>
  <c r="I545" i="6"/>
  <c r="J545" i="6"/>
  <c r="K545" i="6"/>
  <c r="L545" i="6"/>
  <c r="M545" i="6"/>
  <c r="N545" i="6"/>
  <c r="O545" i="6"/>
  <c r="G546" i="6"/>
  <c r="H546" i="6"/>
  <c r="I546" i="6"/>
  <c r="J546" i="6"/>
  <c r="L546" i="6"/>
  <c r="L523" i="6" s="1"/>
  <c r="M546" i="6"/>
  <c r="M523" i="6" s="1"/>
  <c r="N546" i="6"/>
  <c r="N523" i="6" s="1"/>
  <c r="O546" i="6"/>
  <c r="O523" i="6" s="1"/>
  <c r="F547" i="6"/>
  <c r="G547" i="6"/>
  <c r="H547" i="6"/>
  <c r="H543" i="6" s="1"/>
  <c r="I547" i="6"/>
  <c r="J547" i="6"/>
  <c r="K547" i="6"/>
  <c r="L547" i="6"/>
  <c r="M547" i="6"/>
  <c r="N547" i="6"/>
  <c r="O547" i="6"/>
  <c r="E547" i="6"/>
  <c r="E545" i="6"/>
  <c r="E546" i="6"/>
  <c r="E544" i="6"/>
  <c r="D552" i="6"/>
  <c r="D551" i="6"/>
  <c r="D550" i="6"/>
  <c r="D549" i="6"/>
  <c r="O548" i="6"/>
  <c r="N548" i="6"/>
  <c r="M548" i="6"/>
  <c r="L548" i="6"/>
  <c r="K548" i="6"/>
  <c r="J548" i="6"/>
  <c r="I548" i="6"/>
  <c r="H548" i="6"/>
  <c r="G548" i="6"/>
  <c r="F548" i="6"/>
  <c r="E548" i="6"/>
  <c r="N110" i="5"/>
  <c r="N109" i="5"/>
  <c r="N106" i="5"/>
  <c r="N91" i="5" s="1"/>
  <c r="H59" i="5"/>
  <c r="H60" i="5"/>
  <c r="O46" i="5"/>
  <c r="O53" i="5"/>
  <c r="P54" i="5"/>
  <c r="P16" i="5" s="1"/>
  <c r="O54" i="5"/>
  <c r="N54" i="5"/>
  <c r="N53" i="5"/>
  <c r="H53" i="5" s="1"/>
  <c r="N48" i="5"/>
  <c r="N49" i="5"/>
  <c r="H49" i="5" s="1"/>
  <c r="N47" i="5"/>
  <c r="N46" i="5"/>
  <c r="N45" i="5"/>
  <c r="N43" i="5"/>
  <c r="N19" i="5"/>
  <c r="N18" i="5"/>
  <c r="J562" i="6"/>
  <c r="J224" i="6"/>
  <c r="D224" i="6" s="1"/>
  <c r="J214" i="6"/>
  <c r="J209" i="6"/>
  <c r="J44" i="6"/>
  <c r="D275" i="6"/>
  <c r="D274" i="6"/>
  <c r="D273" i="6"/>
  <c r="D272" i="6"/>
  <c r="O271" i="6"/>
  <c r="N271" i="6"/>
  <c r="M271" i="6"/>
  <c r="L271" i="6"/>
  <c r="K271" i="6"/>
  <c r="J271" i="6"/>
  <c r="I271" i="6"/>
  <c r="E271" i="6"/>
  <c r="F271" i="6"/>
  <c r="G271" i="6"/>
  <c r="E241" i="6"/>
  <c r="F241" i="6"/>
  <c r="G241" i="6"/>
  <c r="H241" i="6"/>
  <c r="I241" i="6"/>
  <c r="J241" i="6"/>
  <c r="K241" i="6"/>
  <c r="L241" i="6"/>
  <c r="M241" i="6"/>
  <c r="N241" i="6"/>
  <c r="O241" i="6"/>
  <c r="D242" i="6"/>
  <c r="D243" i="6"/>
  <c r="D244" i="6"/>
  <c r="D245" i="6"/>
  <c r="R17" i="5"/>
  <c r="Q17" i="5"/>
  <c r="P17" i="5"/>
  <c r="O17" i="5"/>
  <c r="N17" i="5"/>
  <c r="S17" i="5"/>
  <c r="I17" i="5"/>
  <c r="H57" i="5"/>
  <c r="H58" i="5"/>
  <c r="D270" i="6"/>
  <c r="D269" i="6"/>
  <c r="D268" i="6"/>
  <c r="D267" i="6"/>
  <c r="O266" i="6"/>
  <c r="N266" i="6"/>
  <c r="M266" i="6"/>
  <c r="L266" i="6"/>
  <c r="K266" i="6"/>
  <c r="J266" i="6"/>
  <c r="I266" i="6"/>
  <c r="H266" i="6"/>
  <c r="G266" i="6"/>
  <c r="F266" i="6"/>
  <c r="E266" i="6"/>
  <c r="S16" i="5"/>
  <c r="R16" i="5"/>
  <c r="Q16" i="5"/>
  <c r="O16" i="5"/>
  <c r="L16" i="5"/>
  <c r="K16" i="5"/>
  <c r="J16" i="5"/>
  <c r="I16" i="5"/>
  <c r="I610" i="6"/>
  <c r="I632" i="6"/>
  <c r="Q632" i="6" s="1"/>
  <c r="I425" i="6"/>
  <c r="M19" i="5"/>
  <c r="H19" i="5" s="1"/>
  <c r="I44" i="6"/>
  <c r="D44" i="6" s="1"/>
  <c r="N118" i="5"/>
  <c r="N115" i="5" s="1"/>
  <c r="N69" i="5"/>
  <c r="H55" i="5"/>
  <c r="H56" i="5"/>
  <c r="L58" i="6"/>
  <c r="M58" i="6"/>
  <c r="N58" i="6"/>
  <c r="O58" i="6"/>
  <c r="J423" i="6"/>
  <c r="D265" i="6"/>
  <c r="D264" i="6"/>
  <c r="D263" i="6"/>
  <c r="D262" i="6"/>
  <c r="O261" i="6"/>
  <c r="N261" i="6"/>
  <c r="M261" i="6"/>
  <c r="L261" i="6"/>
  <c r="J261" i="6"/>
  <c r="I261" i="6"/>
  <c r="H261" i="6"/>
  <c r="G261" i="6"/>
  <c r="F261" i="6"/>
  <c r="E261" i="6"/>
  <c r="D260" i="6"/>
  <c r="D258" i="6"/>
  <c r="D257" i="6"/>
  <c r="O256" i="6"/>
  <c r="N256" i="6"/>
  <c r="M256" i="6"/>
  <c r="L256" i="6"/>
  <c r="K256" i="6"/>
  <c r="I256" i="6"/>
  <c r="H256" i="6"/>
  <c r="G256" i="6"/>
  <c r="F256" i="6"/>
  <c r="E256" i="6"/>
  <c r="D255" i="6"/>
  <c r="D254" i="6"/>
  <c r="D253" i="6"/>
  <c r="D252" i="6"/>
  <c r="O251" i="6"/>
  <c r="N251" i="6"/>
  <c r="M251" i="6"/>
  <c r="L251" i="6"/>
  <c r="J251" i="6"/>
  <c r="I251" i="6"/>
  <c r="H251" i="6"/>
  <c r="G251" i="6"/>
  <c r="F251" i="6"/>
  <c r="E251" i="6"/>
  <c r="D488" i="6"/>
  <c r="D487" i="6"/>
  <c r="D486" i="6"/>
  <c r="D485" i="6"/>
  <c r="O484" i="6"/>
  <c r="N484" i="6"/>
  <c r="M484" i="6"/>
  <c r="I484" i="6"/>
  <c r="H484" i="6"/>
  <c r="G484" i="6"/>
  <c r="F484" i="6"/>
  <c r="E484" i="6"/>
  <c r="I479" i="6"/>
  <c r="M87" i="5"/>
  <c r="I71" i="5"/>
  <c r="J71" i="5"/>
  <c r="K71" i="5"/>
  <c r="L71" i="5"/>
  <c r="L15" i="5" s="1"/>
  <c r="M71" i="5"/>
  <c r="N71" i="5"/>
  <c r="O71" i="5"/>
  <c r="P71" i="5"/>
  <c r="Q71" i="5"/>
  <c r="R71" i="5"/>
  <c r="S71" i="5"/>
  <c r="H72" i="5"/>
  <c r="H71" i="5"/>
  <c r="F18" i="6"/>
  <c r="M459" i="6"/>
  <c r="D468" i="6"/>
  <c r="D466" i="6"/>
  <c r="D465" i="6"/>
  <c r="M118" i="5"/>
  <c r="I715" i="6"/>
  <c r="I710" i="6" s="1"/>
  <c r="I707" i="6" s="1"/>
  <c r="I705" i="6" s="1"/>
  <c r="I608" i="6"/>
  <c r="I605" i="6" s="1"/>
  <c r="I593" i="6"/>
  <c r="I508" i="6"/>
  <c r="D508" i="6" s="1"/>
  <c r="M96" i="5"/>
  <c r="H96" i="5" s="1"/>
  <c r="M99" i="5"/>
  <c r="M101" i="5"/>
  <c r="H101" i="5" s="1"/>
  <c r="M119" i="5"/>
  <c r="M105" i="5"/>
  <c r="M93" i="5" s="1"/>
  <c r="M106" i="5"/>
  <c r="M97" i="5"/>
  <c r="M69" i="5"/>
  <c r="H69" i="5" s="1"/>
  <c r="M68" i="5"/>
  <c r="M67" i="5"/>
  <c r="H67" i="5" s="1"/>
  <c r="I442" i="6"/>
  <c r="I573" i="6"/>
  <c r="D573" i="6" s="1"/>
  <c r="I624" i="6"/>
  <c r="I583" i="6"/>
  <c r="D583" i="6" s="1"/>
  <c r="I393" i="6"/>
  <c r="I437" i="6"/>
  <c r="I434" i="6" s="1"/>
  <c r="I430" i="6"/>
  <c r="I403" i="6"/>
  <c r="I512" i="6"/>
  <c r="M76" i="5"/>
  <c r="H76" i="5" s="1"/>
  <c r="Q85" i="5"/>
  <c r="H85" i="5" s="1"/>
  <c r="I91" i="5"/>
  <c r="D635" i="6"/>
  <c r="D636" i="6"/>
  <c r="D634" i="6"/>
  <c r="D633" i="6"/>
  <c r="O632" i="6"/>
  <c r="N632" i="6"/>
  <c r="M632" i="6"/>
  <c r="L632" i="6"/>
  <c r="K632" i="6"/>
  <c r="J632" i="6"/>
  <c r="H632" i="6"/>
  <c r="G632" i="6"/>
  <c r="E632" i="6"/>
  <c r="F632" i="6"/>
  <c r="J91" i="5"/>
  <c r="K91" i="5"/>
  <c r="L91" i="5"/>
  <c r="O91" i="5"/>
  <c r="P91" i="5"/>
  <c r="Q91" i="5"/>
  <c r="R91" i="5"/>
  <c r="S91" i="5"/>
  <c r="H108" i="5"/>
  <c r="M40" i="5"/>
  <c r="M17" i="5" s="1"/>
  <c r="L401" i="6"/>
  <c r="M401" i="6"/>
  <c r="N401" i="6"/>
  <c r="O401" i="6"/>
  <c r="L391" i="6"/>
  <c r="M391" i="6"/>
  <c r="N391" i="6"/>
  <c r="O391" i="6"/>
  <c r="H52" i="5"/>
  <c r="M48" i="5"/>
  <c r="M47" i="5"/>
  <c r="H47" i="5" s="1"/>
  <c r="D237" i="6"/>
  <c r="D238" i="6"/>
  <c r="D239" i="6"/>
  <c r="D240" i="6"/>
  <c r="Q118" i="5"/>
  <c r="Q119" i="5"/>
  <c r="R119" i="5" s="1"/>
  <c r="S119" i="5" s="1"/>
  <c r="P117" i="5"/>
  <c r="Q117" i="5"/>
  <c r="R117" i="5"/>
  <c r="S117" i="5"/>
  <c r="H120" i="5"/>
  <c r="H95" i="5"/>
  <c r="H98" i="5"/>
  <c r="H99" i="5"/>
  <c r="H100" i="5"/>
  <c r="H102" i="5"/>
  <c r="H103" i="5"/>
  <c r="H104" i="5"/>
  <c r="H107" i="5"/>
  <c r="H86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1" i="5"/>
  <c r="H42" i="5"/>
  <c r="H44" i="5"/>
  <c r="H45" i="5"/>
  <c r="H50" i="5"/>
  <c r="H51" i="5"/>
  <c r="H62" i="5"/>
  <c r="H63" i="5"/>
  <c r="H64" i="5"/>
  <c r="H65" i="5"/>
  <c r="H70" i="5"/>
  <c r="D708" i="6"/>
  <c r="D709" i="6"/>
  <c r="D711" i="6"/>
  <c r="D713" i="6"/>
  <c r="D714" i="6"/>
  <c r="D716" i="6"/>
  <c r="D674" i="6"/>
  <c r="D675" i="6"/>
  <c r="D628" i="6"/>
  <c r="D629" i="6"/>
  <c r="D630" i="6"/>
  <c r="D631" i="6"/>
  <c r="D622" i="6"/>
  <c r="D623" i="6"/>
  <c r="D625" i="6"/>
  <c r="D626" i="6"/>
  <c r="D616" i="6"/>
  <c r="D617" i="6"/>
  <c r="D618" i="6"/>
  <c r="D619" i="6"/>
  <c r="D620" i="6"/>
  <c r="D611" i="6"/>
  <c r="D613" i="6"/>
  <c r="D614" i="6"/>
  <c r="D606" i="6"/>
  <c r="D607" i="6"/>
  <c r="D609" i="6"/>
  <c r="D601" i="6"/>
  <c r="D602" i="6"/>
  <c r="D603" i="6"/>
  <c r="D604" i="6"/>
  <c r="D596" i="6"/>
  <c r="D598" i="6"/>
  <c r="D599" i="6"/>
  <c r="D591" i="6"/>
  <c r="D592" i="6"/>
  <c r="D594" i="6"/>
  <c r="D586" i="6"/>
  <c r="D587" i="6"/>
  <c r="D588" i="6"/>
  <c r="D589" i="6"/>
  <c r="D581" i="6"/>
  <c r="D582" i="6"/>
  <c r="D584" i="6"/>
  <c r="D576" i="6"/>
  <c r="D577" i="6"/>
  <c r="D578" i="6"/>
  <c r="D579" i="6"/>
  <c r="D571" i="6"/>
  <c r="D572" i="6"/>
  <c r="D574" i="6"/>
  <c r="D539" i="6"/>
  <c r="D540" i="6"/>
  <c r="D541" i="6"/>
  <c r="D542" i="6"/>
  <c r="D533" i="6"/>
  <c r="D534" i="6"/>
  <c r="D535" i="6"/>
  <c r="D536" i="6"/>
  <c r="D537" i="6"/>
  <c r="D515" i="6"/>
  <c r="D516" i="6"/>
  <c r="D517" i="6"/>
  <c r="D518" i="6"/>
  <c r="D510" i="6"/>
  <c r="D511" i="6"/>
  <c r="D513" i="6"/>
  <c r="E514" i="6"/>
  <c r="F514" i="6"/>
  <c r="G514" i="6"/>
  <c r="H514" i="6"/>
  <c r="I514" i="6"/>
  <c r="J514" i="6"/>
  <c r="K514" i="6"/>
  <c r="L514" i="6"/>
  <c r="M514" i="6"/>
  <c r="N514" i="6"/>
  <c r="O514" i="6"/>
  <c r="D505" i="6"/>
  <c r="D506" i="6"/>
  <c r="D507" i="6"/>
  <c r="D445" i="6"/>
  <c r="D446" i="6"/>
  <c r="D448" i="6"/>
  <c r="D441" i="6"/>
  <c r="D443" i="6"/>
  <c r="D440" i="6"/>
  <c r="D435" i="6"/>
  <c r="D436" i="6"/>
  <c r="D438" i="6"/>
  <c r="D428" i="6"/>
  <c r="D429" i="6"/>
  <c r="D431" i="6"/>
  <c r="D432" i="6"/>
  <c r="D433" i="6"/>
  <c r="D426" i="6"/>
  <c r="D412" i="6"/>
  <c r="D413" i="6"/>
  <c r="D414" i="6"/>
  <c r="D415" i="6"/>
  <c r="D407" i="6"/>
  <c r="D408" i="6"/>
  <c r="D409" i="6"/>
  <c r="D410" i="6"/>
  <c r="D402" i="6"/>
  <c r="D404" i="6"/>
  <c r="D405" i="6"/>
  <c r="D397" i="6"/>
  <c r="D398" i="6"/>
  <c r="D399" i="6"/>
  <c r="D400" i="6"/>
  <c r="D392" i="6"/>
  <c r="D394" i="6"/>
  <c r="D395" i="6"/>
  <c r="D387" i="6"/>
  <c r="D388" i="6"/>
  <c r="D389" i="6"/>
  <c r="D390" i="6"/>
  <c r="D247" i="6"/>
  <c r="D248" i="6"/>
  <c r="D250" i="6"/>
  <c r="D233" i="6"/>
  <c r="D234" i="6"/>
  <c r="D235" i="6"/>
  <c r="D232" i="6"/>
  <c r="D228" i="6"/>
  <c r="D229" i="6"/>
  <c r="D230" i="6"/>
  <c r="D227" i="6"/>
  <c r="D223" i="6"/>
  <c r="D225" i="6"/>
  <c r="D222" i="6"/>
  <c r="D218" i="6"/>
  <c r="D219" i="6"/>
  <c r="D220" i="6"/>
  <c r="D217" i="6"/>
  <c r="D213" i="6"/>
  <c r="D214" i="6"/>
  <c r="D215" i="6"/>
  <c r="D212" i="6"/>
  <c r="D208" i="6"/>
  <c r="D209" i="6"/>
  <c r="D210" i="6"/>
  <c r="D207" i="6"/>
  <c r="D203" i="6"/>
  <c r="D204" i="6"/>
  <c r="D205" i="6"/>
  <c r="D202" i="6"/>
  <c r="D200" i="6"/>
  <c r="D197" i="6"/>
  <c r="D183" i="6"/>
  <c r="D184" i="6"/>
  <c r="D185" i="6"/>
  <c r="D182" i="6"/>
  <c r="D67" i="6"/>
  <c r="D68" i="6"/>
  <c r="D69" i="6"/>
  <c r="D70" i="6"/>
  <c r="D60" i="6"/>
  <c r="D61" i="6"/>
  <c r="D63" i="6"/>
  <c r="D64" i="6"/>
  <c r="D55" i="6"/>
  <c r="D56" i="6"/>
  <c r="D57" i="6"/>
  <c r="D54" i="6"/>
  <c r="D43" i="6"/>
  <c r="D45" i="6"/>
  <c r="D46" i="6"/>
  <c r="D37" i="6"/>
  <c r="D38" i="6"/>
  <c r="D40" i="6"/>
  <c r="D36" i="6"/>
  <c r="D34" i="6"/>
  <c r="D25" i="6"/>
  <c r="O246" i="6"/>
  <c r="N246" i="6"/>
  <c r="M246" i="6"/>
  <c r="L246" i="6"/>
  <c r="K246" i="6"/>
  <c r="J246" i="6"/>
  <c r="I246" i="6"/>
  <c r="H246" i="6"/>
  <c r="G246" i="6"/>
  <c r="F246" i="6"/>
  <c r="E246" i="6"/>
  <c r="L181" i="6"/>
  <c r="N621" i="6"/>
  <c r="M621" i="6"/>
  <c r="M710" i="6"/>
  <c r="M705" i="6" s="1"/>
  <c r="L710" i="6"/>
  <c r="L707" i="6" s="1"/>
  <c r="L712" i="6"/>
  <c r="L621" i="6"/>
  <c r="O621" i="6"/>
  <c r="M712" i="6"/>
  <c r="P94" i="5"/>
  <c r="Q94" i="5"/>
  <c r="R94" i="5"/>
  <c r="S94" i="5"/>
  <c r="P93" i="5"/>
  <c r="Q93" i="5"/>
  <c r="R93" i="5"/>
  <c r="S93" i="5"/>
  <c r="S89" i="5" s="1"/>
  <c r="P92" i="5"/>
  <c r="Q92" i="5"/>
  <c r="R92" i="5"/>
  <c r="S92" i="5"/>
  <c r="S90" i="5" s="1"/>
  <c r="P113" i="5"/>
  <c r="P116" i="5"/>
  <c r="P115" i="5"/>
  <c r="P82" i="5"/>
  <c r="P78" i="5" s="1"/>
  <c r="Q82" i="5"/>
  <c r="Q78" i="5" s="1"/>
  <c r="R82" i="5"/>
  <c r="R78" i="5" s="1"/>
  <c r="S82" i="5"/>
  <c r="S78" i="5" s="1"/>
  <c r="S83" i="5"/>
  <c r="P83" i="5"/>
  <c r="R83" i="5"/>
  <c r="R79" i="5" s="1"/>
  <c r="P84" i="5"/>
  <c r="P80" i="5" s="1"/>
  <c r="P11" i="5" s="1"/>
  <c r="Q84" i="5"/>
  <c r="Q80" i="5" s="1"/>
  <c r="Q11" i="5" s="1"/>
  <c r="R84" i="5"/>
  <c r="R80" i="5" s="1"/>
  <c r="R11" i="5" s="1"/>
  <c r="S84" i="5"/>
  <c r="S80" i="5" s="1"/>
  <c r="S11" i="5" s="1"/>
  <c r="P74" i="5"/>
  <c r="P73" i="5" s="1"/>
  <c r="Q74" i="5"/>
  <c r="Q73" i="5" s="1"/>
  <c r="R74" i="5"/>
  <c r="R73" i="5" s="1"/>
  <c r="S74" i="5"/>
  <c r="S73" i="5" s="1"/>
  <c r="P75" i="5"/>
  <c r="Q75" i="5"/>
  <c r="R75" i="5"/>
  <c r="S75" i="5"/>
  <c r="P66" i="5"/>
  <c r="Q66" i="5"/>
  <c r="R66" i="5"/>
  <c r="S66" i="5"/>
  <c r="P61" i="5"/>
  <c r="P14" i="5" s="1"/>
  <c r="Q61" i="5"/>
  <c r="R61" i="5"/>
  <c r="S61" i="5"/>
  <c r="L28" i="6"/>
  <c r="L19" i="6" s="1"/>
  <c r="L10" i="6" s="1"/>
  <c r="M28" i="6"/>
  <c r="M19" i="6" s="1"/>
  <c r="M10" i="6" s="1"/>
  <c r="N28" i="6"/>
  <c r="N19" i="6" s="1"/>
  <c r="N10" i="6" s="1"/>
  <c r="O28" i="6"/>
  <c r="O19" i="6" s="1"/>
  <c r="O10" i="6" s="1"/>
  <c r="L30" i="6"/>
  <c r="L21" i="6" s="1"/>
  <c r="L12" i="6" s="1"/>
  <c r="M30" i="6"/>
  <c r="M21" i="6" s="1"/>
  <c r="M12" i="6" s="1"/>
  <c r="N30" i="6"/>
  <c r="N21" i="6" s="1"/>
  <c r="N12" i="6" s="1"/>
  <c r="O30" i="6"/>
  <c r="O21" i="6" s="1"/>
  <c r="O12" i="6" s="1"/>
  <c r="L31" i="6"/>
  <c r="L22" i="6" s="1"/>
  <c r="L13" i="6" s="1"/>
  <c r="M31" i="6"/>
  <c r="M22" i="6" s="1"/>
  <c r="M13" i="6" s="1"/>
  <c r="N31" i="6"/>
  <c r="N22" i="6" s="1"/>
  <c r="N13" i="6" s="1"/>
  <c r="O31" i="6"/>
  <c r="O22" i="6" s="1"/>
  <c r="O13" i="6" s="1"/>
  <c r="L33" i="6"/>
  <c r="M33" i="6"/>
  <c r="N33" i="6"/>
  <c r="O33" i="6"/>
  <c r="L35" i="6"/>
  <c r="M35" i="6"/>
  <c r="N35" i="6"/>
  <c r="O35" i="6"/>
  <c r="L41" i="6"/>
  <c r="M41" i="6"/>
  <c r="N41" i="6"/>
  <c r="O41" i="6"/>
  <c r="L503" i="6"/>
  <c r="M503" i="6"/>
  <c r="M498" i="6" s="1"/>
  <c r="M16" i="6" s="1"/>
  <c r="N503" i="6"/>
  <c r="N498" i="6" s="1"/>
  <c r="N16" i="6" s="1"/>
  <c r="O503" i="6"/>
  <c r="O498" i="6" s="1"/>
  <c r="O16" i="6" s="1"/>
  <c r="L501" i="6"/>
  <c r="M501" i="6"/>
  <c r="N501" i="6"/>
  <c r="O501" i="6"/>
  <c r="L500" i="6"/>
  <c r="L495" i="6" s="1"/>
  <c r="M500" i="6"/>
  <c r="M495" i="6" s="1"/>
  <c r="N500" i="6"/>
  <c r="N495" i="6" s="1"/>
  <c r="O500" i="6"/>
  <c r="O495" i="6" s="1"/>
  <c r="L496" i="6"/>
  <c r="M496" i="6"/>
  <c r="N496" i="6"/>
  <c r="O496" i="6"/>
  <c r="L558" i="6"/>
  <c r="M558" i="6"/>
  <c r="N558" i="6"/>
  <c r="O558" i="6"/>
  <c r="L557" i="6"/>
  <c r="M557" i="6"/>
  <c r="N557" i="6"/>
  <c r="O557" i="6"/>
  <c r="L554" i="6"/>
  <c r="M554" i="6"/>
  <c r="N554" i="6"/>
  <c r="O554" i="6"/>
  <c r="L563" i="6"/>
  <c r="M563" i="6"/>
  <c r="N563" i="6"/>
  <c r="O563" i="6"/>
  <c r="N555" i="6"/>
  <c r="L560" i="6"/>
  <c r="M560" i="6"/>
  <c r="N560" i="6"/>
  <c r="O560" i="6"/>
  <c r="L580" i="6"/>
  <c r="M525" i="6"/>
  <c r="M524" i="6"/>
  <c r="O524" i="6"/>
  <c r="L538" i="6"/>
  <c r="M538" i="6"/>
  <c r="N538" i="6"/>
  <c r="O538" i="6"/>
  <c r="L532" i="6"/>
  <c r="M532" i="6"/>
  <c r="N532" i="6"/>
  <c r="O532" i="6"/>
  <c r="L509" i="6"/>
  <c r="M509" i="6"/>
  <c r="N509" i="6"/>
  <c r="O509" i="6"/>
  <c r="L504" i="6"/>
  <c r="M504" i="6"/>
  <c r="N504" i="6"/>
  <c r="O504" i="6"/>
  <c r="L444" i="6"/>
  <c r="M444" i="6"/>
  <c r="L439" i="6"/>
  <c r="M439" i="6"/>
  <c r="N439" i="6"/>
  <c r="O439" i="6"/>
  <c r="L434" i="6"/>
  <c r="M434" i="6"/>
  <c r="N434" i="6"/>
  <c r="O434" i="6"/>
  <c r="L422" i="6"/>
  <c r="M422" i="6"/>
  <c r="M382" i="6"/>
  <c r="N422" i="6"/>
  <c r="O422" i="6"/>
  <c r="L423" i="6"/>
  <c r="M423" i="6"/>
  <c r="N423" i="6"/>
  <c r="O423" i="6"/>
  <c r="L425" i="6"/>
  <c r="M425" i="6"/>
  <c r="N425" i="6"/>
  <c r="O425" i="6"/>
  <c r="L427" i="6"/>
  <c r="M427" i="6"/>
  <c r="N427" i="6"/>
  <c r="O427" i="6"/>
  <c r="L382" i="6"/>
  <c r="N382" i="6"/>
  <c r="O382" i="6"/>
  <c r="L385" i="6"/>
  <c r="M385" i="6"/>
  <c r="N385" i="6"/>
  <c r="O385" i="6"/>
  <c r="L383" i="6"/>
  <c r="M383" i="6"/>
  <c r="N383" i="6"/>
  <c r="O383" i="6"/>
  <c r="L236" i="6"/>
  <c r="M236" i="6"/>
  <c r="N236" i="6"/>
  <c r="O236" i="6"/>
  <c r="L231" i="6"/>
  <c r="M231" i="6"/>
  <c r="N231" i="6"/>
  <c r="O231" i="6"/>
  <c r="L226" i="6"/>
  <c r="M226" i="6"/>
  <c r="N226" i="6"/>
  <c r="O226" i="6"/>
  <c r="L221" i="6"/>
  <c r="M221" i="6"/>
  <c r="N221" i="6"/>
  <c r="O221" i="6"/>
  <c r="L211" i="6"/>
  <c r="M211" i="6"/>
  <c r="N211" i="6"/>
  <c r="O211" i="6"/>
  <c r="L216" i="6"/>
  <c r="M216" i="6"/>
  <c r="N216" i="6"/>
  <c r="O216" i="6"/>
  <c r="L206" i="6"/>
  <c r="M206" i="6"/>
  <c r="N206" i="6"/>
  <c r="O206" i="6"/>
  <c r="L201" i="6"/>
  <c r="M201" i="6"/>
  <c r="N201" i="6"/>
  <c r="O201" i="6"/>
  <c r="L570" i="6"/>
  <c r="M570" i="6"/>
  <c r="N570" i="6"/>
  <c r="O570" i="6"/>
  <c r="L575" i="6"/>
  <c r="M575" i="6"/>
  <c r="N575" i="6"/>
  <c r="O575" i="6"/>
  <c r="L706" i="6"/>
  <c r="M706" i="6"/>
  <c r="N706" i="6"/>
  <c r="O706" i="6"/>
  <c r="L703" i="6"/>
  <c r="M703" i="6"/>
  <c r="N703" i="6"/>
  <c r="O703" i="6"/>
  <c r="L704" i="6"/>
  <c r="L668" i="6" s="1"/>
  <c r="L667" i="6" s="1"/>
  <c r="M704" i="6"/>
  <c r="M668" i="6" s="1"/>
  <c r="M667" i="6" s="1"/>
  <c r="N704" i="6"/>
  <c r="N668" i="6" s="1"/>
  <c r="N667" i="6" s="1"/>
  <c r="O704" i="6"/>
  <c r="O668" i="6" s="1"/>
  <c r="O667" i="6" s="1"/>
  <c r="L627" i="6"/>
  <c r="M627" i="6"/>
  <c r="N627" i="6"/>
  <c r="O627" i="6"/>
  <c r="L595" i="6"/>
  <c r="M595" i="6"/>
  <c r="N595" i="6"/>
  <c r="O595" i="6"/>
  <c r="L590" i="6"/>
  <c r="M590" i="6"/>
  <c r="N590" i="6"/>
  <c r="O590" i="6"/>
  <c r="L605" i="6"/>
  <c r="M605" i="6"/>
  <c r="N605" i="6"/>
  <c r="O605" i="6"/>
  <c r="L610" i="6"/>
  <c r="M610" i="6"/>
  <c r="N610" i="6"/>
  <c r="O610" i="6"/>
  <c r="L615" i="6"/>
  <c r="M615" i="6"/>
  <c r="N615" i="6"/>
  <c r="O615" i="6"/>
  <c r="O673" i="6"/>
  <c r="O672" i="6" s="1"/>
  <c r="N673" i="6"/>
  <c r="N672" i="6" s="1"/>
  <c r="M673" i="6"/>
  <c r="M672" i="6" s="1"/>
  <c r="L673" i="6"/>
  <c r="L672" i="6" s="1"/>
  <c r="O600" i="6"/>
  <c r="N600" i="6"/>
  <c r="M600" i="6"/>
  <c r="L600" i="6"/>
  <c r="O585" i="6"/>
  <c r="N585" i="6"/>
  <c r="M585" i="6"/>
  <c r="L585" i="6"/>
  <c r="N565" i="6"/>
  <c r="M565" i="6"/>
  <c r="L565" i="6"/>
  <c r="L396" i="6"/>
  <c r="M396" i="6"/>
  <c r="N396" i="6"/>
  <c r="O396" i="6"/>
  <c r="L386" i="6"/>
  <c r="M386" i="6"/>
  <c r="N386" i="6"/>
  <c r="O386" i="6"/>
  <c r="N710" i="6"/>
  <c r="N705" i="6" s="1"/>
  <c r="N444" i="6"/>
  <c r="L520" i="6"/>
  <c r="O520" i="6"/>
  <c r="N520" i="6"/>
  <c r="N712" i="6"/>
  <c r="L543" i="6"/>
  <c r="N543" i="6"/>
  <c r="O712" i="6"/>
  <c r="O710" i="6"/>
  <c r="M181" i="6"/>
  <c r="N181" i="6"/>
  <c r="O181" i="6"/>
  <c r="O155" i="6"/>
  <c r="M157" i="6"/>
  <c r="M155" i="6" s="1"/>
  <c r="L157" i="6"/>
  <c r="L155" i="6" s="1"/>
  <c r="N155" i="6"/>
  <c r="O149" i="6"/>
  <c r="N149" i="6"/>
  <c r="M149" i="6"/>
  <c r="L149" i="6"/>
  <c r="N144" i="6"/>
  <c r="M144" i="6"/>
  <c r="L144" i="6"/>
  <c r="L141" i="6" s="1"/>
  <c r="O142" i="6"/>
  <c r="N142" i="6"/>
  <c r="M142" i="6"/>
  <c r="L142" i="6"/>
  <c r="O141" i="6"/>
  <c r="N141" i="6"/>
  <c r="M141" i="6"/>
  <c r="O135" i="6"/>
  <c r="N135" i="6"/>
  <c r="M135" i="6"/>
  <c r="L135" i="6"/>
  <c r="O134" i="6"/>
  <c r="N134" i="6"/>
  <c r="M134" i="6"/>
  <c r="L134" i="6"/>
  <c r="N128" i="6"/>
  <c r="M128" i="6"/>
  <c r="M125" i="6" s="1"/>
  <c r="L128" i="6"/>
  <c r="L125" i="6" s="1"/>
  <c r="O126" i="6"/>
  <c r="N126" i="6"/>
  <c r="M126" i="6"/>
  <c r="L126" i="6"/>
  <c r="O125" i="6"/>
  <c r="N125" i="6"/>
  <c r="N120" i="6"/>
  <c r="N29" i="6" s="1"/>
  <c r="M120" i="6"/>
  <c r="M29" i="6" s="1"/>
  <c r="L120" i="6"/>
  <c r="L29" i="6" s="1"/>
  <c r="O118" i="6"/>
  <c r="O117" i="6" s="1"/>
  <c r="N118" i="6"/>
  <c r="N117" i="6" s="1"/>
  <c r="M118" i="6"/>
  <c r="M117" i="6" s="1"/>
  <c r="L118" i="6"/>
  <c r="L117" i="6" s="1"/>
  <c r="O111" i="6"/>
  <c r="O110" i="6" s="1"/>
  <c r="N111" i="6"/>
  <c r="N110" i="6" s="1"/>
  <c r="M111" i="6"/>
  <c r="M110" i="6" s="1"/>
  <c r="L111" i="6"/>
  <c r="L110" i="6" s="1"/>
  <c r="O91" i="6"/>
  <c r="N91" i="6"/>
  <c r="M91" i="6"/>
  <c r="L91" i="6"/>
  <c r="O84" i="6"/>
  <c r="N84" i="6"/>
  <c r="M84" i="6"/>
  <c r="L84" i="6"/>
  <c r="O78" i="6"/>
  <c r="N78" i="6"/>
  <c r="M78" i="6"/>
  <c r="L78" i="6"/>
  <c r="O71" i="6"/>
  <c r="N71" i="6"/>
  <c r="M71" i="6"/>
  <c r="L71" i="6"/>
  <c r="O65" i="6"/>
  <c r="N65" i="6"/>
  <c r="M65" i="6"/>
  <c r="L65" i="6"/>
  <c r="O53" i="6"/>
  <c r="N53" i="6"/>
  <c r="M53" i="6"/>
  <c r="L53" i="6"/>
  <c r="O47" i="6"/>
  <c r="N47" i="6"/>
  <c r="M47" i="6"/>
  <c r="L47" i="6"/>
  <c r="O411" i="6"/>
  <c r="N411" i="6"/>
  <c r="M411" i="6"/>
  <c r="L411" i="6"/>
  <c r="O406" i="6"/>
  <c r="N406" i="6"/>
  <c r="M406" i="6"/>
  <c r="L406" i="6"/>
  <c r="O196" i="6"/>
  <c r="N196" i="6"/>
  <c r="O191" i="6"/>
  <c r="N191" i="6"/>
  <c r="M191" i="6"/>
  <c r="L191" i="6"/>
  <c r="O186" i="6"/>
  <c r="N186" i="6"/>
  <c r="M186" i="6"/>
  <c r="L186" i="6"/>
  <c r="O175" i="6"/>
  <c r="N175" i="6"/>
  <c r="M175" i="6"/>
  <c r="L175" i="6"/>
  <c r="O172" i="6"/>
  <c r="N172" i="6"/>
  <c r="N32" i="6" s="1"/>
  <c r="M172" i="6"/>
  <c r="M32" i="6" s="1"/>
  <c r="L172" i="6"/>
  <c r="O169" i="6"/>
  <c r="N169" i="6"/>
  <c r="M169" i="6"/>
  <c r="L169" i="6"/>
  <c r="O168" i="6"/>
  <c r="L161" i="6"/>
  <c r="M161" i="6"/>
  <c r="N161" i="6"/>
  <c r="O161" i="6"/>
  <c r="L162" i="6"/>
  <c r="M162" i="6"/>
  <c r="N162" i="6"/>
  <c r="O162" i="6"/>
  <c r="K236" i="6"/>
  <c r="J236" i="6"/>
  <c r="I236" i="6"/>
  <c r="H236" i="6"/>
  <c r="G236" i="6"/>
  <c r="F236" i="6"/>
  <c r="E236" i="6"/>
  <c r="H112" i="5"/>
  <c r="M110" i="5"/>
  <c r="H110" i="5" s="1"/>
  <c r="M109" i="5"/>
  <c r="H109" i="5" s="1"/>
  <c r="H111" i="5"/>
  <c r="H43" i="5"/>
  <c r="F424" i="6"/>
  <c r="G424" i="6"/>
  <c r="H424" i="6"/>
  <c r="J424" i="6"/>
  <c r="K23" i="6"/>
  <c r="E424" i="6"/>
  <c r="K444" i="6"/>
  <c r="J444" i="6"/>
  <c r="I444" i="6"/>
  <c r="H444" i="6"/>
  <c r="G444" i="6"/>
  <c r="F444" i="6"/>
  <c r="E444" i="6"/>
  <c r="J66" i="5"/>
  <c r="K66" i="5"/>
  <c r="L66" i="5"/>
  <c r="N66" i="5"/>
  <c r="O66" i="5"/>
  <c r="I66" i="5"/>
  <c r="J627" i="6"/>
  <c r="D198" i="6"/>
  <c r="D199" i="6"/>
  <c r="U102" i="5"/>
  <c r="I561" i="6"/>
  <c r="E669" i="6"/>
  <c r="F669" i="6"/>
  <c r="F561" i="6" s="1"/>
  <c r="F555" i="6" s="1"/>
  <c r="G669" i="6"/>
  <c r="H669" i="6"/>
  <c r="H561" i="6" s="1"/>
  <c r="H555" i="6" s="1"/>
  <c r="I669" i="6"/>
  <c r="E670" i="6"/>
  <c r="F670" i="6"/>
  <c r="F562" i="6" s="1"/>
  <c r="G670" i="6"/>
  <c r="G562" i="6" s="1"/>
  <c r="H670" i="6"/>
  <c r="H562" i="6" s="1"/>
  <c r="I670" i="6"/>
  <c r="K670" i="6"/>
  <c r="K556" i="6" s="1"/>
  <c r="K671" i="6"/>
  <c r="I676" i="6"/>
  <c r="I671" i="6" s="1"/>
  <c r="H676" i="6"/>
  <c r="H671" i="6" s="1"/>
  <c r="G676" i="6"/>
  <c r="G671" i="6" s="1"/>
  <c r="F676" i="6"/>
  <c r="F671" i="6" s="1"/>
  <c r="E676" i="6"/>
  <c r="K673" i="6"/>
  <c r="K672" i="6" s="1"/>
  <c r="J673" i="6"/>
  <c r="J672" i="6" s="1"/>
  <c r="I673" i="6"/>
  <c r="I668" i="6" s="1"/>
  <c r="H673" i="6"/>
  <c r="G673" i="6"/>
  <c r="F673" i="6"/>
  <c r="F668" i="6" s="1"/>
  <c r="E673" i="6"/>
  <c r="K231" i="6"/>
  <c r="J231" i="6"/>
  <c r="I231" i="6"/>
  <c r="H231" i="6"/>
  <c r="G231" i="6"/>
  <c r="F231" i="6"/>
  <c r="E231" i="6"/>
  <c r="I423" i="6"/>
  <c r="E423" i="6"/>
  <c r="F423" i="6"/>
  <c r="G423" i="6"/>
  <c r="H423" i="6"/>
  <c r="K423" i="6"/>
  <c r="E425" i="6"/>
  <c r="F425" i="6"/>
  <c r="G425" i="6"/>
  <c r="H425" i="6"/>
  <c r="J425" i="6"/>
  <c r="K425" i="6"/>
  <c r="F422" i="6"/>
  <c r="G422" i="6"/>
  <c r="H422" i="6"/>
  <c r="I422" i="6"/>
  <c r="J422" i="6"/>
  <c r="K422" i="6"/>
  <c r="E422" i="6"/>
  <c r="K439" i="6"/>
  <c r="J439" i="6"/>
  <c r="H439" i="6"/>
  <c r="G439" i="6"/>
  <c r="F439" i="6"/>
  <c r="E439" i="6"/>
  <c r="K226" i="6"/>
  <c r="J226" i="6"/>
  <c r="I226" i="6"/>
  <c r="H226" i="6"/>
  <c r="G226" i="6"/>
  <c r="F226" i="6"/>
  <c r="E226" i="6"/>
  <c r="E384" i="6"/>
  <c r="H503" i="6"/>
  <c r="H498" i="6" s="1"/>
  <c r="F383" i="6"/>
  <c r="G383" i="6"/>
  <c r="H383" i="6"/>
  <c r="I382" i="6"/>
  <c r="I384" i="6"/>
  <c r="I385" i="6"/>
  <c r="K383" i="6"/>
  <c r="E383" i="6"/>
  <c r="F384" i="6"/>
  <c r="G384" i="6"/>
  <c r="H384" i="6"/>
  <c r="J384" i="6"/>
  <c r="K610" i="6"/>
  <c r="J610" i="6"/>
  <c r="H610" i="6"/>
  <c r="G610" i="6"/>
  <c r="F610" i="6"/>
  <c r="E610" i="6"/>
  <c r="K595" i="6"/>
  <c r="I595" i="6"/>
  <c r="H595" i="6"/>
  <c r="G595" i="6"/>
  <c r="F595" i="6"/>
  <c r="E595" i="6"/>
  <c r="E600" i="6"/>
  <c r="F600" i="6"/>
  <c r="G600" i="6"/>
  <c r="H600" i="6"/>
  <c r="I600" i="6"/>
  <c r="K575" i="6"/>
  <c r="J575" i="6"/>
  <c r="I575" i="6"/>
  <c r="H575" i="6"/>
  <c r="G575" i="6"/>
  <c r="F575" i="6"/>
  <c r="E575" i="6"/>
  <c r="K401" i="6"/>
  <c r="J401" i="6"/>
  <c r="H401" i="6"/>
  <c r="G401" i="6"/>
  <c r="F401" i="6"/>
  <c r="E401" i="6"/>
  <c r="K391" i="6"/>
  <c r="I391" i="6"/>
  <c r="H391" i="6"/>
  <c r="G391" i="6"/>
  <c r="F391" i="6"/>
  <c r="E391" i="6"/>
  <c r="L83" i="5"/>
  <c r="L79" i="5" s="1"/>
  <c r="G58" i="6"/>
  <c r="H58" i="6"/>
  <c r="I58" i="6"/>
  <c r="Q58" i="6" s="1"/>
  <c r="J58" i="6"/>
  <c r="K58" i="6"/>
  <c r="F58" i="6"/>
  <c r="I503" i="6"/>
  <c r="I498" i="6" s="1"/>
  <c r="I16" i="6" s="1"/>
  <c r="O92" i="5"/>
  <c r="O90" i="5" s="1"/>
  <c r="O93" i="5"/>
  <c r="O94" i="5"/>
  <c r="J17" i="5"/>
  <c r="K17" i="5"/>
  <c r="L17" i="5"/>
  <c r="O113" i="5"/>
  <c r="O115" i="5"/>
  <c r="N116" i="5"/>
  <c r="O116" i="5"/>
  <c r="O117" i="5"/>
  <c r="J82" i="5"/>
  <c r="K82" i="5"/>
  <c r="K78" i="5" s="1"/>
  <c r="L82" i="5"/>
  <c r="M82" i="5"/>
  <c r="M78" i="5" s="1"/>
  <c r="N82" i="5"/>
  <c r="N78" i="5" s="1"/>
  <c r="O82" i="5"/>
  <c r="I82" i="5"/>
  <c r="J83" i="5"/>
  <c r="K83" i="5"/>
  <c r="M83" i="5"/>
  <c r="M79" i="5" s="1"/>
  <c r="N83" i="5"/>
  <c r="N79" i="5" s="1"/>
  <c r="O83" i="5"/>
  <c r="O79" i="5" s="1"/>
  <c r="I83" i="5"/>
  <c r="J84" i="5"/>
  <c r="K84" i="5"/>
  <c r="K80" i="5" s="1"/>
  <c r="L84" i="5"/>
  <c r="N84" i="5"/>
  <c r="N80" i="5" s="1"/>
  <c r="N11" i="5" s="1"/>
  <c r="O84" i="5"/>
  <c r="O80" i="5" s="1"/>
  <c r="O11" i="5" s="1"/>
  <c r="I84" i="5"/>
  <c r="O74" i="5"/>
  <c r="O73" i="5" s="1"/>
  <c r="O75" i="5"/>
  <c r="O61" i="5"/>
  <c r="K30" i="6"/>
  <c r="K21" i="6" s="1"/>
  <c r="K12" i="6" s="1"/>
  <c r="K31" i="6"/>
  <c r="K22" i="6" s="1"/>
  <c r="K13" i="6" s="1"/>
  <c r="K33" i="6"/>
  <c r="K19" i="6"/>
  <c r="K10" i="6" s="1"/>
  <c r="K191" i="6"/>
  <c r="K175" i="6"/>
  <c r="K169" i="6"/>
  <c r="K161" i="6"/>
  <c r="K162" i="6"/>
  <c r="K168" i="6"/>
  <c r="K155" i="6"/>
  <c r="K149" i="6"/>
  <c r="K141" i="6"/>
  <c r="K142" i="6"/>
  <c r="F134" i="6"/>
  <c r="G134" i="6"/>
  <c r="H134" i="6"/>
  <c r="I134" i="6"/>
  <c r="J134" i="6"/>
  <c r="K134" i="6"/>
  <c r="K135" i="6"/>
  <c r="K125" i="6"/>
  <c r="K126" i="6"/>
  <c r="K118" i="6"/>
  <c r="K117" i="6" s="1"/>
  <c r="K111" i="6"/>
  <c r="K110" i="6" s="1"/>
  <c r="K97" i="6"/>
  <c r="K91" i="6"/>
  <c r="K84" i="6"/>
  <c r="K78" i="6"/>
  <c r="K71" i="6"/>
  <c r="K65" i="6"/>
  <c r="K53" i="6"/>
  <c r="K47" i="6"/>
  <c r="J558" i="6"/>
  <c r="K558" i="6"/>
  <c r="J557" i="6"/>
  <c r="K557" i="6"/>
  <c r="K554" i="6"/>
  <c r="J563" i="6"/>
  <c r="K563" i="6"/>
  <c r="K560" i="6"/>
  <c r="K559" i="6" s="1"/>
  <c r="J704" i="6"/>
  <c r="K704" i="6"/>
  <c r="J706" i="6"/>
  <c r="K706" i="6"/>
  <c r="K703" i="6"/>
  <c r="K710" i="6"/>
  <c r="K707" i="6" s="1"/>
  <c r="K712" i="6"/>
  <c r="K627" i="6"/>
  <c r="K621" i="6"/>
  <c r="K615" i="6"/>
  <c r="K605" i="6"/>
  <c r="K600" i="6"/>
  <c r="K590" i="6"/>
  <c r="K585" i="6"/>
  <c r="K580" i="6"/>
  <c r="K570" i="6"/>
  <c r="K524" i="6"/>
  <c r="K538" i="6"/>
  <c r="K532" i="6"/>
  <c r="K496" i="6"/>
  <c r="K503" i="6"/>
  <c r="K498" i="6" s="1"/>
  <c r="K16" i="6" s="1"/>
  <c r="K502" i="6"/>
  <c r="K497" i="6" s="1"/>
  <c r="K501" i="6"/>
  <c r="K500" i="6"/>
  <c r="K495" i="6" s="1"/>
  <c r="K504" i="6"/>
  <c r="J503" i="6"/>
  <c r="J498" i="6" s="1"/>
  <c r="J16" i="6" s="1"/>
  <c r="K509" i="6"/>
  <c r="K520" i="6"/>
  <c r="K181" i="6"/>
  <c r="K434" i="6"/>
  <c r="K427" i="6"/>
  <c r="K411" i="6"/>
  <c r="K406" i="6"/>
  <c r="K396" i="6"/>
  <c r="K382" i="6"/>
  <c r="K385" i="6"/>
  <c r="K386" i="6"/>
  <c r="K221" i="6"/>
  <c r="J221" i="6"/>
  <c r="I221" i="6"/>
  <c r="H221" i="6"/>
  <c r="G221" i="6"/>
  <c r="F221" i="6"/>
  <c r="E221" i="6"/>
  <c r="K216" i="6"/>
  <c r="J216" i="6"/>
  <c r="I216" i="6"/>
  <c r="H216" i="6"/>
  <c r="G216" i="6"/>
  <c r="F216" i="6"/>
  <c r="E216" i="6"/>
  <c r="K211" i="6"/>
  <c r="J211" i="6"/>
  <c r="I211" i="6"/>
  <c r="H211" i="6"/>
  <c r="G211" i="6"/>
  <c r="F211" i="6"/>
  <c r="E211" i="6"/>
  <c r="K201" i="6"/>
  <c r="K206" i="6"/>
  <c r="J206" i="6"/>
  <c r="I206" i="6"/>
  <c r="H206" i="6"/>
  <c r="G206" i="6"/>
  <c r="F206" i="6"/>
  <c r="E206" i="6"/>
  <c r="E41" i="6"/>
  <c r="F41" i="6"/>
  <c r="G41" i="6"/>
  <c r="H41" i="6"/>
  <c r="I41" i="6"/>
  <c r="K41" i="6"/>
  <c r="K35" i="6"/>
  <c r="F501" i="6"/>
  <c r="G501" i="6"/>
  <c r="G500" i="6"/>
  <c r="G495" i="6" s="1"/>
  <c r="G502" i="6"/>
  <c r="G497" i="6" s="1"/>
  <c r="G503" i="6"/>
  <c r="G498" i="6" s="1"/>
  <c r="G16" i="6" s="1"/>
  <c r="H501" i="6"/>
  <c r="I501" i="6"/>
  <c r="J501" i="6"/>
  <c r="E501" i="6"/>
  <c r="E496" i="6" s="1"/>
  <c r="F502" i="6"/>
  <c r="F497" i="6" s="1"/>
  <c r="H502" i="6"/>
  <c r="H497" i="6" s="1"/>
  <c r="J502" i="6"/>
  <c r="J497" i="6" s="1"/>
  <c r="J500" i="6"/>
  <c r="J495" i="6" s="1"/>
  <c r="E502" i="6"/>
  <c r="E497" i="6" s="1"/>
  <c r="L93" i="5"/>
  <c r="L94" i="5"/>
  <c r="J93" i="5"/>
  <c r="K93" i="5"/>
  <c r="N93" i="5"/>
  <c r="I93" i="5"/>
  <c r="J61" i="5"/>
  <c r="K61" i="5"/>
  <c r="L61" i="5"/>
  <c r="M61" i="5"/>
  <c r="N61" i="5"/>
  <c r="I61" i="5"/>
  <c r="I14" i="5" s="1"/>
  <c r="F33" i="6"/>
  <c r="G33" i="6"/>
  <c r="G24" i="6" s="1"/>
  <c r="H33" i="6"/>
  <c r="I117" i="5"/>
  <c r="J116" i="5"/>
  <c r="K116" i="5"/>
  <c r="L116" i="5"/>
  <c r="M116" i="5"/>
  <c r="I116" i="5"/>
  <c r="J115" i="5"/>
  <c r="K115" i="5"/>
  <c r="L115" i="5"/>
  <c r="I115" i="5"/>
  <c r="J117" i="5"/>
  <c r="K117" i="5"/>
  <c r="L117" i="5"/>
  <c r="M117" i="5"/>
  <c r="N117" i="5"/>
  <c r="F503" i="6"/>
  <c r="F498" i="6" s="1"/>
  <c r="F16" i="6" s="1"/>
  <c r="E503" i="6"/>
  <c r="E498" i="6" s="1"/>
  <c r="E16" i="6" s="1"/>
  <c r="F500" i="6"/>
  <c r="F495" i="6" s="1"/>
  <c r="H500" i="6"/>
  <c r="H495" i="6" s="1"/>
  <c r="I500" i="6"/>
  <c r="I495" i="6" s="1"/>
  <c r="E500" i="6"/>
  <c r="E495" i="6" s="1"/>
  <c r="H181" i="6"/>
  <c r="J710" i="6"/>
  <c r="J705" i="6" s="1"/>
  <c r="I201" i="6"/>
  <c r="H201" i="6"/>
  <c r="G201" i="6"/>
  <c r="F201" i="6"/>
  <c r="E201" i="6"/>
  <c r="J94" i="5"/>
  <c r="K94" i="5"/>
  <c r="K89" i="5" s="1"/>
  <c r="M94" i="5"/>
  <c r="N94" i="5"/>
  <c r="I94" i="5"/>
  <c r="J92" i="5"/>
  <c r="J90" i="5" s="1"/>
  <c r="K92" i="5"/>
  <c r="L92" i="5"/>
  <c r="L90" i="5" s="1"/>
  <c r="M92" i="5"/>
  <c r="N92" i="5"/>
  <c r="I92" i="5"/>
  <c r="I90" i="5" s="1"/>
  <c r="I196" i="6"/>
  <c r="H196" i="6"/>
  <c r="G196" i="6"/>
  <c r="F196" i="6"/>
  <c r="E196" i="6"/>
  <c r="D189" i="6"/>
  <c r="G15" i="6"/>
  <c r="F627" i="6"/>
  <c r="G627" i="6"/>
  <c r="E627" i="6"/>
  <c r="H627" i="6"/>
  <c r="I627" i="6"/>
  <c r="G35" i="6"/>
  <c r="H621" i="6"/>
  <c r="I621" i="6"/>
  <c r="J621" i="6"/>
  <c r="F621" i="6"/>
  <c r="G621" i="6"/>
  <c r="J411" i="6"/>
  <c r="I411" i="6"/>
  <c r="H411" i="6"/>
  <c r="G411" i="6"/>
  <c r="F411" i="6"/>
  <c r="E411" i="6"/>
  <c r="E126" i="6"/>
  <c r="I33" i="6"/>
  <c r="J75" i="5"/>
  <c r="K75" i="5"/>
  <c r="L75" i="5"/>
  <c r="N75" i="5"/>
  <c r="I75" i="5"/>
  <c r="H710" i="6"/>
  <c r="H707" i="6" s="1"/>
  <c r="H705" i="6" s="1"/>
  <c r="G710" i="6"/>
  <c r="G707" i="6" s="1"/>
  <c r="G705" i="6" s="1"/>
  <c r="G580" i="6"/>
  <c r="D195" i="6"/>
  <c r="D194" i="6"/>
  <c r="D193" i="6"/>
  <c r="D192" i="6"/>
  <c r="J191" i="6"/>
  <c r="I191" i="6"/>
  <c r="H191" i="6"/>
  <c r="G191" i="6"/>
  <c r="F191" i="6"/>
  <c r="E191" i="6"/>
  <c r="D190" i="6"/>
  <c r="D188" i="6"/>
  <c r="D187" i="6"/>
  <c r="J186" i="6"/>
  <c r="I186" i="6"/>
  <c r="H186" i="6"/>
  <c r="G186" i="6"/>
  <c r="F186" i="6"/>
  <c r="E186" i="6"/>
  <c r="E181" i="6"/>
  <c r="F181" i="6"/>
  <c r="G181" i="6"/>
  <c r="I181" i="6"/>
  <c r="J181" i="6"/>
  <c r="D180" i="6"/>
  <c r="E31" i="6"/>
  <c r="E22" i="6" s="1"/>
  <c r="E30" i="6"/>
  <c r="E21" i="6" s="1"/>
  <c r="E710" i="6"/>
  <c r="E705" i="6" s="1"/>
  <c r="F710" i="6"/>
  <c r="F705" i="6" s="1"/>
  <c r="F175" i="6"/>
  <c r="G175" i="6"/>
  <c r="H175" i="6"/>
  <c r="I175" i="6"/>
  <c r="J175" i="6"/>
  <c r="E175" i="6"/>
  <c r="D177" i="6"/>
  <c r="D176" i="6"/>
  <c r="E179" i="6"/>
  <c r="E33" i="6" s="1"/>
  <c r="D178" i="6"/>
  <c r="E382" i="6"/>
  <c r="F382" i="6"/>
  <c r="G382" i="6"/>
  <c r="H382" i="6"/>
  <c r="J382" i="6"/>
  <c r="E385" i="6"/>
  <c r="F385" i="6"/>
  <c r="G385" i="6"/>
  <c r="H385" i="6"/>
  <c r="J385" i="6"/>
  <c r="E386" i="6"/>
  <c r="F386" i="6"/>
  <c r="G386" i="6"/>
  <c r="H386" i="6"/>
  <c r="I386" i="6"/>
  <c r="J386" i="6"/>
  <c r="E128" i="6"/>
  <c r="D129" i="6"/>
  <c r="E59" i="6"/>
  <c r="F19" i="6"/>
  <c r="G19" i="6"/>
  <c r="G10" i="6" s="1"/>
  <c r="H19" i="6"/>
  <c r="H10" i="6" s="1"/>
  <c r="I19" i="6"/>
  <c r="I10" i="6" s="1"/>
  <c r="J19" i="6"/>
  <c r="J10" i="6" s="1"/>
  <c r="E28" i="6"/>
  <c r="E19" i="6" s="1"/>
  <c r="E10" i="6" s="1"/>
  <c r="E585" i="6"/>
  <c r="F585" i="6"/>
  <c r="G585" i="6"/>
  <c r="H585" i="6"/>
  <c r="I585" i="6"/>
  <c r="J585" i="6"/>
  <c r="E580" i="6"/>
  <c r="F580" i="6"/>
  <c r="D569" i="6"/>
  <c r="J565" i="6"/>
  <c r="H565" i="6"/>
  <c r="G565" i="6"/>
  <c r="F565" i="6"/>
  <c r="E565" i="6"/>
  <c r="F563" i="6"/>
  <c r="G563" i="6"/>
  <c r="H563" i="6"/>
  <c r="I563" i="6"/>
  <c r="E563" i="6"/>
  <c r="E557" i="6" s="1"/>
  <c r="J712" i="6"/>
  <c r="H712" i="6"/>
  <c r="G712" i="6"/>
  <c r="F712" i="6"/>
  <c r="E712" i="6"/>
  <c r="E406" i="6"/>
  <c r="F406" i="6"/>
  <c r="G406" i="6"/>
  <c r="H406" i="6"/>
  <c r="I406" i="6"/>
  <c r="J406" i="6"/>
  <c r="D530" i="6"/>
  <c r="G524" i="6"/>
  <c r="G520" i="6"/>
  <c r="J520" i="6"/>
  <c r="H520" i="6"/>
  <c r="F520" i="6"/>
  <c r="E524" i="6"/>
  <c r="D568" i="6"/>
  <c r="I565" i="6"/>
  <c r="J80" i="5"/>
  <c r="J11" i="5" s="1"/>
  <c r="F564" i="6"/>
  <c r="G564" i="6"/>
  <c r="H564" i="6"/>
  <c r="I564" i="6"/>
  <c r="E564" i="6"/>
  <c r="F560" i="6"/>
  <c r="G560" i="6"/>
  <c r="H560" i="6"/>
  <c r="I560" i="6"/>
  <c r="J560" i="6"/>
  <c r="E560" i="6"/>
  <c r="F31" i="6"/>
  <c r="F22" i="6" s="1"/>
  <c r="F13" i="6" s="1"/>
  <c r="G31" i="6"/>
  <c r="G22" i="6" s="1"/>
  <c r="G13" i="6" s="1"/>
  <c r="H31" i="6"/>
  <c r="H22" i="6" s="1"/>
  <c r="H13" i="6" s="1"/>
  <c r="I31" i="6"/>
  <c r="I22" i="6" s="1"/>
  <c r="I13" i="6" s="1"/>
  <c r="J31" i="6"/>
  <c r="J22" i="6" s="1"/>
  <c r="J13" i="6" s="1"/>
  <c r="F30" i="6"/>
  <c r="F21" i="6" s="1"/>
  <c r="F12" i="6" s="1"/>
  <c r="G30" i="6"/>
  <c r="G21" i="6" s="1"/>
  <c r="G12" i="6" s="1"/>
  <c r="H30" i="6"/>
  <c r="H21" i="6" s="1"/>
  <c r="H12" i="6" s="1"/>
  <c r="I30" i="6"/>
  <c r="I21" i="6" s="1"/>
  <c r="I12" i="6" s="1"/>
  <c r="J30" i="6"/>
  <c r="J21" i="6" s="1"/>
  <c r="J12" i="6" s="1"/>
  <c r="J600" i="6"/>
  <c r="E624" i="6"/>
  <c r="D624" i="6" s="1"/>
  <c r="E131" i="6"/>
  <c r="K79" i="5"/>
  <c r="L78" i="5"/>
  <c r="J74" i="5"/>
  <c r="J73" i="5" s="1"/>
  <c r="K74" i="5"/>
  <c r="K73" i="5" s="1"/>
  <c r="L74" i="5"/>
  <c r="L73" i="5" s="1"/>
  <c r="N74" i="5"/>
  <c r="N73" i="5" s="1"/>
  <c r="I74" i="5"/>
  <c r="I73" i="5" s="1"/>
  <c r="I113" i="5"/>
  <c r="E532" i="6"/>
  <c r="F532" i="6"/>
  <c r="G532" i="6"/>
  <c r="H532" i="6"/>
  <c r="I532" i="6"/>
  <c r="J532" i="6"/>
  <c r="E538" i="6"/>
  <c r="F538" i="6"/>
  <c r="G538" i="6"/>
  <c r="H538" i="6"/>
  <c r="I538" i="6"/>
  <c r="J538" i="6"/>
  <c r="F525" i="6"/>
  <c r="G525" i="6"/>
  <c r="H525" i="6"/>
  <c r="I525" i="6"/>
  <c r="J525" i="6"/>
  <c r="F557" i="6"/>
  <c r="G557" i="6"/>
  <c r="H557" i="6"/>
  <c r="I557" i="6"/>
  <c r="E149" i="6"/>
  <c r="F149" i="6"/>
  <c r="G149" i="6"/>
  <c r="H149" i="6"/>
  <c r="I149" i="6"/>
  <c r="J149" i="6"/>
  <c r="E157" i="6"/>
  <c r="E155" i="6" s="1"/>
  <c r="F157" i="6"/>
  <c r="F155" i="6" s="1"/>
  <c r="G157" i="6"/>
  <c r="G155" i="6" s="1"/>
  <c r="H157" i="6"/>
  <c r="H155" i="6" s="1"/>
  <c r="I157" i="6"/>
  <c r="J157" i="6"/>
  <c r="J155" i="6" s="1"/>
  <c r="D158" i="6"/>
  <c r="D157" i="6" s="1"/>
  <c r="D100" i="6"/>
  <c r="E615" i="6"/>
  <c r="J169" i="6"/>
  <c r="I169" i="6"/>
  <c r="H169" i="6"/>
  <c r="G169" i="6"/>
  <c r="E169" i="6"/>
  <c r="F169" i="6"/>
  <c r="D174" i="6"/>
  <c r="D173" i="6"/>
  <c r="J172" i="6"/>
  <c r="J168" i="6" s="1"/>
  <c r="I172" i="6"/>
  <c r="I168" i="6" s="1"/>
  <c r="H172" i="6"/>
  <c r="H168" i="6" s="1"/>
  <c r="G172" i="6"/>
  <c r="G168" i="6" s="1"/>
  <c r="F172" i="6"/>
  <c r="F168" i="6" s="1"/>
  <c r="E172" i="6"/>
  <c r="E168" i="6" s="1"/>
  <c r="D171" i="6"/>
  <c r="D170" i="6"/>
  <c r="E107" i="6"/>
  <c r="E103" i="6" s="1"/>
  <c r="D103" i="6" s="1"/>
  <c r="D52" i="6"/>
  <c r="D51" i="6"/>
  <c r="D50" i="6"/>
  <c r="D49" i="6"/>
  <c r="D48" i="6"/>
  <c r="J47" i="6"/>
  <c r="I47" i="6"/>
  <c r="H47" i="6"/>
  <c r="G47" i="6"/>
  <c r="F47" i="6"/>
  <c r="E47" i="6"/>
  <c r="F162" i="6"/>
  <c r="G162" i="6"/>
  <c r="H162" i="6"/>
  <c r="I162" i="6"/>
  <c r="J162" i="6"/>
  <c r="E162" i="6"/>
  <c r="D164" i="6"/>
  <c r="D163" i="6"/>
  <c r="F165" i="6"/>
  <c r="F32" i="6" s="1"/>
  <c r="G165" i="6"/>
  <c r="H165" i="6"/>
  <c r="H161" i="6" s="1"/>
  <c r="I165" i="6"/>
  <c r="I161" i="6" s="1"/>
  <c r="E165" i="6"/>
  <c r="E161" i="6" s="1"/>
  <c r="D167" i="6"/>
  <c r="D166" i="6"/>
  <c r="F135" i="6"/>
  <c r="G135" i="6"/>
  <c r="H135" i="6"/>
  <c r="I135" i="6"/>
  <c r="J135" i="6"/>
  <c r="E135" i="6"/>
  <c r="D139" i="6"/>
  <c r="E138" i="6"/>
  <c r="D138" i="6" s="1"/>
  <c r="D137" i="6"/>
  <c r="D132" i="6"/>
  <c r="D130" i="6"/>
  <c r="J128" i="6"/>
  <c r="J125" i="6" s="1"/>
  <c r="I128" i="6"/>
  <c r="I125" i="6" s="1"/>
  <c r="H128" i="6"/>
  <c r="H125" i="6" s="1"/>
  <c r="G128" i="6"/>
  <c r="G125" i="6" s="1"/>
  <c r="F128" i="6"/>
  <c r="F125" i="6" s="1"/>
  <c r="J126" i="6"/>
  <c r="I126" i="6"/>
  <c r="H126" i="6"/>
  <c r="G126" i="6"/>
  <c r="F126" i="6"/>
  <c r="E146" i="6"/>
  <c r="D146" i="6" s="1"/>
  <c r="D123" i="6"/>
  <c r="D122" i="6"/>
  <c r="D121" i="6"/>
  <c r="J120" i="6"/>
  <c r="I120" i="6"/>
  <c r="H120" i="6"/>
  <c r="G120" i="6"/>
  <c r="F120" i="6"/>
  <c r="E120" i="6"/>
  <c r="J118" i="6"/>
  <c r="J117" i="6" s="1"/>
  <c r="I118" i="6"/>
  <c r="I117" i="6" s="1"/>
  <c r="H118" i="6"/>
  <c r="H117" i="6" s="1"/>
  <c r="G118" i="6"/>
  <c r="G117" i="6" s="1"/>
  <c r="F118" i="6"/>
  <c r="F117" i="6" s="1"/>
  <c r="E118" i="6"/>
  <c r="E117" i="6" s="1"/>
  <c r="F111" i="6"/>
  <c r="F110" i="6" s="1"/>
  <c r="G111" i="6"/>
  <c r="G110" i="6" s="1"/>
  <c r="H111" i="6"/>
  <c r="H110" i="6" s="1"/>
  <c r="I111" i="6"/>
  <c r="I110" i="6" s="1"/>
  <c r="J111" i="6"/>
  <c r="J110" i="6" s="1"/>
  <c r="E111" i="6"/>
  <c r="E110" i="6" s="1"/>
  <c r="E114" i="6"/>
  <c r="D114" i="6" s="1"/>
  <c r="D115" i="6"/>
  <c r="D113" i="6"/>
  <c r="D96" i="6"/>
  <c r="D95" i="6"/>
  <c r="D94" i="6"/>
  <c r="D93" i="6"/>
  <c r="E92" i="6"/>
  <c r="D92" i="6" s="1"/>
  <c r="J91" i="6"/>
  <c r="I91" i="6"/>
  <c r="H91" i="6"/>
  <c r="G91" i="6"/>
  <c r="F91" i="6"/>
  <c r="E85" i="6"/>
  <c r="D85" i="6" s="1"/>
  <c r="E104" i="6"/>
  <c r="D104" i="6" s="1"/>
  <c r="F142" i="6"/>
  <c r="G142" i="6"/>
  <c r="H142" i="6"/>
  <c r="I142" i="6"/>
  <c r="J142" i="6"/>
  <c r="E142" i="6"/>
  <c r="F144" i="6"/>
  <c r="F141" i="6" s="1"/>
  <c r="G144" i="6"/>
  <c r="G141" i="6" s="1"/>
  <c r="H144" i="6"/>
  <c r="H141" i="6" s="1"/>
  <c r="I144" i="6"/>
  <c r="I141" i="6" s="1"/>
  <c r="J144" i="6"/>
  <c r="J141" i="6" s="1"/>
  <c r="E144" i="6"/>
  <c r="D145" i="6"/>
  <c r="D147" i="6"/>
  <c r="D108" i="6"/>
  <c r="D106" i="6"/>
  <c r="D90" i="6"/>
  <c r="D89" i="6"/>
  <c r="D88" i="6"/>
  <c r="D87" i="6"/>
  <c r="E86" i="6"/>
  <c r="D86" i="6" s="1"/>
  <c r="J84" i="6"/>
  <c r="I84" i="6"/>
  <c r="H84" i="6"/>
  <c r="G84" i="6"/>
  <c r="F84" i="6"/>
  <c r="D83" i="6"/>
  <c r="D82" i="6"/>
  <c r="D81" i="6"/>
  <c r="D80" i="6"/>
  <c r="E79" i="6"/>
  <c r="D79" i="6" s="1"/>
  <c r="J78" i="6"/>
  <c r="I78" i="6"/>
  <c r="H78" i="6"/>
  <c r="G78" i="6"/>
  <c r="F78" i="6"/>
  <c r="D74" i="6"/>
  <c r="D77" i="6"/>
  <c r="D76" i="6"/>
  <c r="D75" i="6"/>
  <c r="D73" i="6"/>
  <c r="E72" i="6"/>
  <c r="D72" i="6" s="1"/>
  <c r="J71" i="6"/>
  <c r="I71" i="6"/>
  <c r="H71" i="6"/>
  <c r="G71" i="6"/>
  <c r="F71" i="6"/>
  <c r="D153" i="6"/>
  <c r="D160" i="6"/>
  <c r="D159" i="6"/>
  <c r="D156" i="6"/>
  <c r="D154" i="6"/>
  <c r="D152" i="6"/>
  <c r="D151" i="6"/>
  <c r="D150" i="6"/>
  <c r="J53" i="6"/>
  <c r="I53" i="6"/>
  <c r="H53" i="6"/>
  <c r="G53" i="6"/>
  <c r="F53" i="6"/>
  <c r="E53" i="6"/>
  <c r="E66" i="6"/>
  <c r="D66" i="6" s="1"/>
  <c r="G65" i="6"/>
  <c r="H65" i="6"/>
  <c r="I65" i="6"/>
  <c r="J65" i="6"/>
  <c r="F65" i="6"/>
  <c r="D102" i="6"/>
  <c r="D101" i="6"/>
  <c r="D99" i="6"/>
  <c r="D98" i="6"/>
  <c r="J97" i="6"/>
  <c r="I97" i="6"/>
  <c r="H97" i="6"/>
  <c r="G97" i="6"/>
  <c r="F97" i="6"/>
  <c r="E97" i="6"/>
  <c r="H703" i="6"/>
  <c r="H704" i="6"/>
  <c r="H706" i="6"/>
  <c r="G703" i="6"/>
  <c r="G704" i="6"/>
  <c r="G706" i="6"/>
  <c r="E707" i="6"/>
  <c r="I706" i="6"/>
  <c r="E706" i="6"/>
  <c r="F706" i="6"/>
  <c r="F703" i="6"/>
  <c r="F704" i="6"/>
  <c r="I704" i="6"/>
  <c r="E704" i="6"/>
  <c r="J703" i="6"/>
  <c r="I703" i="6"/>
  <c r="E703" i="6"/>
  <c r="G615" i="6"/>
  <c r="F615" i="6"/>
  <c r="E605" i="6"/>
  <c r="G590" i="6"/>
  <c r="E590" i="6"/>
  <c r="F590" i="6"/>
  <c r="H590" i="6"/>
  <c r="I590" i="6"/>
  <c r="J590" i="6"/>
  <c r="J570" i="6"/>
  <c r="G570" i="6"/>
  <c r="F570" i="6"/>
  <c r="E570" i="6"/>
  <c r="I558" i="6"/>
  <c r="G558" i="6"/>
  <c r="F558" i="6"/>
  <c r="E558" i="6"/>
  <c r="J554" i="6"/>
  <c r="H554" i="6"/>
  <c r="G554" i="6"/>
  <c r="F554" i="6"/>
  <c r="J509" i="6"/>
  <c r="I509" i="6"/>
  <c r="H509" i="6"/>
  <c r="G509" i="6"/>
  <c r="F509" i="6"/>
  <c r="E509" i="6"/>
  <c r="J504" i="6"/>
  <c r="I504" i="6"/>
  <c r="H504" i="6"/>
  <c r="G504" i="6"/>
  <c r="F504" i="6"/>
  <c r="E504" i="6"/>
  <c r="J496" i="6"/>
  <c r="I496" i="6"/>
  <c r="H496" i="6"/>
  <c r="G496" i="6"/>
  <c r="F496" i="6"/>
  <c r="J434" i="6"/>
  <c r="H434" i="6"/>
  <c r="G434" i="6"/>
  <c r="F434" i="6"/>
  <c r="E434" i="6"/>
  <c r="J427" i="6"/>
  <c r="I427" i="6"/>
  <c r="H427" i="6"/>
  <c r="G427" i="6"/>
  <c r="F427" i="6"/>
  <c r="E427" i="6"/>
  <c r="J396" i="6"/>
  <c r="I396" i="6"/>
  <c r="H396" i="6"/>
  <c r="G396" i="6"/>
  <c r="F396" i="6"/>
  <c r="E396" i="6"/>
  <c r="J113" i="5"/>
  <c r="K113" i="5"/>
  <c r="E526" i="6"/>
  <c r="D42" i="6"/>
  <c r="G561" i="6"/>
  <c r="G555" i="6" s="1"/>
  <c r="E561" i="6"/>
  <c r="E555" i="6" s="1"/>
  <c r="J161" i="6"/>
  <c r="D39" i="6"/>
  <c r="G605" i="6"/>
  <c r="H615" i="6"/>
  <c r="H570" i="6"/>
  <c r="F605" i="6"/>
  <c r="M113" i="5"/>
  <c r="F35" i="6"/>
  <c r="E35" i="6"/>
  <c r="H35" i="6"/>
  <c r="L113" i="5"/>
  <c r="I35" i="6"/>
  <c r="I615" i="6"/>
  <c r="J615" i="6"/>
  <c r="H605" i="6"/>
  <c r="I155" i="6"/>
  <c r="J33" i="6"/>
  <c r="J35" i="6"/>
  <c r="H580" i="6"/>
  <c r="I580" i="6"/>
  <c r="J605" i="6"/>
  <c r="J580" i="6"/>
  <c r="O78" i="5"/>
  <c r="L553" i="6"/>
  <c r="I439" i="6"/>
  <c r="D442" i="6"/>
  <c r="H97" i="5"/>
  <c r="I79" i="5"/>
  <c r="L498" i="6"/>
  <c r="L16" i="6" s="1"/>
  <c r="L705" i="6"/>
  <c r="K90" i="5"/>
  <c r="G18" i="6"/>
  <c r="L114" i="5"/>
  <c r="L89" i="5"/>
  <c r="L168" i="6"/>
  <c r="N81" i="5"/>
  <c r="I89" i="5"/>
  <c r="D612" i="6"/>
  <c r="S15" i="5"/>
  <c r="K678" i="6"/>
  <c r="K677" i="6" s="1"/>
  <c r="D430" i="6"/>
  <c r="D686" i="6"/>
  <c r="G678" i="6"/>
  <c r="I677" i="6"/>
  <c r="I81" i="5"/>
  <c r="P79" i="5"/>
  <c r="M580" i="6"/>
  <c r="D131" i="6"/>
  <c r="I80" i="5"/>
  <c r="I11" i="5" s="1"/>
  <c r="O77" i="5"/>
  <c r="R90" i="5"/>
  <c r="J668" i="6"/>
  <c r="O555" i="6"/>
  <c r="N499" i="6"/>
  <c r="S79" i="5"/>
  <c r="R118" i="5"/>
  <c r="S118" i="5" s="1"/>
  <c r="S113" i="5" s="1"/>
  <c r="Q115" i="5"/>
  <c r="R115" i="5" s="1"/>
  <c r="I502" i="6"/>
  <c r="I497" i="6" s="1"/>
  <c r="D512" i="6"/>
  <c r="H68" i="5"/>
  <c r="M66" i="5"/>
  <c r="P595" i="6"/>
  <c r="D593" i="6"/>
  <c r="M115" i="5"/>
  <c r="M114" i="5" s="1"/>
  <c r="H18" i="6"/>
  <c r="H87" i="5"/>
  <c r="M84" i="5"/>
  <c r="M77" i="5" s="1"/>
  <c r="N580" i="6"/>
  <c r="O580" i="6"/>
  <c r="G543" i="6" l="1"/>
  <c r="D565" i="6"/>
  <c r="D544" i="6"/>
  <c r="G526" i="6"/>
  <c r="I383" i="6"/>
  <c r="J667" i="6"/>
  <c r="M168" i="6"/>
  <c r="K668" i="6"/>
  <c r="I682" i="6"/>
  <c r="G677" i="6"/>
  <c r="I570" i="6"/>
  <c r="F23" i="6"/>
  <c r="I24" i="6"/>
  <c r="I15" i="6" s="1"/>
  <c r="J391" i="6"/>
  <c r="I401" i="6"/>
  <c r="J595" i="6"/>
  <c r="D447" i="6"/>
  <c r="O444" i="6"/>
  <c r="D393" i="6"/>
  <c r="N23" i="6"/>
  <c r="K20" i="6"/>
  <c r="H84" i="5"/>
  <c r="L14" i="5"/>
  <c r="J14" i="5"/>
  <c r="Q83" i="5"/>
  <c r="Q116" i="5"/>
  <c r="R116" i="5" s="1"/>
  <c r="S116" i="5" s="1"/>
  <c r="D437" i="6"/>
  <c r="H106" i="5"/>
  <c r="D259" i="6"/>
  <c r="J678" i="6"/>
  <c r="J677" i="6" s="1"/>
  <c r="G682" i="6"/>
  <c r="R14" i="5"/>
  <c r="P77" i="5"/>
  <c r="O543" i="6"/>
  <c r="N526" i="6"/>
  <c r="D179" i="6"/>
  <c r="L26" i="6"/>
  <c r="N20" i="6"/>
  <c r="I522" i="6"/>
  <c r="E84" i="6"/>
  <c r="M494" i="6"/>
  <c r="O707" i="6"/>
  <c r="O705" i="6"/>
  <c r="H105" i="5"/>
  <c r="D403" i="6"/>
  <c r="O89" i="5"/>
  <c r="S14" i="5"/>
  <c r="S13" i="5" s="1"/>
  <c r="H46" i="5"/>
  <c r="E677" i="6"/>
  <c r="D529" i="6"/>
  <c r="H672" i="6"/>
  <c r="E134" i="6"/>
  <c r="N14" i="5"/>
  <c r="J89" i="5"/>
  <c r="N77" i="5"/>
  <c r="K77" i="5"/>
  <c r="J81" i="5"/>
  <c r="Q113" i="5"/>
  <c r="H48" i="5"/>
  <c r="H119" i="5"/>
  <c r="D615" i="6"/>
  <c r="E29" i="6"/>
  <c r="D585" i="6"/>
  <c r="O88" i="5"/>
  <c r="L77" i="5"/>
  <c r="K14" i="5"/>
  <c r="D575" i="6"/>
  <c r="D595" i="6"/>
  <c r="K421" i="6"/>
  <c r="H66" i="5"/>
  <c r="M20" i="6"/>
  <c r="J114" i="5"/>
  <c r="N421" i="6"/>
  <c r="Q114" i="5"/>
  <c r="O114" i="5"/>
  <c r="F672" i="6"/>
  <c r="I555" i="6"/>
  <c r="Q90" i="5"/>
  <c r="V94" i="5"/>
  <c r="M80" i="5"/>
  <c r="M11" i="5" s="1"/>
  <c r="H92" i="5"/>
  <c r="D41" i="6"/>
  <c r="D564" i="6"/>
  <c r="I114" i="5"/>
  <c r="Q14" i="5"/>
  <c r="D514" i="6"/>
  <c r="D681" i="6"/>
  <c r="F677" i="6"/>
  <c r="I88" i="5"/>
  <c r="H83" i="5"/>
  <c r="D425" i="6"/>
  <c r="D715" i="6"/>
  <c r="L559" i="6"/>
  <c r="N559" i="6"/>
  <c r="M91" i="5"/>
  <c r="M90" i="5" s="1"/>
  <c r="H117" i="5"/>
  <c r="I424" i="6"/>
  <c r="K81" i="5"/>
  <c r="J78" i="5"/>
  <c r="I712" i="6"/>
  <c r="F381" i="6"/>
  <c r="J79" i="5"/>
  <c r="M75" i="5"/>
  <c r="H75" i="5" s="1"/>
  <c r="K24" i="6"/>
  <c r="I77" i="5"/>
  <c r="S81" i="5"/>
  <c r="M707" i="6"/>
  <c r="M24" i="6"/>
  <c r="S77" i="5"/>
  <c r="M89" i="5"/>
  <c r="D605" i="6"/>
  <c r="J15" i="5"/>
  <c r="J13" i="5" s="1"/>
  <c r="N16" i="5"/>
  <c r="N90" i="5"/>
  <c r="O522" i="6"/>
  <c r="F682" i="6"/>
  <c r="D560" i="6"/>
  <c r="Q89" i="5"/>
  <c r="Q88" i="5" s="1"/>
  <c r="I15" i="5"/>
  <c r="I12" i="5" s="1"/>
  <c r="J561" i="6"/>
  <c r="J555" i="6" s="1"/>
  <c r="D676" i="6"/>
  <c r="D669" i="6"/>
  <c r="S12" i="5"/>
  <c r="R77" i="5"/>
  <c r="F667" i="6"/>
  <c r="J29" i="6"/>
  <c r="M74" i="5"/>
  <c r="M73" i="5" s="1"/>
  <c r="H73" i="5" s="1"/>
  <c r="D600" i="6"/>
  <c r="D411" i="6"/>
  <c r="L88" i="5"/>
  <c r="H94" i="5"/>
  <c r="N494" i="6"/>
  <c r="Q77" i="5"/>
  <c r="L12" i="5"/>
  <c r="Q15" i="5"/>
  <c r="J41" i="6"/>
  <c r="J32" i="6"/>
  <c r="I499" i="6"/>
  <c r="H82" i="5"/>
  <c r="E91" i="6"/>
  <c r="G29" i="6"/>
  <c r="P114" i="5"/>
  <c r="G522" i="6"/>
  <c r="K11" i="5"/>
  <c r="M88" i="5"/>
  <c r="R114" i="5"/>
  <c r="R10" i="5" s="1"/>
  <c r="S115" i="5"/>
  <c r="S114" i="5" s="1"/>
  <c r="S10" i="5" s="1"/>
  <c r="L10" i="5"/>
  <c r="L13" i="5"/>
  <c r="J88" i="5"/>
  <c r="Q10" i="5"/>
  <c r="R113" i="5"/>
  <c r="F161" i="6"/>
  <c r="I29" i="6"/>
  <c r="I20" i="6" s="1"/>
  <c r="E32" i="6"/>
  <c r="E671" i="6"/>
  <c r="D671" i="6" s="1"/>
  <c r="P89" i="5"/>
  <c r="D563" i="6"/>
  <c r="I667" i="6"/>
  <c r="N113" i="5"/>
  <c r="H113" i="5" s="1"/>
  <c r="D142" i="6"/>
  <c r="D91" i="6"/>
  <c r="H32" i="6"/>
  <c r="D538" i="6"/>
  <c r="I78" i="5"/>
  <c r="I10" i="5" s="1"/>
  <c r="E668" i="6"/>
  <c r="E672" i="6"/>
  <c r="U110" i="5"/>
  <c r="P90" i="5"/>
  <c r="D608" i="6"/>
  <c r="H40" i="5"/>
  <c r="K15" i="5"/>
  <c r="K12" i="5" s="1"/>
  <c r="E682" i="6"/>
  <c r="O15" i="5"/>
  <c r="O12" i="5" s="1"/>
  <c r="J464" i="6"/>
  <c r="J462" i="6"/>
  <c r="J459" i="6" s="1"/>
  <c r="K88" i="5"/>
  <c r="G161" i="6"/>
  <c r="G32" i="6"/>
  <c r="I13" i="5"/>
  <c r="H118" i="5"/>
  <c r="I9" i="5"/>
  <c r="M14" i="5"/>
  <c r="H91" i="5"/>
  <c r="H61" i="5"/>
  <c r="D561" i="6"/>
  <c r="R81" i="5"/>
  <c r="O81" i="5"/>
  <c r="D107" i="6"/>
  <c r="D504" i="6"/>
  <c r="E702" i="6"/>
  <c r="D65" i="6"/>
  <c r="F29" i="6"/>
  <c r="F26" i="6" s="1"/>
  <c r="D126" i="6"/>
  <c r="J77" i="5"/>
  <c r="K114" i="5"/>
  <c r="K10" i="5" s="1"/>
  <c r="K9" i="5" s="1"/>
  <c r="H93" i="5"/>
  <c r="L81" i="5"/>
  <c r="G668" i="6"/>
  <c r="G672" i="6"/>
  <c r="L24" i="6"/>
  <c r="S88" i="5"/>
  <c r="M543" i="6"/>
  <c r="H526" i="6"/>
  <c r="H682" i="6"/>
  <c r="D557" i="6"/>
  <c r="N381" i="6"/>
  <c r="R89" i="5"/>
  <c r="R88" i="5" s="1"/>
  <c r="N114" i="5"/>
  <c r="M81" i="5"/>
  <c r="M559" i="6"/>
  <c r="K667" i="6"/>
  <c r="D710" i="6"/>
  <c r="L499" i="6"/>
  <c r="O421" i="6"/>
  <c r="H29" i="6"/>
  <c r="H20" i="6" s="1"/>
  <c r="E499" i="6"/>
  <c r="J559" i="6"/>
  <c r="L80" i="5"/>
  <c r="L11" i="5" s="1"/>
  <c r="D59" i="6"/>
  <c r="P61" i="6" s="1"/>
  <c r="E27" i="6"/>
  <c r="E26" i="6" s="1"/>
  <c r="N89" i="5"/>
  <c r="H116" i="5"/>
  <c r="H24" i="6"/>
  <c r="O14" i="5"/>
  <c r="H17" i="5"/>
  <c r="I672" i="6"/>
  <c r="H18" i="5"/>
  <c r="R15" i="5"/>
  <c r="R13" i="5" s="1"/>
  <c r="I32" i="6"/>
  <c r="P15" i="5"/>
  <c r="P12" i="5" s="1"/>
  <c r="E523" i="6"/>
  <c r="H678" i="6"/>
  <c r="H677" i="6" s="1"/>
  <c r="I562" i="6"/>
  <c r="N15" i="5"/>
  <c r="K543" i="6"/>
  <c r="K526" i="6"/>
  <c r="D545" i="6"/>
  <c r="D670" i="6"/>
  <c r="J543" i="6"/>
  <c r="J526" i="6"/>
  <c r="J556" i="6"/>
  <c r="J553" i="6" s="1"/>
  <c r="K479" i="6"/>
  <c r="M479" i="6"/>
  <c r="D97" i="6"/>
  <c r="D53" i="6"/>
  <c r="D712" i="6"/>
  <c r="D401" i="6"/>
  <c r="E24" i="6"/>
  <c r="E15" i="6" s="1"/>
  <c r="F421" i="6"/>
  <c r="D231" i="6"/>
  <c r="D236" i="6"/>
  <c r="D175" i="6"/>
  <c r="D181" i="6"/>
  <c r="D246" i="6"/>
  <c r="D201" i="6"/>
  <c r="K522" i="6"/>
  <c r="I526" i="6"/>
  <c r="O381" i="6"/>
  <c r="L421" i="6"/>
  <c r="F707" i="6"/>
  <c r="M553" i="6"/>
  <c r="D554" i="6"/>
  <c r="M521" i="6"/>
  <c r="D547" i="6"/>
  <c r="D531" i="6"/>
  <c r="D546" i="6"/>
  <c r="M526" i="6"/>
  <c r="D527" i="6"/>
  <c r="D532" i="6"/>
  <c r="N522" i="6"/>
  <c r="J494" i="6"/>
  <c r="O499" i="6"/>
  <c r="D501" i="6"/>
  <c r="D128" i="6"/>
  <c r="D31" i="6"/>
  <c r="D172" i="6"/>
  <c r="D434" i="6"/>
  <c r="D162" i="6"/>
  <c r="H381" i="6"/>
  <c r="N18" i="6"/>
  <c r="E125" i="6"/>
  <c r="D125" i="6" s="1"/>
  <c r="D33" i="6"/>
  <c r="J24" i="6"/>
  <c r="E71" i="6"/>
  <c r="D35" i="6"/>
  <c r="D206" i="6"/>
  <c r="D216" i="6"/>
  <c r="D221" i="6"/>
  <c r="N24" i="6"/>
  <c r="E459" i="6"/>
  <c r="L459" i="6"/>
  <c r="H459" i="6"/>
  <c r="D480" i="6"/>
  <c r="D481" i="6"/>
  <c r="D111" i="6"/>
  <c r="D165" i="6"/>
  <c r="D47" i="6"/>
  <c r="G381" i="6"/>
  <c r="M421" i="6"/>
  <c r="M18" i="6"/>
  <c r="E286" i="6"/>
  <c r="D286" i="6" s="1"/>
  <c r="D261" i="6"/>
  <c r="D679" i="6"/>
  <c r="D558" i="6"/>
  <c r="M702" i="6"/>
  <c r="O702" i="6"/>
  <c r="N702" i="6"/>
  <c r="K555" i="6"/>
  <c r="D500" i="6"/>
  <c r="K499" i="6"/>
  <c r="F499" i="6"/>
  <c r="D462" i="6"/>
  <c r="D502" i="6"/>
  <c r="D460" i="6"/>
  <c r="H499" i="6"/>
  <c r="J23" i="6"/>
  <c r="F24" i="6"/>
  <c r="F15" i="6" s="1"/>
  <c r="G421" i="6"/>
  <c r="G494" i="6"/>
  <c r="D503" i="6"/>
  <c r="M499" i="6"/>
  <c r="J20" i="6"/>
  <c r="J11" i="6" s="1"/>
  <c r="J421" i="6"/>
  <c r="D524" i="6"/>
  <c r="O526" i="6"/>
  <c r="I543" i="6"/>
  <c r="F526" i="6"/>
  <c r="I520" i="6"/>
  <c r="D520" i="6" s="1"/>
  <c r="I521" i="6"/>
  <c r="O521" i="6"/>
  <c r="J523" i="6"/>
  <c r="D528" i="6"/>
  <c r="G521" i="6"/>
  <c r="F543" i="6"/>
  <c r="E543" i="6"/>
  <c r="L521" i="6"/>
  <c r="D118" i="6"/>
  <c r="N168" i="6"/>
  <c r="E65" i="6"/>
  <c r="D30" i="6"/>
  <c r="D28" i="6"/>
  <c r="D144" i="6"/>
  <c r="D134" i="6"/>
  <c r="O24" i="6"/>
  <c r="J707" i="6"/>
  <c r="L702" i="6"/>
  <c r="D673" i="6"/>
  <c r="D704" i="6"/>
  <c r="D680" i="6"/>
  <c r="I523" i="6"/>
  <c r="F521" i="6"/>
  <c r="F9" i="6" s="1"/>
  <c r="H523" i="6"/>
  <c r="N521" i="6"/>
  <c r="K523" i="6"/>
  <c r="O494" i="6"/>
  <c r="G499" i="6"/>
  <c r="L381" i="6"/>
  <c r="D427" i="6"/>
  <c r="D78" i="6"/>
  <c r="D71" i="6"/>
  <c r="H556" i="6"/>
  <c r="H553" i="6" s="1"/>
  <c r="H559" i="6"/>
  <c r="D580" i="6"/>
  <c r="D570" i="6"/>
  <c r="E78" i="6"/>
  <c r="E141" i="6"/>
  <c r="D141" i="6" s="1"/>
  <c r="D168" i="6"/>
  <c r="I494" i="6"/>
  <c r="D211" i="6"/>
  <c r="K494" i="6"/>
  <c r="H668" i="6"/>
  <c r="H667" i="6" s="1"/>
  <c r="H421" i="6"/>
  <c r="G459" i="6"/>
  <c r="F479" i="6"/>
  <c r="J479" i="6"/>
  <c r="D266" i="6"/>
  <c r="M522" i="6"/>
  <c r="D384" i="6"/>
  <c r="D439" i="6"/>
  <c r="D423" i="6"/>
  <c r="E479" i="6"/>
  <c r="D291" i="6"/>
  <c r="D396" i="6"/>
  <c r="D703" i="6"/>
  <c r="F702" i="6"/>
  <c r="D169" i="6"/>
  <c r="D391" i="6"/>
  <c r="E20" i="6"/>
  <c r="D424" i="6"/>
  <c r="O459" i="6"/>
  <c r="L526" i="6"/>
  <c r="N553" i="6"/>
  <c r="G702" i="6"/>
  <c r="D84" i="6"/>
  <c r="D117" i="6"/>
  <c r="D120" i="6"/>
  <c r="E621" i="6"/>
  <c r="D621" i="6" s="1"/>
  <c r="D406" i="6"/>
  <c r="J381" i="6"/>
  <c r="E381" i="6"/>
  <c r="K381" i="6"/>
  <c r="D610" i="6"/>
  <c r="E421" i="6"/>
  <c r="I421" i="6"/>
  <c r="N707" i="6"/>
  <c r="D632" i="6"/>
  <c r="D464" i="6"/>
  <c r="N459" i="6"/>
  <c r="I459" i="6"/>
  <c r="D463" i="6"/>
  <c r="N479" i="6"/>
  <c r="G479" i="6"/>
  <c r="F522" i="6"/>
  <c r="L522" i="6"/>
  <c r="D276" i="6"/>
  <c r="D281" i="6"/>
  <c r="J702" i="6"/>
  <c r="D706" i="6"/>
  <c r="K705" i="6"/>
  <c r="K702" i="6" s="1"/>
  <c r="H702" i="6"/>
  <c r="G556" i="6"/>
  <c r="G553" i="6" s="1"/>
  <c r="G559" i="6"/>
  <c r="F556" i="6"/>
  <c r="F553" i="6" s="1"/>
  <c r="F559" i="6"/>
  <c r="D590" i="6"/>
  <c r="E562" i="6"/>
  <c r="D627" i="6"/>
  <c r="O559" i="6"/>
  <c r="E521" i="6"/>
  <c r="F523" i="6"/>
  <c r="H522" i="6"/>
  <c r="D548" i="6"/>
  <c r="G523" i="6"/>
  <c r="H521" i="6"/>
  <c r="E522" i="6"/>
  <c r="K521" i="6"/>
  <c r="D498" i="6"/>
  <c r="H16" i="6"/>
  <c r="D16" i="6" s="1"/>
  <c r="F494" i="6"/>
  <c r="D495" i="6"/>
  <c r="D496" i="6"/>
  <c r="E494" i="6"/>
  <c r="L494" i="6"/>
  <c r="D497" i="6"/>
  <c r="D509" i="6"/>
  <c r="J499" i="6"/>
  <c r="H494" i="6"/>
  <c r="H479" i="6"/>
  <c r="D483" i="6"/>
  <c r="D444" i="6"/>
  <c r="L479" i="6"/>
  <c r="D484" i="6"/>
  <c r="D383" i="6"/>
  <c r="G9" i="6"/>
  <c r="L18" i="6"/>
  <c r="J18" i="6"/>
  <c r="J9" i="6" s="1"/>
  <c r="K18" i="6"/>
  <c r="I381" i="6"/>
  <c r="M23" i="6"/>
  <c r="O20" i="6"/>
  <c r="O11" i="6" s="1"/>
  <c r="O18" i="6"/>
  <c r="D482" i="6"/>
  <c r="D386" i="6"/>
  <c r="F459" i="6"/>
  <c r="D461" i="6"/>
  <c r="D422" i="6"/>
  <c r="D382" i="6"/>
  <c r="M381" i="6"/>
  <c r="D385" i="6"/>
  <c r="O479" i="6"/>
  <c r="F10" i="6"/>
  <c r="D10" i="6" s="1"/>
  <c r="D19" i="6"/>
  <c r="E12" i="6"/>
  <c r="D12" i="6" s="1"/>
  <c r="D21" i="6"/>
  <c r="D22" i="6"/>
  <c r="E13" i="6"/>
  <c r="D13" i="6" s="1"/>
  <c r="O26" i="6"/>
  <c r="O23" i="6"/>
  <c r="O14" i="6" s="1"/>
  <c r="D110" i="6"/>
  <c r="D191" i="6"/>
  <c r="D196" i="6"/>
  <c r="D251" i="6"/>
  <c r="D241" i="6"/>
  <c r="D271" i="6"/>
  <c r="D149" i="6"/>
  <c r="D186" i="6"/>
  <c r="D155" i="6"/>
  <c r="D226" i="6"/>
  <c r="D256" i="6"/>
  <c r="K459" i="6"/>
  <c r="O553" i="6"/>
  <c r="I702" i="6"/>
  <c r="J12" i="5"/>
  <c r="D135" i="6"/>
  <c r="E58" i="6"/>
  <c r="D58" i="6" s="1"/>
  <c r="H54" i="5"/>
  <c r="P81" i="5"/>
  <c r="D683" i="6"/>
  <c r="M16" i="5"/>
  <c r="I18" i="6"/>
  <c r="N519" i="6" l="1"/>
  <c r="D27" i="6"/>
  <c r="F20" i="6"/>
  <c r="F17" i="6" s="1"/>
  <c r="Q79" i="5"/>
  <c r="H79" i="5" s="1"/>
  <c r="Q81" i="5"/>
  <c r="E23" i="6"/>
  <c r="D32" i="6"/>
  <c r="K14" i="6"/>
  <c r="K553" i="6"/>
  <c r="K11" i="6"/>
  <c r="L20" i="6"/>
  <c r="L11" i="6" s="1"/>
  <c r="O9" i="6"/>
  <c r="O8" i="6" s="1"/>
  <c r="I23" i="6"/>
  <c r="I17" i="6" s="1"/>
  <c r="L9" i="5"/>
  <c r="H77" i="5"/>
  <c r="Q13" i="5"/>
  <c r="D677" i="6"/>
  <c r="D678" i="6"/>
  <c r="H115" i="5"/>
  <c r="J26" i="6"/>
  <c r="G26" i="6"/>
  <c r="D421" i="6"/>
  <c r="I11" i="6"/>
  <c r="U11" i="5"/>
  <c r="M9" i="6"/>
  <c r="H114" i="5"/>
  <c r="J10" i="5"/>
  <c r="P10" i="5"/>
  <c r="D161" i="6"/>
  <c r="G519" i="6"/>
  <c r="H80" i="5"/>
  <c r="M14" i="6"/>
  <c r="N88" i="5"/>
  <c r="K13" i="5"/>
  <c r="H14" i="5"/>
  <c r="P13" i="5"/>
  <c r="E667" i="6"/>
  <c r="H74" i="5"/>
  <c r="H78" i="5"/>
  <c r="S9" i="5"/>
  <c r="H11" i="5"/>
  <c r="P9" i="5"/>
  <c r="N11" i="6"/>
  <c r="O519" i="6"/>
  <c r="D668" i="6"/>
  <c r="D672" i="6"/>
  <c r="H90" i="5"/>
  <c r="G667" i="6"/>
  <c r="N26" i="6"/>
  <c r="R12" i="5"/>
  <c r="R9" i="5" s="1"/>
  <c r="H81" i="5"/>
  <c r="P88" i="5"/>
  <c r="H88" i="5" s="1"/>
  <c r="G23" i="6"/>
  <c r="G14" i="6" s="1"/>
  <c r="I559" i="6"/>
  <c r="I556" i="6"/>
  <c r="I553" i="6" s="1"/>
  <c r="M10" i="5"/>
  <c r="D682" i="6"/>
  <c r="K519" i="6"/>
  <c r="I26" i="6"/>
  <c r="N12" i="5"/>
  <c r="O13" i="5"/>
  <c r="N10" i="5"/>
  <c r="H89" i="5"/>
  <c r="O10" i="5"/>
  <c r="O9" i="5" s="1"/>
  <c r="N13" i="5"/>
  <c r="D459" i="6"/>
  <c r="D522" i="6"/>
  <c r="D24" i="6"/>
  <c r="D381" i="6"/>
  <c r="H11" i="6"/>
  <c r="L9" i="6"/>
  <c r="M519" i="6"/>
  <c r="J14" i="6"/>
  <c r="J8" i="6" s="1"/>
  <c r="G20" i="6"/>
  <c r="E18" i="6"/>
  <c r="D705" i="6"/>
  <c r="P702" i="6" s="1"/>
  <c r="D707" i="6"/>
  <c r="D521" i="6"/>
  <c r="I519" i="6"/>
  <c r="N9" i="6"/>
  <c r="L519" i="6"/>
  <c r="D526" i="6"/>
  <c r="D15" i="6"/>
  <c r="E525" i="6"/>
  <c r="D525" i="6" s="1"/>
  <c r="D543" i="6"/>
  <c r="E11" i="6"/>
  <c r="D499" i="6"/>
  <c r="L23" i="6"/>
  <c r="L14" i="6" s="1"/>
  <c r="N17" i="6"/>
  <c r="J519" i="6"/>
  <c r="N14" i="6"/>
  <c r="D555" i="6"/>
  <c r="D494" i="6"/>
  <c r="D702" i="6"/>
  <c r="D479" i="6"/>
  <c r="D29" i="6"/>
  <c r="M11" i="6"/>
  <c r="M26" i="6"/>
  <c r="E556" i="6"/>
  <c r="E559" i="6"/>
  <c r="D562" i="6"/>
  <c r="F14" i="6"/>
  <c r="D523" i="6"/>
  <c r="F519" i="6"/>
  <c r="K9" i="6"/>
  <c r="H519" i="6"/>
  <c r="H9" i="6"/>
  <c r="K17" i="6"/>
  <c r="J17" i="6"/>
  <c r="O17" i="6"/>
  <c r="M15" i="5"/>
  <c r="H16" i="5"/>
  <c r="J9" i="5"/>
  <c r="I9" i="6"/>
  <c r="H23" i="6"/>
  <c r="H26" i="6"/>
  <c r="H10" i="5"/>
  <c r="E14" i="6" l="1"/>
  <c r="F11" i="6"/>
  <c r="E17" i="6"/>
  <c r="Q12" i="5"/>
  <c r="Q9" i="5" s="1"/>
  <c r="K8" i="6"/>
  <c r="L8" i="6"/>
  <c r="M8" i="6"/>
  <c r="I14" i="6"/>
  <c r="I8" i="6" s="1"/>
  <c r="D20" i="6"/>
  <c r="D667" i="6"/>
  <c r="D26" i="6"/>
  <c r="L17" i="6"/>
  <c r="N9" i="5"/>
  <c r="D18" i="6"/>
  <c r="D559" i="6"/>
  <c r="E9" i="6"/>
  <c r="D9" i="6" s="1"/>
  <c r="G17" i="6"/>
  <c r="G11" i="6"/>
  <c r="G8" i="6" s="1"/>
  <c r="N8" i="6"/>
  <c r="F8" i="6"/>
  <c r="E519" i="6"/>
  <c r="D519" i="6" s="1"/>
  <c r="D23" i="6"/>
  <c r="M17" i="6"/>
  <c r="E553" i="6"/>
  <c r="D553" i="6" s="1"/>
  <c r="D556" i="6"/>
  <c r="H15" i="5"/>
  <c r="M12" i="5"/>
  <c r="M13" i="5"/>
  <c r="H13" i="5" s="1"/>
  <c r="H14" i="6"/>
  <c r="H8" i="6" s="1"/>
  <c r="H17" i="6"/>
  <c r="D14" i="6" l="1"/>
  <c r="E8" i="6"/>
  <c r="D11" i="6"/>
  <c r="D17" i="6"/>
  <c r="H12" i="5"/>
  <c r="M9" i="5"/>
  <c r="H9" i="5" s="1"/>
  <c r="D8" i="6" l="1"/>
</calcChain>
</file>

<file path=xl/comments1.xml><?xml version="1.0" encoding="utf-8"?>
<comments xmlns="http://schemas.openxmlformats.org/spreadsheetml/2006/main">
  <authors>
    <author>tc={0140375C-6D1E-4B32-A130-4DF1E2A6AA88}</author>
    <author xml:space="preserve">Мельникова </author>
    <author>Татьяна Викторовна Журавлёва</author>
    <author>Пользователь Windows</author>
  </authors>
  <commentList>
    <comment ref="K8" authorId="0">
      <text>
        <r>
          <rPr>
            <sz val="10"/>
            <rFont val="Arial"/>
            <family val="2"/>
            <charset val="204"/>
          </rPr>
          <t>[Цепочка примечаний]
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    д.б.2393674,4 добавить 0,1 на 4.2.1.</t>
        </r>
      </text>
    </comment>
    <comment ref="K38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2 </t>
        </r>
        <r>
          <rPr>
            <b/>
            <sz val="9"/>
            <color indexed="81"/>
            <rFont val="Tahoma"/>
            <family val="2"/>
            <charset val="204"/>
          </rPr>
          <t>э</t>
        </r>
        <r>
          <rPr>
            <b/>
            <sz val="9"/>
            <color indexed="81"/>
            <rFont val="Tahoma"/>
            <family val="2"/>
            <charset val="204"/>
          </rPr>
          <t>тап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44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Татьяна Викторовна Журавлёва:хоть в ведомственной и разделено на 1.1.2 и 1.1.5 ставим 49,2 на Благэко </t>
        </r>
      </text>
    </comment>
    <comment ref="K18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переаспред по запросу отдела благоустройство</t>
        </r>
      </text>
    </comment>
    <comment ref="B276" authorId="1">
      <text>
        <r>
          <rPr>
            <b/>
            <sz val="9"/>
            <color indexed="10"/>
            <rFont val="Tahoma"/>
            <family val="2"/>
            <charset val="204"/>
          </rPr>
          <t xml:space="preserve">
</t>
        </r>
      </text>
    </comment>
    <comment ref="B281" authorId="1">
      <text/>
    </comment>
    <comment ref="B291" authorId="1">
      <text>
        <r>
          <rPr>
            <b/>
            <sz val="9"/>
            <color indexed="10"/>
            <rFont val="Tahoma"/>
            <family val="2"/>
            <charset val="204"/>
          </rPr>
          <t>новое</t>
        </r>
      </text>
    </comment>
    <comment ref="K29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уведомление 04-02 от 28.06.2021</t>
        </r>
      </text>
    </comment>
    <comment ref="B30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30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A32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3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3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4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5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5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6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7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K38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 10414,6
</t>
        </r>
      </text>
    </comment>
    <comment ref="A44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A45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B47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с 02.09.2021</t>
        </r>
      </text>
    </comment>
    <comment ref="L48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508" authorId="3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Управление образование установлено 54 окна на сумму 886,6 тыс. руб., управлением культуры установлено на сумму 385,7 тыс. рублей
</t>
        </r>
      </text>
    </comment>
    <comment ref="K535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возвращали 1078,2 т.р </t>
        </r>
      </text>
    </comment>
    <comment ref="K61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тк просили 15077,1 на НГ а выделили на Думе 24.11.2021 15000т.р то 77,1 снова заимствовали с мероприятия 1.2.3.</t>
        </r>
      </text>
    </comment>
    <comment ref="A63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09.06.2021</t>
        </r>
      </text>
    </comment>
    <comment ref="A64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15.06.2021</t>
        </r>
      </text>
    </comment>
    <comment ref="A64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5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5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6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K67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Полина  13.01.2022</t>
        </r>
      </text>
    </comment>
    <comment ref="L700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том числе УЖКХ  - 1535,536+980,0= 2515,536  
Культура - 2484,5 т.р.</t>
        </r>
      </text>
    </comment>
  </commentList>
</comments>
</file>

<file path=xl/sharedStrings.xml><?xml version="1.0" encoding="utf-8"?>
<sst xmlns="http://schemas.openxmlformats.org/spreadsheetml/2006/main" count="1611" uniqueCount="444">
  <si>
    <t xml:space="preserve">Ресурсное обеспечение </t>
  </si>
  <si>
    <t xml:space="preserve">реализации муниципальной программы за счет средств городского бюджета </t>
  </si>
  <si>
    <t>Код бюджетной классификации</t>
  </si>
  <si>
    <t>Объемы бюджетных ассигнований (тыс. руб.), годы</t>
  </si>
  <si>
    <t>ГРБС</t>
  </si>
  <si>
    <t>Рз Пр</t>
  </si>
  <si>
    <t>ЦСР</t>
  </si>
  <si>
    <t>Всего</t>
  </si>
  <si>
    <t>Источник финансирования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</si>
  <si>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</si>
  <si>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</si>
  <si>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</si>
  <si>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</si>
  <si>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</si>
  <si>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005</t>
  </si>
  <si>
    <t>0502</t>
  </si>
  <si>
    <t>2015 год</t>
  </si>
  <si>
    <t xml:space="preserve">2016 год </t>
  </si>
  <si>
    <t>2017 год</t>
  </si>
  <si>
    <t>2018 год</t>
  </si>
  <si>
    <t>2019 год</t>
  </si>
  <si>
    <t>2020 год</t>
  </si>
  <si>
    <t>Субсидия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</si>
  <si>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0501</t>
  </si>
  <si>
    <t>2016 год</t>
  </si>
  <si>
    <t>Статус</t>
  </si>
  <si>
    <t xml:space="preserve">Муниципальная программа  </t>
  </si>
  <si>
    <t>Подпрограмма 1</t>
  </si>
  <si>
    <t>Повышение качества и надежности жилищно-коммунального обслуживания населения, обеспечение доступности коммунальных услуг</t>
  </si>
  <si>
    <t>Оплата услуг по поставке электроэнергии на уличное освещение</t>
  </si>
  <si>
    <t>Подпрограмма  1</t>
  </si>
  <si>
    <t>Подпрограмма 4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</si>
  <si>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</si>
  <si>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Подпрограмма 2</t>
  </si>
  <si>
    <t>Основное мероприятие 4.1.</t>
  </si>
  <si>
    <t>0503</t>
  </si>
  <si>
    <t>800</t>
  </si>
  <si>
    <t>200</t>
  </si>
  <si>
    <t>Капитальный ремонт жилищного фонда города  Благовещенска</t>
  </si>
  <si>
    <t>Подпрограмма 3</t>
  </si>
  <si>
    <t>Основное мероприятие 3.1</t>
  </si>
  <si>
    <t>0505</t>
  </si>
  <si>
    <t>Подпрограмма 5</t>
  </si>
  <si>
    <t>Всего:</t>
  </si>
  <si>
    <t>Оплата услуг по поставке электроэнергии на  уличное  освещение</t>
  </si>
  <si>
    <t>Расходы на организацию проведения конкурсов по отбору управляющих организаций</t>
  </si>
  <si>
    <t>Энергосбережение и повышение энергетической эффективности в городе Благовещенске</t>
  </si>
  <si>
    <t>002</t>
  </si>
  <si>
    <t>012</t>
  </si>
  <si>
    <t>0409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</si>
  <si>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</si>
  <si>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Субсидии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</si>
  <si>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Субсидии юридическим лицам, предоставляющим населению услуги в отделениях бань</t>
  </si>
  <si>
    <t>Прочие мероприятия по  благоустройству  городского округа</t>
  </si>
  <si>
    <t>100</t>
  </si>
  <si>
    <t>0113</t>
  </si>
  <si>
    <t>Расходы на обеспечение функций  исполнительно-распорядительного, контрольного органов муниципального образования</t>
  </si>
  <si>
    <t>Оснащение жилищного фонда общедомовыми приборами учета энергоресурсов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</si>
  <si>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</si>
  <si>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</si>
  <si>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400</t>
  </si>
  <si>
    <t>Реконструкция канализационного коллектора от Северного жилого района до очистных сооружений канализации, г Благовещенск, Амурская область 3-я очередь</t>
  </si>
  <si>
    <t>Строительство электрических сетей в Северном планировочном районе (в т.ч. проектные работы)</t>
  </si>
  <si>
    <t xml:space="preserve">Строительство электрических сетей в районе "5-я стройка" </t>
  </si>
  <si>
    <t>Кредиторская задолженность на 01.01.2015</t>
  </si>
  <si>
    <t>городской бюджет, в том числе:</t>
  </si>
  <si>
    <t>1600,3</t>
  </si>
  <si>
    <t>Строительство электрических сетей в Северном планировочном районе города Благовещенска</t>
  </si>
  <si>
    <t>Капитальный ремонт ливневой канализации по ул. Мухина в районе железнодорожного переезда</t>
  </si>
  <si>
    <t>областной бюджет, в том числе:</t>
  </si>
  <si>
    <t>Капитальный ремонт ливневой канализации по ул. Мухина-ул. Пролетарская</t>
  </si>
  <si>
    <t>Капитальный ремонт ливневой канализации по ул Горького- ул. Комсомольская</t>
  </si>
  <si>
    <t>Выполнение работ по переносу теплотрассы п. Аэропорт</t>
  </si>
  <si>
    <t>Капитальный ремонт котельной 74 квартала г. Благовещенска</t>
  </si>
  <si>
    <t>Модернизация систем теплоснабжения объектов капитального строительства, расположенных в п. Моховая падь на территории "БВТККУ"</t>
  </si>
  <si>
    <t>Выполнение работ по капитальному ремонту подстанции ТП - 177 г. Благовещенска</t>
  </si>
  <si>
    <t>155,0</t>
  </si>
  <si>
    <t xml:space="preserve">Замена котла ДКВР 20-13 на котельной 74 квартала г. Благовещенска </t>
  </si>
  <si>
    <t>Приобретение программного продукта ГИС «Zulu»</t>
  </si>
  <si>
    <t>погашение кредиторской задолженности</t>
  </si>
  <si>
    <t>федеральный бюджет, в том числе:</t>
  </si>
  <si>
    <t>неиспользованный остаток прошлых лет</t>
  </si>
  <si>
    <t>Капитальный ремонт жилищного фонда г.Благовещенска</t>
  </si>
  <si>
    <t>Мероприятие 3.1.2</t>
  </si>
  <si>
    <t>Управление ЖКХ</t>
  </si>
  <si>
    <t>Замена оконных блоков на металлопластиковые в муниципальных бюджетных учреждениях</t>
  </si>
  <si>
    <t xml:space="preserve">Комитет по управлению имуществом </t>
  </si>
  <si>
    <t>Комитет по управлению  имуществом</t>
  </si>
  <si>
    <t>Строительство скважины в с. Белогорье</t>
  </si>
  <si>
    <t>Администрация города Благовещенска</t>
  </si>
  <si>
    <t xml:space="preserve">Администрация города Благовещенска </t>
  </si>
  <si>
    <t>Обеспечение мероприятий по капитальному ремонту общего имущества в многоквартирных домах</t>
  </si>
  <si>
    <t>Обеспечение мероприятий по капитальному ремонту общего имущества в многоквартирных дома</t>
  </si>
  <si>
    <t>Наименование муниципальной программы, подпрограммы, основного мероприятия, мероприятия</t>
  </si>
  <si>
    <t>Мероприятие 1.1.1.</t>
  </si>
  <si>
    <t>Мероприятие 1.1.2.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</si>
  <si>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</si>
  <si>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</si>
  <si>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</si>
  <si>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</si>
  <si>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</si>
  <si>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</si>
  <si>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1.1.10.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</si>
  <si>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</si>
  <si>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</si>
  <si>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</si>
  <si>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</si>
  <si>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1.1.15.</t>
  </si>
  <si>
    <t>Мероприятие 1.1.16.</t>
  </si>
  <si>
    <t>Мероприятие 1.1.17.</t>
  </si>
  <si>
    <t>Мероприятие 1.1.18.</t>
  </si>
  <si>
    <t>Мероприятие 1.1.19.</t>
  </si>
  <si>
    <t>Мероприятие 1.1.20.</t>
  </si>
  <si>
    <t>Мероприятие 1.1.21.</t>
  </si>
  <si>
    <t>Мероприятие 1.1.22.</t>
  </si>
  <si>
    <t>Мероприятие 1.1.23.</t>
  </si>
  <si>
    <t>Мероприятие 1.1.24.</t>
  </si>
  <si>
    <t>Мероприятие 1.1.25.</t>
  </si>
  <si>
    <t>Мероприятие 1.1.26.</t>
  </si>
  <si>
    <t>Обеспечение энергоэффективности в бюджетной и жилищно-коммунальной сферах экономики города Благовещенска</t>
  </si>
  <si>
    <t>Мероприятие 2.1.1.</t>
  </si>
  <si>
    <t>Мероприятие 2.1.2.</t>
  </si>
  <si>
    <t>Организация работ по повышению благоустроенности территории города Благовещенска</t>
  </si>
  <si>
    <t>Мероприятие 4.1.1.</t>
  </si>
  <si>
    <t>Мероприятие 4.1.2.</t>
  </si>
  <si>
    <t>Мероприятие 4.1.3.</t>
  </si>
  <si>
    <t>Мероприятие 4.1.4.</t>
  </si>
  <si>
    <t>Мероприятие 4.1.5.</t>
  </si>
  <si>
    <t>Мероприятие 4.1.6.</t>
  </si>
  <si>
    <t>Ответственный исполнитель, соисполнитель, участник (ГРБС)</t>
  </si>
  <si>
    <t>ВР</t>
  </si>
  <si>
    <t>Мероприятие 1.1.3.</t>
  </si>
  <si>
    <t>Основное мероприятие 2.1.</t>
  </si>
  <si>
    <t>Мероприятие 3.1.1.</t>
  </si>
  <si>
    <t>Мероприятие 3.1.2.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</si>
  <si>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</si>
  <si>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</si>
  <si>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Капитальный ремонт жилищного фонда г. Благовещенска</t>
  </si>
  <si>
    <t>Капитальный ремонт ливневой канализации по ул. Пионерской между ул. Зейской и ул. Ленина</t>
  </si>
  <si>
    <t>Перекладка тепловой сети по ул. Б. Хмельницкого от ТК 431 до ТК - 428 г. Благовещенска (между ул. Октябрьской и ул. Ломоносова)</t>
  </si>
  <si>
    <t>Капитальный ремонт сетей тепло-водоснабжения по ул. Пионерской между ул. Зейской и ул. Ленина</t>
  </si>
  <si>
    <t>Строительство электрических сетей в районе "5-я стройка"</t>
  </si>
  <si>
    <t>Организация на территории городского округа тепло -, водо -, электро -, газоснабжения и водоотведения</t>
  </si>
  <si>
    <t>Мероприятие 5.1.1.</t>
  </si>
  <si>
    <t>Организация деятельности в сфере жилищно-коммунального хозяйства</t>
  </si>
  <si>
    <t>Основное мероприятие 1.2.</t>
  </si>
  <si>
    <t>Мероприятие 1.2.1.</t>
  </si>
  <si>
    <t>Мероприятие 1.2.2.</t>
  </si>
  <si>
    <t>Мероприятие 1.2.3.</t>
  </si>
  <si>
    <t>Основное мероприятие 1.3.</t>
  </si>
  <si>
    <t>Мероприятие 1.3.1.</t>
  </si>
  <si>
    <t>Мероприятие 1.3.2.</t>
  </si>
  <si>
    <t>Субсидии юридическим лицам, выполняющим работы, оказывающим услуги по содержанию муниципальных сетей наружного освещения и световых устройств</t>
  </si>
  <si>
    <t>Субсидии юридическим лицам, выполняющим работы, оказывающим услуги по содержанию озелененных территорий общего пользования города Благовещенска</t>
  </si>
  <si>
    <t>03 1 01 00000</t>
  </si>
  <si>
    <t>03 4 01 00000</t>
  </si>
  <si>
    <t>03 4 01 60180</t>
  </si>
  <si>
    <t>03 4 01 60170</t>
  </si>
  <si>
    <t>03 4 01 60190</t>
  </si>
  <si>
    <t>03 4 01 60200</t>
  </si>
  <si>
    <t>03 4 01 60210</t>
  </si>
  <si>
    <t>03 4 01 60110</t>
  </si>
  <si>
    <t>03 0 00 00000</t>
  </si>
  <si>
    <t>03 5 00 00000</t>
  </si>
  <si>
    <t>03 5 01 00000</t>
  </si>
  <si>
    <t>03 1 01 40090</t>
  </si>
  <si>
    <t>03 1 01 40110</t>
  </si>
  <si>
    <t>03 1 01 40360</t>
  </si>
  <si>
    <t>03 1 01 40560</t>
  </si>
  <si>
    <t>03 1 01 40340</t>
  </si>
  <si>
    <t>03 1 01 40470</t>
  </si>
  <si>
    <t>03 1 01 40480</t>
  </si>
  <si>
    <t>03 1 01 40490</t>
  </si>
  <si>
    <t>03 1 01 40500</t>
  </si>
  <si>
    <t>03 1 01 40190</t>
  </si>
  <si>
    <t>03 1 01 40460</t>
  </si>
  <si>
    <t>03 1 01 40450</t>
  </si>
  <si>
    <t>03 1 01 40540</t>
  </si>
  <si>
    <t>03 1 01 40530</t>
  </si>
  <si>
    <t>03 1 01 40550</t>
  </si>
  <si>
    <t>03 1 01 40350</t>
  </si>
  <si>
    <t>03 1 01 40390</t>
  </si>
  <si>
    <t>03 1 01 40510</t>
  </si>
  <si>
    <t>03 1 01 60280</t>
  </si>
  <si>
    <t>03 1 02 00000</t>
  </si>
  <si>
    <t>03 1 02 60150</t>
  </si>
  <si>
    <t>03 1 02 60120</t>
  </si>
  <si>
    <t>03 1 02 60160</t>
  </si>
  <si>
    <t>03 1 03 00000</t>
  </si>
  <si>
    <t>03 1 03 60140</t>
  </si>
  <si>
    <t>03 1 03 60130</t>
  </si>
  <si>
    <t>03 3 01 10220</t>
  </si>
  <si>
    <t>03 3 01 00000</t>
  </si>
  <si>
    <t>03 1 00 00000</t>
  </si>
  <si>
    <t>03 2 00 00000</t>
  </si>
  <si>
    <t>03 2 01 00000</t>
  </si>
  <si>
    <t>03 2 01 60230</t>
  </si>
  <si>
    <t>03 3 00 00000</t>
  </si>
  <si>
    <t>03 4 01 60290</t>
  </si>
  <si>
    <t>03 4 01 60330</t>
  </si>
  <si>
    <t>03 4 01 60320</t>
  </si>
  <si>
    <t>Реконструкция очистных сооружений Северного жилого района г. Благовещенска, Амурская область (в т. ч. проектные работы)</t>
  </si>
  <si>
    <t>03 1 01 40330</t>
  </si>
  <si>
    <t>03 3 01 10550</t>
  </si>
  <si>
    <t>Поддержка организаций, предоставляющих жилищно-коммунальные услуги населению</t>
  </si>
  <si>
    <t>Мероприятие 4.1.7.</t>
  </si>
  <si>
    <t>Мероприятие 4.1.8.</t>
  </si>
  <si>
    <t>Мероприятие 4.1.9.</t>
  </si>
  <si>
    <t>Капитальный ремонт ливневой канализации по ул. Горького - ул. Комсомольская</t>
  </si>
  <si>
    <t>Мероприятие 1.2.4.</t>
  </si>
  <si>
    <t>03 1 01 40520</t>
  </si>
  <si>
    <t>03 5 01 00070</t>
  </si>
  <si>
    <t>Мероприятие 1.1.27.</t>
  </si>
  <si>
    <t>Выполнение работ по разработке схемы теплоснабжения города Благовещенска</t>
  </si>
  <si>
    <t>03 1 01 10570</t>
  </si>
  <si>
    <t>0501     0502</t>
  </si>
  <si>
    <t>Администрация города Благовещенска в лице управления архитектуры и градостроительства</t>
  </si>
  <si>
    <t>Выполнение работ по актуализации схемы теплоснабжения города Благовещенска</t>
  </si>
  <si>
    <t xml:space="preserve">Управление ЖКХ </t>
  </si>
  <si>
    <t>200        400</t>
  </si>
  <si>
    <t>200         400        800</t>
  </si>
  <si>
    <t>200         800</t>
  </si>
  <si>
    <t>100         200        800</t>
  </si>
  <si>
    <t>200        400         600</t>
  </si>
  <si>
    <t>Выполнение работ по разработке схемы водоснабжения и водоотведения города Благовещенска</t>
  </si>
  <si>
    <t>Капитальный ремонт ливневой канализации по ул.Артиллерийской, от ул.Краснофлотской до перекрестка ул.Ленина-ул.Артиллерийская</t>
  </si>
  <si>
    <t>03 1 01 40600</t>
  </si>
  <si>
    <t>Закольцовка водопроводных сетей объектов капитального строительства в Северном планировочном районе (в том числе проектные работы)</t>
  </si>
  <si>
    <t>Субсидии юридическим лицам   на возмещение затрат, связанных с выполнением работ 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</si>
  <si>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Субсидии казенным предприятиям на возмещение затрат, связанных с выполнением заказа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</si>
  <si>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 xml:space="preserve">100       200          400         800 </t>
  </si>
  <si>
    <t>Мероприятие 4.1.10.</t>
  </si>
  <si>
    <t>Выполнение работ по разработке схемы водоснабжения и  водоотведения города Благовещенска</t>
  </si>
  <si>
    <t>03 1 01 10650</t>
  </si>
  <si>
    <t>Инженерная инфраструктура объектов Северного планировочного района, г. Благовещенск  I этап   (в том числе проектные работы)</t>
  </si>
  <si>
    <t>Основное мероприятие 1.1.</t>
  </si>
  <si>
    <t>Инженерная инфраструктура объектов Северного планировочного района, г. Благовещенск I этап  (в том  числе проектные работы)</t>
  </si>
  <si>
    <t>Субсидии на осуществление капитальных вложений в объекты муниципальной собственности</t>
  </si>
  <si>
    <t>03 1 02 40630</t>
  </si>
  <si>
    <t>Управление ЖКХ города Благовещенска</t>
  </si>
  <si>
    <t>03 1 01 10651</t>
  </si>
  <si>
    <t>03 1 01 S7400</t>
  </si>
  <si>
    <t>Общественный туалет в г. Благовещенске (в т.ч. проектные работы)</t>
  </si>
  <si>
    <t>03 4 01 40640</t>
  </si>
  <si>
    <t>0</t>
  </si>
  <si>
    <t>03 4 00 00000</t>
  </si>
  <si>
    <t>Мероприятие 2.1.3.</t>
  </si>
  <si>
    <t xml:space="preserve">Строительство мусороперерабатывающего комплекса "БлагЭко" в г. Благовещенске (II очередь) Амурская область </t>
  </si>
  <si>
    <t>0502   0113     0503</t>
  </si>
  <si>
    <t>0409             0501                    0502                0503                 0505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</si>
  <si>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</si>
  <si>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2021 год</t>
  </si>
  <si>
    <t>Мероприятие 1.1.28.</t>
  </si>
  <si>
    <t>Мероприятие 1.1.29.</t>
  </si>
  <si>
    <t>Мероприятие 1.1.30.</t>
  </si>
  <si>
    <t>Мероприятие 1.1.31.</t>
  </si>
  <si>
    <t>Тепло- и водоснабжение жилых домов в районе "Астрахановка" г.Благовещенск</t>
  </si>
  <si>
    <t>Ликвидационный тампонаж скважины в с.Белогорье</t>
  </si>
  <si>
    <t>03 1 01 40660</t>
  </si>
  <si>
    <t>03 1 01 40580</t>
  </si>
  <si>
    <t>03 1 01 40690</t>
  </si>
  <si>
    <t>03 1 01 40710</t>
  </si>
  <si>
    <t>03 1 01 40720</t>
  </si>
  <si>
    <t>Строительство водопроводных сетей в районе "5-й стройки"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</si>
  <si>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</si>
  <si>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</si>
  <si>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Мероприятие 4.1.11.</t>
  </si>
  <si>
    <t>Мероприятие 4.1.12.</t>
  </si>
  <si>
    <t>Мероприятие 4.1.13.</t>
  </si>
  <si>
    <t>Мероприятие 1.2.5.</t>
  </si>
  <si>
    <t>Мероприятие 1.2.6.</t>
  </si>
  <si>
    <t>Мероприятие 1.1.32.</t>
  </si>
  <si>
    <t>Строительство сетей водоснабжения для подключения жилых объектов в районе железнодорожного вокзала к сетям центрального водоснабжения</t>
  </si>
  <si>
    <t>03 1 01 40740</t>
  </si>
  <si>
    <t>Оборудование контейнерных площадок для сбора твердых коммунальных отходов</t>
  </si>
  <si>
    <t>Мероприятия государственной программы Амурской области "Модернизация жилищно-коммунального комплекса, энергосбережения и повышение энергетической эффективности в Амурской области", направленные на строительство, капитальный ремонт и замену оборудования коммунальной инфраструктуры</t>
  </si>
  <si>
    <t>Мероприятие 1.3.3.</t>
  </si>
  <si>
    <t>Реализация мероприятий по обеспечению благоприятных и безопастных условий проживания граждан</t>
  </si>
  <si>
    <t>03 1 03 S7330</t>
  </si>
  <si>
    <t>Мероприятие 1.1.33.</t>
  </si>
  <si>
    <t>Ремонт тепловой сети по ул. Шимановского от ул. Краснофлотская до ул. Ленина</t>
  </si>
  <si>
    <t>03 1 01 40750</t>
  </si>
  <si>
    <t>Основное мероприятие 4.2.</t>
  </si>
  <si>
    <t>Развитие административного центра Амурской области</t>
  </si>
  <si>
    <t>Мероприятие 4.2.1.</t>
  </si>
  <si>
    <t>Поддержка административного центра Амурской области</t>
  </si>
  <si>
    <t>03 4 02 S0560</t>
  </si>
  <si>
    <t>03 4 02 00000</t>
  </si>
  <si>
    <t xml:space="preserve">Мероприятие 1.3.4. </t>
  </si>
  <si>
    <t>Оплата услуг региональному оператору по обращению с твердыми коммунальными отходами</t>
  </si>
  <si>
    <t>03 1 03 10540</t>
  </si>
  <si>
    <t>Мероприятие 1.3.4.</t>
  </si>
  <si>
    <t>Строительство сетей водоснабжения в кварталах 197, 203, 204 г.Благовещенск, Амурская область (в т.ч. проектные работы)</t>
  </si>
  <si>
    <t>Мероприятие 1.1.34.</t>
  </si>
  <si>
    <t>2022 год</t>
  </si>
  <si>
    <t>2023 год</t>
  </si>
  <si>
    <t>2024 год</t>
  </si>
  <si>
    <t>2025 год</t>
  </si>
  <si>
    <t>Сливная станция с. Садовое, Амурская область (в т.ч. проектные работы)</t>
  </si>
  <si>
    <t>Мероприятие 1.1.35.</t>
  </si>
  <si>
    <t>Подключение объектов котельной Ростелеком к сетям централизованного теплоснабжения</t>
  </si>
  <si>
    <t>Мероприятие 1.1.36.</t>
  </si>
  <si>
    <t>03 1 01 40760</t>
  </si>
  <si>
    <t>03 1 01 40770</t>
  </si>
  <si>
    <t>Мероприятие 1.1.37.</t>
  </si>
  <si>
    <t>Ремонт инженерных сетей теплоснабжения по ул.Чайковского, д. 193</t>
  </si>
  <si>
    <t>03 1 01 40790</t>
  </si>
  <si>
    <t>Мероприятие 4.1.14.</t>
  </si>
  <si>
    <t>Освещение значимых общественных и социальных объектов города Благовещенска за счет пожертвований</t>
  </si>
  <si>
    <t>03 4 01 10630</t>
  </si>
  <si>
    <t>Приложение № 3  к постановлению администрации города Блпаговещенска от ____________________№_____________</t>
  </si>
  <si>
    <t>Приложение № 3 к муниципальной программе</t>
  </si>
  <si>
    <t>Основное мероприятие 1.4.</t>
  </si>
  <si>
    <t>Федеральный проект "Жилье"</t>
  </si>
  <si>
    <t xml:space="preserve">Мероприятие 1.4.1. </t>
  </si>
  <si>
    <r>
      <t xml:space="preserve">03 1 F1 </t>
    </r>
    <r>
      <rPr>
        <sz val="9"/>
        <rFont val="Times New Roman"/>
        <family val="1"/>
        <charset val="204"/>
      </rPr>
      <t>50210</t>
    </r>
  </si>
  <si>
    <r>
      <t xml:space="preserve">03 1 F1 </t>
    </r>
    <r>
      <rPr>
        <sz val="9"/>
        <rFont val="Times New Roman"/>
        <family val="1"/>
        <charset val="204"/>
      </rPr>
      <t>00000</t>
    </r>
  </si>
  <si>
    <t>Основное мероприятие 1.5.</t>
  </si>
  <si>
    <t>Строительство и реконструкция (модернизация) объектов питьевого водоснабжения</t>
  </si>
  <si>
    <t>Мероприятие 1.1.38.</t>
  </si>
  <si>
    <t>Разработка проектно-сметной документации для строительства внутрипоселковых газораспределительных сетей</t>
  </si>
  <si>
    <t>Мероприятие 1.1.39.</t>
  </si>
  <si>
    <t>Мероприятие 1.1.40.</t>
  </si>
  <si>
    <t>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</si>
  <si>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</si>
  <si>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03 1 01 40830</t>
  </si>
  <si>
    <t>03 1 01 40840</t>
  </si>
  <si>
    <t>Обеспечение реализации муниципальной программы «Развитие и модернизация жилищно-коммунального хозяйства, энергосбережение и повышение энергетической эффективности, благоустройство  территории города Благовещенска»</t>
  </si>
  <si>
    <t>Развитие и модернизация  жилищно-коммунального хозяйства, энергосбережение и повышение энергетической эффективности, благоустройство  территории города Благовещенска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</si>
  <si>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</si>
  <si>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Благоустройство территории города Благовещенска</t>
  </si>
  <si>
    <t xml:space="preserve">Капитальный ремонт  жилищного фонда города Благовещенска </t>
  </si>
  <si>
    <t>Мероприятие 1.4.1.</t>
  </si>
  <si>
    <t>Мероприятие 1.5.1.</t>
  </si>
  <si>
    <t>Основное мероприятие 5.1.</t>
  </si>
  <si>
    <t xml:space="preserve">Замена котла ДКВР 20-13 на котельной 74 квартала                             г. Благовещенска </t>
  </si>
  <si>
    <t>Мероприятие 1.1.41.</t>
  </si>
  <si>
    <t>Выполнение работ по разработке схемы газоснабжения города Благовещенска</t>
  </si>
  <si>
    <t>Мероприятие 1.1.42.</t>
  </si>
  <si>
    <t>Разработка документации по развитию системы сбора и отведения поверхностных сточных вод на территории города Благовещенска</t>
  </si>
  <si>
    <t>Строительство станции обезжелезивания с.Белогорье (в т.ч. проектные работы)</t>
  </si>
  <si>
    <t>03 1 01 10700</t>
  </si>
  <si>
    <t>03 1 01 10710</t>
  </si>
  <si>
    <t>Оценка расходов (тыс. руб.), годы</t>
  </si>
  <si>
    <t xml:space="preserve">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</t>
  </si>
  <si>
    <t>Мероприятие 1.1.43.</t>
  </si>
  <si>
    <t>Расходы по охране, содержанию объектров незавершенного строительства и объектов в период передачи в муниципальную собственность</t>
  </si>
  <si>
    <t>Мероприятие 1.1.44.</t>
  </si>
  <si>
    <t>новое мероприятие</t>
  </si>
  <si>
    <t>Ремонт тепловой сети по пер.Релочный от ТК-515 до ТК-337 (от ул.Комсомольская до ул.Мухина)</t>
  </si>
  <si>
    <t>Ремонт сетей коммунальной инфраструктуры города Благовещенска в целях реализации национального проекта "Безопастные и качественные дороги"</t>
  </si>
  <si>
    <t>03 1 01 10640</t>
  </si>
  <si>
    <t>03 1 01 40850</t>
  </si>
  <si>
    <t>Основное мероприятие 3.1.</t>
  </si>
  <si>
    <t>кап.влож.</t>
  </si>
  <si>
    <t>Основное мероприятие 3.2.</t>
  </si>
  <si>
    <t>Мероприятие 3.2.1</t>
  </si>
  <si>
    <t>Основное мероприятие 4.3.</t>
  </si>
  <si>
    <t>Реализация проектов модернизации системы наружного освещения города Благовещенска с использованием механизмов муниципально-частного партнерства</t>
  </si>
  <si>
    <t>Мероприятие 4.3.1.</t>
  </si>
  <si>
    <t>Организация оказания консультационных услуг по сопровождению рассмотрения и оценки предложения о заключении концессионного соглашения</t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</si>
  <si>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</si>
  <si>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Государственная поддержка на проведение капитального ремонта жилых помещений, находящихся в муниципальной собственности</t>
  </si>
  <si>
    <t>Осуществление капитального ремонта поврежденных жилых помещений  в результате паводка, произошедшего в июле-августе 2019 года на территории Дальневосточного федерального округа, находящихся в муниципальной собственности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</si>
  <si>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</si>
  <si>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услуги в отделениях бань)</t>
  </si>
  <si>
    <t>Реконструкция водозабора Северного жилого района, г.Благовещенск, Амурская область</t>
  </si>
  <si>
    <t>Финансовое обеспечение государственных полномочий по компенсации выпадающих доходов теплоснабжающих организаций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</si>
  <si>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</si>
  <si>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Региональный проект "Жилье"</t>
  </si>
  <si>
    <t>Региональный проект "Чистая вода"</t>
  </si>
  <si>
    <t>Строительство водопроводных сетей в районе "5-й стройки", второй этап</t>
  </si>
  <si>
    <t>Ремонт сетей коммунальной инфраструктуры города Благовещенска в целях реализации национального проекта "Безопасные и качественные автомобильные дороги"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</si>
  <si>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</si>
  <si>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</si>
  <si>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Финансовое обеспечение государственных полномочий по компенсации выпадающих доходов теплоснабжающим организациям, осуществляющим производство тепловой энергии в режиме комбинированной выработки электрической и тепловой энергии, возникающих в результате реализации тепловой энергии по льготным тарифам</t>
  </si>
  <si>
    <t>Мероприятие 1.5.2.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</si>
  <si>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</si>
  <si>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Мероприятие 1.4.2.</t>
  </si>
  <si>
    <t>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</si>
  <si>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Расходы, направленные на модернизацию коммунальной инфраструктуры</t>
  </si>
  <si>
    <t>Реализация мероприятий по обеспечению благоприятных и безопасных условий проживания граждан в многоквартирных домах</t>
  </si>
  <si>
    <t>Расходы, направленные на модернизацию коммунальной инфраструктуры (осуществление авторского надзора)</t>
  </si>
  <si>
    <t>Мероприятие 1.1.47.</t>
  </si>
  <si>
    <t>Мероприятие 1.1.48.</t>
  </si>
  <si>
    <t>Реконструкция тепловой сети в квартале 345 г.Благовещенск, Амурская область (в т.ч. проектные работы)</t>
  </si>
  <si>
    <t>Мероприятие 4.1.15.</t>
  </si>
  <si>
    <t>Расходы по ремонту объекта незавершенного строительства в период передачи в муниципальную собственность</t>
  </si>
  <si>
    <t>Мероприятие 1.2.7.</t>
  </si>
  <si>
    <t>Мероприятие 4.1.16.</t>
  </si>
  <si>
    <t>Ремонт тепловой сети по ул. Артиллерийская от ТК 13Ц до ТК 512</t>
  </si>
  <si>
    <t>Расходы, направленные на модернизацию коммунальной инфраструктуры (прочие затраты на строительство объектов)</t>
  </si>
  <si>
    <t>Мероприятие 4.1.17.</t>
  </si>
  <si>
    <t>Мероприятие 4.1.18.</t>
  </si>
  <si>
    <t>Основное мероприятие 4.4.</t>
  </si>
  <si>
    <t>Мероприятие 4.4.1.</t>
  </si>
  <si>
    <t>Озеленение территории города Благовещенска</t>
  </si>
  <si>
    <t>Обновление зеленой зоны города Благовещенска</t>
  </si>
  <si>
    <t>Субсидии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помывке в общих отделениях муниципальной бани №6</t>
  </si>
  <si>
    <t>Обустройство зон отдыха на территории города Благовещенска</t>
  </si>
  <si>
    <t>Мероприятие 4.1.19.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</si>
  <si>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</si>
  <si>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документации))</t>
  </si>
  <si>
    <t>Ремонт тепловых и водопроводных сетей по ул.Октябрьская, 137, г.Благовещенск</t>
  </si>
  <si>
    <t>Ремонт внутриквартальных проездов и обустройство стоянок транспортных средств</t>
  </si>
  <si>
    <t xml:space="preserve">              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</si>
  <si>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</si>
  <si>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</si>
  <si>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Мероприятие 1.1.46.</t>
  </si>
  <si>
    <t xml:space="preserve">Замена котла  на котельной 74 квартала г. Благовещенска </t>
  </si>
  <si>
    <t>Мероприятие 1.1.45.</t>
  </si>
  <si>
    <t>Мероприятие 1.1.49.</t>
  </si>
  <si>
    <t>Расходы, связанные с организацией единой теплоснабжающей организацией теплоснабжения в ценовых зонах теплоснабжения</t>
  </si>
  <si>
    <t>Мероприятие 1.1.50.</t>
  </si>
  <si>
    <t>Реализация инфраструктурных проектов, источником финансового обеспечения которых являются бюджетные кредиты</t>
  </si>
  <si>
    <t>Прочие затраты на разработку проектно-сметной документации по объекту "Строительство станции обезжелезивания с.Белогорье"</t>
  </si>
  <si>
    <t xml:space="preserve"> Реконструкция канализационного коллектора г.Благовещенск</t>
  </si>
  <si>
    <t>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</t>
  </si>
  <si>
    <t>Мероприятие 4.4.2.</t>
  </si>
  <si>
    <t>Проведение общегородского конкурса «Фестиваль цветов «Город в цвете»»</t>
  </si>
  <si>
    <t xml:space="preserve">Строительство газовой котельной в Северном жилом районе г.Благовещенск, Амурская область          </t>
  </si>
  <si>
    <t>Создание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</si>
  <si>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Реконструкция объектов инженерной инфраструктуры г.Благовещенск, Амурская область</t>
  </si>
  <si>
    <t>Реконструкция очистных сооружений Северного жилого района, г. Благовещенск, Амурская область (прочие работы по объекту незавершенного строительства)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</si>
  <si>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города.Осуществление строительного контроля))</t>
  </si>
  <si>
    <t>Прочие затраты по объектам незавершенного строительства и объектам в период передачи в муниципальную собственность</t>
  </si>
  <si>
    <t>убрать</t>
  </si>
  <si>
    <t>Содержание (техническое обслуживание),  текущий ремонт муниципальных сетей наружного освещения и оборудования</t>
  </si>
  <si>
    <t>Мероприятие</t>
  </si>
  <si>
    <t>1.1.47.1.</t>
  </si>
  <si>
    <t>1.1.47.2.</t>
  </si>
  <si>
    <t>Мероприятие 1.1.51.</t>
  </si>
  <si>
    <t>1.1.51.1.</t>
  </si>
  <si>
    <t>1.1.51.2.</t>
  </si>
  <si>
    <t>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</si>
  <si>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Мероприятие 4.1.20.</t>
  </si>
  <si>
    <t>Благоустройство торговых зон города Благовещенска</t>
  </si>
  <si>
    <t>Субсидии казенным предприятиям на возмещение затрат,связанных с выполнением заказа по модернизации контейнерных площадок для раздельного накопления твердых коммунальных отходов, расположенных на земельных участках, государственная собственность на которые не разграничена</t>
  </si>
  <si>
    <t>Мероприятие 1.3.5.</t>
  </si>
  <si>
    <t>Мероприятие 1.1.52.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</si>
  <si>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</si>
  <si>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1.1.49.1.</t>
  </si>
  <si>
    <t>Реконструкция очистных сооружений канализации г. Благовещенска</t>
  </si>
  <si>
    <t>Приложение № 6   к постановлению администрации города Благовещенска   от ________№___________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</si>
</sst>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  <numFmt numFmtId="167" formatCode="0.0"/>
  </numFmts>
  <fonts count="25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b/>
      <sz val="9"/>
      <color indexed="10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sz val="13"/>
      <color theme="1"/>
      <name val="Times New Roman"/>
      <family val="1"/>
      <charset val="204"/>
    </font>
    <font>
      <sz val="11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164" fontId="6" fillId="0" borderId="0" applyFont="0" applyFill="0" applyBorder="0" applyAlignment="0" applyProtection="0"/>
  </cellStyleXfs>
  <cellXfs count="179">
    <xf numFmtId="0" fontId="0" fillId="0" borderId="0" xfId="0"/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Protection="1">
      <protection locked="0"/>
    </xf>
    <xf numFmtId="0" fontId="7" fillId="0" borderId="0" xfId="0" applyFont="1" applyFill="1"/>
    <xf numFmtId="0" fontId="1" fillId="0" borderId="0" xfId="0" applyFont="1" applyFill="1" applyAlignment="1">
      <alignment vertical="top" wrapText="1"/>
    </xf>
    <xf numFmtId="0" fontId="4" fillId="0" borderId="0" xfId="0" applyFont="1" applyFill="1"/>
    <xf numFmtId="0" fontId="1" fillId="0" borderId="0" xfId="0" applyFont="1" applyFill="1" applyAlignment="1">
      <alignment horizontal="justify"/>
    </xf>
    <xf numFmtId="0" fontId="1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1" fillId="0" borderId="1" xfId="2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/>
    <xf numFmtId="0" fontId="1" fillId="0" borderId="1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1" fillId="2" borderId="1" xfId="2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165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166" fontId="1" fillId="3" borderId="1" xfId="2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/>
    </xf>
    <xf numFmtId="165" fontId="16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left"/>
    </xf>
    <xf numFmtId="0" fontId="17" fillId="0" borderId="0" xfId="0" applyFont="1" applyFill="1" applyAlignment="1">
      <alignment vertical="center"/>
    </xf>
    <xf numFmtId="165" fontId="17" fillId="0" borderId="0" xfId="0" applyNumberFormat="1" applyFont="1" applyFill="1"/>
    <xf numFmtId="0" fontId="16" fillId="0" borderId="0" xfId="0" applyFont="1" applyFill="1" applyAlignment="1">
      <alignment vertical="center" wrapText="1"/>
    </xf>
    <xf numFmtId="0" fontId="17" fillId="0" borderId="0" xfId="0" applyFont="1" applyFill="1"/>
    <xf numFmtId="4" fontId="17" fillId="0" borderId="0" xfId="0" applyNumberFormat="1" applyFont="1" applyFill="1"/>
    <xf numFmtId="0" fontId="17" fillId="0" borderId="0" xfId="0" applyFont="1" applyFill="1" applyBorder="1" applyAlignment="1"/>
    <xf numFmtId="0" fontId="17" fillId="0" borderId="0" xfId="0" applyFont="1" applyFill="1" applyBorder="1"/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165" fontId="19" fillId="0" borderId="1" xfId="0" applyNumberFormat="1" applyFont="1" applyFill="1" applyBorder="1" applyAlignment="1">
      <alignment horizontal="left" vertical="top" wrapText="1"/>
    </xf>
    <xf numFmtId="165" fontId="19" fillId="0" borderId="1" xfId="0" applyNumberFormat="1" applyFont="1" applyFill="1" applyBorder="1" applyAlignment="1">
      <alignment horizontal="center" vertical="center" wrapText="1"/>
    </xf>
    <xf numFmtId="165" fontId="17" fillId="0" borderId="0" xfId="0" applyNumberFormat="1" applyFont="1" applyFill="1" applyAlignment="1">
      <alignment horizontal="left"/>
    </xf>
    <xf numFmtId="165" fontId="16" fillId="0" borderId="1" xfId="0" applyNumberFormat="1" applyFont="1" applyFill="1" applyBorder="1" applyAlignment="1">
      <alignment horizontal="left" vertical="top" wrapText="1"/>
    </xf>
    <xf numFmtId="165" fontId="20" fillId="0" borderId="1" xfId="0" applyNumberFormat="1" applyFont="1" applyFill="1" applyBorder="1" applyAlignment="1">
      <alignment horizontal="left" vertical="top" wrapText="1"/>
    </xf>
    <xf numFmtId="165" fontId="20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left" vertical="center" wrapText="1"/>
    </xf>
    <xf numFmtId="165" fontId="16" fillId="0" borderId="0" xfId="0" applyNumberFormat="1" applyFont="1" applyFill="1" applyBorder="1" applyAlignment="1">
      <alignment horizontal="center" vertical="center" wrapText="1"/>
    </xf>
    <xf numFmtId="165" fontId="20" fillId="0" borderId="0" xfId="0" applyNumberFormat="1" applyFont="1" applyFill="1" applyBorder="1" applyAlignment="1">
      <alignment horizontal="center" vertical="center" wrapText="1"/>
    </xf>
    <xf numFmtId="167" fontId="17" fillId="0" borderId="0" xfId="0" applyNumberFormat="1" applyFont="1" applyFill="1"/>
    <xf numFmtId="164" fontId="17" fillId="0" borderId="0" xfId="2" applyFont="1" applyFill="1"/>
    <xf numFmtId="165" fontId="16" fillId="0" borderId="4" xfId="0" applyNumberFormat="1" applyFont="1" applyFill="1" applyBorder="1" applyAlignment="1">
      <alignment horizontal="center" vertical="center" wrapText="1"/>
    </xf>
    <xf numFmtId="0" fontId="21" fillId="0" borderId="0" xfId="0" applyFont="1" applyFill="1"/>
    <xf numFmtId="165" fontId="21" fillId="0" borderId="0" xfId="0" applyNumberFormat="1" applyFont="1" applyFill="1"/>
    <xf numFmtId="165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/>
    </xf>
    <xf numFmtId="0" fontId="22" fillId="0" borderId="0" xfId="0" applyFont="1" applyFill="1"/>
    <xf numFmtId="0" fontId="16" fillId="0" borderId="1" xfId="0" applyFont="1" applyFill="1" applyBorder="1" applyAlignment="1">
      <alignment horizontal="left" wrapText="1"/>
    </xf>
    <xf numFmtId="0" fontId="19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/>
    </xf>
    <xf numFmtId="165" fontId="20" fillId="0" borderId="1" xfId="0" applyNumberFormat="1" applyFont="1" applyFill="1" applyBorder="1" applyAlignment="1">
      <alignment horizontal="center" vertical="center"/>
    </xf>
    <xf numFmtId="0" fontId="16" fillId="0" borderId="0" xfId="0" applyFont="1" applyFill="1"/>
    <xf numFmtId="0" fontId="16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horizontal="left" vertical="top" wrapText="1"/>
    </xf>
    <xf numFmtId="0" fontId="16" fillId="0" borderId="0" xfId="0" applyFont="1" applyFill="1" applyBorder="1" applyAlignment="1">
      <alignment vertical="top"/>
    </xf>
    <xf numFmtId="4" fontId="16" fillId="0" borderId="0" xfId="0" applyNumberFormat="1" applyFont="1" applyFill="1" applyBorder="1" applyAlignment="1">
      <alignment vertical="top"/>
    </xf>
    <xf numFmtId="167" fontId="16" fillId="0" borderId="0" xfId="0" applyNumberFormat="1" applyFont="1" applyFill="1" applyBorder="1" applyAlignment="1">
      <alignment vertical="top"/>
    </xf>
    <xf numFmtId="165" fontId="24" fillId="0" borderId="0" xfId="0" applyNumberFormat="1" applyFont="1" applyFill="1" applyBorder="1"/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6" fillId="0" borderId="2" xfId="0" applyFont="1" applyFill="1" applyBorder="1" applyAlignment="1">
      <alignment horizontal="left" vertical="center"/>
    </xf>
    <xf numFmtId="0" fontId="16" fillId="0" borderId="5" xfId="0" applyFont="1" applyFill="1" applyBorder="1" applyAlignment="1">
      <alignment horizontal="left" vertical="center"/>
    </xf>
    <xf numFmtId="0" fontId="16" fillId="0" borderId="3" xfId="0" applyFont="1" applyFill="1" applyBorder="1" applyAlignment="1">
      <alignment horizontal="left" vertical="center"/>
    </xf>
    <xf numFmtId="0" fontId="16" fillId="0" borderId="2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/>
    </xf>
    <xf numFmtId="0" fontId="19" fillId="0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vertical="center" wrapText="1"/>
    </xf>
    <xf numFmtId="0" fontId="19" fillId="0" borderId="2" xfId="0" applyFont="1" applyFill="1" applyBorder="1" applyAlignment="1">
      <alignment vertical="center" wrapText="1"/>
    </xf>
    <xf numFmtId="0" fontId="19" fillId="0" borderId="5" xfId="0" applyFont="1" applyFill="1" applyBorder="1" applyAlignment="1">
      <alignment vertical="center" wrapText="1"/>
    </xf>
    <xf numFmtId="0" fontId="19" fillId="0" borderId="3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vertical="center" wrapText="1"/>
    </xf>
    <xf numFmtId="0" fontId="16" fillId="0" borderId="5" xfId="0" applyFont="1" applyFill="1" applyBorder="1" applyAlignment="1">
      <alignment vertical="center" wrapText="1"/>
    </xf>
    <xf numFmtId="0" fontId="16" fillId="0" borderId="3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vertical="center" wrapText="1"/>
    </xf>
    <xf numFmtId="0" fontId="16" fillId="0" borderId="0" xfId="0" applyFont="1" applyFill="1" applyAlignment="1">
      <alignment horizontal="left" vertical="top" wrapText="1"/>
    </xf>
    <xf numFmtId="0" fontId="18" fillId="0" borderId="0" xfId="0" applyFont="1" applyFill="1" applyBorder="1" applyAlignment="1">
      <alignment horizontal="center" wrapText="1"/>
    </xf>
    <xf numFmtId="0" fontId="19" fillId="0" borderId="2" xfId="0" applyFont="1" applyFill="1" applyBorder="1" applyAlignment="1">
      <alignment horizontal="left" vertical="center" wrapText="1"/>
    </xf>
    <xf numFmtId="0" fontId="19" fillId="0" borderId="5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9" fillId="0" borderId="1" xfId="0" applyNumberFormat="1" applyFont="1" applyFill="1" applyBorder="1" applyAlignment="1">
      <alignment vertical="center" wrapText="1"/>
    </xf>
    <xf numFmtId="0" fontId="19" fillId="0" borderId="1" xfId="0" applyNumberFormat="1" applyFont="1" applyFill="1" applyBorder="1" applyAlignment="1">
      <alignment horizontal="left" vertical="center" wrapText="1"/>
    </xf>
    <xf numFmtId="0" fontId="19" fillId="0" borderId="1" xfId="0" applyNumberFormat="1" applyFont="1" applyFill="1" applyBorder="1" applyAlignment="1">
      <alignment horizontal="left" vertical="center"/>
    </xf>
    <xf numFmtId="0" fontId="17" fillId="0" borderId="0" xfId="0" applyFont="1" applyFill="1" applyBorder="1" applyAlignment="1"/>
    <xf numFmtId="0" fontId="16" fillId="0" borderId="2" xfId="0" applyFont="1" applyFill="1" applyBorder="1" applyAlignment="1">
      <alignment horizontal="left" vertical="top" wrapText="1"/>
    </xf>
    <xf numFmtId="0" fontId="17" fillId="0" borderId="5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vertical="top" wrapText="1"/>
    </xf>
    <xf numFmtId="0" fontId="17" fillId="0" borderId="5" xfId="0" applyFont="1" applyFill="1" applyBorder="1" applyAlignment="1">
      <alignment vertical="top" wrapText="1"/>
    </xf>
    <xf numFmtId="0" fontId="17" fillId="0" borderId="3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 wrapText="1"/>
    </xf>
    <xf numFmtId="0" fontId="16" fillId="0" borderId="5" xfId="0" applyFont="1" applyFill="1" applyBorder="1" applyAlignment="1">
      <alignment vertical="center"/>
    </xf>
    <xf numFmtId="0" fontId="16" fillId="0" borderId="3" xfId="0" applyFont="1" applyFill="1" applyBorder="1" applyAlignment="1">
      <alignment vertical="center"/>
    </xf>
    <xf numFmtId="0" fontId="16" fillId="0" borderId="1" xfId="0" applyFont="1" applyFill="1" applyBorder="1" applyAlignment="1">
      <alignment vertical="top" wrapText="1"/>
    </xf>
  </cellXfs>
  <cellStyles count="3">
    <cellStyle name="Обычный" xfId="0" builtinId="0"/>
    <cellStyle name="Обычный 4" xfId="1"/>
    <cellStyle name="Финансовый" xfId="2" builtinId="3"/>
  </cellStyles>
  <dxfs count="0"/>
  <tableStyles count="0" defaultTableStyle="TableStyleMedium9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6"/>
  <sheetViews>
    <sheetView view="pageBreakPreview" topLeftCell="A67" zoomScale="90" zoomScaleNormal="90" zoomScaleSheetLayoutView="90" workbookViewId="0">
      <selection activeCell="C72" sqref="C72"/>
    </sheetView>
  </sheetViews>
  <sheetFormatPr defaultColWidth="9.140625" defaultRowHeight="15.75" x14ac:dyDescent="0.25"/>
  <cols>
    <col min="1" max="1" width="19.5703125" style="6" customWidth="1"/>
    <col min="2" max="2" width="32.7109375" style="5" customWidth="1"/>
    <col min="3" max="3" width="20" style="5" customWidth="1"/>
    <col min="4" max="4" width="10.140625" style="5" customWidth="1"/>
    <col min="5" max="5" width="10.5703125" style="5" customWidth="1"/>
    <col min="6" max="6" width="14.28515625" style="8" customWidth="1"/>
    <col min="7" max="7" width="14.7109375" style="5" hidden="1" customWidth="1"/>
    <col min="8" max="8" width="12" style="5" customWidth="1"/>
    <col min="9" max="9" width="11.42578125" style="5" customWidth="1"/>
    <col min="10" max="10" width="12" style="5" customWidth="1"/>
    <col min="11" max="11" width="11" style="5" customWidth="1"/>
    <col min="12" max="12" width="11.5703125" style="5" customWidth="1"/>
    <col min="13" max="13" width="12.140625" style="5" customWidth="1"/>
    <col min="14" max="14" width="12.28515625" style="32" customWidth="1"/>
    <col min="15" max="15" width="12" style="10" customWidth="1"/>
    <col min="16" max="16" width="10.85546875" style="10" customWidth="1"/>
    <col min="17" max="17" width="12.140625" style="10" customWidth="1"/>
    <col min="18" max="19" width="10.140625" style="10" bestFit="1" customWidth="1"/>
    <col min="20" max="20" width="9.140625" style="10"/>
    <col min="21" max="22" width="11.42578125" style="10" bestFit="1" customWidth="1"/>
    <col min="23" max="16384" width="9.140625" style="10"/>
  </cols>
  <sheetData>
    <row r="1" spans="1:21" ht="52.5" customHeight="1" x14ac:dyDescent="0.25">
      <c r="B1" s="7"/>
      <c r="O1" s="132" t="s">
        <v>310</v>
      </c>
      <c r="P1" s="132"/>
      <c r="Q1" s="132"/>
      <c r="R1" s="132"/>
      <c r="S1" s="132"/>
      <c r="T1" s="9"/>
    </row>
    <row r="2" spans="1:21" ht="35.25" customHeight="1" x14ac:dyDescent="0.25">
      <c r="B2" s="7"/>
      <c r="O2" s="132" t="s">
        <v>311</v>
      </c>
      <c r="P2" s="132"/>
      <c r="Q2" s="132"/>
      <c r="R2" s="132"/>
      <c r="S2" s="132"/>
      <c r="T2" s="9"/>
    </row>
    <row r="3" spans="1:21" ht="17.25" customHeight="1" x14ac:dyDescent="0.25">
      <c r="B3" s="133" t="s">
        <v>0</v>
      </c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</row>
    <row r="4" spans="1:21" ht="16.5" customHeight="1" x14ac:dyDescent="0.25">
      <c r="B4" s="134" t="s">
        <v>1</v>
      </c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</row>
    <row r="5" spans="1:21" ht="3" customHeight="1" x14ac:dyDescent="0.25">
      <c r="B5" s="11"/>
      <c r="M5" s="12"/>
      <c r="N5" s="33"/>
    </row>
    <row r="6" spans="1:21" ht="53.25" customHeight="1" x14ac:dyDescent="0.2">
      <c r="A6" s="129" t="s">
        <v>25</v>
      </c>
      <c r="B6" s="129" t="s">
        <v>93</v>
      </c>
      <c r="C6" s="129" t="s">
        <v>129</v>
      </c>
      <c r="D6" s="129" t="s">
        <v>2</v>
      </c>
      <c r="E6" s="129"/>
      <c r="F6" s="129"/>
      <c r="G6" s="129"/>
      <c r="H6" s="122" t="s">
        <v>3</v>
      </c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4"/>
    </row>
    <row r="7" spans="1:21" x14ac:dyDescent="0.2">
      <c r="A7" s="129"/>
      <c r="B7" s="129"/>
      <c r="C7" s="129"/>
      <c r="D7" s="39" t="s">
        <v>4</v>
      </c>
      <c r="E7" s="39" t="s">
        <v>5</v>
      </c>
      <c r="F7" s="45" t="s">
        <v>6</v>
      </c>
      <c r="G7" s="39" t="s">
        <v>130</v>
      </c>
      <c r="H7" s="39" t="s">
        <v>7</v>
      </c>
      <c r="I7" s="39" t="s">
        <v>16</v>
      </c>
      <c r="J7" s="39" t="s">
        <v>17</v>
      </c>
      <c r="K7" s="39" t="s">
        <v>18</v>
      </c>
      <c r="L7" s="39" t="s">
        <v>19</v>
      </c>
      <c r="M7" s="39" t="s">
        <v>20</v>
      </c>
      <c r="N7" s="34" t="s">
        <v>21</v>
      </c>
      <c r="O7" s="39" t="s">
        <v>251</v>
      </c>
      <c r="P7" s="39" t="s">
        <v>294</v>
      </c>
      <c r="Q7" s="39" t="s">
        <v>295</v>
      </c>
      <c r="R7" s="39" t="s">
        <v>296</v>
      </c>
      <c r="S7" s="39" t="s">
        <v>297</v>
      </c>
    </row>
    <row r="8" spans="1:21" x14ac:dyDescent="0.2">
      <c r="A8" s="48">
        <v>1</v>
      </c>
      <c r="B8" s="48">
        <v>2</v>
      </c>
      <c r="C8" s="48">
        <v>3</v>
      </c>
      <c r="D8" s="48">
        <v>4</v>
      </c>
      <c r="E8" s="48">
        <v>5</v>
      </c>
      <c r="F8" s="13">
        <v>6</v>
      </c>
      <c r="G8" s="48"/>
      <c r="H8" s="48">
        <v>7</v>
      </c>
      <c r="I8" s="48">
        <v>8</v>
      </c>
      <c r="J8" s="48">
        <v>9</v>
      </c>
      <c r="K8" s="48">
        <v>10</v>
      </c>
      <c r="L8" s="48">
        <v>11</v>
      </c>
      <c r="M8" s="48">
        <v>12</v>
      </c>
      <c r="N8" s="30">
        <v>13</v>
      </c>
      <c r="O8" s="48">
        <v>14</v>
      </c>
      <c r="P8" s="48">
        <v>15</v>
      </c>
      <c r="Q8" s="48">
        <v>16</v>
      </c>
      <c r="R8" s="48">
        <v>17</v>
      </c>
      <c r="S8" s="48">
        <v>18</v>
      </c>
    </row>
    <row r="9" spans="1:21" ht="24.75" customHeight="1" x14ac:dyDescent="0.2">
      <c r="A9" s="118" t="s">
        <v>26</v>
      </c>
      <c r="B9" s="118" t="s">
        <v>328</v>
      </c>
      <c r="C9" s="49" t="s">
        <v>43</v>
      </c>
      <c r="D9" s="39"/>
      <c r="E9" s="39"/>
      <c r="F9" s="14" t="s">
        <v>162</v>
      </c>
      <c r="G9" s="39"/>
      <c r="H9" s="2">
        <f t="shared" ref="H9:H14" si="0">I9+J9+K9+L9+M9+N9+O9+P9+Q9+R9+S9</f>
        <v>4249673.1155008003</v>
      </c>
      <c r="I9" s="2">
        <f t="shared" ref="I9:S9" si="1">I10+I11+I12</f>
        <v>325404.90000000002</v>
      </c>
      <c r="J9" s="2">
        <f t="shared" si="1"/>
        <v>364692.8</v>
      </c>
      <c r="K9" s="2">
        <f t="shared" si="1"/>
        <v>356065.3</v>
      </c>
      <c r="L9" s="2">
        <f t="shared" si="1"/>
        <v>405742.4</v>
      </c>
      <c r="M9" s="2">
        <f t="shared" si="1"/>
        <v>308074.40000000002</v>
      </c>
      <c r="N9" s="55">
        <f t="shared" si="1"/>
        <v>328084.09999999998</v>
      </c>
      <c r="O9" s="55">
        <f t="shared" si="1"/>
        <v>248507.09999999998</v>
      </c>
      <c r="P9" s="55">
        <f t="shared" si="1"/>
        <v>349633.1</v>
      </c>
      <c r="Q9" s="2">
        <f t="shared" si="1"/>
        <v>504884.38800000009</v>
      </c>
      <c r="R9" s="2">
        <f t="shared" si="1"/>
        <v>519368.91152000002</v>
      </c>
      <c r="S9" s="2">
        <f t="shared" si="1"/>
        <v>539215.71598079999</v>
      </c>
    </row>
    <row r="10" spans="1:21" ht="78.75" customHeight="1" x14ac:dyDescent="0.2">
      <c r="A10" s="118"/>
      <c r="B10" s="118"/>
      <c r="C10" s="50" t="s">
        <v>84</v>
      </c>
      <c r="D10" s="15" t="s">
        <v>14</v>
      </c>
      <c r="E10" s="15" t="s">
        <v>249</v>
      </c>
      <c r="F10" s="46"/>
      <c r="G10" s="39" t="s">
        <v>230</v>
      </c>
      <c r="H10" s="1">
        <f t="shared" si="0"/>
        <v>3535086.7155007999</v>
      </c>
      <c r="I10" s="1">
        <f t="shared" ref="I10:S10" si="2">I14+I78+I114+I90</f>
        <v>290416</v>
      </c>
      <c r="J10" s="1">
        <f t="shared" si="2"/>
        <v>336200.1</v>
      </c>
      <c r="K10" s="1">
        <f t="shared" si="2"/>
        <v>320668</v>
      </c>
      <c r="L10" s="1">
        <f t="shared" si="2"/>
        <v>326587.09999999998</v>
      </c>
      <c r="M10" s="1">
        <f t="shared" si="2"/>
        <v>235893.10000000003</v>
      </c>
      <c r="N10" s="31">
        <f t="shared" si="2"/>
        <v>194347</v>
      </c>
      <c r="O10" s="1">
        <f t="shared" si="2"/>
        <v>160460.4</v>
      </c>
      <c r="P10" s="1">
        <f t="shared" si="2"/>
        <v>148755.79999999999</v>
      </c>
      <c r="Q10" s="1">
        <f t="shared" si="2"/>
        <v>487915.18800000008</v>
      </c>
      <c r="R10" s="1">
        <f t="shared" si="2"/>
        <v>506998.61152000003</v>
      </c>
      <c r="S10" s="1">
        <f t="shared" si="2"/>
        <v>526845.41598079994</v>
      </c>
    </row>
    <row r="11" spans="1:21" ht="48.75" customHeight="1" x14ac:dyDescent="0.2">
      <c r="A11" s="118"/>
      <c r="B11" s="118"/>
      <c r="C11" s="42" t="s">
        <v>86</v>
      </c>
      <c r="D11" s="43" t="s">
        <v>48</v>
      </c>
      <c r="E11" s="43" t="s">
        <v>55</v>
      </c>
      <c r="F11" s="44"/>
      <c r="G11" s="43" t="s">
        <v>37</v>
      </c>
      <c r="H11" s="1">
        <f t="shared" si="0"/>
        <v>135129</v>
      </c>
      <c r="I11" s="1">
        <f t="shared" ref="I11:S11" si="3">I76+I80</f>
        <v>7649.7</v>
      </c>
      <c r="J11" s="1">
        <f t="shared" si="3"/>
        <v>10430</v>
      </c>
      <c r="K11" s="1">
        <f t="shared" si="3"/>
        <v>18076.3</v>
      </c>
      <c r="L11" s="1">
        <f t="shared" si="3"/>
        <v>12441.2</v>
      </c>
      <c r="M11" s="1">
        <f t="shared" si="3"/>
        <v>12093.6</v>
      </c>
      <c r="N11" s="31">
        <f t="shared" si="3"/>
        <v>12478.5</v>
      </c>
      <c r="O11" s="1">
        <f t="shared" si="3"/>
        <v>12478.5</v>
      </c>
      <c r="P11" s="1">
        <f t="shared" si="3"/>
        <v>12370.3</v>
      </c>
      <c r="Q11" s="1">
        <f t="shared" si="3"/>
        <v>12370.3</v>
      </c>
      <c r="R11" s="1">
        <f t="shared" si="3"/>
        <v>12370.3</v>
      </c>
      <c r="S11" s="1">
        <f t="shared" si="3"/>
        <v>12370.3</v>
      </c>
      <c r="U11" s="16">
        <f>R13+R73+R77+R88+R113</f>
        <v>519368.91152000008</v>
      </c>
    </row>
    <row r="12" spans="1:21" ht="54.75" customHeight="1" x14ac:dyDescent="0.2">
      <c r="A12" s="118"/>
      <c r="B12" s="118"/>
      <c r="C12" s="42" t="s">
        <v>90</v>
      </c>
      <c r="D12" s="43" t="s">
        <v>47</v>
      </c>
      <c r="E12" s="43" t="s">
        <v>248</v>
      </c>
      <c r="F12" s="45"/>
      <c r="G12" s="39" t="s">
        <v>223</v>
      </c>
      <c r="H12" s="1">
        <f t="shared" si="0"/>
        <v>579457.4</v>
      </c>
      <c r="I12" s="1">
        <f t="shared" ref="I12:S12" si="4">I15+I79+I89</f>
        <v>27339.200000000001</v>
      </c>
      <c r="J12" s="1">
        <f t="shared" si="4"/>
        <v>18062.7</v>
      </c>
      <c r="K12" s="1">
        <f t="shared" si="4"/>
        <v>17321</v>
      </c>
      <c r="L12" s="1">
        <f t="shared" si="4"/>
        <v>66714.100000000006</v>
      </c>
      <c r="M12" s="1">
        <f t="shared" si="4"/>
        <v>60087.7</v>
      </c>
      <c r="N12" s="31">
        <f>N15+N79+N89</f>
        <v>121258.6</v>
      </c>
      <c r="O12" s="1">
        <f t="shared" si="4"/>
        <v>75568.2</v>
      </c>
      <c r="P12" s="1">
        <f t="shared" si="4"/>
        <v>188507</v>
      </c>
      <c r="Q12" s="1">
        <f t="shared" si="4"/>
        <v>4598.9000000000005</v>
      </c>
      <c r="R12" s="1">
        <f t="shared" si="4"/>
        <v>0</v>
      </c>
      <c r="S12" s="1">
        <f t="shared" si="4"/>
        <v>0</v>
      </c>
    </row>
    <row r="13" spans="1:21" ht="27" customHeight="1" x14ac:dyDescent="0.2">
      <c r="A13" s="125" t="s">
        <v>30</v>
      </c>
      <c r="B13" s="118" t="s">
        <v>28</v>
      </c>
      <c r="C13" s="40" t="s">
        <v>43</v>
      </c>
      <c r="D13" s="17"/>
      <c r="E13" s="18"/>
      <c r="F13" s="14" t="s">
        <v>193</v>
      </c>
      <c r="G13" s="18"/>
      <c r="H13" s="2">
        <f t="shared" si="0"/>
        <v>767541.4</v>
      </c>
      <c r="I13" s="2">
        <f>I14+I15</f>
        <v>51114.7</v>
      </c>
      <c r="J13" s="2">
        <f t="shared" ref="J13:S13" si="5">J14+J15</f>
        <v>36837.9</v>
      </c>
      <c r="K13" s="2">
        <f t="shared" si="5"/>
        <v>45690.899999999994</v>
      </c>
      <c r="L13" s="2">
        <f t="shared" si="5"/>
        <v>90174.399999999994</v>
      </c>
      <c r="M13" s="2">
        <f t="shared" si="5"/>
        <v>50236</v>
      </c>
      <c r="N13" s="35">
        <f t="shared" si="5"/>
        <v>145158.20000000001</v>
      </c>
      <c r="O13" s="2">
        <f t="shared" si="5"/>
        <v>77744.400000000009</v>
      </c>
      <c r="P13" s="2">
        <f t="shared" si="5"/>
        <v>190141.4</v>
      </c>
      <c r="Q13" s="2">
        <f t="shared" si="5"/>
        <v>25605.800000000003</v>
      </c>
      <c r="R13" s="2">
        <f t="shared" si="5"/>
        <v>26798.600000000002</v>
      </c>
      <c r="S13" s="2">
        <f t="shared" si="5"/>
        <v>28039.1</v>
      </c>
    </row>
    <row r="14" spans="1:21" ht="37.5" customHeight="1" x14ac:dyDescent="0.2">
      <c r="A14" s="130"/>
      <c r="B14" s="118"/>
      <c r="C14" s="47" t="s">
        <v>84</v>
      </c>
      <c r="D14" s="43" t="s">
        <v>14</v>
      </c>
      <c r="E14" s="43" t="s">
        <v>215</v>
      </c>
      <c r="F14" s="45"/>
      <c r="G14" s="39" t="s">
        <v>220</v>
      </c>
      <c r="H14" s="1">
        <f t="shared" si="0"/>
        <v>237747.40000000002</v>
      </c>
      <c r="I14" s="1">
        <f t="shared" ref="I14:S14" si="6">I61+I66+I17</f>
        <v>29633.5</v>
      </c>
      <c r="J14" s="1">
        <f t="shared" si="6"/>
        <v>25868.400000000001</v>
      </c>
      <c r="K14" s="1">
        <f t="shared" si="6"/>
        <v>30684.399999999994</v>
      </c>
      <c r="L14" s="1">
        <f t="shared" si="6"/>
        <v>26395.200000000001</v>
      </c>
      <c r="M14" s="1">
        <f t="shared" si="6"/>
        <v>11783.3</v>
      </c>
      <c r="N14" s="31">
        <f t="shared" si="6"/>
        <v>26689.599999999999</v>
      </c>
      <c r="O14" s="1">
        <f t="shared" si="6"/>
        <v>3689.6000000000004</v>
      </c>
      <c r="P14" s="1">
        <f t="shared" si="6"/>
        <v>2559.9</v>
      </c>
      <c r="Q14" s="1">
        <f t="shared" si="6"/>
        <v>25605.800000000003</v>
      </c>
      <c r="R14" s="1">
        <f t="shared" si="6"/>
        <v>26798.600000000002</v>
      </c>
      <c r="S14" s="1">
        <f t="shared" si="6"/>
        <v>28039.1</v>
      </c>
    </row>
    <row r="15" spans="1:21" ht="107.25" customHeight="1" x14ac:dyDescent="0.2">
      <c r="A15" s="131"/>
      <c r="B15" s="118"/>
      <c r="C15" s="47" t="s">
        <v>216</v>
      </c>
      <c r="D15" s="43" t="s">
        <v>47</v>
      </c>
      <c r="E15" s="43" t="s">
        <v>15</v>
      </c>
      <c r="F15" s="45"/>
      <c r="G15" s="39" t="s">
        <v>219</v>
      </c>
      <c r="H15" s="1">
        <f t="shared" ref="H15:H70" si="7">I15+J15+K15+L15+M15+N15+O15+P15+Q15+R15+S15</f>
        <v>529794</v>
      </c>
      <c r="I15" s="1">
        <f t="shared" ref="I15:S15" si="8">I16+I71</f>
        <v>21481.200000000001</v>
      </c>
      <c r="J15" s="1">
        <f t="shared" si="8"/>
        <v>10969.5</v>
      </c>
      <c r="K15" s="1">
        <f t="shared" si="8"/>
        <v>15006.5</v>
      </c>
      <c r="L15" s="1">
        <f t="shared" si="8"/>
        <v>63779.199999999997</v>
      </c>
      <c r="M15" s="1">
        <f t="shared" si="8"/>
        <v>38452.699999999997</v>
      </c>
      <c r="N15" s="31">
        <f t="shared" si="8"/>
        <v>118468.6</v>
      </c>
      <c r="O15" s="1">
        <f t="shared" si="8"/>
        <v>74054.8</v>
      </c>
      <c r="P15" s="1">
        <f t="shared" si="8"/>
        <v>187581.5</v>
      </c>
      <c r="Q15" s="1">
        <f t="shared" si="8"/>
        <v>0</v>
      </c>
      <c r="R15" s="1">
        <f t="shared" si="8"/>
        <v>0</v>
      </c>
      <c r="S15" s="1">
        <f t="shared" si="8"/>
        <v>0</v>
      </c>
    </row>
    <row r="16" spans="1:21" ht="110.25" x14ac:dyDescent="0.2">
      <c r="A16" s="116" t="s">
        <v>235</v>
      </c>
      <c r="B16" s="116" t="s">
        <v>142</v>
      </c>
      <c r="C16" s="47" t="s">
        <v>216</v>
      </c>
      <c r="D16" s="43" t="s">
        <v>47</v>
      </c>
      <c r="E16" s="43" t="s">
        <v>15</v>
      </c>
      <c r="F16" s="44" t="s">
        <v>154</v>
      </c>
      <c r="G16" s="39" t="s">
        <v>219</v>
      </c>
      <c r="H16" s="1">
        <f>I16+J16+K16+L16+M16+N16+O16+P16+Q16+R16+S16</f>
        <v>474238.3</v>
      </c>
      <c r="I16" s="1">
        <f>I18+I19+I20+I21+I22+I23+I24+I25+I26+I27+I28+I29+I30+I31+I32+I33+I34+I35+I36+I37+I39+I41+I42+I43+I45+I46+I47+I48+I49+I50+I51+I53+I54+I52+I55+I56</f>
        <v>21481.200000000001</v>
      </c>
      <c r="J16" s="1">
        <f>J18+J19+J20+J21+J22+J23+J24+J25+J26+J27+J28+J29+J30+J31+J32+J33+J34+J35+J36+J37+J39+J41+J42+J43+J45+J46+J47+J48+J49+J50+J51+J53+J54+J52+J55+J56</f>
        <v>10969.5</v>
      </c>
      <c r="K16" s="1">
        <f>K18+K19+K20+K21+K22+K23+K24+K25+K26+K27+K28+K29+K30+K31+K32+K33+K34+K35+K36+K37+K39+K41+K42+K43+K45+K46+K47+K48+K49+K50+K51+K53+K54+K52+K55+K56</f>
        <v>15006.5</v>
      </c>
      <c r="L16" s="1">
        <f>L18+L19+L20+L21+L22+L23+L24+L25+L26+L27+L28+L29+L30+L31+L32+L33+L34+L35+L36+L37+L39+L41+L42+L43+L45+L46+L47+L48+L49+L50+L51+L53+L54+L52+L55+L56</f>
        <v>63779.199999999997</v>
      </c>
      <c r="M16" s="1">
        <f>M18+M19+M20+M21+M22+M23+M24+M25+M26+M27+M28+M29+M30+M31+M32+M33+M34+M35+M36+M37+M39+M41+M42+M43+M45+M46+M47+M48+M49+M50+M51++M53+M54+M52+M55+M56</f>
        <v>38452.699999999997</v>
      </c>
      <c r="N16" s="31">
        <f>N18+N19+N20+N21+N22+N23+N24+N25+N26+N27+N28+N29+N30+N31+N32+N33+N34+N35+N36+N37+N39+N41+N42+N43+N45+N46+N47+N48+N49+N50+N51+N53+N54+N52+N55+N56+N59+N60</f>
        <v>106149.5</v>
      </c>
      <c r="O16" s="1">
        <f>O18+O19+O20+O21+O22+O23+O24+O25+O26+O27+O28+O29+O30+O31+O32+O33+O34+O35+O36+O37+O39+O41+O42+O43+O45+O46+O47+O48+O49+O50+O51+O53+O54+O52+O55+O56</f>
        <v>30818.2</v>
      </c>
      <c r="P16" s="1">
        <f>P18+P19+P20+P21+P22+P23+P24+P25+P26+P27+P28+P29+P30+P31+P32+P33+P34+P35+P36+P37+P39+P41+P42+P43+P45+P46+P47+P48+P49+P50+P51++P53+P54+P52+P55+P56</f>
        <v>187581.5</v>
      </c>
      <c r="Q16" s="1">
        <f>Q18+Q19+Q20+Q21+Q22+Q23+Q24+Q25+Q26+Q27+Q28+Q29+Q30+Q31+Q32+Q33+Q34+Q35+Q36+Q37+Q39+Q41+Q42+Q43+Q45+Q46+Q47+Q48+Q49+Q50+Q51+Q53+Q54+Q52+Q55+Q56</f>
        <v>0</v>
      </c>
      <c r="R16" s="1">
        <f>R18+R19+R20+R21+R22+R23+R24+R25+R26+R27+R28+R29+R30+R31+R32+R33+R34+R35+R36+R37+R39+R41+R42+R43+R45+R46+R47+R48+R49+R50+R51++R53+R54+R52+R55+R56</f>
        <v>0</v>
      </c>
      <c r="S16" s="1">
        <f>S18+S19+S20+S21+S22+S23+S24+S25+S26+S27+S28+S29+S30+S31+S32+S33+S34+S35+S36+S37+S39+S41+S42+S43+S45+S46+S47+S48+S49+S50+S51+S53+S54+S52+S55+S56</f>
        <v>0</v>
      </c>
    </row>
    <row r="17" spans="1:19" ht="26.25" customHeight="1" x14ac:dyDescent="0.2">
      <c r="A17" s="121"/>
      <c r="B17" s="121"/>
      <c r="C17" s="47" t="s">
        <v>218</v>
      </c>
      <c r="D17" s="43" t="s">
        <v>14</v>
      </c>
      <c r="E17" s="43" t="s">
        <v>15</v>
      </c>
      <c r="F17" s="44" t="s">
        <v>154</v>
      </c>
      <c r="G17" s="39">
        <v>200</v>
      </c>
      <c r="H17" s="1">
        <f>I17+J17+K17+L17+M17+N17+O17+P17+Q17+R17+S17</f>
        <v>36391.800000000003</v>
      </c>
      <c r="I17" s="1">
        <f>I38+I40+I57+I58</f>
        <v>1187</v>
      </c>
      <c r="J17" s="1">
        <f>J38+J40</f>
        <v>0</v>
      </c>
      <c r="K17" s="1">
        <f>K38+K40</f>
        <v>332.6</v>
      </c>
      <c r="L17" s="1">
        <f>L38+L40</f>
        <v>984.5</v>
      </c>
      <c r="M17" s="1">
        <f>M38+M40+M44</f>
        <v>865</v>
      </c>
      <c r="N17" s="31">
        <f t="shared" ref="N17:S17" si="9">N38+N40+N57+N58</f>
        <v>22000</v>
      </c>
      <c r="O17" s="1">
        <f t="shared" si="9"/>
        <v>2000</v>
      </c>
      <c r="P17" s="1">
        <f t="shared" si="9"/>
        <v>2000</v>
      </c>
      <c r="Q17" s="1">
        <f t="shared" si="9"/>
        <v>2249.6999999999998</v>
      </c>
      <c r="R17" s="1">
        <f t="shared" si="9"/>
        <v>2339.6999999999998</v>
      </c>
      <c r="S17" s="1">
        <f t="shared" si="9"/>
        <v>2433.3000000000002</v>
      </c>
    </row>
    <row r="18" spans="1:19" ht="110.25" x14ac:dyDescent="0.2">
      <c r="A18" s="42" t="s">
        <v>94</v>
      </c>
      <c r="B18" s="47" t="s">
        <v>263</v>
      </c>
      <c r="C18" s="47" t="s">
        <v>216</v>
      </c>
      <c r="D18" s="43" t="s">
        <v>47</v>
      </c>
      <c r="E18" s="43" t="s">
        <v>15</v>
      </c>
      <c r="F18" s="44" t="s">
        <v>165</v>
      </c>
      <c r="G18" s="43" t="s">
        <v>60</v>
      </c>
      <c r="H18" s="1">
        <f t="shared" si="7"/>
        <v>20991.3</v>
      </c>
      <c r="I18" s="1">
        <v>279.3</v>
      </c>
      <c r="J18" s="1">
        <v>7999</v>
      </c>
      <c r="K18" s="1">
        <v>3908.3</v>
      </c>
      <c r="L18" s="1">
        <v>0</v>
      </c>
      <c r="M18" s="1">
        <v>7695.7</v>
      </c>
      <c r="N18" s="52">
        <f>13000-10000-91-1800</f>
        <v>1109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</row>
    <row r="19" spans="1:19" ht="110.25" x14ac:dyDescent="0.2">
      <c r="A19" s="42" t="s">
        <v>95</v>
      </c>
      <c r="B19" s="51" t="s">
        <v>247</v>
      </c>
      <c r="C19" s="47" t="s">
        <v>216</v>
      </c>
      <c r="D19" s="43" t="s">
        <v>47</v>
      </c>
      <c r="E19" s="43" t="s">
        <v>15</v>
      </c>
      <c r="F19" s="44" t="s">
        <v>166</v>
      </c>
      <c r="G19" s="48">
        <v>400</v>
      </c>
      <c r="H19" s="1">
        <f t="shared" si="7"/>
        <v>89854.3</v>
      </c>
      <c r="I19" s="1">
        <v>2524.5</v>
      </c>
      <c r="J19" s="1">
        <v>0</v>
      </c>
      <c r="K19" s="1">
        <v>9700</v>
      </c>
      <c r="L19" s="1">
        <v>55770.7</v>
      </c>
      <c r="M19" s="1">
        <f>23156-2450</f>
        <v>20706</v>
      </c>
      <c r="N19" s="52">
        <f>10000-8846.9</f>
        <v>1153.1000000000004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</row>
    <row r="20" spans="1:19" ht="110.25" x14ac:dyDescent="0.2">
      <c r="A20" s="42" t="s">
        <v>131</v>
      </c>
      <c r="B20" s="47" t="s">
        <v>227</v>
      </c>
      <c r="C20" s="47" t="s">
        <v>216</v>
      </c>
      <c r="D20" s="43" t="s">
        <v>47</v>
      </c>
      <c r="E20" s="43" t="s">
        <v>15</v>
      </c>
      <c r="F20" s="44" t="s">
        <v>167</v>
      </c>
      <c r="G20" s="48">
        <v>400</v>
      </c>
      <c r="H20" s="1">
        <f t="shared" si="7"/>
        <v>342.5</v>
      </c>
      <c r="I20" s="1">
        <v>330.5</v>
      </c>
      <c r="J20" s="1">
        <v>12</v>
      </c>
      <c r="K20" s="1">
        <v>0</v>
      </c>
      <c r="L20" s="1">
        <v>0</v>
      </c>
      <c r="M20" s="1">
        <v>0</v>
      </c>
      <c r="N20" s="3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</row>
    <row r="21" spans="1:19" ht="110.25" x14ac:dyDescent="0.2">
      <c r="A21" s="42" t="s">
        <v>96</v>
      </c>
      <c r="B21" s="47" t="s">
        <v>88</v>
      </c>
      <c r="C21" s="47" t="s">
        <v>216</v>
      </c>
      <c r="D21" s="43" t="s">
        <v>47</v>
      </c>
      <c r="E21" s="43" t="s">
        <v>15</v>
      </c>
      <c r="F21" s="44" t="s">
        <v>168</v>
      </c>
      <c r="G21" s="48">
        <v>200</v>
      </c>
      <c r="H21" s="1">
        <f t="shared" si="7"/>
        <v>540</v>
      </c>
      <c r="I21" s="1">
        <v>540</v>
      </c>
      <c r="J21" s="1">
        <v>0</v>
      </c>
      <c r="K21" s="1">
        <v>0</v>
      </c>
      <c r="L21" s="1">
        <v>0</v>
      </c>
      <c r="M21" s="1">
        <v>0</v>
      </c>
      <c r="N21" s="3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</row>
    <row r="22" spans="1:19" ht="107.25" customHeight="1" x14ac:dyDescent="0.2">
      <c r="A22" s="42" t="s">
        <v>97</v>
      </c>
      <c r="B22" s="47" t="s">
        <v>201</v>
      </c>
      <c r="C22" s="47" t="s">
        <v>216</v>
      </c>
      <c r="D22" s="43" t="s">
        <v>47</v>
      </c>
      <c r="E22" s="43" t="s">
        <v>15</v>
      </c>
      <c r="F22" s="44" t="s">
        <v>202</v>
      </c>
      <c r="G22" s="48">
        <v>400</v>
      </c>
      <c r="H22" s="1">
        <f t="shared" si="7"/>
        <v>4330.6000000000004</v>
      </c>
      <c r="I22" s="1">
        <v>2495.1</v>
      </c>
      <c r="J22" s="1">
        <v>1200</v>
      </c>
      <c r="K22" s="1">
        <v>0</v>
      </c>
      <c r="L22" s="19">
        <v>600</v>
      </c>
      <c r="M22" s="19">
        <v>35.5</v>
      </c>
      <c r="N22" s="36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</row>
    <row r="23" spans="1:19" ht="110.25" x14ac:dyDescent="0.2">
      <c r="A23" s="42" t="s">
        <v>98</v>
      </c>
      <c r="B23" s="47" t="s">
        <v>61</v>
      </c>
      <c r="C23" s="47" t="s">
        <v>216</v>
      </c>
      <c r="D23" s="43" t="s">
        <v>47</v>
      </c>
      <c r="E23" s="43" t="s">
        <v>15</v>
      </c>
      <c r="F23" s="44" t="s">
        <v>169</v>
      </c>
      <c r="G23" s="48">
        <v>400</v>
      </c>
      <c r="H23" s="1">
        <f t="shared" si="7"/>
        <v>2863</v>
      </c>
      <c r="I23" s="1">
        <v>2863</v>
      </c>
      <c r="J23" s="1">
        <v>0</v>
      </c>
      <c r="K23" s="1">
        <v>0</v>
      </c>
      <c r="L23" s="1">
        <v>0</v>
      </c>
      <c r="M23" s="1">
        <v>0</v>
      </c>
      <c r="N23" s="3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</row>
    <row r="24" spans="1:19" ht="110.25" x14ac:dyDescent="0.2">
      <c r="A24" s="42" t="s">
        <v>99</v>
      </c>
      <c r="B24" s="47" t="s">
        <v>138</v>
      </c>
      <c r="C24" s="47" t="s">
        <v>216</v>
      </c>
      <c r="D24" s="43" t="s">
        <v>47</v>
      </c>
      <c r="E24" s="43" t="s">
        <v>15</v>
      </c>
      <c r="F24" s="44" t="s">
        <v>170</v>
      </c>
      <c r="G24" s="39">
        <v>200</v>
      </c>
      <c r="H24" s="1">
        <f t="shared" si="7"/>
        <v>962.7</v>
      </c>
      <c r="I24" s="1">
        <v>962.7</v>
      </c>
      <c r="J24" s="1">
        <v>0</v>
      </c>
      <c r="K24" s="1">
        <v>0</v>
      </c>
      <c r="L24" s="1">
        <v>0</v>
      </c>
      <c r="M24" s="1">
        <v>0</v>
      </c>
      <c r="N24" s="3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</row>
    <row r="25" spans="1:19" ht="110.25" x14ac:dyDescent="0.2">
      <c r="A25" s="42" t="s">
        <v>100</v>
      </c>
      <c r="B25" s="47" t="s">
        <v>68</v>
      </c>
      <c r="C25" s="47" t="s">
        <v>216</v>
      </c>
      <c r="D25" s="43" t="s">
        <v>47</v>
      </c>
      <c r="E25" s="43" t="s">
        <v>15</v>
      </c>
      <c r="F25" s="44" t="s">
        <v>171</v>
      </c>
      <c r="G25" s="39">
        <v>200</v>
      </c>
      <c r="H25" s="1">
        <f t="shared" si="7"/>
        <v>79.5</v>
      </c>
      <c r="I25" s="1">
        <v>79.5</v>
      </c>
      <c r="J25" s="1">
        <v>0</v>
      </c>
      <c r="K25" s="1">
        <v>0</v>
      </c>
      <c r="L25" s="1">
        <v>0</v>
      </c>
      <c r="M25" s="1">
        <v>0</v>
      </c>
      <c r="N25" s="3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</row>
    <row r="26" spans="1:19" ht="110.25" x14ac:dyDescent="0.2">
      <c r="A26" s="42" t="s">
        <v>101</v>
      </c>
      <c r="B26" s="47" t="s">
        <v>70</v>
      </c>
      <c r="C26" s="47" t="s">
        <v>216</v>
      </c>
      <c r="D26" s="43" t="s">
        <v>47</v>
      </c>
      <c r="E26" s="43" t="s">
        <v>15</v>
      </c>
      <c r="F26" s="44" t="s">
        <v>172</v>
      </c>
      <c r="G26" s="39">
        <v>200</v>
      </c>
      <c r="H26" s="1">
        <f t="shared" si="7"/>
        <v>31.7</v>
      </c>
      <c r="I26" s="1">
        <v>31.7</v>
      </c>
      <c r="J26" s="1">
        <v>0</v>
      </c>
      <c r="K26" s="1">
        <v>0</v>
      </c>
      <c r="L26" s="1">
        <v>0</v>
      </c>
      <c r="M26" s="1">
        <v>0</v>
      </c>
      <c r="N26" s="3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</row>
    <row r="27" spans="1:19" ht="99.75" customHeight="1" x14ac:dyDescent="0.2">
      <c r="A27" s="41" t="s">
        <v>102</v>
      </c>
      <c r="B27" s="50" t="s">
        <v>71</v>
      </c>
      <c r="C27" s="47" t="s">
        <v>216</v>
      </c>
      <c r="D27" s="43" t="s">
        <v>47</v>
      </c>
      <c r="E27" s="43" t="s">
        <v>15</v>
      </c>
      <c r="F27" s="44" t="s">
        <v>173</v>
      </c>
      <c r="G27" s="39">
        <v>200</v>
      </c>
      <c r="H27" s="1">
        <f t="shared" si="7"/>
        <v>7.8</v>
      </c>
      <c r="I27" s="1">
        <v>7.8</v>
      </c>
      <c r="J27" s="1">
        <v>0</v>
      </c>
      <c r="K27" s="1">
        <v>0</v>
      </c>
      <c r="L27" s="1">
        <v>0</v>
      </c>
      <c r="M27" s="1">
        <v>0</v>
      </c>
      <c r="N27" s="3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</row>
    <row r="28" spans="1:19" ht="102" customHeight="1" x14ac:dyDescent="0.2">
      <c r="A28" s="42" t="s">
        <v>103</v>
      </c>
      <c r="B28" s="47" t="s">
        <v>236</v>
      </c>
      <c r="C28" s="47" t="s">
        <v>216</v>
      </c>
      <c r="D28" s="43" t="s">
        <v>47</v>
      </c>
      <c r="E28" s="43" t="s">
        <v>15</v>
      </c>
      <c r="F28" s="44" t="s">
        <v>174</v>
      </c>
      <c r="G28" s="48">
        <v>400</v>
      </c>
      <c r="H28" s="1">
        <f t="shared" si="7"/>
        <v>2429.5</v>
      </c>
      <c r="I28" s="1">
        <v>2401</v>
      </c>
      <c r="J28" s="1">
        <v>17.5</v>
      </c>
      <c r="K28" s="1">
        <v>11</v>
      </c>
      <c r="L28" s="1">
        <v>0</v>
      </c>
      <c r="M28" s="1">
        <v>0</v>
      </c>
      <c r="N28" s="3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</row>
    <row r="29" spans="1:19" ht="102.75" customHeight="1" x14ac:dyDescent="0.2">
      <c r="A29" s="42" t="s">
        <v>104</v>
      </c>
      <c r="B29" s="47" t="s">
        <v>139</v>
      </c>
      <c r="C29" s="47" t="s">
        <v>216</v>
      </c>
      <c r="D29" s="43" t="s">
        <v>47</v>
      </c>
      <c r="E29" s="43" t="s">
        <v>15</v>
      </c>
      <c r="F29" s="44" t="s">
        <v>175</v>
      </c>
      <c r="G29" s="48">
        <v>200</v>
      </c>
      <c r="H29" s="1">
        <f t="shared" si="7"/>
        <v>1053.9000000000001</v>
      </c>
      <c r="I29" s="1">
        <v>1053.9000000000001</v>
      </c>
      <c r="J29" s="1">
        <v>0</v>
      </c>
      <c r="K29" s="1">
        <v>0</v>
      </c>
      <c r="L29" s="1">
        <v>0</v>
      </c>
      <c r="M29" s="1">
        <v>0</v>
      </c>
      <c r="N29" s="3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</row>
    <row r="30" spans="1:19" ht="110.25" x14ac:dyDescent="0.2">
      <c r="A30" s="42" t="s">
        <v>105</v>
      </c>
      <c r="B30" s="47" t="s">
        <v>72</v>
      </c>
      <c r="C30" s="47" t="s">
        <v>216</v>
      </c>
      <c r="D30" s="43" t="s">
        <v>47</v>
      </c>
      <c r="E30" s="43" t="s">
        <v>15</v>
      </c>
      <c r="F30" s="44" t="s">
        <v>210</v>
      </c>
      <c r="G30" s="48">
        <v>200</v>
      </c>
      <c r="H30" s="1">
        <f t="shared" si="7"/>
        <v>92.2</v>
      </c>
      <c r="I30" s="1">
        <v>92.2</v>
      </c>
      <c r="J30" s="1">
        <v>0</v>
      </c>
      <c r="K30" s="1">
        <v>0</v>
      </c>
      <c r="L30" s="1">
        <v>0</v>
      </c>
      <c r="M30" s="1">
        <v>0</v>
      </c>
      <c r="N30" s="3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</row>
    <row r="31" spans="1:19" ht="102.75" customHeight="1" x14ac:dyDescent="0.2">
      <c r="A31" s="42" t="s">
        <v>106</v>
      </c>
      <c r="B31" s="47" t="s">
        <v>335</v>
      </c>
      <c r="C31" s="47" t="s">
        <v>216</v>
      </c>
      <c r="D31" s="43" t="s">
        <v>47</v>
      </c>
      <c r="E31" s="43" t="s">
        <v>15</v>
      </c>
      <c r="F31" s="44" t="s">
        <v>176</v>
      </c>
      <c r="G31" s="48">
        <v>200</v>
      </c>
      <c r="H31" s="1">
        <f t="shared" si="7"/>
        <v>567</v>
      </c>
      <c r="I31" s="1">
        <v>567</v>
      </c>
      <c r="J31" s="1">
        <v>0</v>
      </c>
      <c r="K31" s="1">
        <v>0</v>
      </c>
      <c r="L31" s="1">
        <v>0</v>
      </c>
      <c r="M31" s="1">
        <v>0</v>
      </c>
      <c r="N31" s="3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</row>
    <row r="32" spans="1:19" ht="110.25" x14ac:dyDescent="0.2">
      <c r="A32" s="42" t="s">
        <v>107</v>
      </c>
      <c r="B32" s="47" t="s">
        <v>140</v>
      </c>
      <c r="C32" s="47" t="s">
        <v>216</v>
      </c>
      <c r="D32" s="43" t="s">
        <v>47</v>
      </c>
      <c r="E32" s="43" t="s">
        <v>15</v>
      </c>
      <c r="F32" s="44" t="s">
        <v>177</v>
      </c>
      <c r="G32" s="48">
        <v>200</v>
      </c>
      <c r="H32" s="1">
        <f t="shared" si="7"/>
        <v>1858.6</v>
      </c>
      <c r="I32" s="1">
        <v>1858.6</v>
      </c>
      <c r="J32" s="1">
        <v>0</v>
      </c>
      <c r="K32" s="1">
        <v>0</v>
      </c>
      <c r="L32" s="1">
        <v>0</v>
      </c>
      <c r="M32" s="1">
        <v>0</v>
      </c>
      <c r="N32" s="3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</row>
    <row r="33" spans="1:19" ht="110.25" x14ac:dyDescent="0.2">
      <c r="A33" s="42" t="s">
        <v>108</v>
      </c>
      <c r="B33" s="47" t="s">
        <v>74</v>
      </c>
      <c r="C33" s="47" t="s">
        <v>216</v>
      </c>
      <c r="D33" s="43" t="s">
        <v>47</v>
      </c>
      <c r="E33" s="43" t="s">
        <v>15</v>
      </c>
      <c r="F33" s="44" t="s">
        <v>178</v>
      </c>
      <c r="G33" s="48">
        <v>200</v>
      </c>
      <c r="H33" s="1">
        <f t="shared" si="7"/>
        <v>155</v>
      </c>
      <c r="I33" s="1" t="s">
        <v>76</v>
      </c>
      <c r="J33" s="1">
        <v>0</v>
      </c>
      <c r="K33" s="1">
        <v>0</v>
      </c>
      <c r="L33" s="1">
        <v>0</v>
      </c>
      <c r="M33" s="1">
        <v>0</v>
      </c>
      <c r="N33" s="3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</row>
    <row r="34" spans="1:19" ht="110.25" x14ac:dyDescent="0.2">
      <c r="A34" s="42" t="s">
        <v>109</v>
      </c>
      <c r="B34" s="47" t="s">
        <v>73</v>
      </c>
      <c r="C34" s="47" t="s">
        <v>216</v>
      </c>
      <c r="D34" s="43" t="s">
        <v>47</v>
      </c>
      <c r="E34" s="43" t="s">
        <v>15</v>
      </c>
      <c r="F34" s="44" t="s">
        <v>179</v>
      </c>
      <c r="G34" s="48">
        <v>200</v>
      </c>
      <c r="H34" s="1">
        <f t="shared" si="7"/>
        <v>479.5</v>
      </c>
      <c r="I34" s="1">
        <v>479.5</v>
      </c>
      <c r="J34" s="1">
        <v>0</v>
      </c>
      <c r="K34" s="1">
        <v>0</v>
      </c>
      <c r="L34" s="1">
        <v>0</v>
      </c>
      <c r="M34" s="1">
        <v>0</v>
      </c>
      <c r="N34" s="3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</row>
    <row r="35" spans="1:19" ht="111.75" customHeight="1" x14ac:dyDescent="0.2">
      <c r="A35" s="42" t="s">
        <v>110</v>
      </c>
      <c r="B35" s="47" t="s">
        <v>62</v>
      </c>
      <c r="C35" s="47" t="s">
        <v>216</v>
      </c>
      <c r="D35" s="43" t="s">
        <v>47</v>
      </c>
      <c r="E35" s="43" t="s">
        <v>15</v>
      </c>
      <c r="F35" s="44" t="s">
        <v>180</v>
      </c>
      <c r="G35" s="48">
        <v>400</v>
      </c>
      <c r="H35" s="1">
        <f t="shared" si="7"/>
        <v>1600.3</v>
      </c>
      <c r="I35" s="1" t="s">
        <v>66</v>
      </c>
      <c r="J35" s="1">
        <v>0</v>
      </c>
      <c r="K35" s="1">
        <v>0</v>
      </c>
      <c r="L35" s="1">
        <v>0</v>
      </c>
      <c r="M35" s="1">
        <v>0</v>
      </c>
      <c r="N35" s="3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</row>
    <row r="36" spans="1:19" ht="103.5" customHeight="1" x14ac:dyDescent="0.2">
      <c r="A36" s="42" t="s">
        <v>111</v>
      </c>
      <c r="B36" s="47" t="s">
        <v>63</v>
      </c>
      <c r="C36" s="47" t="s">
        <v>216</v>
      </c>
      <c r="D36" s="43" t="s">
        <v>47</v>
      </c>
      <c r="E36" s="43" t="s">
        <v>15</v>
      </c>
      <c r="F36" s="44" t="s">
        <v>181</v>
      </c>
      <c r="G36" s="48">
        <v>400</v>
      </c>
      <c r="H36" s="1">
        <f t="shared" si="7"/>
        <v>796.1</v>
      </c>
      <c r="I36" s="1">
        <v>396.1</v>
      </c>
      <c r="J36" s="1">
        <v>0</v>
      </c>
      <c r="K36" s="1">
        <v>0</v>
      </c>
      <c r="L36" s="1">
        <v>400</v>
      </c>
      <c r="M36" s="1">
        <v>0</v>
      </c>
      <c r="N36" s="3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</row>
    <row r="37" spans="1:19" ht="105" customHeight="1" x14ac:dyDescent="0.2">
      <c r="A37" s="42" t="s">
        <v>112</v>
      </c>
      <c r="B37" s="47" t="s">
        <v>75</v>
      </c>
      <c r="C37" s="47" t="s">
        <v>216</v>
      </c>
      <c r="D37" s="43" t="s">
        <v>47</v>
      </c>
      <c r="E37" s="43" t="s">
        <v>15</v>
      </c>
      <c r="F37" s="44" t="s">
        <v>182</v>
      </c>
      <c r="G37" s="48">
        <v>200</v>
      </c>
      <c r="H37" s="1">
        <f t="shared" si="7"/>
        <v>123.9</v>
      </c>
      <c r="I37" s="1">
        <v>123.9</v>
      </c>
      <c r="J37" s="1">
        <v>0</v>
      </c>
      <c r="K37" s="1">
        <v>0</v>
      </c>
      <c r="L37" s="1">
        <v>0</v>
      </c>
      <c r="M37" s="1">
        <v>0</v>
      </c>
      <c r="N37" s="3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</row>
    <row r="38" spans="1:19" ht="31.5" x14ac:dyDescent="0.2">
      <c r="A38" s="42" t="s">
        <v>113</v>
      </c>
      <c r="B38" s="47" t="s">
        <v>78</v>
      </c>
      <c r="C38" s="47" t="s">
        <v>84</v>
      </c>
      <c r="D38" s="43" t="s">
        <v>14</v>
      </c>
      <c r="E38" s="43" t="s">
        <v>15</v>
      </c>
      <c r="F38" s="44" t="s">
        <v>183</v>
      </c>
      <c r="G38" s="48">
        <v>200</v>
      </c>
      <c r="H38" s="1">
        <f t="shared" si="7"/>
        <v>1187</v>
      </c>
      <c r="I38" s="1">
        <v>1187</v>
      </c>
      <c r="J38" s="1">
        <v>0</v>
      </c>
      <c r="K38" s="1">
        <v>0</v>
      </c>
      <c r="L38" s="1">
        <v>0</v>
      </c>
      <c r="M38" s="1">
        <v>0</v>
      </c>
      <c r="N38" s="3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</row>
    <row r="39" spans="1:19" ht="104.25" customHeight="1" x14ac:dyDescent="0.2">
      <c r="A39" s="42" t="s">
        <v>114</v>
      </c>
      <c r="B39" s="47" t="s">
        <v>213</v>
      </c>
      <c r="C39" s="47" t="s">
        <v>216</v>
      </c>
      <c r="D39" s="43" t="s">
        <v>47</v>
      </c>
      <c r="E39" s="43" t="s">
        <v>15</v>
      </c>
      <c r="F39" s="44" t="s">
        <v>214</v>
      </c>
      <c r="G39" s="48">
        <v>200</v>
      </c>
      <c r="H39" s="1">
        <f t="shared" si="7"/>
        <v>3590.6</v>
      </c>
      <c r="I39" s="1">
        <v>2639.6</v>
      </c>
      <c r="J39" s="1">
        <v>951</v>
      </c>
      <c r="K39" s="1">
        <v>0</v>
      </c>
      <c r="L39" s="1">
        <v>0</v>
      </c>
      <c r="M39" s="1">
        <v>0</v>
      </c>
      <c r="N39" s="3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</row>
    <row r="40" spans="1:19" ht="63" x14ac:dyDescent="0.2">
      <c r="A40" s="42" t="s">
        <v>115</v>
      </c>
      <c r="B40" s="47" t="s">
        <v>217</v>
      </c>
      <c r="C40" s="47" t="s">
        <v>239</v>
      </c>
      <c r="D40" s="43" t="s">
        <v>14</v>
      </c>
      <c r="E40" s="43" t="s">
        <v>15</v>
      </c>
      <c r="F40" s="44" t="s">
        <v>240</v>
      </c>
      <c r="G40" s="48">
        <v>200</v>
      </c>
      <c r="H40" s="1">
        <f t="shared" si="7"/>
        <v>15029.8</v>
      </c>
      <c r="I40" s="1">
        <v>0</v>
      </c>
      <c r="J40" s="1">
        <v>0</v>
      </c>
      <c r="K40" s="1">
        <v>332.6</v>
      </c>
      <c r="L40" s="1">
        <v>984.5</v>
      </c>
      <c r="M40" s="1">
        <f>1065.5-375.5</f>
        <v>690</v>
      </c>
      <c r="N40" s="31">
        <v>2000</v>
      </c>
      <c r="O40" s="1">
        <v>2000</v>
      </c>
      <c r="P40" s="1">
        <v>2000</v>
      </c>
      <c r="Q40" s="1">
        <v>2249.6999999999998</v>
      </c>
      <c r="R40" s="1">
        <v>2339.6999999999998</v>
      </c>
      <c r="S40" s="1">
        <v>2433.3000000000002</v>
      </c>
    </row>
    <row r="41" spans="1:19" ht="102" customHeight="1" x14ac:dyDescent="0.2">
      <c r="A41" s="42" t="s">
        <v>116</v>
      </c>
      <c r="B41" s="47" t="s">
        <v>232</v>
      </c>
      <c r="C41" s="47" t="s">
        <v>216</v>
      </c>
      <c r="D41" s="43" t="s">
        <v>47</v>
      </c>
      <c r="E41" s="43" t="s">
        <v>15</v>
      </c>
      <c r="F41" s="44" t="s">
        <v>233</v>
      </c>
      <c r="G41" s="48">
        <v>200</v>
      </c>
      <c r="H41" s="1">
        <f t="shared" si="7"/>
        <v>3968.3</v>
      </c>
      <c r="I41" s="1">
        <v>0</v>
      </c>
      <c r="J41" s="1">
        <v>0</v>
      </c>
      <c r="K41" s="1">
        <v>0</v>
      </c>
      <c r="L41" s="1">
        <v>3968.3</v>
      </c>
      <c r="M41" s="1">
        <v>0</v>
      </c>
      <c r="N41" s="3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</row>
    <row r="42" spans="1:19" ht="110.25" x14ac:dyDescent="0.2">
      <c r="A42" s="42" t="s">
        <v>117</v>
      </c>
      <c r="B42" s="47" t="s">
        <v>225</v>
      </c>
      <c r="C42" s="47" t="s">
        <v>216</v>
      </c>
      <c r="D42" s="43" t="s">
        <v>47</v>
      </c>
      <c r="E42" s="43" t="s">
        <v>15</v>
      </c>
      <c r="F42" s="44" t="s">
        <v>226</v>
      </c>
      <c r="G42" s="48">
        <v>200</v>
      </c>
      <c r="H42" s="1">
        <f t="shared" si="7"/>
        <v>790</v>
      </c>
      <c r="I42" s="1">
        <v>0</v>
      </c>
      <c r="J42" s="1">
        <v>790</v>
      </c>
      <c r="K42" s="1">
        <v>0</v>
      </c>
      <c r="L42" s="1">
        <v>0</v>
      </c>
      <c r="M42" s="1">
        <v>0</v>
      </c>
      <c r="N42" s="3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</row>
    <row r="43" spans="1:19" ht="101.25" customHeight="1" x14ac:dyDescent="0.2">
      <c r="A43" s="105" t="s">
        <v>118</v>
      </c>
      <c r="B43" s="105" t="s">
        <v>275</v>
      </c>
      <c r="C43" s="47" t="s">
        <v>216</v>
      </c>
      <c r="D43" s="43" t="s">
        <v>47</v>
      </c>
      <c r="E43" s="43" t="s">
        <v>15</v>
      </c>
      <c r="F43" s="44" t="s">
        <v>241</v>
      </c>
      <c r="G43" s="48"/>
      <c r="H43" s="1">
        <f t="shared" si="7"/>
        <v>20818.5</v>
      </c>
      <c r="I43" s="1">
        <v>0</v>
      </c>
      <c r="J43" s="1">
        <v>0</v>
      </c>
      <c r="K43" s="1">
        <v>1387.2</v>
      </c>
      <c r="L43" s="1">
        <v>3040.2</v>
      </c>
      <c r="M43" s="1">
        <v>788.2</v>
      </c>
      <c r="N43" s="52">
        <f>13582-4449.6+6470.5</f>
        <v>15602.9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</row>
    <row r="44" spans="1:19" ht="78" customHeight="1" x14ac:dyDescent="0.2">
      <c r="A44" s="107"/>
      <c r="B44" s="107"/>
      <c r="C44" s="47" t="s">
        <v>239</v>
      </c>
      <c r="D44" s="43" t="s">
        <v>14</v>
      </c>
      <c r="E44" s="43" t="s">
        <v>15</v>
      </c>
      <c r="F44" s="44" t="s">
        <v>241</v>
      </c>
      <c r="G44" s="48"/>
      <c r="H44" s="1">
        <f t="shared" si="7"/>
        <v>175</v>
      </c>
      <c r="I44" s="1">
        <v>0</v>
      </c>
      <c r="J44" s="1">
        <v>0</v>
      </c>
      <c r="K44" s="1">
        <v>0</v>
      </c>
      <c r="L44" s="1">
        <v>0</v>
      </c>
      <c r="M44" s="1">
        <v>175</v>
      </c>
      <c r="N44" s="3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</row>
    <row r="45" spans="1:19" ht="110.25" x14ac:dyDescent="0.2">
      <c r="A45" s="42" t="s">
        <v>212</v>
      </c>
      <c r="B45" s="47" t="s">
        <v>298</v>
      </c>
      <c r="C45" s="47" t="s">
        <v>216</v>
      </c>
      <c r="D45" s="43" t="s">
        <v>47</v>
      </c>
      <c r="E45" s="43" t="s">
        <v>15</v>
      </c>
      <c r="F45" s="44" t="s">
        <v>258</v>
      </c>
      <c r="G45" s="48"/>
      <c r="H45" s="1">
        <f t="shared" si="7"/>
        <v>51019.199999999997</v>
      </c>
      <c r="I45" s="1">
        <v>0</v>
      </c>
      <c r="J45" s="1">
        <v>0</v>
      </c>
      <c r="K45" s="1">
        <v>0</v>
      </c>
      <c r="L45" s="1">
        <v>0</v>
      </c>
      <c r="M45" s="1">
        <v>1845.8</v>
      </c>
      <c r="N45" s="52">
        <f>4243-69.6</f>
        <v>4173.3999999999996</v>
      </c>
      <c r="O45" s="1">
        <v>10000</v>
      </c>
      <c r="P45" s="1">
        <v>35000</v>
      </c>
      <c r="Q45" s="1">
        <v>0</v>
      </c>
      <c r="R45" s="1">
        <v>0</v>
      </c>
      <c r="S45" s="1">
        <v>0</v>
      </c>
    </row>
    <row r="46" spans="1:19" ht="110.25" x14ac:dyDescent="0.2">
      <c r="A46" s="42" t="s">
        <v>252</v>
      </c>
      <c r="B46" s="47" t="s">
        <v>256</v>
      </c>
      <c r="C46" s="47" t="s">
        <v>216</v>
      </c>
      <c r="D46" s="43" t="s">
        <v>47</v>
      </c>
      <c r="E46" s="43" t="s">
        <v>15</v>
      </c>
      <c r="F46" s="44" t="s">
        <v>259</v>
      </c>
      <c r="G46" s="48"/>
      <c r="H46" s="1">
        <f t="shared" si="7"/>
        <v>30870.3</v>
      </c>
      <c r="I46" s="1">
        <v>0</v>
      </c>
      <c r="J46" s="1">
        <v>0</v>
      </c>
      <c r="K46" s="1">
        <v>0</v>
      </c>
      <c r="L46" s="1">
        <v>0</v>
      </c>
      <c r="M46" s="1">
        <v>10.3</v>
      </c>
      <c r="N46" s="52">
        <f>10000-10000</f>
        <v>0</v>
      </c>
      <c r="O46" s="52">
        <f>20000-19000</f>
        <v>1000</v>
      </c>
      <c r="P46" s="1">
        <v>29860</v>
      </c>
      <c r="Q46" s="1">
        <v>0</v>
      </c>
      <c r="R46" s="1">
        <v>0</v>
      </c>
      <c r="S46" s="1">
        <v>0</v>
      </c>
    </row>
    <row r="47" spans="1:19" ht="110.25" x14ac:dyDescent="0.2">
      <c r="A47" s="42" t="s">
        <v>253</v>
      </c>
      <c r="B47" s="47" t="s">
        <v>292</v>
      </c>
      <c r="C47" s="47" t="s">
        <v>216</v>
      </c>
      <c r="D47" s="43" t="s">
        <v>47</v>
      </c>
      <c r="E47" s="43" t="s">
        <v>15</v>
      </c>
      <c r="F47" s="44" t="s">
        <v>260</v>
      </c>
      <c r="G47" s="48"/>
      <c r="H47" s="1">
        <f t="shared" si="7"/>
        <v>21136.5</v>
      </c>
      <c r="I47" s="1">
        <v>0</v>
      </c>
      <c r="J47" s="1">
        <v>0</v>
      </c>
      <c r="K47" s="1">
        <v>0</v>
      </c>
      <c r="L47" s="1">
        <v>0</v>
      </c>
      <c r="M47" s="1">
        <f>1800-1800</f>
        <v>0</v>
      </c>
      <c r="N47" s="52">
        <f>2800-63.5</f>
        <v>2736.5</v>
      </c>
      <c r="O47" s="1">
        <v>3400</v>
      </c>
      <c r="P47" s="1">
        <v>15000</v>
      </c>
      <c r="Q47" s="1">
        <v>0</v>
      </c>
      <c r="R47" s="1">
        <v>0</v>
      </c>
      <c r="S47" s="1">
        <v>0</v>
      </c>
    </row>
    <row r="48" spans="1:19" ht="110.25" x14ac:dyDescent="0.2">
      <c r="A48" s="42" t="s">
        <v>254</v>
      </c>
      <c r="B48" s="47" t="s">
        <v>340</v>
      </c>
      <c r="C48" s="47" t="s">
        <v>216</v>
      </c>
      <c r="D48" s="43" t="s">
        <v>47</v>
      </c>
      <c r="E48" s="43" t="s">
        <v>15</v>
      </c>
      <c r="F48" s="44" t="s">
        <v>261</v>
      </c>
      <c r="G48" s="48"/>
      <c r="H48" s="1">
        <f t="shared" si="7"/>
        <v>349.4</v>
      </c>
      <c r="I48" s="1">
        <v>0</v>
      </c>
      <c r="J48" s="1">
        <v>0</v>
      </c>
      <c r="K48" s="1">
        <v>0</v>
      </c>
      <c r="L48" s="1">
        <v>0</v>
      </c>
      <c r="M48" s="1">
        <f>1100-1100</f>
        <v>0</v>
      </c>
      <c r="N48" s="52">
        <f>8500-8500</f>
        <v>0</v>
      </c>
      <c r="O48" s="1">
        <v>0</v>
      </c>
      <c r="P48" s="1">
        <v>349.4</v>
      </c>
      <c r="Q48" s="1">
        <v>0</v>
      </c>
      <c r="R48" s="1">
        <v>0</v>
      </c>
      <c r="S48" s="1">
        <v>0</v>
      </c>
    </row>
    <row r="49" spans="1:20" ht="110.25" x14ac:dyDescent="0.2">
      <c r="A49" s="42" t="s">
        <v>255</v>
      </c>
      <c r="B49" s="47" t="s">
        <v>257</v>
      </c>
      <c r="C49" s="47" t="s">
        <v>216</v>
      </c>
      <c r="D49" s="43" t="s">
        <v>47</v>
      </c>
      <c r="E49" s="43" t="s">
        <v>15</v>
      </c>
      <c r="F49" s="44" t="s">
        <v>262</v>
      </c>
      <c r="G49" s="48"/>
      <c r="H49" s="1">
        <f t="shared" si="7"/>
        <v>160</v>
      </c>
      <c r="I49" s="1">
        <v>0</v>
      </c>
      <c r="J49" s="1">
        <v>0</v>
      </c>
      <c r="K49" s="1">
        <v>0</v>
      </c>
      <c r="L49" s="1">
        <v>0</v>
      </c>
      <c r="M49" s="1">
        <v>160</v>
      </c>
      <c r="N49" s="52">
        <f>2000-600-1400</f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</row>
    <row r="50" spans="1:20" ht="110.25" x14ac:dyDescent="0.2">
      <c r="A50" s="42" t="s">
        <v>271</v>
      </c>
      <c r="B50" s="47" t="s">
        <v>272</v>
      </c>
      <c r="C50" s="47" t="s">
        <v>216</v>
      </c>
      <c r="D50" s="43" t="s">
        <v>47</v>
      </c>
      <c r="E50" s="43" t="s">
        <v>15</v>
      </c>
      <c r="F50" s="44" t="s">
        <v>273</v>
      </c>
      <c r="G50" s="48"/>
      <c r="H50" s="1">
        <f t="shared" si="7"/>
        <v>1402.5</v>
      </c>
      <c r="I50" s="1">
        <v>0</v>
      </c>
      <c r="J50" s="1">
        <v>0</v>
      </c>
      <c r="K50" s="1">
        <v>0</v>
      </c>
      <c r="L50" s="1">
        <v>0</v>
      </c>
      <c r="M50" s="1">
        <v>1402.5</v>
      </c>
      <c r="N50" s="3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</row>
    <row r="51" spans="1:20" ht="110.25" x14ac:dyDescent="0.2">
      <c r="A51" s="42" t="s">
        <v>279</v>
      </c>
      <c r="B51" s="47" t="s">
        <v>280</v>
      </c>
      <c r="C51" s="47" t="s">
        <v>216</v>
      </c>
      <c r="D51" s="43" t="s">
        <v>47</v>
      </c>
      <c r="E51" s="43" t="s">
        <v>15</v>
      </c>
      <c r="F51" s="44" t="s">
        <v>281</v>
      </c>
      <c r="G51" s="48"/>
      <c r="H51" s="1">
        <f t="shared" si="7"/>
        <v>4280.7</v>
      </c>
      <c r="I51" s="1">
        <v>0</v>
      </c>
      <c r="J51" s="1">
        <v>0</v>
      </c>
      <c r="K51" s="1">
        <v>0</v>
      </c>
      <c r="L51" s="1">
        <v>0</v>
      </c>
      <c r="M51" s="1">
        <v>4280.7</v>
      </c>
      <c r="N51" s="3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</row>
    <row r="52" spans="1:20" ht="110.25" x14ac:dyDescent="0.2">
      <c r="A52" s="42" t="s">
        <v>299</v>
      </c>
      <c r="B52" s="47" t="s">
        <v>305</v>
      </c>
      <c r="C52" s="47" t="s">
        <v>216</v>
      </c>
      <c r="D52" s="43" t="s">
        <v>47</v>
      </c>
      <c r="E52" s="43" t="s">
        <v>15</v>
      </c>
      <c r="F52" s="44" t="s">
        <v>306</v>
      </c>
      <c r="G52" s="48"/>
      <c r="H52" s="1">
        <f t="shared" si="7"/>
        <v>1528</v>
      </c>
      <c r="I52" s="1">
        <v>0</v>
      </c>
      <c r="J52" s="1">
        <v>0</v>
      </c>
      <c r="K52" s="1">
        <v>0</v>
      </c>
      <c r="L52" s="1">
        <v>0</v>
      </c>
      <c r="M52" s="1">
        <v>1528</v>
      </c>
      <c r="N52" s="3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</row>
    <row r="53" spans="1:20" ht="110.25" x14ac:dyDescent="0.2">
      <c r="A53" s="42" t="s">
        <v>301</v>
      </c>
      <c r="B53" s="47" t="s">
        <v>300</v>
      </c>
      <c r="C53" s="47" t="s">
        <v>216</v>
      </c>
      <c r="D53" s="43" t="s">
        <v>47</v>
      </c>
      <c r="E53" s="43" t="s">
        <v>15</v>
      </c>
      <c r="F53" s="44" t="s">
        <v>302</v>
      </c>
      <c r="G53" s="48"/>
      <c r="H53" s="1">
        <f t="shared" si="7"/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52">
        <f>1179-1179</f>
        <v>0</v>
      </c>
      <c r="O53" s="52">
        <f>12000-12000</f>
        <v>0</v>
      </c>
      <c r="P53" s="1">
        <v>0</v>
      </c>
      <c r="Q53" s="1">
        <v>0</v>
      </c>
      <c r="R53" s="1">
        <v>0</v>
      </c>
      <c r="S53" s="1">
        <v>0</v>
      </c>
    </row>
    <row r="54" spans="1:20" ht="113.25" customHeight="1" x14ac:dyDescent="0.2">
      <c r="A54" s="42" t="s">
        <v>304</v>
      </c>
      <c r="B54" s="53" t="s">
        <v>350</v>
      </c>
      <c r="C54" s="47" t="s">
        <v>216</v>
      </c>
      <c r="D54" s="43" t="s">
        <v>47</v>
      </c>
      <c r="E54" s="43" t="s">
        <v>15</v>
      </c>
      <c r="F54" s="44" t="s">
        <v>303</v>
      </c>
      <c r="G54" s="48"/>
      <c r="H54" s="1">
        <f t="shared" si="7"/>
        <v>172736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52">
        <f>58078.1-10000+10000-9132.4</f>
        <v>48945.7</v>
      </c>
      <c r="O54" s="54">
        <f>35279.5-12236.6-6624.7</f>
        <v>16418.2</v>
      </c>
      <c r="P54" s="52">
        <f>113996.8-6624.7</f>
        <v>107372.1</v>
      </c>
      <c r="Q54" s="1">
        <v>0</v>
      </c>
      <c r="R54" s="1">
        <v>0</v>
      </c>
      <c r="S54" s="1">
        <v>0</v>
      </c>
    </row>
    <row r="55" spans="1:20" ht="110.25" x14ac:dyDescent="0.2">
      <c r="A55" s="42" t="s">
        <v>321</v>
      </c>
      <c r="B55" s="47" t="s">
        <v>323</v>
      </c>
      <c r="C55" s="47" t="s">
        <v>216</v>
      </c>
      <c r="D55" s="43" t="s">
        <v>47</v>
      </c>
      <c r="E55" s="43" t="s">
        <v>15</v>
      </c>
      <c r="F55" s="44" t="s">
        <v>325</v>
      </c>
      <c r="G55" s="48"/>
      <c r="H55" s="1">
        <f t="shared" si="7"/>
        <v>2000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31">
        <v>2000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</row>
    <row r="56" spans="1:20" ht="113.25" customHeight="1" x14ac:dyDescent="0.2">
      <c r="A56" s="42" t="s">
        <v>322</v>
      </c>
      <c r="B56" s="47" t="s">
        <v>324</v>
      </c>
      <c r="C56" s="47" t="s">
        <v>216</v>
      </c>
      <c r="D56" s="43" t="s">
        <v>47</v>
      </c>
      <c r="E56" s="43" t="s">
        <v>15</v>
      </c>
      <c r="F56" s="44" t="s">
        <v>326</v>
      </c>
      <c r="G56" s="48"/>
      <c r="H56" s="1">
        <f t="shared" si="7"/>
        <v>8000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31">
        <v>8000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</row>
    <row r="57" spans="1:20" ht="113.25" customHeight="1" x14ac:dyDescent="0.2">
      <c r="A57" s="42" t="s">
        <v>336</v>
      </c>
      <c r="B57" s="47" t="s">
        <v>337</v>
      </c>
      <c r="C57" s="47" t="s">
        <v>84</v>
      </c>
      <c r="D57" s="43" t="s">
        <v>14</v>
      </c>
      <c r="E57" s="43" t="s">
        <v>15</v>
      </c>
      <c r="F57" s="44" t="s">
        <v>341</v>
      </c>
      <c r="G57" s="48"/>
      <c r="H57" s="1">
        <f t="shared" si="7"/>
        <v>10000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31">
        <v>10000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</row>
    <row r="58" spans="1:20" ht="78.75" x14ac:dyDescent="0.2">
      <c r="A58" s="42" t="s">
        <v>338</v>
      </c>
      <c r="B58" s="47" t="s">
        <v>339</v>
      </c>
      <c r="C58" s="47" t="s">
        <v>84</v>
      </c>
      <c r="D58" s="43" t="s">
        <v>14</v>
      </c>
      <c r="E58" s="43" t="s">
        <v>15</v>
      </c>
      <c r="F58" s="44" t="s">
        <v>342</v>
      </c>
      <c r="G58" s="48"/>
      <c r="H58" s="1">
        <f>I58+J58+K58+L58+M58+N58+O58+P58+Q58+R58+S58</f>
        <v>10000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31">
        <v>10000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</row>
    <row r="59" spans="1:20" ht="110.25" x14ac:dyDescent="0.2">
      <c r="A59" s="42" t="s">
        <v>345</v>
      </c>
      <c r="B59" s="53" t="s">
        <v>346</v>
      </c>
      <c r="C59" s="47" t="s">
        <v>216</v>
      </c>
      <c r="D59" s="43" t="s">
        <v>47</v>
      </c>
      <c r="E59" s="43" t="s">
        <v>15</v>
      </c>
      <c r="F59" s="44" t="s">
        <v>351</v>
      </c>
      <c r="G59" s="48"/>
      <c r="H59" s="1">
        <f>I59+J59+K59+L59+M59+N59+O59+P59+Q59+R59+S59</f>
        <v>8846.9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52">
        <v>8846.9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</row>
    <row r="60" spans="1:20" ht="110.25" x14ac:dyDescent="0.2">
      <c r="A60" s="42" t="s">
        <v>347</v>
      </c>
      <c r="B60" s="53" t="s">
        <v>349</v>
      </c>
      <c r="C60" s="47" t="s">
        <v>216</v>
      </c>
      <c r="D60" s="43" t="s">
        <v>47</v>
      </c>
      <c r="E60" s="43" t="s">
        <v>15</v>
      </c>
      <c r="F60" s="44" t="s">
        <v>352</v>
      </c>
      <c r="G60" s="48"/>
      <c r="H60" s="1">
        <f>I60+J60+K60+L60+M60+N60+O60+P60+Q60+R60+S60</f>
        <v>13582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52">
        <v>13582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</row>
    <row r="61" spans="1:20" ht="63" x14ac:dyDescent="0.2">
      <c r="A61" s="42" t="s">
        <v>145</v>
      </c>
      <c r="B61" s="47" t="s">
        <v>204</v>
      </c>
      <c r="C61" s="47" t="s">
        <v>84</v>
      </c>
      <c r="D61" s="43" t="s">
        <v>14</v>
      </c>
      <c r="E61" s="43" t="s">
        <v>215</v>
      </c>
      <c r="F61" s="45" t="s">
        <v>184</v>
      </c>
      <c r="G61" s="48">
        <v>800</v>
      </c>
      <c r="H61" s="1">
        <f t="shared" si="7"/>
        <v>178297.1</v>
      </c>
      <c r="I61" s="1">
        <f>I62+I63+I64+I65</f>
        <v>24704.6</v>
      </c>
      <c r="J61" s="1">
        <f t="shared" ref="J61:S61" si="10">J62+J63+J64+J65</f>
        <v>23418.400000000001</v>
      </c>
      <c r="K61" s="1">
        <f t="shared" si="10"/>
        <v>28089.699999999997</v>
      </c>
      <c r="L61" s="1">
        <f t="shared" si="10"/>
        <v>23411.7</v>
      </c>
      <c r="M61" s="1">
        <f t="shared" si="10"/>
        <v>8594</v>
      </c>
      <c r="N61" s="31">
        <f t="shared" si="10"/>
        <v>0</v>
      </c>
      <c r="O61" s="1">
        <f t="shared" si="10"/>
        <v>0</v>
      </c>
      <c r="P61" s="1">
        <f t="shared" si="10"/>
        <v>0</v>
      </c>
      <c r="Q61" s="1">
        <f t="shared" si="10"/>
        <v>22246.300000000003</v>
      </c>
      <c r="R61" s="1">
        <f t="shared" si="10"/>
        <v>23344.9</v>
      </c>
      <c r="S61" s="1">
        <f t="shared" si="10"/>
        <v>24487.5</v>
      </c>
    </row>
    <row r="62" spans="1:20" ht="47.25" x14ac:dyDescent="0.2">
      <c r="A62" s="42" t="s">
        <v>146</v>
      </c>
      <c r="B62" s="47" t="s">
        <v>52</v>
      </c>
      <c r="C62" s="47" t="s">
        <v>84</v>
      </c>
      <c r="D62" s="43" t="s">
        <v>14</v>
      </c>
      <c r="E62" s="43" t="s">
        <v>15</v>
      </c>
      <c r="F62" s="45" t="s">
        <v>185</v>
      </c>
      <c r="G62" s="39">
        <v>800</v>
      </c>
      <c r="H62" s="1">
        <f t="shared" si="7"/>
        <v>69847.099999999991</v>
      </c>
      <c r="I62" s="1">
        <v>5089.5</v>
      </c>
      <c r="J62" s="1">
        <v>6465</v>
      </c>
      <c r="K62" s="1">
        <v>8661.7999999999993</v>
      </c>
      <c r="L62" s="1">
        <v>9358.2000000000007</v>
      </c>
      <c r="M62" s="1">
        <v>8594</v>
      </c>
      <c r="N62" s="31">
        <v>0</v>
      </c>
      <c r="O62" s="1">
        <v>0</v>
      </c>
      <c r="P62" s="1">
        <v>0</v>
      </c>
      <c r="Q62" s="1">
        <v>10148.200000000001</v>
      </c>
      <c r="R62" s="1">
        <v>10554.1</v>
      </c>
      <c r="S62" s="1">
        <v>10976.3</v>
      </c>
    </row>
    <row r="63" spans="1:20" ht="110.25" x14ac:dyDescent="0.2">
      <c r="A63" s="42" t="s">
        <v>148</v>
      </c>
      <c r="B63" s="47" t="s">
        <v>58</v>
      </c>
      <c r="C63" s="47" t="s">
        <v>84</v>
      </c>
      <c r="D63" s="43" t="s">
        <v>14</v>
      </c>
      <c r="E63" s="43" t="s">
        <v>23</v>
      </c>
      <c r="F63" s="45" t="s">
        <v>186</v>
      </c>
      <c r="G63" s="39">
        <v>800</v>
      </c>
      <c r="H63" s="1">
        <f t="shared" si="7"/>
        <v>103464</v>
      </c>
      <c r="I63" s="1">
        <v>17919.099999999999</v>
      </c>
      <c r="J63" s="1">
        <v>16953.400000000001</v>
      </c>
      <c r="K63" s="1">
        <v>16137.9</v>
      </c>
      <c r="L63" s="1">
        <v>14053.5</v>
      </c>
      <c r="M63" s="1">
        <v>0</v>
      </c>
      <c r="N63" s="31">
        <v>0</v>
      </c>
      <c r="O63" s="1">
        <v>0</v>
      </c>
      <c r="P63" s="1">
        <v>0</v>
      </c>
      <c r="Q63" s="1">
        <v>12098.1</v>
      </c>
      <c r="R63" s="1">
        <v>12790.8</v>
      </c>
      <c r="S63" s="1">
        <v>13511.2</v>
      </c>
      <c r="T63" s="20"/>
    </row>
    <row r="64" spans="1:20" ht="94.5" x14ac:dyDescent="0.2">
      <c r="A64" s="42" t="s">
        <v>269</v>
      </c>
      <c r="B64" s="47" t="s">
        <v>51</v>
      </c>
      <c r="C64" s="47" t="s">
        <v>84</v>
      </c>
      <c r="D64" s="43" t="s">
        <v>14</v>
      </c>
      <c r="E64" s="43" t="s">
        <v>15</v>
      </c>
      <c r="F64" s="45" t="s">
        <v>187</v>
      </c>
      <c r="G64" s="39">
        <v>800</v>
      </c>
      <c r="H64" s="1">
        <f t="shared" si="7"/>
        <v>1696</v>
      </c>
      <c r="I64" s="1">
        <v>1696</v>
      </c>
      <c r="J64" s="1">
        <v>0</v>
      </c>
      <c r="K64" s="1">
        <v>0</v>
      </c>
      <c r="L64" s="1">
        <v>0</v>
      </c>
      <c r="M64" s="1">
        <v>0</v>
      </c>
      <c r="N64" s="3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</row>
    <row r="65" spans="1:19" ht="63" x14ac:dyDescent="0.2">
      <c r="A65" s="42" t="s">
        <v>270</v>
      </c>
      <c r="B65" s="47" t="s">
        <v>237</v>
      </c>
      <c r="C65" s="47" t="s">
        <v>84</v>
      </c>
      <c r="D65" s="43" t="s">
        <v>14</v>
      </c>
      <c r="E65" s="43" t="s">
        <v>23</v>
      </c>
      <c r="F65" s="45" t="s">
        <v>238</v>
      </c>
      <c r="G65" s="39"/>
      <c r="H65" s="1">
        <f t="shared" si="7"/>
        <v>3290</v>
      </c>
      <c r="I65" s="1">
        <v>0</v>
      </c>
      <c r="J65" s="1">
        <v>0</v>
      </c>
      <c r="K65" s="1">
        <v>3290</v>
      </c>
      <c r="L65" s="1">
        <v>0</v>
      </c>
      <c r="M65" s="1">
        <v>0</v>
      </c>
      <c r="N65" s="3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</row>
    <row r="66" spans="1:19" ht="63" x14ac:dyDescent="0.2">
      <c r="A66" s="42" t="s">
        <v>149</v>
      </c>
      <c r="B66" s="47" t="s">
        <v>277</v>
      </c>
      <c r="C66" s="47" t="s">
        <v>84</v>
      </c>
      <c r="D66" s="43" t="s">
        <v>14</v>
      </c>
      <c r="E66" s="43" t="s">
        <v>23</v>
      </c>
      <c r="F66" s="45" t="s">
        <v>188</v>
      </c>
      <c r="G66" s="39">
        <v>200</v>
      </c>
      <c r="H66" s="1">
        <f t="shared" si="7"/>
        <v>23058.5</v>
      </c>
      <c r="I66" s="1">
        <f>I67+I68+I69+I70</f>
        <v>3741.9</v>
      </c>
      <c r="J66" s="1">
        <f t="shared" ref="J66:S66" si="11">J67+J68+J69+J70</f>
        <v>2450</v>
      </c>
      <c r="K66" s="1">
        <f t="shared" si="11"/>
        <v>2262.1</v>
      </c>
      <c r="L66" s="1">
        <f t="shared" si="11"/>
        <v>1999</v>
      </c>
      <c r="M66" s="1">
        <f t="shared" si="11"/>
        <v>2324.3000000000002</v>
      </c>
      <c r="N66" s="31">
        <f t="shared" si="11"/>
        <v>4689.6000000000004</v>
      </c>
      <c r="O66" s="1">
        <f t="shared" si="11"/>
        <v>1689.6000000000001</v>
      </c>
      <c r="P66" s="1">
        <f t="shared" si="11"/>
        <v>559.9</v>
      </c>
      <c r="Q66" s="1">
        <f t="shared" si="11"/>
        <v>1109.8</v>
      </c>
      <c r="R66" s="1">
        <f t="shared" si="11"/>
        <v>1114</v>
      </c>
      <c r="S66" s="1">
        <f t="shared" si="11"/>
        <v>1118.3</v>
      </c>
    </row>
    <row r="67" spans="1:19" ht="63" x14ac:dyDescent="0.2">
      <c r="A67" s="42" t="s">
        <v>150</v>
      </c>
      <c r="B67" s="21" t="s">
        <v>45</v>
      </c>
      <c r="C67" s="47" t="s">
        <v>84</v>
      </c>
      <c r="D67" s="43" t="s">
        <v>14</v>
      </c>
      <c r="E67" s="43" t="s">
        <v>23</v>
      </c>
      <c r="F67" s="45" t="s">
        <v>189</v>
      </c>
      <c r="G67" s="39">
        <v>200</v>
      </c>
      <c r="H67" s="1">
        <f t="shared" si="7"/>
        <v>16231.900000000001</v>
      </c>
      <c r="I67" s="1">
        <v>3437.4</v>
      </c>
      <c r="J67" s="1">
        <v>2000</v>
      </c>
      <c r="K67" s="1">
        <v>2000</v>
      </c>
      <c r="L67" s="1">
        <v>1905.6</v>
      </c>
      <c r="M67" s="1">
        <f>734.4-35.7</f>
        <v>698.69999999999993</v>
      </c>
      <c r="N67" s="31">
        <v>1907.8</v>
      </c>
      <c r="O67" s="1">
        <v>1361.9</v>
      </c>
      <c r="P67" s="1">
        <v>320.7</v>
      </c>
      <c r="Q67" s="1">
        <v>866.6</v>
      </c>
      <c r="R67" s="1">
        <v>866.6</v>
      </c>
      <c r="S67" s="1">
        <v>866.6</v>
      </c>
    </row>
    <row r="68" spans="1:19" ht="108" customHeight="1" x14ac:dyDescent="0.2">
      <c r="A68" s="42" t="s">
        <v>151</v>
      </c>
      <c r="B68" s="21" t="s">
        <v>50</v>
      </c>
      <c r="C68" s="47" t="s">
        <v>84</v>
      </c>
      <c r="D68" s="43" t="s">
        <v>14</v>
      </c>
      <c r="E68" s="43" t="s">
        <v>23</v>
      </c>
      <c r="F68" s="45" t="s">
        <v>190</v>
      </c>
      <c r="G68" s="39">
        <v>200</v>
      </c>
      <c r="H68" s="1">
        <f t="shared" si="7"/>
        <v>2468.5999999999995</v>
      </c>
      <c r="I68" s="1">
        <v>304.5</v>
      </c>
      <c r="J68" s="1">
        <v>450</v>
      </c>
      <c r="K68" s="1">
        <v>262.10000000000002</v>
      </c>
      <c r="L68" s="1">
        <v>93.4</v>
      </c>
      <c r="M68" s="1">
        <f>504.9-158.5</f>
        <v>346.4</v>
      </c>
      <c r="N68" s="31">
        <v>227.7</v>
      </c>
      <c r="O68" s="1">
        <v>227.7</v>
      </c>
      <c r="P68" s="1">
        <v>139.19999999999999</v>
      </c>
      <c r="Q68" s="1">
        <v>139.19999999999999</v>
      </c>
      <c r="R68" s="1">
        <v>139.19999999999999</v>
      </c>
      <c r="S68" s="1">
        <v>139.19999999999999</v>
      </c>
    </row>
    <row r="69" spans="1:19" ht="47.25" x14ac:dyDescent="0.2">
      <c r="A69" s="42" t="s">
        <v>276</v>
      </c>
      <c r="B69" s="42" t="s">
        <v>274</v>
      </c>
      <c r="C69" s="47" t="s">
        <v>84</v>
      </c>
      <c r="D69" s="43" t="s">
        <v>14</v>
      </c>
      <c r="E69" s="43" t="s">
        <v>15</v>
      </c>
      <c r="F69" s="44" t="s">
        <v>278</v>
      </c>
      <c r="G69" s="43"/>
      <c r="H69" s="1">
        <f t="shared" si="7"/>
        <v>3733.3</v>
      </c>
      <c r="I69" s="1">
        <v>0</v>
      </c>
      <c r="J69" s="1">
        <v>0</v>
      </c>
      <c r="K69" s="1">
        <v>0</v>
      </c>
      <c r="L69" s="1">
        <v>0</v>
      </c>
      <c r="M69" s="1">
        <f>1850-570.8</f>
        <v>1279.2</v>
      </c>
      <c r="N69" s="37">
        <f>3000-545.9</f>
        <v>2454.1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</row>
    <row r="70" spans="1:19" ht="63" x14ac:dyDescent="0.2">
      <c r="A70" s="42" t="s">
        <v>288</v>
      </c>
      <c r="B70" s="42" t="s">
        <v>289</v>
      </c>
      <c r="C70" s="47" t="s">
        <v>84</v>
      </c>
      <c r="D70" s="43" t="s">
        <v>14</v>
      </c>
      <c r="E70" s="43" t="s">
        <v>15</v>
      </c>
      <c r="F70" s="44" t="s">
        <v>290</v>
      </c>
      <c r="G70" s="43"/>
      <c r="H70" s="1">
        <f t="shared" si="7"/>
        <v>624.70000000000005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31">
        <v>100</v>
      </c>
      <c r="O70" s="1">
        <v>100</v>
      </c>
      <c r="P70" s="1">
        <v>100</v>
      </c>
      <c r="Q70" s="1">
        <v>104</v>
      </c>
      <c r="R70" s="1">
        <v>108.2</v>
      </c>
      <c r="S70" s="1">
        <v>112.5</v>
      </c>
    </row>
    <row r="71" spans="1:19" ht="110.25" x14ac:dyDescent="0.2">
      <c r="A71" s="42" t="s">
        <v>312</v>
      </c>
      <c r="B71" s="42" t="s">
        <v>313</v>
      </c>
      <c r="C71" s="47" t="s">
        <v>216</v>
      </c>
      <c r="D71" s="43" t="s">
        <v>47</v>
      </c>
      <c r="E71" s="43" t="s">
        <v>15</v>
      </c>
      <c r="F71" s="44" t="s">
        <v>316</v>
      </c>
      <c r="G71" s="43"/>
      <c r="H71" s="1">
        <f>H72</f>
        <v>55555.7</v>
      </c>
      <c r="I71" s="1">
        <f t="shared" ref="I71:S71" si="12">I72</f>
        <v>0</v>
      </c>
      <c r="J71" s="1">
        <f t="shared" si="12"/>
        <v>0</v>
      </c>
      <c r="K71" s="1">
        <f t="shared" si="12"/>
        <v>0</v>
      </c>
      <c r="L71" s="1">
        <f t="shared" si="12"/>
        <v>0</v>
      </c>
      <c r="M71" s="1">
        <f t="shared" si="12"/>
        <v>0</v>
      </c>
      <c r="N71" s="31">
        <f t="shared" si="12"/>
        <v>12319.1</v>
      </c>
      <c r="O71" s="1">
        <f t="shared" si="12"/>
        <v>43236.6</v>
      </c>
      <c r="P71" s="1">
        <f t="shared" si="12"/>
        <v>0</v>
      </c>
      <c r="Q71" s="1">
        <f t="shared" si="12"/>
        <v>0</v>
      </c>
      <c r="R71" s="1">
        <f t="shared" si="12"/>
        <v>0</v>
      </c>
      <c r="S71" s="1">
        <f t="shared" si="12"/>
        <v>0</v>
      </c>
    </row>
    <row r="72" spans="1:19" ht="204.75" x14ac:dyDescent="0.2">
      <c r="A72" s="42" t="s">
        <v>314</v>
      </c>
      <c r="B72" s="42" t="s">
        <v>329</v>
      </c>
      <c r="C72" s="47" t="s">
        <v>216</v>
      </c>
      <c r="D72" s="43" t="s">
        <v>47</v>
      </c>
      <c r="E72" s="43" t="s">
        <v>15</v>
      </c>
      <c r="F72" s="44" t="s">
        <v>315</v>
      </c>
      <c r="G72" s="43"/>
      <c r="H72" s="1">
        <f t="shared" ref="H72:H78" si="13">I72+J72+K72+L72+M72+N72+O72+P72+Q72+R72+S72</f>
        <v>55555.7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31">
        <v>12319.1</v>
      </c>
      <c r="O72" s="52">
        <v>43236.6</v>
      </c>
      <c r="P72" s="1">
        <v>0</v>
      </c>
      <c r="Q72" s="1">
        <v>0</v>
      </c>
      <c r="R72" s="1">
        <v>0</v>
      </c>
      <c r="S72" s="1">
        <v>0</v>
      </c>
    </row>
    <row r="73" spans="1:19" ht="23.25" customHeight="1" x14ac:dyDescent="0.2">
      <c r="A73" s="118" t="s">
        <v>33</v>
      </c>
      <c r="B73" s="118" t="s">
        <v>46</v>
      </c>
      <c r="C73" s="22" t="s">
        <v>43</v>
      </c>
      <c r="D73" s="17"/>
      <c r="E73" s="17"/>
      <c r="F73" s="23" t="s">
        <v>194</v>
      </c>
      <c r="G73" s="49"/>
      <c r="H73" s="2">
        <f t="shared" si="13"/>
        <v>3016.0000000000009</v>
      </c>
      <c r="I73" s="2">
        <f>I74</f>
        <v>400</v>
      </c>
      <c r="J73" s="2">
        <f t="shared" ref="J73:S73" si="14">J74</f>
        <v>430</v>
      </c>
      <c r="K73" s="2">
        <f t="shared" si="14"/>
        <v>449.2</v>
      </c>
      <c r="L73" s="2">
        <f t="shared" si="14"/>
        <v>235</v>
      </c>
      <c r="M73" s="2">
        <f t="shared" si="14"/>
        <v>263.60000000000002</v>
      </c>
      <c r="N73" s="35">
        <f t="shared" si="14"/>
        <v>278.5</v>
      </c>
      <c r="O73" s="2">
        <f t="shared" si="14"/>
        <v>278.5</v>
      </c>
      <c r="P73" s="2">
        <f t="shared" si="14"/>
        <v>170.3</v>
      </c>
      <c r="Q73" s="2">
        <f t="shared" si="14"/>
        <v>170.3</v>
      </c>
      <c r="R73" s="2">
        <f t="shared" si="14"/>
        <v>170.3</v>
      </c>
      <c r="S73" s="2">
        <f t="shared" si="14"/>
        <v>170.3</v>
      </c>
    </row>
    <row r="74" spans="1:19" ht="52.5" customHeight="1" x14ac:dyDescent="0.2">
      <c r="A74" s="128"/>
      <c r="B74" s="128"/>
      <c r="C74" s="42" t="s">
        <v>87</v>
      </c>
      <c r="D74" s="43" t="s">
        <v>48</v>
      </c>
      <c r="E74" s="43" t="s">
        <v>55</v>
      </c>
      <c r="F74" s="24"/>
      <c r="G74" s="39">
        <v>200</v>
      </c>
      <c r="H74" s="1">
        <f t="shared" si="13"/>
        <v>3016.0000000000009</v>
      </c>
      <c r="I74" s="1">
        <f>I76</f>
        <v>400</v>
      </c>
      <c r="J74" s="1">
        <f t="shared" ref="J74:S74" si="15">J76</f>
        <v>430</v>
      </c>
      <c r="K74" s="1">
        <f t="shared" si="15"/>
        <v>449.2</v>
      </c>
      <c r="L74" s="1">
        <f t="shared" si="15"/>
        <v>235</v>
      </c>
      <c r="M74" s="1">
        <f t="shared" si="15"/>
        <v>263.60000000000002</v>
      </c>
      <c r="N74" s="31">
        <f t="shared" si="15"/>
        <v>278.5</v>
      </c>
      <c r="O74" s="1">
        <f t="shared" si="15"/>
        <v>278.5</v>
      </c>
      <c r="P74" s="1">
        <f t="shared" si="15"/>
        <v>170.3</v>
      </c>
      <c r="Q74" s="1">
        <f t="shared" si="15"/>
        <v>170.3</v>
      </c>
      <c r="R74" s="1">
        <f t="shared" si="15"/>
        <v>170.3</v>
      </c>
      <c r="S74" s="1">
        <f t="shared" si="15"/>
        <v>170.3</v>
      </c>
    </row>
    <row r="75" spans="1:19" ht="94.5" x14ac:dyDescent="0.2">
      <c r="A75" s="50" t="s">
        <v>132</v>
      </c>
      <c r="B75" s="50" t="s">
        <v>119</v>
      </c>
      <c r="C75" s="42" t="s">
        <v>87</v>
      </c>
      <c r="D75" s="43" t="s">
        <v>48</v>
      </c>
      <c r="E75" s="43" t="s">
        <v>55</v>
      </c>
      <c r="F75" s="25" t="s">
        <v>195</v>
      </c>
      <c r="G75" s="39">
        <v>200</v>
      </c>
      <c r="H75" s="1">
        <f t="shared" si="13"/>
        <v>3016.0000000000009</v>
      </c>
      <c r="I75" s="1">
        <f>I76</f>
        <v>400</v>
      </c>
      <c r="J75" s="1">
        <f t="shared" ref="J75:S75" si="16">J76</f>
        <v>430</v>
      </c>
      <c r="K75" s="1">
        <f t="shared" si="16"/>
        <v>449.2</v>
      </c>
      <c r="L75" s="1">
        <f t="shared" si="16"/>
        <v>235</v>
      </c>
      <c r="M75" s="1">
        <f t="shared" si="16"/>
        <v>263.60000000000002</v>
      </c>
      <c r="N75" s="31">
        <f t="shared" si="16"/>
        <v>278.5</v>
      </c>
      <c r="O75" s="1">
        <f t="shared" si="16"/>
        <v>278.5</v>
      </c>
      <c r="P75" s="1">
        <f t="shared" si="16"/>
        <v>170.3</v>
      </c>
      <c r="Q75" s="1">
        <f t="shared" si="16"/>
        <v>170.3</v>
      </c>
      <c r="R75" s="1">
        <f t="shared" si="16"/>
        <v>170.3</v>
      </c>
      <c r="S75" s="1">
        <f t="shared" si="16"/>
        <v>170.3</v>
      </c>
    </row>
    <row r="76" spans="1:19" ht="78.75" x14ac:dyDescent="0.2">
      <c r="A76" s="42" t="s">
        <v>121</v>
      </c>
      <c r="B76" s="47" t="s">
        <v>32</v>
      </c>
      <c r="C76" s="42" t="s">
        <v>87</v>
      </c>
      <c r="D76" s="43" t="s">
        <v>48</v>
      </c>
      <c r="E76" s="43" t="s">
        <v>55</v>
      </c>
      <c r="F76" s="44" t="s">
        <v>196</v>
      </c>
      <c r="G76" s="43" t="s">
        <v>37</v>
      </c>
      <c r="H76" s="1">
        <f t="shared" si="13"/>
        <v>3016.0000000000009</v>
      </c>
      <c r="I76" s="1">
        <v>400</v>
      </c>
      <c r="J76" s="1">
        <v>430</v>
      </c>
      <c r="K76" s="1">
        <v>449.2</v>
      </c>
      <c r="L76" s="1">
        <v>235</v>
      </c>
      <c r="M76" s="1">
        <f>251.9+11.7</f>
        <v>263.60000000000002</v>
      </c>
      <c r="N76" s="31">
        <v>278.5</v>
      </c>
      <c r="O76" s="1">
        <v>278.5</v>
      </c>
      <c r="P76" s="1">
        <v>170.3</v>
      </c>
      <c r="Q76" s="1">
        <v>170.3</v>
      </c>
      <c r="R76" s="1">
        <v>170.3</v>
      </c>
      <c r="S76" s="1">
        <v>170.3</v>
      </c>
    </row>
    <row r="77" spans="1:19" x14ac:dyDescent="0.2">
      <c r="A77" s="118" t="s">
        <v>39</v>
      </c>
      <c r="B77" s="125" t="s">
        <v>38</v>
      </c>
      <c r="C77" s="40" t="s">
        <v>43</v>
      </c>
      <c r="D77" s="17"/>
      <c r="E77" s="17"/>
      <c r="F77" s="23" t="s">
        <v>197</v>
      </c>
      <c r="G77" s="18"/>
      <c r="H77" s="2">
        <f t="shared" si="13"/>
        <v>166790.19999999998</v>
      </c>
      <c r="I77" s="2">
        <f>I83+I84+I82</f>
        <v>13860</v>
      </c>
      <c r="J77" s="2">
        <f t="shared" ref="J77:S77" si="17">J83+J84</f>
        <v>15421.9</v>
      </c>
      <c r="K77" s="2">
        <f t="shared" si="17"/>
        <v>19594</v>
      </c>
      <c r="L77" s="2">
        <f t="shared" si="17"/>
        <v>13152.1</v>
      </c>
      <c r="M77" s="2">
        <f t="shared" si="17"/>
        <v>23011</v>
      </c>
      <c r="N77" s="35">
        <f t="shared" si="17"/>
        <v>13713.4</v>
      </c>
      <c r="O77" s="2">
        <f t="shared" si="17"/>
        <v>13713.4</v>
      </c>
      <c r="P77" s="2">
        <f t="shared" si="17"/>
        <v>13125.5</v>
      </c>
      <c r="Q77" s="2">
        <f t="shared" si="17"/>
        <v>16798.900000000001</v>
      </c>
      <c r="R77" s="2">
        <f t="shared" si="17"/>
        <v>12200</v>
      </c>
      <c r="S77" s="2">
        <f t="shared" si="17"/>
        <v>12200</v>
      </c>
    </row>
    <row r="78" spans="1:19" x14ac:dyDescent="0.2">
      <c r="A78" s="118"/>
      <c r="B78" s="126"/>
      <c r="C78" s="47" t="s">
        <v>84</v>
      </c>
      <c r="D78" s="43" t="s">
        <v>14</v>
      </c>
      <c r="E78" s="43" t="s">
        <v>23</v>
      </c>
      <c r="F78" s="23"/>
      <c r="G78" s="39">
        <v>200</v>
      </c>
      <c r="H78" s="1">
        <f t="shared" si="13"/>
        <v>752.3</v>
      </c>
      <c r="I78" s="1">
        <f>I82</f>
        <v>752.3</v>
      </c>
      <c r="J78" s="1">
        <f t="shared" ref="J78:S78" si="18">J82</f>
        <v>0</v>
      </c>
      <c r="K78" s="1">
        <f t="shared" si="18"/>
        <v>0</v>
      </c>
      <c r="L78" s="1">
        <f t="shared" si="18"/>
        <v>0</v>
      </c>
      <c r="M78" s="1">
        <f t="shared" si="18"/>
        <v>0</v>
      </c>
      <c r="N78" s="31">
        <f t="shared" si="18"/>
        <v>0</v>
      </c>
      <c r="O78" s="1">
        <f t="shared" si="18"/>
        <v>0</v>
      </c>
      <c r="P78" s="1">
        <f t="shared" si="18"/>
        <v>0</v>
      </c>
      <c r="Q78" s="1">
        <f t="shared" si="18"/>
        <v>0</v>
      </c>
      <c r="R78" s="1">
        <f t="shared" si="18"/>
        <v>0</v>
      </c>
      <c r="S78" s="1">
        <f t="shared" si="18"/>
        <v>0</v>
      </c>
    </row>
    <row r="79" spans="1:19" ht="52.5" customHeight="1" x14ac:dyDescent="0.2">
      <c r="A79" s="118"/>
      <c r="B79" s="126"/>
      <c r="C79" s="47" t="s">
        <v>89</v>
      </c>
      <c r="D79" s="43" t="s">
        <v>47</v>
      </c>
      <c r="E79" s="43" t="s">
        <v>23</v>
      </c>
      <c r="F79" s="23"/>
      <c r="G79" s="39">
        <v>200</v>
      </c>
      <c r="H79" s="1">
        <f t="shared" ref="H79:H87" si="19">I79+J79+K79+L79+M79+N79+O79+P79+Q79+R79+S79</f>
        <v>33924.9</v>
      </c>
      <c r="I79" s="1">
        <f t="shared" ref="I79:S79" si="20">I83</f>
        <v>5858</v>
      </c>
      <c r="J79" s="1">
        <f>J83</f>
        <v>5421.9</v>
      </c>
      <c r="K79" s="1">
        <f t="shared" si="20"/>
        <v>1966.9</v>
      </c>
      <c r="L79" s="1">
        <f t="shared" si="20"/>
        <v>945.9</v>
      </c>
      <c r="M79" s="1">
        <f t="shared" si="20"/>
        <v>11181</v>
      </c>
      <c r="N79" s="31">
        <f t="shared" si="20"/>
        <v>1513.4</v>
      </c>
      <c r="O79" s="1">
        <f t="shared" si="20"/>
        <v>1513.4</v>
      </c>
      <c r="P79" s="1">
        <f t="shared" si="20"/>
        <v>925.5</v>
      </c>
      <c r="Q79" s="1">
        <f t="shared" si="20"/>
        <v>4598.9000000000005</v>
      </c>
      <c r="R79" s="1">
        <f t="shared" si="20"/>
        <v>0</v>
      </c>
      <c r="S79" s="1">
        <f t="shared" si="20"/>
        <v>0</v>
      </c>
    </row>
    <row r="80" spans="1:19" ht="48.75" customHeight="1" x14ac:dyDescent="0.2">
      <c r="A80" s="117"/>
      <c r="B80" s="127"/>
      <c r="C80" s="47" t="s">
        <v>86</v>
      </c>
      <c r="D80" s="43" t="s">
        <v>48</v>
      </c>
      <c r="E80" s="43" t="s">
        <v>23</v>
      </c>
      <c r="F80" s="26"/>
      <c r="G80" s="39">
        <v>200</v>
      </c>
      <c r="H80" s="1">
        <f t="shared" si="19"/>
        <v>132113</v>
      </c>
      <c r="I80" s="1">
        <f>I84</f>
        <v>7249.7</v>
      </c>
      <c r="J80" s="1">
        <f t="shared" ref="J80:S80" si="21">J84</f>
        <v>10000</v>
      </c>
      <c r="K80" s="1">
        <f t="shared" si="21"/>
        <v>17627.099999999999</v>
      </c>
      <c r="L80" s="1">
        <f t="shared" si="21"/>
        <v>12206.2</v>
      </c>
      <c r="M80" s="1">
        <f t="shared" si="21"/>
        <v>11830</v>
      </c>
      <c r="N80" s="31">
        <f t="shared" si="21"/>
        <v>12200</v>
      </c>
      <c r="O80" s="1">
        <f t="shared" si="21"/>
        <v>12200</v>
      </c>
      <c r="P80" s="1">
        <f t="shared" si="21"/>
        <v>12200</v>
      </c>
      <c r="Q80" s="1">
        <f t="shared" si="21"/>
        <v>12200</v>
      </c>
      <c r="R80" s="1">
        <f t="shared" si="21"/>
        <v>12200</v>
      </c>
      <c r="S80" s="1">
        <f t="shared" si="21"/>
        <v>12200</v>
      </c>
    </row>
    <row r="81" spans="1:22" x14ac:dyDescent="0.2">
      <c r="A81" s="116" t="s">
        <v>40</v>
      </c>
      <c r="B81" s="105" t="s">
        <v>92</v>
      </c>
      <c r="C81" s="47" t="s">
        <v>43</v>
      </c>
      <c r="D81" s="43"/>
      <c r="E81" s="47"/>
      <c r="F81" s="26"/>
      <c r="G81" s="47"/>
      <c r="H81" s="1">
        <f t="shared" si="19"/>
        <v>166790.19999999998</v>
      </c>
      <c r="I81" s="1">
        <f>I82+I83+I84</f>
        <v>13860</v>
      </c>
      <c r="J81" s="1">
        <f t="shared" ref="J81:S81" si="22">J82+J83+J84</f>
        <v>15421.9</v>
      </c>
      <c r="K81" s="1">
        <f t="shared" si="22"/>
        <v>19594</v>
      </c>
      <c r="L81" s="1">
        <f t="shared" si="22"/>
        <v>13152.1</v>
      </c>
      <c r="M81" s="1">
        <f t="shared" si="22"/>
        <v>23011</v>
      </c>
      <c r="N81" s="31">
        <f t="shared" si="22"/>
        <v>13713.4</v>
      </c>
      <c r="O81" s="1">
        <f t="shared" si="22"/>
        <v>13713.4</v>
      </c>
      <c r="P81" s="1">
        <f t="shared" si="22"/>
        <v>13125.5</v>
      </c>
      <c r="Q81" s="1">
        <f t="shared" si="22"/>
        <v>16798.900000000001</v>
      </c>
      <c r="R81" s="1">
        <f t="shared" si="22"/>
        <v>12200</v>
      </c>
      <c r="S81" s="1">
        <f t="shared" si="22"/>
        <v>12200</v>
      </c>
    </row>
    <row r="82" spans="1:22" x14ac:dyDescent="0.2">
      <c r="A82" s="117"/>
      <c r="B82" s="119"/>
      <c r="C82" s="47" t="s">
        <v>84</v>
      </c>
      <c r="D82" s="43" t="s">
        <v>14</v>
      </c>
      <c r="E82" s="43" t="s">
        <v>23</v>
      </c>
      <c r="F82" s="112" t="s">
        <v>192</v>
      </c>
      <c r="G82" s="39">
        <v>200</v>
      </c>
      <c r="H82" s="1">
        <f t="shared" si="19"/>
        <v>752.3</v>
      </c>
      <c r="I82" s="1">
        <f>I86</f>
        <v>752.3</v>
      </c>
      <c r="J82" s="1">
        <f t="shared" ref="J82:S82" si="23">J86</f>
        <v>0</v>
      </c>
      <c r="K82" s="1">
        <f t="shared" si="23"/>
        <v>0</v>
      </c>
      <c r="L82" s="1">
        <f t="shared" si="23"/>
        <v>0</v>
      </c>
      <c r="M82" s="1">
        <f t="shared" si="23"/>
        <v>0</v>
      </c>
      <c r="N82" s="31">
        <f t="shared" si="23"/>
        <v>0</v>
      </c>
      <c r="O82" s="1">
        <f t="shared" si="23"/>
        <v>0</v>
      </c>
      <c r="P82" s="1">
        <f t="shared" si="23"/>
        <v>0</v>
      </c>
      <c r="Q82" s="1">
        <f t="shared" si="23"/>
        <v>0</v>
      </c>
      <c r="R82" s="1">
        <f t="shared" si="23"/>
        <v>0</v>
      </c>
      <c r="S82" s="1">
        <f t="shared" si="23"/>
        <v>0</v>
      </c>
    </row>
    <row r="83" spans="1:22" ht="52.5" customHeight="1" x14ac:dyDescent="0.2">
      <c r="A83" s="117"/>
      <c r="B83" s="119"/>
      <c r="C83" s="47" t="s">
        <v>89</v>
      </c>
      <c r="D83" s="43" t="s">
        <v>47</v>
      </c>
      <c r="E83" s="43" t="s">
        <v>23</v>
      </c>
      <c r="F83" s="113"/>
      <c r="G83" s="43" t="s">
        <v>37</v>
      </c>
      <c r="H83" s="1">
        <f t="shared" si="19"/>
        <v>33924.9</v>
      </c>
      <c r="I83" s="1">
        <f>I85</f>
        <v>5858</v>
      </c>
      <c r="J83" s="1">
        <f t="shared" ref="J83:S83" si="24">J85</f>
        <v>5421.9</v>
      </c>
      <c r="K83" s="1">
        <f t="shared" si="24"/>
        <v>1966.9</v>
      </c>
      <c r="L83" s="1">
        <f>L85</f>
        <v>945.9</v>
      </c>
      <c r="M83" s="1">
        <f t="shared" si="24"/>
        <v>11181</v>
      </c>
      <c r="N83" s="31">
        <f t="shared" si="24"/>
        <v>1513.4</v>
      </c>
      <c r="O83" s="1">
        <f t="shared" si="24"/>
        <v>1513.4</v>
      </c>
      <c r="P83" s="1">
        <f t="shared" si="24"/>
        <v>925.5</v>
      </c>
      <c r="Q83" s="1">
        <f t="shared" si="24"/>
        <v>4598.9000000000005</v>
      </c>
      <c r="R83" s="1">
        <f t="shared" si="24"/>
        <v>0</v>
      </c>
      <c r="S83" s="1">
        <f t="shared" si="24"/>
        <v>0</v>
      </c>
    </row>
    <row r="84" spans="1:22" ht="53.25" customHeight="1" x14ac:dyDescent="0.2">
      <c r="A84" s="117"/>
      <c r="B84" s="120"/>
      <c r="C84" s="47" t="s">
        <v>86</v>
      </c>
      <c r="D84" s="43" t="s">
        <v>48</v>
      </c>
      <c r="E84" s="43" t="s">
        <v>23</v>
      </c>
      <c r="F84" s="113"/>
      <c r="G84" s="43" t="s">
        <v>37</v>
      </c>
      <c r="H84" s="1">
        <f t="shared" si="19"/>
        <v>132113</v>
      </c>
      <c r="I84" s="1">
        <f>I87</f>
        <v>7249.7</v>
      </c>
      <c r="J84" s="1">
        <f t="shared" ref="J84:S84" si="25">J87</f>
        <v>10000</v>
      </c>
      <c r="K84" s="1">
        <f t="shared" si="25"/>
        <v>17627.099999999999</v>
      </c>
      <c r="L84" s="1">
        <f t="shared" si="25"/>
        <v>12206.2</v>
      </c>
      <c r="M84" s="1">
        <f t="shared" si="25"/>
        <v>11830</v>
      </c>
      <c r="N84" s="31">
        <f t="shared" si="25"/>
        <v>12200</v>
      </c>
      <c r="O84" s="1">
        <f t="shared" si="25"/>
        <v>12200</v>
      </c>
      <c r="P84" s="1">
        <f t="shared" si="25"/>
        <v>12200</v>
      </c>
      <c r="Q84" s="1">
        <f t="shared" si="25"/>
        <v>12200</v>
      </c>
      <c r="R84" s="1">
        <f t="shared" si="25"/>
        <v>12200</v>
      </c>
      <c r="S84" s="1">
        <f t="shared" si="25"/>
        <v>12200</v>
      </c>
    </row>
    <row r="85" spans="1:22" ht="47.25" x14ac:dyDescent="0.2">
      <c r="A85" s="116" t="s">
        <v>133</v>
      </c>
      <c r="B85" s="116" t="s">
        <v>82</v>
      </c>
      <c r="C85" s="47" t="s">
        <v>89</v>
      </c>
      <c r="D85" s="43" t="s">
        <v>47</v>
      </c>
      <c r="E85" s="43" t="s">
        <v>23</v>
      </c>
      <c r="F85" s="45" t="s">
        <v>191</v>
      </c>
      <c r="G85" s="43" t="s">
        <v>37</v>
      </c>
      <c r="H85" s="1">
        <f t="shared" si="19"/>
        <v>33924.9</v>
      </c>
      <c r="I85" s="1">
        <v>5858</v>
      </c>
      <c r="J85" s="1">
        <v>5421.9</v>
      </c>
      <c r="K85" s="1">
        <v>1966.9</v>
      </c>
      <c r="L85" s="1">
        <v>945.9</v>
      </c>
      <c r="M85" s="1">
        <v>11181</v>
      </c>
      <c r="N85" s="31">
        <v>1513.4</v>
      </c>
      <c r="O85" s="1">
        <v>1513.4</v>
      </c>
      <c r="P85" s="1">
        <v>925.5</v>
      </c>
      <c r="Q85" s="1">
        <f>8551.2-3952.3</f>
        <v>4598.9000000000005</v>
      </c>
      <c r="R85" s="1">
        <v>0</v>
      </c>
      <c r="S85" s="1">
        <v>0</v>
      </c>
    </row>
    <row r="86" spans="1:22" x14ac:dyDescent="0.2">
      <c r="A86" s="116"/>
      <c r="B86" s="116"/>
      <c r="C86" s="47" t="s">
        <v>84</v>
      </c>
      <c r="D86" s="43" t="s">
        <v>14</v>
      </c>
      <c r="E86" s="43" t="s">
        <v>23</v>
      </c>
      <c r="F86" s="45" t="s">
        <v>191</v>
      </c>
      <c r="G86" s="39">
        <v>200</v>
      </c>
      <c r="H86" s="1">
        <f t="shared" si="19"/>
        <v>752.3</v>
      </c>
      <c r="I86" s="1">
        <v>752.3</v>
      </c>
      <c r="J86" s="1">
        <v>0</v>
      </c>
      <c r="K86" s="1">
        <v>0</v>
      </c>
      <c r="L86" s="1">
        <v>0</v>
      </c>
      <c r="M86" s="1">
        <v>0</v>
      </c>
      <c r="N86" s="3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</row>
    <row r="87" spans="1:22" ht="117" customHeight="1" x14ac:dyDescent="0.25">
      <c r="A87" s="42" t="s">
        <v>134</v>
      </c>
      <c r="B87" s="27" t="s">
        <v>59</v>
      </c>
      <c r="C87" s="47" t="s">
        <v>86</v>
      </c>
      <c r="D87" s="43" t="s">
        <v>48</v>
      </c>
      <c r="E87" s="43" t="s">
        <v>23</v>
      </c>
      <c r="F87" s="44" t="s">
        <v>203</v>
      </c>
      <c r="G87" s="43" t="s">
        <v>37</v>
      </c>
      <c r="H87" s="1">
        <f t="shared" si="19"/>
        <v>132113</v>
      </c>
      <c r="I87" s="1">
        <v>7249.7</v>
      </c>
      <c r="J87" s="1">
        <v>10000</v>
      </c>
      <c r="K87" s="1">
        <v>17627.099999999999</v>
      </c>
      <c r="L87" s="1">
        <v>12206.2</v>
      </c>
      <c r="M87" s="1">
        <f>11830</f>
        <v>11830</v>
      </c>
      <c r="N87" s="31">
        <v>12200</v>
      </c>
      <c r="O87" s="1">
        <v>12200</v>
      </c>
      <c r="P87" s="1">
        <v>12200</v>
      </c>
      <c r="Q87" s="1">
        <v>12200</v>
      </c>
      <c r="R87" s="1">
        <v>12200</v>
      </c>
      <c r="S87" s="1">
        <v>12200</v>
      </c>
    </row>
    <row r="88" spans="1:22" x14ac:dyDescent="0.2">
      <c r="A88" s="118" t="s">
        <v>31</v>
      </c>
      <c r="B88" s="118" t="s">
        <v>330</v>
      </c>
      <c r="C88" s="40" t="s">
        <v>43</v>
      </c>
      <c r="D88" s="17"/>
      <c r="E88" s="17"/>
      <c r="F88" s="14"/>
      <c r="G88" s="17"/>
      <c r="H88" s="2">
        <f>I88+J88+K88+L88+M88+N88+O88+P88+Q88+R88+S88</f>
        <v>2847799.2</v>
      </c>
      <c r="I88" s="2">
        <f>I89+I90</f>
        <v>228156.69999999998</v>
      </c>
      <c r="J88" s="2">
        <f t="shared" ref="J88:S88" si="26">J89+J90</f>
        <v>279787.8</v>
      </c>
      <c r="K88" s="2">
        <f t="shared" si="26"/>
        <v>257795.10000000003</v>
      </c>
      <c r="L88" s="2">
        <f t="shared" si="26"/>
        <v>267713.5</v>
      </c>
      <c r="M88" s="2">
        <f>M89+M90</f>
        <v>192314.7</v>
      </c>
      <c r="N88" s="35">
        <f t="shared" si="26"/>
        <v>117712.6</v>
      </c>
      <c r="O88" s="2">
        <f t="shared" si="26"/>
        <v>112408.79999999999</v>
      </c>
      <c r="P88" s="2">
        <f t="shared" si="26"/>
        <v>100131.2</v>
      </c>
      <c r="Q88" s="2">
        <f t="shared" si="26"/>
        <v>414403.80000000005</v>
      </c>
      <c r="R88" s="2">
        <f t="shared" si="26"/>
        <v>430379.9</v>
      </c>
      <c r="S88" s="2">
        <f t="shared" si="26"/>
        <v>446995.1</v>
      </c>
    </row>
    <row r="89" spans="1:22" ht="54" customHeight="1" x14ac:dyDescent="0.2">
      <c r="A89" s="118"/>
      <c r="B89" s="118"/>
      <c r="C89" s="42" t="s">
        <v>89</v>
      </c>
      <c r="D89" s="43" t="s">
        <v>47</v>
      </c>
      <c r="E89" s="56" t="s">
        <v>244</v>
      </c>
      <c r="F89" s="114" t="s">
        <v>245</v>
      </c>
      <c r="G89" s="43" t="s">
        <v>37</v>
      </c>
      <c r="H89" s="1">
        <f>I89+J89+K89+L89+M89+N89+O89+P89+Q89+R89+S89</f>
        <v>15738.5</v>
      </c>
      <c r="I89" s="1">
        <f>I93+I94+I109</f>
        <v>0</v>
      </c>
      <c r="J89" s="1">
        <f t="shared" ref="J89:S89" si="27">J93+J94+J109</f>
        <v>1671.3</v>
      </c>
      <c r="K89" s="1">
        <f t="shared" si="27"/>
        <v>347.6</v>
      </c>
      <c r="L89" s="1">
        <f t="shared" si="27"/>
        <v>1989</v>
      </c>
      <c r="M89" s="1">
        <f>M93+M109</f>
        <v>10454</v>
      </c>
      <c r="N89" s="31">
        <f>N93+N94+N109</f>
        <v>1276.5999999999999</v>
      </c>
      <c r="O89" s="1">
        <f t="shared" si="27"/>
        <v>0</v>
      </c>
      <c r="P89" s="1">
        <f t="shared" si="27"/>
        <v>0</v>
      </c>
      <c r="Q89" s="1">
        <f t="shared" si="27"/>
        <v>0</v>
      </c>
      <c r="R89" s="1">
        <f t="shared" si="27"/>
        <v>0</v>
      </c>
      <c r="S89" s="1">
        <f t="shared" si="27"/>
        <v>0</v>
      </c>
    </row>
    <row r="90" spans="1:22" x14ac:dyDescent="0.2">
      <c r="A90" s="118"/>
      <c r="B90" s="118"/>
      <c r="C90" s="47" t="s">
        <v>84</v>
      </c>
      <c r="D90" s="43" t="s">
        <v>14</v>
      </c>
      <c r="E90" s="56" t="s">
        <v>244</v>
      </c>
      <c r="F90" s="115"/>
      <c r="G90" s="43" t="s">
        <v>221</v>
      </c>
      <c r="H90" s="1">
        <f t="shared" ref="H90:H112" si="28">I90+J90+K90+L90+M90+N90+O90+P90+Q90+R90+S90</f>
        <v>2832060.7</v>
      </c>
      <c r="I90" s="1">
        <f>I91+I92+I110</f>
        <v>228156.69999999998</v>
      </c>
      <c r="J90" s="1">
        <f t="shared" ref="J90:S90" si="29">J91+J92+J110</f>
        <v>278116.5</v>
      </c>
      <c r="K90" s="1">
        <f t="shared" si="29"/>
        <v>257447.50000000003</v>
      </c>
      <c r="L90" s="1">
        <f t="shared" si="29"/>
        <v>265724.5</v>
      </c>
      <c r="M90" s="1">
        <f>M91+M92+M110</f>
        <v>181860.7</v>
      </c>
      <c r="N90" s="31">
        <f>N91+N92+N110</f>
        <v>116436</v>
      </c>
      <c r="O90" s="1">
        <f t="shared" si="29"/>
        <v>112408.79999999999</v>
      </c>
      <c r="P90" s="1">
        <f t="shared" si="29"/>
        <v>100131.2</v>
      </c>
      <c r="Q90" s="1">
        <f t="shared" si="29"/>
        <v>414403.80000000005</v>
      </c>
      <c r="R90" s="1">
        <f t="shared" si="29"/>
        <v>430379.9</v>
      </c>
      <c r="S90" s="1">
        <f t="shared" si="29"/>
        <v>446995.1</v>
      </c>
    </row>
    <row r="91" spans="1:22" x14ac:dyDescent="0.2">
      <c r="A91" s="105" t="s">
        <v>34</v>
      </c>
      <c r="B91" s="105" t="s">
        <v>122</v>
      </c>
      <c r="C91" s="47" t="s">
        <v>84</v>
      </c>
      <c r="D91" s="43" t="s">
        <v>14</v>
      </c>
      <c r="E91" s="43" t="s">
        <v>35</v>
      </c>
      <c r="F91" s="112" t="s">
        <v>155</v>
      </c>
      <c r="G91" s="43" t="s">
        <v>221</v>
      </c>
      <c r="H91" s="1">
        <f>I91+J91+K91+L91+M91+N91+O91+P91+Q91+R91+S91</f>
        <v>2760818.1</v>
      </c>
      <c r="I91" s="1">
        <f>I95+I96+I97+I98+I99+I100+I101+I102+I106+I108</f>
        <v>199480.8</v>
      </c>
      <c r="J91" s="1">
        <f t="shared" ref="J91:S91" si="30">J95+J96+J97+J98+J99+J100+J101+J102+J106+J108</f>
        <v>243877.1</v>
      </c>
      <c r="K91" s="1">
        <f t="shared" si="30"/>
        <v>250547.90000000002</v>
      </c>
      <c r="L91" s="1">
        <f t="shared" si="30"/>
        <v>265724.5</v>
      </c>
      <c r="M91" s="1">
        <f>M95+M96+M97+M98+M99+M100+M101+M102+M106+M108</f>
        <v>180433</v>
      </c>
      <c r="N91" s="31">
        <f t="shared" si="30"/>
        <v>116436</v>
      </c>
      <c r="O91" s="1">
        <f t="shared" si="30"/>
        <v>112408.79999999999</v>
      </c>
      <c r="P91" s="1">
        <f t="shared" si="30"/>
        <v>100131.2</v>
      </c>
      <c r="Q91" s="1">
        <f t="shared" si="30"/>
        <v>414403.80000000005</v>
      </c>
      <c r="R91" s="1">
        <f t="shared" si="30"/>
        <v>430379.9</v>
      </c>
      <c r="S91" s="1">
        <f t="shared" si="30"/>
        <v>446995.1</v>
      </c>
    </row>
    <row r="92" spans="1:22" x14ac:dyDescent="0.2">
      <c r="A92" s="106"/>
      <c r="B92" s="106"/>
      <c r="C92" s="47" t="s">
        <v>84</v>
      </c>
      <c r="D92" s="43" t="s">
        <v>14</v>
      </c>
      <c r="E92" s="43" t="s">
        <v>49</v>
      </c>
      <c r="F92" s="112"/>
      <c r="G92" s="43"/>
      <c r="H92" s="1">
        <f t="shared" si="28"/>
        <v>69814.900000000009</v>
      </c>
      <c r="I92" s="1">
        <f>I104</f>
        <v>28675.9</v>
      </c>
      <c r="J92" s="1">
        <f t="shared" ref="J92:S92" si="31">J104</f>
        <v>34239.4</v>
      </c>
      <c r="K92" s="1">
        <f t="shared" si="31"/>
        <v>6899.6</v>
      </c>
      <c r="L92" s="1">
        <f t="shared" si="31"/>
        <v>0</v>
      </c>
      <c r="M92" s="1">
        <f t="shared" si="31"/>
        <v>0</v>
      </c>
      <c r="N92" s="31">
        <f t="shared" si="31"/>
        <v>0</v>
      </c>
      <c r="O92" s="1">
        <f t="shared" si="31"/>
        <v>0</v>
      </c>
      <c r="P92" s="1">
        <f t="shared" si="31"/>
        <v>0</v>
      </c>
      <c r="Q92" s="1">
        <f t="shared" si="31"/>
        <v>0</v>
      </c>
      <c r="R92" s="1">
        <f t="shared" si="31"/>
        <v>0</v>
      </c>
      <c r="S92" s="1">
        <f t="shared" si="31"/>
        <v>0</v>
      </c>
    </row>
    <row r="93" spans="1:22" ht="48.75" customHeight="1" x14ac:dyDescent="0.2">
      <c r="A93" s="106"/>
      <c r="B93" s="106"/>
      <c r="C93" s="47" t="s">
        <v>89</v>
      </c>
      <c r="D93" s="43" t="s">
        <v>47</v>
      </c>
      <c r="E93" s="43" t="s">
        <v>35</v>
      </c>
      <c r="F93" s="112"/>
      <c r="G93" s="43"/>
      <c r="H93" s="1">
        <f t="shared" si="28"/>
        <v>11718.300000000001</v>
      </c>
      <c r="I93" s="1">
        <f>I105+I107</f>
        <v>0</v>
      </c>
      <c r="J93" s="1">
        <f t="shared" ref="J93:S93" si="32">J105+J107</f>
        <v>0</v>
      </c>
      <c r="K93" s="1">
        <f t="shared" si="32"/>
        <v>347.6</v>
      </c>
      <c r="L93" s="1">
        <f>L105+L107</f>
        <v>1989</v>
      </c>
      <c r="M93" s="1">
        <f>M105+M107</f>
        <v>9381.7000000000007</v>
      </c>
      <c r="N93" s="31">
        <f t="shared" si="32"/>
        <v>0</v>
      </c>
      <c r="O93" s="1">
        <f t="shared" si="32"/>
        <v>0</v>
      </c>
      <c r="P93" s="1">
        <f t="shared" si="32"/>
        <v>0</v>
      </c>
      <c r="Q93" s="1">
        <f t="shared" si="32"/>
        <v>0</v>
      </c>
      <c r="R93" s="1">
        <f t="shared" si="32"/>
        <v>0</v>
      </c>
      <c r="S93" s="1">
        <f t="shared" si="32"/>
        <v>0</v>
      </c>
    </row>
    <row r="94" spans="1:22" ht="52.5" customHeight="1" x14ac:dyDescent="0.2">
      <c r="A94" s="107"/>
      <c r="B94" s="107"/>
      <c r="C94" s="47" t="s">
        <v>89</v>
      </c>
      <c r="D94" s="43" t="s">
        <v>47</v>
      </c>
      <c r="E94" s="43" t="s">
        <v>49</v>
      </c>
      <c r="F94" s="112"/>
      <c r="G94" s="43" t="s">
        <v>37</v>
      </c>
      <c r="H94" s="1">
        <f t="shared" si="28"/>
        <v>1671.3</v>
      </c>
      <c r="I94" s="1">
        <f>I103</f>
        <v>0</v>
      </c>
      <c r="J94" s="1">
        <f t="shared" ref="J94:S94" si="33">J103</f>
        <v>1671.3</v>
      </c>
      <c r="K94" s="1">
        <f t="shared" si="33"/>
        <v>0</v>
      </c>
      <c r="L94" s="1">
        <f>L103</f>
        <v>0</v>
      </c>
      <c r="M94" s="1">
        <f t="shared" si="33"/>
        <v>0</v>
      </c>
      <c r="N94" s="31">
        <f t="shared" si="33"/>
        <v>0</v>
      </c>
      <c r="O94" s="1">
        <f t="shared" si="33"/>
        <v>0</v>
      </c>
      <c r="P94" s="1">
        <f t="shared" si="33"/>
        <v>0</v>
      </c>
      <c r="Q94" s="1">
        <f t="shared" si="33"/>
        <v>0</v>
      </c>
      <c r="R94" s="1">
        <f t="shared" si="33"/>
        <v>0</v>
      </c>
      <c r="S94" s="1">
        <f t="shared" si="33"/>
        <v>0</v>
      </c>
      <c r="V94" s="16">
        <f>M96+M97+M99+M101+M102+M105+M106+M107+M108+M109+M110</f>
        <v>192314.7</v>
      </c>
    </row>
    <row r="95" spans="1:22" ht="94.5" x14ac:dyDescent="0.2">
      <c r="A95" s="42" t="s">
        <v>123</v>
      </c>
      <c r="B95" s="42" t="s">
        <v>152</v>
      </c>
      <c r="C95" s="47" t="s">
        <v>84</v>
      </c>
      <c r="D95" s="43" t="s">
        <v>14</v>
      </c>
      <c r="E95" s="43" t="s">
        <v>35</v>
      </c>
      <c r="F95" s="44" t="s">
        <v>156</v>
      </c>
      <c r="G95" s="43" t="s">
        <v>36</v>
      </c>
      <c r="H95" s="1">
        <f t="shared" si="28"/>
        <v>42071.3</v>
      </c>
      <c r="I95" s="1">
        <v>42071.3</v>
      </c>
      <c r="J95" s="1">
        <v>0</v>
      </c>
      <c r="K95" s="1">
        <v>0</v>
      </c>
      <c r="L95" s="1">
        <v>0</v>
      </c>
      <c r="M95" s="1">
        <v>0</v>
      </c>
      <c r="N95" s="3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</row>
    <row r="96" spans="1:22" ht="110.25" x14ac:dyDescent="0.2">
      <c r="A96" s="42" t="s">
        <v>124</v>
      </c>
      <c r="B96" s="42" t="s">
        <v>135</v>
      </c>
      <c r="C96" s="47" t="s">
        <v>84</v>
      </c>
      <c r="D96" s="43" t="s">
        <v>14</v>
      </c>
      <c r="E96" s="43" t="s">
        <v>35</v>
      </c>
      <c r="F96" s="44" t="s">
        <v>200</v>
      </c>
      <c r="G96" s="43" t="s">
        <v>36</v>
      </c>
      <c r="H96" s="1">
        <f t="shared" si="28"/>
        <v>421461.00000000006</v>
      </c>
      <c r="I96" s="1">
        <v>0</v>
      </c>
      <c r="J96" s="1">
        <v>52211</v>
      </c>
      <c r="K96" s="1">
        <v>40056.800000000003</v>
      </c>
      <c r="L96" s="1">
        <v>54812.9</v>
      </c>
      <c r="M96" s="1">
        <f>33108.6+340</f>
        <v>33448.6</v>
      </c>
      <c r="N96" s="31">
        <v>0</v>
      </c>
      <c r="O96" s="1">
        <v>0</v>
      </c>
      <c r="P96" s="1">
        <v>0</v>
      </c>
      <c r="Q96" s="1">
        <v>77182.100000000006</v>
      </c>
      <c r="R96" s="1">
        <v>80269.399999999994</v>
      </c>
      <c r="S96" s="1">
        <v>83480.2</v>
      </c>
    </row>
    <row r="97" spans="1:21" ht="47.25" x14ac:dyDescent="0.2">
      <c r="A97" s="42" t="s">
        <v>126</v>
      </c>
      <c r="B97" s="42" t="s">
        <v>29</v>
      </c>
      <c r="C97" s="47" t="s">
        <v>84</v>
      </c>
      <c r="D97" s="43" t="s">
        <v>14</v>
      </c>
      <c r="E97" s="43" t="s">
        <v>35</v>
      </c>
      <c r="F97" s="44" t="s">
        <v>157</v>
      </c>
      <c r="G97" s="43" t="s">
        <v>37</v>
      </c>
      <c r="H97" s="1">
        <f t="shared" si="28"/>
        <v>825395.29999999993</v>
      </c>
      <c r="I97" s="1">
        <v>47997.7</v>
      </c>
      <c r="J97" s="1">
        <v>54818</v>
      </c>
      <c r="K97" s="1">
        <v>75015.600000000006</v>
      </c>
      <c r="L97" s="1">
        <v>70853</v>
      </c>
      <c r="M97" s="1">
        <f>74919.3-326.4</f>
        <v>74592.900000000009</v>
      </c>
      <c r="N97" s="38">
        <v>78197.5</v>
      </c>
      <c r="O97" s="3">
        <v>80801.2</v>
      </c>
      <c r="P97" s="1">
        <v>80801.2</v>
      </c>
      <c r="Q97" s="1">
        <v>84033.2</v>
      </c>
      <c r="R97" s="1">
        <v>87394.6</v>
      </c>
      <c r="S97" s="1">
        <v>90890.4</v>
      </c>
    </row>
    <row r="98" spans="1:21" ht="110.25" x14ac:dyDescent="0.2">
      <c r="A98" s="42" t="s">
        <v>127</v>
      </c>
      <c r="B98" s="42" t="s">
        <v>153</v>
      </c>
      <c r="C98" s="47" t="s">
        <v>84</v>
      </c>
      <c r="D98" s="43" t="s">
        <v>14</v>
      </c>
      <c r="E98" s="43" t="s">
        <v>35</v>
      </c>
      <c r="F98" s="44" t="s">
        <v>158</v>
      </c>
      <c r="G98" s="43" t="s">
        <v>36</v>
      </c>
      <c r="H98" s="1">
        <f t="shared" si="28"/>
        <v>25746.6</v>
      </c>
      <c r="I98" s="1">
        <v>25746.6</v>
      </c>
      <c r="J98" s="1">
        <v>0</v>
      </c>
      <c r="K98" s="1">
        <v>0</v>
      </c>
      <c r="L98" s="1">
        <v>0</v>
      </c>
      <c r="M98" s="1">
        <v>0</v>
      </c>
      <c r="N98" s="3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</row>
    <row r="99" spans="1:21" ht="126" x14ac:dyDescent="0.2">
      <c r="A99" s="42" t="s">
        <v>128</v>
      </c>
      <c r="B99" s="42" t="s">
        <v>136</v>
      </c>
      <c r="C99" s="47" t="s">
        <v>84</v>
      </c>
      <c r="D99" s="43" t="s">
        <v>14</v>
      </c>
      <c r="E99" s="43" t="s">
        <v>35</v>
      </c>
      <c r="F99" s="44" t="s">
        <v>199</v>
      </c>
      <c r="G99" s="43" t="s">
        <v>36</v>
      </c>
      <c r="H99" s="1">
        <f t="shared" si="28"/>
        <v>379947.60000000003</v>
      </c>
      <c r="I99" s="1">
        <v>0</v>
      </c>
      <c r="J99" s="1">
        <v>36667.5</v>
      </c>
      <c r="K99" s="1">
        <v>33267.5</v>
      </c>
      <c r="L99" s="1">
        <v>35169.599999999999</v>
      </c>
      <c r="M99" s="1">
        <f>23852.9-1792.3</f>
        <v>22060.600000000002</v>
      </c>
      <c r="N99" s="31">
        <v>0</v>
      </c>
      <c r="O99" s="1">
        <v>0</v>
      </c>
      <c r="P99" s="1">
        <v>0</v>
      </c>
      <c r="Q99" s="1">
        <v>80978.5</v>
      </c>
      <c r="R99" s="1">
        <v>84217.600000000006</v>
      </c>
      <c r="S99" s="1">
        <v>87586.3</v>
      </c>
    </row>
    <row r="100" spans="1:21" ht="205.5" customHeight="1" x14ac:dyDescent="0.2">
      <c r="A100" s="42" t="s">
        <v>206</v>
      </c>
      <c r="B100" s="42" t="s">
        <v>228</v>
      </c>
      <c r="C100" s="47" t="s">
        <v>84</v>
      </c>
      <c r="D100" s="43" t="s">
        <v>14</v>
      </c>
      <c r="E100" s="43" t="s">
        <v>35</v>
      </c>
      <c r="F100" s="44" t="s">
        <v>159</v>
      </c>
      <c r="G100" s="43" t="s">
        <v>36</v>
      </c>
      <c r="H100" s="1">
        <f t="shared" si="28"/>
        <v>62441</v>
      </c>
      <c r="I100" s="1">
        <v>62441</v>
      </c>
      <c r="J100" s="1">
        <v>0</v>
      </c>
      <c r="K100" s="1">
        <v>0</v>
      </c>
      <c r="L100" s="1">
        <v>0</v>
      </c>
      <c r="M100" s="1">
        <v>0</v>
      </c>
      <c r="N100" s="3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</row>
    <row r="101" spans="1:21" ht="218.25" customHeight="1" x14ac:dyDescent="0.2">
      <c r="A101" s="42" t="s">
        <v>207</v>
      </c>
      <c r="B101" s="42" t="s">
        <v>229</v>
      </c>
      <c r="C101" s="47" t="s">
        <v>84</v>
      </c>
      <c r="D101" s="15" t="s">
        <v>14</v>
      </c>
      <c r="E101" s="15" t="s">
        <v>35</v>
      </c>
      <c r="F101" s="44" t="s">
        <v>198</v>
      </c>
      <c r="G101" s="43" t="s">
        <v>36</v>
      </c>
      <c r="H101" s="1">
        <f t="shared" si="28"/>
        <v>650729.59999999986</v>
      </c>
      <c r="I101" s="1">
        <v>1932.4</v>
      </c>
      <c r="J101" s="1">
        <v>76373.399999999994</v>
      </c>
      <c r="K101" s="1">
        <v>73973.399999999994</v>
      </c>
      <c r="L101" s="1">
        <v>75506</v>
      </c>
      <c r="M101" s="1">
        <f>21398.5-6491.1</f>
        <v>14907.4</v>
      </c>
      <c r="N101" s="31">
        <v>0</v>
      </c>
      <c r="O101" s="1">
        <v>0</v>
      </c>
      <c r="P101" s="1">
        <v>0</v>
      </c>
      <c r="Q101" s="1">
        <v>130714.1</v>
      </c>
      <c r="R101" s="1">
        <v>135942.6</v>
      </c>
      <c r="S101" s="1">
        <v>141380.29999999999</v>
      </c>
    </row>
    <row r="102" spans="1:21" ht="47.25" x14ac:dyDescent="0.2">
      <c r="A102" s="42" t="s">
        <v>266</v>
      </c>
      <c r="B102" s="42" t="s">
        <v>53</v>
      </c>
      <c r="C102" s="42" t="s">
        <v>84</v>
      </c>
      <c r="D102" s="43" t="s">
        <v>14</v>
      </c>
      <c r="E102" s="43" t="s">
        <v>35</v>
      </c>
      <c r="F102" s="44" t="s">
        <v>160</v>
      </c>
      <c r="G102" s="43" t="s">
        <v>37</v>
      </c>
      <c r="H102" s="1">
        <f t="shared" si="28"/>
        <v>247865.4</v>
      </c>
      <c r="I102" s="1">
        <v>19291.8</v>
      </c>
      <c r="J102" s="1">
        <v>23807.200000000001</v>
      </c>
      <c r="K102" s="1">
        <v>28234.6</v>
      </c>
      <c r="L102" s="1">
        <v>22369.4</v>
      </c>
      <c r="M102" s="1">
        <v>22792.7</v>
      </c>
      <c r="N102" s="31">
        <v>18632.599999999999</v>
      </c>
      <c r="O102" s="1">
        <v>18632.599999999999</v>
      </c>
      <c r="P102" s="1">
        <v>11395</v>
      </c>
      <c r="Q102" s="1">
        <v>26495.9</v>
      </c>
      <c r="R102" s="1">
        <v>27555.7</v>
      </c>
      <c r="S102" s="1">
        <v>28657.9</v>
      </c>
      <c r="U102" s="16">
        <f>S102-Q102</f>
        <v>2162</v>
      </c>
    </row>
    <row r="103" spans="1:21" ht="60.75" customHeight="1" x14ac:dyDescent="0.2">
      <c r="A103" s="105" t="s">
        <v>267</v>
      </c>
      <c r="B103" s="105" t="s">
        <v>250</v>
      </c>
      <c r="C103" s="42" t="s">
        <v>89</v>
      </c>
      <c r="D103" s="43" t="s">
        <v>47</v>
      </c>
      <c r="E103" s="43" t="s">
        <v>49</v>
      </c>
      <c r="F103" s="44" t="s">
        <v>161</v>
      </c>
      <c r="G103" s="43" t="s">
        <v>37</v>
      </c>
      <c r="H103" s="1">
        <f t="shared" si="28"/>
        <v>1671.3</v>
      </c>
      <c r="I103" s="1">
        <v>0</v>
      </c>
      <c r="J103" s="1">
        <v>1671.3</v>
      </c>
      <c r="K103" s="1">
        <v>0</v>
      </c>
      <c r="L103" s="1">
        <v>0</v>
      </c>
      <c r="M103" s="1">
        <v>0</v>
      </c>
      <c r="N103" s="3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</row>
    <row r="104" spans="1:21" ht="31.5" customHeight="1" x14ac:dyDescent="0.2">
      <c r="A104" s="106"/>
      <c r="B104" s="106"/>
      <c r="C104" s="47" t="s">
        <v>84</v>
      </c>
      <c r="D104" s="43" t="s">
        <v>14</v>
      </c>
      <c r="E104" s="43" t="s">
        <v>49</v>
      </c>
      <c r="F104" s="44" t="s">
        <v>161</v>
      </c>
      <c r="G104" s="43" t="s">
        <v>37</v>
      </c>
      <c r="H104" s="1">
        <f t="shared" si="28"/>
        <v>69814.900000000009</v>
      </c>
      <c r="I104" s="1">
        <v>28675.9</v>
      </c>
      <c r="J104" s="1">
        <v>34239.4</v>
      </c>
      <c r="K104" s="1">
        <v>6899.6</v>
      </c>
      <c r="L104" s="1">
        <v>0</v>
      </c>
      <c r="M104" s="1">
        <v>0</v>
      </c>
      <c r="N104" s="3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</row>
    <row r="105" spans="1:21" ht="54" customHeight="1" x14ac:dyDescent="0.2">
      <c r="A105" s="106"/>
      <c r="B105" s="106"/>
      <c r="C105" s="42" t="s">
        <v>89</v>
      </c>
      <c r="D105" s="43" t="s">
        <v>47</v>
      </c>
      <c r="E105" s="43" t="s">
        <v>35</v>
      </c>
      <c r="F105" s="44" t="s">
        <v>161</v>
      </c>
      <c r="G105" s="43"/>
      <c r="H105" s="1">
        <f t="shared" si="28"/>
        <v>10767.300000000001</v>
      </c>
      <c r="I105" s="1">
        <v>0</v>
      </c>
      <c r="J105" s="1">
        <v>0</v>
      </c>
      <c r="K105" s="1">
        <v>0</v>
      </c>
      <c r="L105" s="1">
        <v>1399.6</v>
      </c>
      <c r="M105" s="1">
        <f>10975-1607.3</f>
        <v>9367.7000000000007</v>
      </c>
      <c r="N105" s="3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</row>
    <row r="106" spans="1:21" ht="53.25" customHeight="1" x14ac:dyDescent="0.2">
      <c r="A106" s="107"/>
      <c r="B106" s="107"/>
      <c r="C106" s="47" t="s">
        <v>84</v>
      </c>
      <c r="D106" s="43" t="s">
        <v>14</v>
      </c>
      <c r="E106" s="43" t="s">
        <v>35</v>
      </c>
      <c r="F106" s="44" t="s">
        <v>161</v>
      </c>
      <c r="G106" s="43"/>
      <c r="H106" s="1">
        <f t="shared" si="28"/>
        <v>101762.9</v>
      </c>
      <c r="I106" s="1">
        <v>0</v>
      </c>
      <c r="J106" s="1">
        <v>0</v>
      </c>
      <c r="K106" s="1">
        <v>0</v>
      </c>
      <c r="L106" s="1">
        <v>7013.6</v>
      </c>
      <c r="M106" s="1">
        <f>9839-605.6</f>
        <v>9233.4</v>
      </c>
      <c r="N106" s="52">
        <f>15000+5950-3250+1905.9</f>
        <v>19605.900000000001</v>
      </c>
      <c r="O106" s="1">
        <v>12975</v>
      </c>
      <c r="P106" s="1">
        <v>7935</v>
      </c>
      <c r="Q106" s="1">
        <v>15000</v>
      </c>
      <c r="R106" s="1">
        <v>15000</v>
      </c>
      <c r="S106" s="1">
        <v>15000</v>
      </c>
    </row>
    <row r="107" spans="1:21" ht="64.5" customHeight="1" x14ac:dyDescent="0.2">
      <c r="A107" s="42" t="s">
        <v>268</v>
      </c>
      <c r="B107" s="42" t="s">
        <v>242</v>
      </c>
      <c r="C107" s="42" t="s">
        <v>89</v>
      </c>
      <c r="D107" s="43" t="s">
        <v>47</v>
      </c>
      <c r="E107" s="43" t="s">
        <v>35</v>
      </c>
      <c r="F107" s="44" t="s">
        <v>243</v>
      </c>
      <c r="G107" s="43"/>
      <c r="H107" s="1">
        <f t="shared" si="28"/>
        <v>951</v>
      </c>
      <c r="I107" s="1">
        <v>0</v>
      </c>
      <c r="J107" s="1">
        <v>0</v>
      </c>
      <c r="K107" s="1">
        <v>347.6</v>
      </c>
      <c r="L107" s="1">
        <v>589.4</v>
      </c>
      <c r="M107" s="1">
        <v>14</v>
      </c>
      <c r="N107" s="3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</row>
    <row r="108" spans="1:21" ht="64.5" customHeight="1" x14ac:dyDescent="0.2">
      <c r="A108" s="42" t="s">
        <v>307</v>
      </c>
      <c r="B108" s="41" t="s">
        <v>308</v>
      </c>
      <c r="C108" s="47" t="s">
        <v>84</v>
      </c>
      <c r="D108" s="43" t="s">
        <v>14</v>
      </c>
      <c r="E108" s="43" t="s">
        <v>35</v>
      </c>
      <c r="F108" s="44" t="s">
        <v>309</v>
      </c>
      <c r="G108" s="43"/>
      <c r="H108" s="1">
        <f>I108+J108+K108+L108+M108+N108+O108+P108+Q108+R108+S108</f>
        <v>3397.4</v>
      </c>
      <c r="I108" s="1">
        <v>0</v>
      </c>
      <c r="J108" s="1">
        <v>0</v>
      </c>
      <c r="K108" s="1">
        <v>0</v>
      </c>
      <c r="L108" s="1">
        <v>0</v>
      </c>
      <c r="M108" s="4">
        <v>3397.4</v>
      </c>
      <c r="N108" s="3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</row>
    <row r="109" spans="1:21" ht="48.75" customHeight="1" x14ac:dyDescent="0.2">
      <c r="A109" s="105" t="s">
        <v>282</v>
      </c>
      <c r="B109" s="105" t="s">
        <v>283</v>
      </c>
      <c r="C109" s="42" t="s">
        <v>89</v>
      </c>
      <c r="D109" s="43" t="s">
        <v>47</v>
      </c>
      <c r="E109" s="43" t="s">
        <v>35</v>
      </c>
      <c r="F109" s="44" t="s">
        <v>287</v>
      </c>
      <c r="G109" s="43"/>
      <c r="H109" s="1">
        <f t="shared" si="28"/>
        <v>2348.8999999999996</v>
      </c>
      <c r="I109" s="1">
        <v>0</v>
      </c>
      <c r="J109" s="1">
        <v>0</v>
      </c>
      <c r="K109" s="1">
        <v>0</v>
      </c>
      <c r="L109" s="1">
        <v>0</v>
      </c>
      <c r="M109" s="1">
        <f>M111</f>
        <v>1072.3</v>
      </c>
      <c r="N109" s="31">
        <f>N111</f>
        <v>1276.5999999999999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</row>
    <row r="110" spans="1:21" ht="43.5" customHeight="1" x14ac:dyDescent="0.2">
      <c r="A110" s="107"/>
      <c r="B110" s="107"/>
      <c r="C110" s="47" t="s">
        <v>84</v>
      </c>
      <c r="D110" s="43" t="s">
        <v>14</v>
      </c>
      <c r="E110" s="43" t="s">
        <v>35</v>
      </c>
      <c r="F110" s="44" t="s">
        <v>287</v>
      </c>
      <c r="G110" s="43"/>
      <c r="H110" s="1">
        <f t="shared" si="28"/>
        <v>1427.7</v>
      </c>
      <c r="I110" s="1">
        <v>0</v>
      </c>
      <c r="J110" s="1">
        <v>0</v>
      </c>
      <c r="K110" s="1">
        <v>0</v>
      </c>
      <c r="L110" s="1">
        <v>0</v>
      </c>
      <c r="M110" s="1">
        <f>M112</f>
        <v>1427.7</v>
      </c>
      <c r="N110" s="31">
        <f>N112</f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U110" s="16">
        <f>M109+M110</f>
        <v>2500</v>
      </c>
    </row>
    <row r="111" spans="1:21" ht="54" customHeight="1" x14ac:dyDescent="0.2">
      <c r="A111" s="105" t="s">
        <v>284</v>
      </c>
      <c r="B111" s="105" t="s">
        <v>285</v>
      </c>
      <c r="C111" s="42" t="s">
        <v>89</v>
      </c>
      <c r="D111" s="43" t="s">
        <v>47</v>
      </c>
      <c r="E111" s="43" t="s">
        <v>35</v>
      </c>
      <c r="F111" s="44" t="s">
        <v>286</v>
      </c>
      <c r="G111" s="43"/>
      <c r="H111" s="1">
        <f t="shared" si="28"/>
        <v>2348.8999999999996</v>
      </c>
      <c r="I111" s="1">
        <v>0</v>
      </c>
      <c r="J111" s="1">
        <v>0</v>
      </c>
      <c r="K111" s="1">
        <v>0</v>
      </c>
      <c r="L111" s="1">
        <v>0</v>
      </c>
      <c r="M111" s="1">
        <v>1072.3</v>
      </c>
      <c r="N111" s="52">
        <v>1276.5999999999999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</row>
    <row r="112" spans="1:21" ht="27.75" customHeight="1" x14ac:dyDescent="0.2">
      <c r="A112" s="107"/>
      <c r="B112" s="107"/>
      <c r="C112" s="47" t="s">
        <v>84</v>
      </c>
      <c r="D112" s="43" t="s">
        <v>14</v>
      </c>
      <c r="E112" s="43" t="s">
        <v>35</v>
      </c>
      <c r="F112" s="44" t="s">
        <v>286</v>
      </c>
      <c r="G112" s="43"/>
      <c r="H112" s="1">
        <f t="shared" si="28"/>
        <v>1427.7</v>
      </c>
      <c r="I112" s="1">
        <v>0</v>
      </c>
      <c r="J112" s="1">
        <v>0</v>
      </c>
      <c r="K112" s="1">
        <v>0</v>
      </c>
      <c r="L112" s="1">
        <v>0</v>
      </c>
      <c r="M112" s="1">
        <v>1427.7</v>
      </c>
      <c r="N112" s="3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</row>
    <row r="113" spans="1:19" ht="19.5" customHeight="1" x14ac:dyDescent="0.2">
      <c r="A113" s="118" t="s">
        <v>42</v>
      </c>
      <c r="B113" s="104" t="s">
        <v>327</v>
      </c>
      <c r="C113" s="49" t="s">
        <v>43</v>
      </c>
      <c r="D113" s="43" t="s">
        <v>14</v>
      </c>
      <c r="E113" s="43"/>
      <c r="F113" s="45"/>
      <c r="G113" s="18"/>
      <c r="H113" s="2">
        <f t="shared" ref="H113:H120" si="34">I113+J113+K113+L113+M113+N113+O113+P113+Q113+R113+S113</f>
        <v>464526.31550079992</v>
      </c>
      <c r="I113" s="2">
        <f>I118+I119+I120</f>
        <v>31873.5</v>
      </c>
      <c r="J113" s="2">
        <f t="shared" ref="J113:S113" si="35">J118+J119+J120</f>
        <v>32215.200000000001</v>
      </c>
      <c r="K113" s="2">
        <f t="shared" si="35"/>
        <v>32536.1</v>
      </c>
      <c r="L113" s="2">
        <f t="shared" si="35"/>
        <v>34467.4</v>
      </c>
      <c r="M113" s="2">
        <f t="shared" si="35"/>
        <v>42249.100000000006</v>
      </c>
      <c r="N113" s="35">
        <f t="shared" si="35"/>
        <v>51221.4</v>
      </c>
      <c r="O113" s="2">
        <f t="shared" si="35"/>
        <v>44362</v>
      </c>
      <c r="P113" s="2">
        <f t="shared" si="35"/>
        <v>46064.700000000004</v>
      </c>
      <c r="Q113" s="2">
        <f t="shared" si="35"/>
        <v>47905.588000000003</v>
      </c>
      <c r="R113" s="2">
        <f t="shared" si="35"/>
        <v>49820.111520000006</v>
      </c>
      <c r="S113" s="2">
        <f t="shared" si="35"/>
        <v>51811.215980800007</v>
      </c>
    </row>
    <row r="114" spans="1:19" ht="147.75" customHeight="1" x14ac:dyDescent="0.2">
      <c r="A114" s="118"/>
      <c r="B114" s="104"/>
      <c r="C114" s="47" t="s">
        <v>84</v>
      </c>
      <c r="D114" s="43" t="s">
        <v>14</v>
      </c>
      <c r="E114" s="43" t="s">
        <v>41</v>
      </c>
      <c r="F114" s="45" t="s">
        <v>163</v>
      </c>
      <c r="G114" s="39" t="s">
        <v>222</v>
      </c>
      <c r="H114" s="1">
        <f t="shared" si="34"/>
        <v>464526.31550079992</v>
      </c>
      <c r="I114" s="1">
        <f t="shared" ref="I114:S114" si="36">I115+I116+I117</f>
        <v>31873.5</v>
      </c>
      <c r="J114" s="1">
        <f t="shared" si="36"/>
        <v>32215.200000000001</v>
      </c>
      <c r="K114" s="1">
        <f t="shared" si="36"/>
        <v>32536.1</v>
      </c>
      <c r="L114" s="1">
        <f t="shared" si="36"/>
        <v>34467.4</v>
      </c>
      <c r="M114" s="1">
        <f t="shared" si="36"/>
        <v>42249.100000000006</v>
      </c>
      <c r="N114" s="31">
        <f t="shared" si="36"/>
        <v>51221.4</v>
      </c>
      <c r="O114" s="1">
        <f t="shared" si="36"/>
        <v>44362</v>
      </c>
      <c r="P114" s="1">
        <f t="shared" si="36"/>
        <v>46064.700000000004</v>
      </c>
      <c r="Q114" s="1">
        <f t="shared" si="36"/>
        <v>47905.588000000003</v>
      </c>
      <c r="R114" s="1">
        <f t="shared" si="36"/>
        <v>49820.111520000006</v>
      </c>
      <c r="S114" s="1">
        <f t="shared" si="36"/>
        <v>51811.215980800007</v>
      </c>
    </row>
    <row r="115" spans="1:19" ht="18.75" customHeight="1" x14ac:dyDescent="0.2">
      <c r="A115" s="116" t="s">
        <v>334</v>
      </c>
      <c r="B115" s="108" t="s">
        <v>144</v>
      </c>
      <c r="C115" s="111" t="s">
        <v>84</v>
      </c>
      <c r="D115" s="103" t="s">
        <v>14</v>
      </c>
      <c r="E115" s="103" t="s">
        <v>41</v>
      </c>
      <c r="F115" s="113" t="s">
        <v>164</v>
      </c>
      <c r="G115" s="43" t="s">
        <v>54</v>
      </c>
      <c r="H115" s="1">
        <f t="shared" si="34"/>
        <v>443609.20632960001</v>
      </c>
      <c r="I115" s="1">
        <f>I118</f>
        <v>30019.1</v>
      </c>
      <c r="J115" s="1">
        <f t="shared" ref="J115:Q115" si="37">J118</f>
        <v>30480.400000000001</v>
      </c>
      <c r="K115" s="1">
        <f t="shared" si="37"/>
        <v>30933.1</v>
      </c>
      <c r="L115" s="1">
        <f t="shared" si="37"/>
        <v>31975.7</v>
      </c>
      <c r="M115" s="1">
        <f t="shared" si="37"/>
        <v>40154.400000000001</v>
      </c>
      <c r="N115" s="31">
        <f t="shared" si="37"/>
        <v>49480.9</v>
      </c>
      <c r="O115" s="1">
        <f t="shared" si="37"/>
        <v>42568.7</v>
      </c>
      <c r="P115" s="1">
        <f t="shared" si="37"/>
        <v>44271.4</v>
      </c>
      <c r="Q115" s="1">
        <f t="shared" si="37"/>
        <v>46042.256000000001</v>
      </c>
      <c r="R115" s="1">
        <f>Q115*104%</f>
        <v>47883.946240000005</v>
      </c>
      <c r="S115" s="1">
        <f>R115*104%</f>
        <v>49799.304089600009</v>
      </c>
    </row>
    <row r="116" spans="1:19" ht="20.25" customHeight="1" x14ac:dyDescent="0.25">
      <c r="A116" s="116"/>
      <c r="B116" s="109"/>
      <c r="C116" s="111"/>
      <c r="D116" s="103"/>
      <c r="E116" s="103"/>
      <c r="F116" s="113"/>
      <c r="G116" s="28">
        <v>200</v>
      </c>
      <c r="H116" s="1">
        <f t="shared" si="34"/>
        <v>20656.2091712</v>
      </c>
      <c r="I116" s="1">
        <f>I119</f>
        <v>1852.9</v>
      </c>
      <c r="J116" s="1">
        <f t="shared" ref="J116:Q116" si="38">J119</f>
        <v>1734.8</v>
      </c>
      <c r="K116" s="1">
        <f t="shared" si="38"/>
        <v>1603</v>
      </c>
      <c r="L116" s="1">
        <f t="shared" si="38"/>
        <v>2487.6999999999998</v>
      </c>
      <c r="M116" s="1">
        <f t="shared" si="38"/>
        <v>2094.3000000000002</v>
      </c>
      <c r="N116" s="31">
        <f t="shared" si="38"/>
        <v>1698</v>
      </c>
      <c r="O116" s="1">
        <f t="shared" si="38"/>
        <v>1750.8</v>
      </c>
      <c r="P116" s="1">
        <f t="shared" si="38"/>
        <v>1750.8</v>
      </c>
      <c r="Q116" s="1">
        <f t="shared" si="38"/>
        <v>1820.8320000000001</v>
      </c>
      <c r="R116" s="1">
        <f>Q116*104%</f>
        <v>1893.6652800000002</v>
      </c>
      <c r="S116" s="1">
        <f>R116*104%</f>
        <v>1969.4118912000001</v>
      </c>
    </row>
    <row r="117" spans="1:19" ht="14.25" customHeight="1" x14ac:dyDescent="0.25">
      <c r="A117" s="116"/>
      <c r="B117" s="110"/>
      <c r="C117" s="111"/>
      <c r="D117" s="103"/>
      <c r="E117" s="103"/>
      <c r="F117" s="113"/>
      <c r="G117" s="28">
        <v>800</v>
      </c>
      <c r="H117" s="1">
        <f t="shared" si="34"/>
        <v>260.89999999999998</v>
      </c>
      <c r="I117" s="1">
        <f>I120</f>
        <v>1.5</v>
      </c>
      <c r="J117" s="1">
        <f t="shared" ref="J117:S117" si="39">J120</f>
        <v>0</v>
      </c>
      <c r="K117" s="1">
        <f t="shared" si="39"/>
        <v>0</v>
      </c>
      <c r="L117" s="1">
        <f t="shared" si="39"/>
        <v>4</v>
      </c>
      <c r="M117" s="1">
        <f t="shared" si="39"/>
        <v>0.4</v>
      </c>
      <c r="N117" s="31">
        <f t="shared" si="39"/>
        <v>42.5</v>
      </c>
      <c r="O117" s="1">
        <f t="shared" si="39"/>
        <v>42.5</v>
      </c>
      <c r="P117" s="1">
        <f t="shared" si="39"/>
        <v>42.5</v>
      </c>
      <c r="Q117" s="1">
        <f t="shared" si="39"/>
        <v>42.5</v>
      </c>
      <c r="R117" s="1">
        <f t="shared" si="39"/>
        <v>42.5</v>
      </c>
      <c r="S117" s="1">
        <f t="shared" si="39"/>
        <v>42.5</v>
      </c>
    </row>
    <row r="118" spans="1:19" ht="18.75" customHeight="1" x14ac:dyDescent="0.2">
      <c r="A118" s="105" t="s">
        <v>143</v>
      </c>
      <c r="B118" s="105" t="s">
        <v>56</v>
      </c>
      <c r="C118" s="116" t="s">
        <v>84</v>
      </c>
      <c r="D118" s="103" t="s">
        <v>14</v>
      </c>
      <c r="E118" s="103" t="s">
        <v>41</v>
      </c>
      <c r="F118" s="112" t="s">
        <v>211</v>
      </c>
      <c r="G118" s="43" t="s">
        <v>54</v>
      </c>
      <c r="H118" s="1">
        <f t="shared" si="34"/>
        <v>443609.20632960001</v>
      </c>
      <c r="I118" s="1">
        <v>30019.1</v>
      </c>
      <c r="J118" s="1">
        <v>30480.400000000001</v>
      </c>
      <c r="K118" s="1">
        <v>30933.1</v>
      </c>
      <c r="L118" s="1">
        <v>31975.7</v>
      </c>
      <c r="M118" s="1">
        <f>32897.1+2933.9+379.5+3293.9+650</f>
        <v>40154.400000000001</v>
      </c>
      <c r="N118" s="31">
        <f>40908.6+7821.5+750.8</f>
        <v>49480.9</v>
      </c>
      <c r="O118" s="1">
        <v>42568.7</v>
      </c>
      <c r="P118" s="1">
        <v>44271.4</v>
      </c>
      <c r="Q118" s="1">
        <f t="shared" ref="Q118:S119" si="40">P118*104%</f>
        <v>46042.256000000001</v>
      </c>
      <c r="R118" s="1">
        <f t="shared" si="40"/>
        <v>47883.946240000005</v>
      </c>
      <c r="S118" s="1">
        <f t="shared" si="40"/>
        <v>49799.304089600009</v>
      </c>
    </row>
    <row r="119" spans="1:19" ht="25.5" customHeight="1" x14ac:dyDescent="0.25">
      <c r="A119" s="106"/>
      <c r="B119" s="106"/>
      <c r="C119" s="116"/>
      <c r="D119" s="103"/>
      <c r="E119" s="103"/>
      <c r="F119" s="112"/>
      <c r="G119" s="28">
        <v>200</v>
      </c>
      <c r="H119" s="1">
        <f t="shared" si="34"/>
        <v>20656.2091712</v>
      </c>
      <c r="I119" s="3">
        <v>1852.9</v>
      </c>
      <c r="J119" s="1">
        <v>1734.8</v>
      </c>
      <c r="K119" s="3">
        <v>1603</v>
      </c>
      <c r="L119" s="3">
        <v>2487.6999999999998</v>
      </c>
      <c r="M119" s="3">
        <f>1790.3+300+4</f>
        <v>2094.3000000000002</v>
      </c>
      <c r="N119" s="38">
        <v>1698</v>
      </c>
      <c r="O119" s="3">
        <v>1750.8</v>
      </c>
      <c r="P119" s="3">
        <v>1750.8</v>
      </c>
      <c r="Q119" s="3">
        <f t="shared" si="40"/>
        <v>1820.8320000000001</v>
      </c>
      <c r="R119" s="3">
        <f t="shared" si="40"/>
        <v>1893.6652800000002</v>
      </c>
      <c r="S119" s="3">
        <f t="shared" si="40"/>
        <v>1969.4118912000001</v>
      </c>
    </row>
    <row r="120" spans="1:19" ht="44.25" customHeight="1" x14ac:dyDescent="0.25">
      <c r="A120" s="107"/>
      <c r="B120" s="107"/>
      <c r="C120" s="116"/>
      <c r="D120" s="103"/>
      <c r="E120" s="103"/>
      <c r="F120" s="112"/>
      <c r="G120" s="28">
        <v>800</v>
      </c>
      <c r="H120" s="1">
        <f t="shared" si="34"/>
        <v>260.89999999999998</v>
      </c>
      <c r="I120" s="3">
        <v>1.5</v>
      </c>
      <c r="J120" s="3">
        <v>0</v>
      </c>
      <c r="K120" s="3">
        <v>0</v>
      </c>
      <c r="L120" s="3">
        <v>4</v>
      </c>
      <c r="M120" s="3">
        <v>0.4</v>
      </c>
      <c r="N120" s="38">
        <v>42.5</v>
      </c>
      <c r="O120" s="3">
        <v>42.5</v>
      </c>
      <c r="P120" s="3">
        <v>42.5</v>
      </c>
      <c r="Q120" s="3">
        <v>42.5</v>
      </c>
      <c r="R120" s="3">
        <v>42.5</v>
      </c>
      <c r="S120" s="3">
        <v>42.5</v>
      </c>
    </row>
    <row r="124" spans="1:19" x14ac:dyDescent="0.25">
      <c r="K124" s="29"/>
    </row>
    <row r="126" spans="1:19" x14ac:dyDescent="0.25">
      <c r="K126" s="29"/>
    </row>
  </sheetData>
  <autoFilter ref="A6:S120">
    <filterColumn colId="3" showButton="0"/>
    <filterColumn colId="4" showButton="0"/>
    <filterColumn colId="5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</autoFilter>
  <mergeCells count="52">
    <mergeCell ref="C6:C7"/>
    <mergeCell ref="O1:S1"/>
    <mergeCell ref="O2:S2"/>
    <mergeCell ref="B3:R3"/>
    <mergeCell ref="B4:Q4"/>
    <mergeCell ref="B43:B44"/>
    <mergeCell ref="B16:B17"/>
    <mergeCell ref="H6:S6"/>
    <mergeCell ref="A43:A44"/>
    <mergeCell ref="A77:A80"/>
    <mergeCell ref="B77:B80"/>
    <mergeCell ref="A73:A74"/>
    <mergeCell ref="B73:B74"/>
    <mergeCell ref="D6:G6"/>
    <mergeCell ref="A13:A15"/>
    <mergeCell ref="A6:A7"/>
    <mergeCell ref="A9:A12"/>
    <mergeCell ref="B6:B7"/>
    <mergeCell ref="A16:A17"/>
    <mergeCell ref="B9:B12"/>
    <mergeCell ref="B13:B15"/>
    <mergeCell ref="A118:A120"/>
    <mergeCell ref="A111:A112"/>
    <mergeCell ref="B111:B112"/>
    <mergeCell ref="D115:D117"/>
    <mergeCell ref="C118:C120"/>
    <mergeCell ref="A113:A114"/>
    <mergeCell ref="B118:B120"/>
    <mergeCell ref="A115:A117"/>
    <mergeCell ref="D118:D120"/>
    <mergeCell ref="A109:A110"/>
    <mergeCell ref="A91:A94"/>
    <mergeCell ref="B91:B94"/>
    <mergeCell ref="A103:A106"/>
    <mergeCell ref="A81:A84"/>
    <mergeCell ref="B109:B110"/>
    <mergeCell ref="A88:A90"/>
    <mergeCell ref="A85:A86"/>
    <mergeCell ref="B81:B84"/>
    <mergeCell ref="B88:B90"/>
    <mergeCell ref="B85:B86"/>
    <mergeCell ref="F82:F84"/>
    <mergeCell ref="F91:F94"/>
    <mergeCell ref="F118:F120"/>
    <mergeCell ref="F115:F117"/>
    <mergeCell ref="F89:F90"/>
    <mergeCell ref="E115:E117"/>
    <mergeCell ref="B113:B114"/>
    <mergeCell ref="E118:E120"/>
    <mergeCell ref="B103:B106"/>
    <mergeCell ref="B115:B117"/>
    <mergeCell ref="C115:C117"/>
  </mergeCells>
  <phoneticPr fontId="0" type="noConversion"/>
  <printOptions horizontalCentered="1"/>
  <pageMargins left="0" right="0" top="0.19685039370078741" bottom="0.19685039370078741" header="0.51181102362204722" footer="0.51181102362204722"/>
  <pageSetup paperSize="9" scale="60" fitToHeight="10" orientation="landscape" r:id="rId1"/>
  <headerFooter alignWithMargins="0"/>
  <rowBreaks count="2" manualBreakCount="2">
    <brk id="100" max="18" man="1"/>
    <brk id="114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718"/>
  <sheetViews>
    <sheetView tabSelected="1" view="pageBreakPreview" zoomScale="70" zoomScaleNormal="85" zoomScaleSheetLayoutView="70" workbookViewId="0">
      <pane xSplit="2" ySplit="7" topLeftCell="E551" activePane="bottomRight" state="frozen"/>
      <selection pane="topRight" activeCell="C1" sqref="C1"/>
      <selection pane="bottomLeft" activeCell="A8" sqref="A8"/>
      <selection pane="bottomRight" activeCell="E565" sqref="E565"/>
    </sheetView>
  </sheetViews>
  <sheetFormatPr defaultColWidth="9.140625" defaultRowHeight="12.75" x14ac:dyDescent="0.2"/>
  <cols>
    <col min="1" max="1" width="35.42578125" style="60" customWidth="1"/>
    <col min="2" max="2" width="54.28515625" style="61" customWidth="1"/>
    <col min="3" max="3" width="27.5703125" style="60" customWidth="1"/>
    <col min="4" max="4" width="14.140625" style="64" customWidth="1"/>
    <col min="5" max="5" width="12.5703125" style="64" customWidth="1"/>
    <col min="6" max="6" width="11.42578125" style="64" customWidth="1"/>
    <col min="7" max="7" width="11.85546875" style="64" customWidth="1"/>
    <col min="8" max="8" width="13.140625" style="64" customWidth="1"/>
    <col min="9" max="9" width="11.42578125" style="64" customWidth="1"/>
    <col min="10" max="10" width="14" style="64" customWidth="1"/>
    <col min="11" max="11" width="13.42578125" style="64" bestFit="1" customWidth="1"/>
    <col min="12" max="12" width="15.85546875" style="64" customWidth="1"/>
    <col min="13" max="13" width="14.7109375" style="64" customWidth="1"/>
    <col min="14" max="14" width="13.140625" style="64" customWidth="1"/>
    <col min="15" max="15" width="12.85546875" style="64" customWidth="1"/>
    <col min="16" max="17" width="23.140625" style="64" hidden="1" customWidth="1"/>
    <col min="18" max="18" width="9.140625" style="64" hidden="1" customWidth="1"/>
    <col min="19" max="19" width="15.42578125" style="64" hidden="1" customWidth="1"/>
    <col min="20" max="20" width="20.5703125" style="64" hidden="1" customWidth="1"/>
    <col min="21" max="21" width="15.140625" style="64" hidden="1" customWidth="1"/>
    <col min="22" max="22" width="0" style="64" hidden="1" customWidth="1"/>
    <col min="23" max="23" width="17.7109375" style="64" customWidth="1"/>
    <col min="24" max="24" width="13.28515625" style="64" customWidth="1"/>
    <col min="25" max="16384" width="9.140625" style="64"/>
  </cols>
  <sheetData>
    <row r="1" spans="1:25" ht="40.5" customHeight="1" x14ac:dyDescent="0.2">
      <c r="D1" s="62"/>
      <c r="E1" s="63"/>
      <c r="G1" s="63"/>
      <c r="L1" s="157" t="s">
        <v>443</v>
      </c>
      <c r="M1" s="157"/>
      <c r="N1" s="157"/>
      <c r="O1" s="157"/>
    </row>
    <row r="2" spans="1:25" ht="27.75" customHeight="1" x14ac:dyDescent="0.2">
      <c r="E2" s="63"/>
      <c r="G2" s="63"/>
      <c r="I2" s="65"/>
      <c r="K2" s="64" t="s">
        <v>405</v>
      </c>
      <c r="L2" s="157" t="s">
        <v>311</v>
      </c>
      <c r="M2" s="157"/>
      <c r="N2" s="157"/>
      <c r="O2" s="157"/>
    </row>
    <row r="3" spans="1:25" ht="18.75" x14ac:dyDescent="0.3">
      <c r="B3" s="158" t="s">
        <v>368</v>
      </c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</row>
    <row r="4" spans="1:25" x14ac:dyDescent="0.2">
      <c r="A4" s="167"/>
      <c r="B4" s="167"/>
      <c r="C4" s="167"/>
      <c r="D4" s="167"/>
      <c r="E4" s="167"/>
      <c r="F4" s="167"/>
      <c r="G4" s="167"/>
      <c r="H4" s="167"/>
      <c r="I4" s="167"/>
      <c r="J4" s="167"/>
      <c r="K4" s="66"/>
      <c r="L4" s="66"/>
      <c r="M4" s="67"/>
    </row>
    <row r="5" spans="1:25" ht="20.25" customHeight="1" x14ac:dyDescent="0.2">
      <c r="A5" s="163" t="s">
        <v>25</v>
      </c>
      <c r="B5" s="162" t="s">
        <v>93</v>
      </c>
      <c r="C5" s="162" t="s">
        <v>8</v>
      </c>
      <c r="D5" s="162" t="s">
        <v>343</v>
      </c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</row>
    <row r="6" spans="1:25" ht="49.5" customHeight="1" x14ac:dyDescent="0.2">
      <c r="A6" s="163"/>
      <c r="B6" s="162"/>
      <c r="C6" s="162"/>
      <c r="D6" s="68" t="s">
        <v>9</v>
      </c>
      <c r="E6" s="68" t="s">
        <v>16</v>
      </c>
      <c r="F6" s="68" t="s">
        <v>24</v>
      </c>
      <c r="G6" s="68" t="s">
        <v>18</v>
      </c>
      <c r="H6" s="68" t="s">
        <v>19</v>
      </c>
      <c r="I6" s="68" t="s">
        <v>20</v>
      </c>
      <c r="J6" s="68" t="s">
        <v>21</v>
      </c>
      <c r="K6" s="68" t="s">
        <v>251</v>
      </c>
      <c r="L6" s="68" t="s">
        <v>294</v>
      </c>
      <c r="M6" s="68" t="s">
        <v>295</v>
      </c>
      <c r="N6" s="68" t="s">
        <v>296</v>
      </c>
      <c r="O6" s="68" t="s">
        <v>297</v>
      </c>
    </row>
    <row r="7" spans="1:25" ht="16.5" customHeight="1" x14ac:dyDescent="0.2">
      <c r="A7" s="69">
        <v>1</v>
      </c>
      <c r="B7" s="68">
        <v>2</v>
      </c>
      <c r="C7" s="69">
        <v>3</v>
      </c>
      <c r="D7" s="68">
        <v>4</v>
      </c>
      <c r="E7" s="69">
        <v>5</v>
      </c>
      <c r="F7" s="68">
        <v>6</v>
      </c>
      <c r="G7" s="69">
        <v>7</v>
      </c>
      <c r="H7" s="68">
        <v>8</v>
      </c>
      <c r="I7" s="69">
        <v>9</v>
      </c>
      <c r="J7" s="68">
        <v>10</v>
      </c>
      <c r="K7" s="68">
        <v>11</v>
      </c>
      <c r="L7" s="68">
        <v>12</v>
      </c>
      <c r="M7" s="68">
        <v>13</v>
      </c>
      <c r="N7" s="68">
        <v>14</v>
      </c>
      <c r="O7" s="68">
        <v>15</v>
      </c>
    </row>
    <row r="8" spans="1:25" ht="15.75" x14ac:dyDescent="0.2">
      <c r="A8" s="165" t="s">
        <v>26</v>
      </c>
      <c r="B8" s="164" t="s">
        <v>344</v>
      </c>
      <c r="C8" s="70" t="s">
        <v>7</v>
      </c>
      <c r="D8" s="71">
        <f>D9+D11+D14+D16</f>
        <v>17660509.692000002</v>
      </c>
      <c r="E8" s="71">
        <f>E9+E11+E14+E16</f>
        <v>512896.39999999997</v>
      </c>
      <c r="F8" s="71">
        <f t="shared" ref="F8:O8" si="0">F9+F11+F14+F16</f>
        <v>382692.8</v>
      </c>
      <c r="G8" s="71">
        <f t="shared" si="0"/>
        <v>383942.1</v>
      </c>
      <c r="H8" s="71">
        <f>H9+H11+H14+H16</f>
        <v>456612.2</v>
      </c>
      <c r="I8" s="71">
        <f t="shared" si="0"/>
        <v>513509.20000000007</v>
      </c>
      <c r="J8" s="71">
        <f>J9+J11+J14+J16</f>
        <v>1405769.2999999998</v>
      </c>
      <c r="K8" s="71">
        <f>K9+K11+K14+K16</f>
        <v>2236267.5920000002</v>
      </c>
      <c r="L8" s="71">
        <f>L9+L11+L14+L16</f>
        <v>3773454.6</v>
      </c>
      <c r="M8" s="71">
        <f>M9+M11+M14+M16</f>
        <v>4009103.7</v>
      </c>
      <c r="N8" s="71">
        <f t="shared" si="0"/>
        <v>3151291.2</v>
      </c>
      <c r="O8" s="71">
        <f t="shared" si="0"/>
        <v>834970.6</v>
      </c>
      <c r="P8" s="72"/>
      <c r="Q8" s="62"/>
      <c r="W8" s="62"/>
      <c r="X8" s="62"/>
      <c r="Y8" s="62"/>
    </row>
    <row r="9" spans="1:25" ht="31.5" x14ac:dyDescent="0.2">
      <c r="A9" s="165"/>
      <c r="B9" s="164"/>
      <c r="C9" s="73" t="s">
        <v>80</v>
      </c>
      <c r="D9" s="59">
        <f>E9+F9+G9+H9+I9+J9+K9+L9+M9+N9+O9</f>
        <v>213817.09999999998</v>
      </c>
      <c r="E9" s="59">
        <f t="shared" ref="E9:O9" si="1">E18+E495+E521+E554+E703</f>
        <v>98793.9</v>
      </c>
      <c r="F9" s="59">
        <f t="shared" si="1"/>
        <v>0</v>
      </c>
      <c r="G9" s="59">
        <f t="shared" si="1"/>
        <v>0</v>
      </c>
      <c r="H9" s="59">
        <f t="shared" si="1"/>
        <v>0</v>
      </c>
      <c r="I9" s="59">
        <f t="shared" si="1"/>
        <v>0</v>
      </c>
      <c r="J9" s="59">
        <f t="shared" si="1"/>
        <v>0</v>
      </c>
      <c r="K9" s="59">
        <f t="shared" si="1"/>
        <v>115023.2</v>
      </c>
      <c r="L9" s="59">
        <f t="shared" si="1"/>
        <v>0</v>
      </c>
      <c r="M9" s="59">
        <f t="shared" si="1"/>
        <v>0</v>
      </c>
      <c r="N9" s="59">
        <f t="shared" si="1"/>
        <v>0</v>
      </c>
      <c r="O9" s="59">
        <f t="shared" si="1"/>
        <v>0</v>
      </c>
    </row>
    <row r="10" spans="1:25" ht="31.5" x14ac:dyDescent="0.2">
      <c r="A10" s="165"/>
      <c r="B10" s="164"/>
      <c r="C10" s="74" t="s">
        <v>81</v>
      </c>
      <c r="D10" s="59">
        <f t="shared" ref="D10:D15" si="2">E10+F10+G10+H10+I10+J10+K10+L10+M10+N10+O10</f>
        <v>98793.9</v>
      </c>
      <c r="E10" s="75">
        <f t="shared" ref="E10:O10" si="3">E19</f>
        <v>98793.9</v>
      </c>
      <c r="F10" s="75">
        <f t="shared" si="3"/>
        <v>0</v>
      </c>
      <c r="G10" s="75">
        <f t="shared" si="3"/>
        <v>0</v>
      </c>
      <c r="H10" s="75">
        <f t="shared" si="3"/>
        <v>0</v>
      </c>
      <c r="I10" s="75">
        <f t="shared" si="3"/>
        <v>0</v>
      </c>
      <c r="J10" s="75">
        <f t="shared" si="3"/>
        <v>0</v>
      </c>
      <c r="K10" s="75">
        <f t="shared" si="3"/>
        <v>0</v>
      </c>
      <c r="L10" s="75">
        <f t="shared" si="3"/>
        <v>0</v>
      </c>
      <c r="M10" s="75">
        <f t="shared" si="3"/>
        <v>0</v>
      </c>
      <c r="N10" s="75">
        <f t="shared" si="3"/>
        <v>0</v>
      </c>
      <c r="O10" s="75">
        <f t="shared" si="3"/>
        <v>0</v>
      </c>
    </row>
    <row r="11" spans="1:25" ht="31.5" x14ac:dyDescent="0.2">
      <c r="A11" s="166"/>
      <c r="B11" s="164"/>
      <c r="C11" s="73" t="s">
        <v>69</v>
      </c>
      <c r="D11" s="59">
        <f t="shared" si="2"/>
        <v>13035452.609999999</v>
      </c>
      <c r="E11" s="59">
        <f t="shared" ref="E11:O11" si="4">E20+E496+E522+E555+E704</f>
        <v>68697.599999999991</v>
      </c>
      <c r="F11" s="59">
        <f t="shared" si="4"/>
        <v>15000</v>
      </c>
      <c r="G11" s="59">
        <f t="shared" si="4"/>
        <v>26276.799999999999</v>
      </c>
      <c r="H11" s="59">
        <f t="shared" si="4"/>
        <v>47416.2</v>
      </c>
      <c r="I11" s="59">
        <f t="shared" si="4"/>
        <v>203223.40000000002</v>
      </c>
      <c r="J11" s="59">
        <f t="shared" si="4"/>
        <v>1002052.3999999999</v>
      </c>
      <c r="K11" s="59">
        <f t="shared" si="4"/>
        <v>1513799.91</v>
      </c>
      <c r="L11" s="59">
        <f t="shared" si="4"/>
        <v>3235677.1</v>
      </c>
      <c r="M11" s="59">
        <f t="shared" si="4"/>
        <v>3674858</v>
      </c>
      <c r="N11" s="59">
        <f t="shared" si="4"/>
        <v>2776434.6</v>
      </c>
      <c r="O11" s="59">
        <f t="shared" si="4"/>
        <v>472016.6</v>
      </c>
    </row>
    <row r="12" spans="1:25" ht="31.5" x14ac:dyDescent="0.2">
      <c r="A12" s="166"/>
      <c r="B12" s="164"/>
      <c r="C12" s="74" t="s">
        <v>79</v>
      </c>
      <c r="D12" s="59">
        <f t="shared" si="2"/>
        <v>43117.100000000006</v>
      </c>
      <c r="E12" s="75">
        <f>E21</f>
        <v>43117.100000000006</v>
      </c>
      <c r="F12" s="75">
        <f t="shared" ref="F12:K12" si="5">F21</f>
        <v>0</v>
      </c>
      <c r="G12" s="75">
        <f t="shared" si="5"/>
        <v>0</v>
      </c>
      <c r="H12" s="75">
        <f t="shared" si="5"/>
        <v>0</v>
      </c>
      <c r="I12" s="75">
        <f t="shared" si="5"/>
        <v>0</v>
      </c>
      <c r="J12" s="75">
        <f t="shared" si="5"/>
        <v>0</v>
      </c>
      <c r="K12" s="75">
        <f t="shared" si="5"/>
        <v>0</v>
      </c>
      <c r="L12" s="75">
        <f t="shared" ref="L12:O13" si="6">L21</f>
        <v>0</v>
      </c>
      <c r="M12" s="75">
        <f t="shared" si="6"/>
        <v>0</v>
      </c>
      <c r="N12" s="75">
        <f t="shared" si="6"/>
        <v>0</v>
      </c>
      <c r="O12" s="75">
        <f t="shared" si="6"/>
        <v>0</v>
      </c>
      <c r="R12" s="62"/>
    </row>
    <row r="13" spans="1:25" ht="31.5" x14ac:dyDescent="0.2">
      <c r="A13" s="166"/>
      <c r="B13" s="164"/>
      <c r="C13" s="74" t="s">
        <v>81</v>
      </c>
      <c r="D13" s="59">
        <f t="shared" si="2"/>
        <v>20580.5</v>
      </c>
      <c r="E13" s="75">
        <f t="shared" ref="E13:K13" si="7">E22</f>
        <v>20580.5</v>
      </c>
      <c r="F13" s="75">
        <f t="shared" si="7"/>
        <v>0</v>
      </c>
      <c r="G13" s="75">
        <f t="shared" si="7"/>
        <v>0</v>
      </c>
      <c r="H13" s="75">
        <f t="shared" si="7"/>
        <v>0</v>
      </c>
      <c r="I13" s="75">
        <f t="shared" si="7"/>
        <v>0</v>
      </c>
      <c r="J13" s="75">
        <f t="shared" si="7"/>
        <v>0</v>
      </c>
      <c r="K13" s="75">
        <f t="shared" si="7"/>
        <v>0</v>
      </c>
      <c r="L13" s="75">
        <f t="shared" si="6"/>
        <v>0</v>
      </c>
      <c r="M13" s="75">
        <f t="shared" si="6"/>
        <v>0</v>
      </c>
      <c r="N13" s="75">
        <f t="shared" si="6"/>
        <v>0</v>
      </c>
      <c r="O13" s="75">
        <f t="shared" si="6"/>
        <v>0</v>
      </c>
    </row>
    <row r="14" spans="1:25" ht="31.5" x14ac:dyDescent="0.2">
      <c r="A14" s="166"/>
      <c r="B14" s="164"/>
      <c r="C14" s="73" t="s">
        <v>65</v>
      </c>
      <c r="D14" s="59">
        <f>E14+F14+G14+H14+I14+J14+K14+L14+M14+N14+O14</f>
        <v>4380974.9820000008</v>
      </c>
      <c r="E14" s="59">
        <f t="shared" ref="E14:O14" si="8">E23+E497+E523+E556+E705</f>
        <v>325404.89999999997</v>
      </c>
      <c r="F14" s="59">
        <f t="shared" si="8"/>
        <v>364692.8</v>
      </c>
      <c r="G14" s="59">
        <f t="shared" si="8"/>
        <v>356065.3</v>
      </c>
      <c r="H14" s="59">
        <f t="shared" si="8"/>
        <v>405742.4</v>
      </c>
      <c r="I14" s="59">
        <f t="shared" si="8"/>
        <v>308074.40000000002</v>
      </c>
      <c r="J14" s="59">
        <f t="shared" si="8"/>
        <v>403716.9</v>
      </c>
      <c r="K14" s="59">
        <f t="shared" si="8"/>
        <v>607444.48200000008</v>
      </c>
      <c r="L14" s="59">
        <f t="shared" si="8"/>
        <v>537777.5</v>
      </c>
      <c r="M14" s="59">
        <f t="shared" si="8"/>
        <v>334245.69999999995</v>
      </c>
      <c r="N14" s="59">
        <f t="shared" si="8"/>
        <v>374856.60000000003</v>
      </c>
      <c r="O14" s="59">
        <f t="shared" si="8"/>
        <v>362954</v>
      </c>
    </row>
    <row r="15" spans="1:25" ht="31.5" x14ac:dyDescent="0.2">
      <c r="A15" s="166"/>
      <c r="B15" s="164"/>
      <c r="C15" s="74" t="s">
        <v>79</v>
      </c>
      <c r="D15" s="59">
        <f t="shared" si="2"/>
        <v>85206.799999999988</v>
      </c>
      <c r="E15" s="75">
        <f>E24+E557+E524</f>
        <v>48729.7</v>
      </c>
      <c r="F15" s="75">
        <f>F24+F557+F524</f>
        <v>30651</v>
      </c>
      <c r="G15" s="75">
        <f>G39+G536</f>
        <v>5127.3999999999996</v>
      </c>
      <c r="H15" s="75">
        <v>0</v>
      </c>
      <c r="I15" s="75">
        <f>I24</f>
        <v>698.7</v>
      </c>
      <c r="J15" s="75">
        <v>0</v>
      </c>
      <c r="K15" s="75">
        <v>0</v>
      </c>
      <c r="L15" s="75">
        <v>0</v>
      </c>
      <c r="M15" s="75">
        <v>0</v>
      </c>
      <c r="N15" s="75">
        <v>0</v>
      </c>
      <c r="O15" s="75">
        <v>0</v>
      </c>
    </row>
    <row r="16" spans="1:25" ht="17.25" customHeight="1" x14ac:dyDescent="0.2">
      <c r="A16" s="166"/>
      <c r="B16" s="164"/>
      <c r="C16" s="73" t="s">
        <v>13</v>
      </c>
      <c r="D16" s="59">
        <f>E16+F16+G16+H16+I16+J16+K16+L16+M16+N16+O16</f>
        <v>30265</v>
      </c>
      <c r="E16" s="59">
        <f>E498</f>
        <v>20000</v>
      </c>
      <c r="F16" s="59">
        <f t="shared" ref="F16:K16" si="9">F498</f>
        <v>3000</v>
      </c>
      <c r="G16" s="59">
        <f t="shared" si="9"/>
        <v>1600</v>
      </c>
      <c r="H16" s="59">
        <f t="shared" si="9"/>
        <v>3453.6</v>
      </c>
      <c r="I16" s="59">
        <f t="shared" si="9"/>
        <v>2211.4</v>
      </c>
      <c r="J16" s="59">
        <f t="shared" si="9"/>
        <v>0</v>
      </c>
      <c r="K16" s="59">
        <f t="shared" si="9"/>
        <v>0</v>
      </c>
      <c r="L16" s="59">
        <f>L498</f>
        <v>0</v>
      </c>
      <c r="M16" s="59">
        <f>M498</f>
        <v>0</v>
      </c>
      <c r="N16" s="59">
        <f>N498</f>
        <v>0</v>
      </c>
      <c r="O16" s="59">
        <f>O498</f>
        <v>0</v>
      </c>
    </row>
    <row r="17" spans="1:22" ht="15.75" x14ac:dyDescent="0.2">
      <c r="A17" s="159" t="s">
        <v>27</v>
      </c>
      <c r="B17" s="159" t="s">
        <v>28</v>
      </c>
      <c r="C17" s="76" t="s">
        <v>7</v>
      </c>
      <c r="D17" s="71">
        <f>E17+F17+G17+H17+I17+J17+K17+L17+M17+N17+O17</f>
        <v>13024853.33</v>
      </c>
      <c r="E17" s="71">
        <f>E18+E20+E23+E25</f>
        <v>218606.2</v>
      </c>
      <c r="F17" s="71">
        <f t="shared" ref="F17:K17" si="10">F18+F20+F23+F25</f>
        <v>51837.9</v>
      </c>
      <c r="G17" s="71">
        <f t="shared" si="10"/>
        <v>71967.7</v>
      </c>
      <c r="H17" s="71">
        <f>H18+H20+H23+H25</f>
        <v>137590.59999999998</v>
      </c>
      <c r="I17" s="71">
        <f t="shared" si="10"/>
        <v>93705.7</v>
      </c>
      <c r="J17" s="71">
        <f t="shared" si="10"/>
        <v>861013.6</v>
      </c>
      <c r="K17" s="71">
        <f t="shared" si="10"/>
        <v>1369692.33</v>
      </c>
      <c r="L17" s="71">
        <f>L18+L20+L23+L25</f>
        <v>3136064.7</v>
      </c>
      <c r="M17" s="71">
        <f>M18+M20+M23+M25</f>
        <v>3738016.3</v>
      </c>
      <c r="N17" s="71">
        <f>N18+N20+N23+N25</f>
        <v>2832281.6000000001</v>
      </c>
      <c r="O17" s="71">
        <f>O18+O20+O23+O25</f>
        <v>514076.69999999995</v>
      </c>
      <c r="P17" s="72"/>
      <c r="Q17" s="62"/>
    </row>
    <row r="18" spans="1:22" ht="31.5" x14ac:dyDescent="0.2">
      <c r="A18" s="160"/>
      <c r="B18" s="160"/>
      <c r="C18" s="77" t="s">
        <v>80</v>
      </c>
      <c r="D18" s="59">
        <f>E18+F18+G18+H18+I18+J18+K18+L18+M18+N18+O18</f>
        <v>213817.09999999998</v>
      </c>
      <c r="E18" s="59">
        <f>E27+E460</f>
        <v>98793.9</v>
      </c>
      <c r="F18" s="59">
        <f>F27+F460</f>
        <v>0</v>
      </c>
      <c r="G18" s="59">
        <f>G27+G460</f>
        <v>0</v>
      </c>
      <c r="H18" s="59">
        <f>H27+H460</f>
        <v>0</v>
      </c>
      <c r="I18" s="59">
        <f>I27+I460</f>
        <v>0</v>
      </c>
      <c r="J18" s="59">
        <f t="shared" ref="J18:O18" si="11">J27+J460+J382+J422+J480</f>
        <v>0</v>
      </c>
      <c r="K18" s="59">
        <f t="shared" si="11"/>
        <v>115023.2</v>
      </c>
      <c r="L18" s="59">
        <f t="shared" si="11"/>
        <v>0</v>
      </c>
      <c r="M18" s="59">
        <f t="shared" si="11"/>
        <v>0</v>
      </c>
      <c r="N18" s="59">
        <f t="shared" si="11"/>
        <v>0</v>
      </c>
      <c r="O18" s="59">
        <f t="shared" si="11"/>
        <v>0</v>
      </c>
    </row>
    <row r="19" spans="1:22" ht="31.5" x14ac:dyDescent="0.2">
      <c r="A19" s="160"/>
      <c r="B19" s="160"/>
      <c r="C19" s="78" t="s">
        <v>81</v>
      </c>
      <c r="D19" s="59">
        <f t="shared" ref="D19:D25" si="12">E19+F19+G19+H19+I19+J19+K19+L19+M19+N19+O19</f>
        <v>98793.9</v>
      </c>
      <c r="E19" s="75">
        <f>E28</f>
        <v>98793.9</v>
      </c>
      <c r="F19" s="75">
        <f t="shared" ref="F19:K19" si="13">F28</f>
        <v>0</v>
      </c>
      <c r="G19" s="75">
        <f t="shared" si="13"/>
        <v>0</v>
      </c>
      <c r="H19" s="75">
        <f t="shared" si="13"/>
        <v>0</v>
      </c>
      <c r="I19" s="75">
        <f t="shared" si="13"/>
        <v>0</v>
      </c>
      <c r="J19" s="75">
        <f t="shared" si="13"/>
        <v>0</v>
      </c>
      <c r="K19" s="75">
        <f t="shared" si="13"/>
        <v>0</v>
      </c>
      <c r="L19" s="75">
        <f>L28</f>
        <v>0</v>
      </c>
      <c r="M19" s="75">
        <f>M28</f>
        <v>0</v>
      </c>
      <c r="N19" s="75">
        <f>N28</f>
        <v>0</v>
      </c>
      <c r="O19" s="75">
        <f>O28</f>
        <v>0</v>
      </c>
    </row>
    <row r="20" spans="1:22" ht="31.5" customHeight="1" x14ac:dyDescent="0.2">
      <c r="A20" s="160"/>
      <c r="B20" s="160"/>
      <c r="C20" s="77" t="s">
        <v>69</v>
      </c>
      <c r="D20" s="59">
        <f>E20+F20+G20+H20+I20+J20+K20+L20+M20+N20+O20</f>
        <v>12027464.309999999</v>
      </c>
      <c r="E20" s="59">
        <f>E29+E383+E423+E461</f>
        <v>68697.599999999991</v>
      </c>
      <c r="F20" s="59">
        <f>F29+F383+F423+F461</f>
        <v>15000</v>
      </c>
      <c r="G20" s="59">
        <f>G29+G383+G423+G461</f>
        <v>26276.799999999999</v>
      </c>
      <c r="H20" s="59">
        <f>H29+H383+H423+H461</f>
        <v>47416.2</v>
      </c>
      <c r="I20" s="59">
        <f>I29+I383+I423+I461</f>
        <v>43469.7</v>
      </c>
      <c r="J20" s="59">
        <f t="shared" ref="J20:O20" si="14">J29+J383+J423+J461+J481</f>
        <v>718423.5</v>
      </c>
      <c r="K20" s="59">
        <f t="shared" si="14"/>
        <v>1144814.71</v>
      </c>
      <c r="L20" s="59">
        <f t="shared" si="14"/>
        <v>3040056.6</v>
      </c>
      <c r="M20" s="59">
        <f t="shared" si="14"/>
        <v>3674858</v>
      </c>
      <c r="N20" s="59">
        <f t="shared" si="14"/>
        <v>2776434.6</v>
      </c>
      <c r="O20" s="59">
        <f t="shared" si="14"/>
        <v>472016.6</v>
      </c>
    </row>
    <row r="21" spans="1:22" ht="31.5" x14ac:dyDescent="0.2">
      <c r="A21" s="160"/>
      <c r="B21" s="160"/>
      <c r="C21" s="78" t="s">
        <v>79</v>
      </c>
      <c r="D21" s="59">
        <f t="shared" si="12"/>
        <v>43117.100000000006</v>
      </c>
      <c r="E21" s="75">
        <f>E30</f>
        <v>43117.100000000006</v>
      </c>
      <c r="F21" s="75">
        <f t="shared" ref="F21:K21" si="15">F30</f>
        <v>0</v>
      </c>
      <c r="G21" s="75">
        <f t="shared" si="15"/>
        <v>0</v>
      </c>
      <c r="H21" s="75">
        <f t="shared" si="15"/>
        <v>0</v>
      </c>
      <c r="I21" s="75">
        <f t="shared" si="15"/>
        <v>0</v>
      </c>
      <c r="J21" s="75">
        <f t="shared" si="15"/>
        <v>0</v>
      </c>
      <c r="K21" s="75">
        <f t="shared" si="15"/>
        <v>0</v>
      </c>
      <c r="L21" s="75">
        <f t="shared" ref="L21:O22" si="16">L30</f>
        <v>0</v>
      </c>
      <c r="M21" s="75">
        <f t="shared" si="16"/>
        <v>0</v>
      </c>
      <c r="N21" s="75">
        <f t="shared" si="16"/>
        <v>0</v>
      </c>
      <c r="O21" s="75">
        <f t="shared" si="16"/>
        <v>0</v>
      </c>
    </row>
    <row r="22" spans="1:22" ht="31.5" x14ac:dyDescent="0.2">
      <c r="A22" s="160"/>
      <c r="B22" s="160"/>
      <c r="C22" s="78" t="s">
        <v>81</v>
      </c>
      <c r="D22" s="59">
        <f t="shared" si="12"/>
        <v>20580.5</v>
      </c>
      <c r="E22" s="75">
        <f>E31</f>
        <v>20580.5</v>
      </c>
      <c r="F22" s="75">
        <f t="shared" ref="F22:K22" si="17">F31</f>
        <v>0</v>
      </c>
      <c r="G22" s="75">
        <f t="shared" si="17"/>
        <v>0</v>
      </c>
      <c r="H22" s="75">
        <f t="shared" si="17"/>
        <v>0</v>
      </c>
      <c r="I22" s="75">
        <f t="shared" si="17"/>
        <v>0</v>
      </c>
      <c r="J22" s="75">
        <f t="shared" si="17"/>
        <v>0</v>
      </c>
      <c r="K22" s="75">
        <f t="shared" si="17"/>
        <v>0</v>
      </c>
      <c r="L22" s="75">
        <f t="shared" si="16"/>
        <v>0</v>
      </c>
      <c r="M22" s="75">
        <f t="shared" si="16"/>
        <v>0</v>
      </c>
      <c r="N22" s="75">
        <f t="shared" si="16"/>
        <v>0</v>
      </c>
      <c r="O22" s="75">
        <f t="shared" si="16"/>
        <v>0</v>
      </c>
    </row>
    <row r="23" spans="1:22" ht="31.5" x14ac:dyDescent="0.2">
      <c r="A23" s="160"/>
      <c r="B23" s="160"/>
      <c r="C23" s="77" t="s">
        <v>65</v>
      </c>
      <c r="D23" s="59">
        <f>E23+F23+G23+H23+I23+J23+K23+L23+M23+N23+O23</f>
        <v>783571.92</v>
      </c>
      <c r="E23" s="59">
        <f>E32+E384+E424+E462</f>
        <v>51114.700000000004</v>
      </c>
      <c r="F23" s="59">
        <f>F32+F384+F424+F462</f>
        <v>36837.9</v>
      </c>
      <c r="G23" s="59">
        <f>G32+G384+G424+G462</f>
        <v>45690.899999999994</v>
      </c>
      <c r="H23" s="59">
        <f>H32+H384+H424+H462</f>
        <v>90174.399999999994</v>
      </c>
      <c r="I23" s="59">
        <f>I32+I384+I424+I462</f>
        <v>50236</v>
      </c>
      <c r="J23" s="59">
        <f t="shared" ref="J23:O23" si="18">J32+J384+J424+J462+J482</f>
        <v>142590.1</v>
      </c>
      <c r="K23" s="59">
        <f t="shared" si="18"/>
        <v>109854.42000000004</v>
      </c>
      <c r="L23" s="59">
        <f t="shared" si="18"/>
        <v>96008.099999999977</v>
      </c>
      <c r="M23" s="59">
        <f t="shared" si="18"/>
        <v>63158.3</v>
      </c>
      <c r="N23" s="59">
        <f t="shared" si="18"/>
        <v>55847</v>
      </c>
      <c r="O23" s="59">
        <f t="shared" si="18"/>
        <v>42060.1</v>
      </c>
      <c r="P23" s="62"/>
      <c r="Q23" s="62"/>
    </row>
    <row r="24" spans="1:22" ht="31.5" customHeight="1" x14ac:dyDescent="0.2">
      <c r="A24" s="160"/>
      <c r="B24" s="160"/>
      <c r="C24" s="78" t="s">
        <v>79</v>
      </c>
      <c r="D24" s="59">
        <f t="shared" si="12"/>
        <v>24185.399999999998</v>
      </c>
      <c r="E24" s="75">
        <f t="shared" ref="E24:O24" si="19">E33+E425</f>
        <v>17427.399999999998</v>
      </c>
      <c r="F24" s="75">
        <f t="shared" si="19"/>
        <v>2151</v>
      </c>
      <c r="G24" s="75">
        <f t="shared" si="19"/>
        <v>3908.3</v>
      </c>
      <c r="H24" s="75">
        <f t="shared" si="19"/>
        <v>0</v>
      </c>
      <c r="I24" s="75">
        <f t="shared" si="19"/>
        <v>698.7</v>
      </c>
      <c r="J24" s="75">
        <f t="shared" si="19"/>
        <v>0</v>
      </c>
      <c r="K24" s="75">
        <f t="shared" si="19"/>
        <v>0</v>
      </c>
      <c r="L24" s="75">
        <f t="shared" si="19"/>
        <v>0</v>
      </c>
      <c r="M24" s="75">
        <f t="shared" si="19"/>
        <v>0</v>
      </c>
      <c r="N24" s="75">
        <f t="shared" si="19"/>
        <v>0</v>
      </c>
      <c r="O24" s="75">
        <f t="shared" si="19"/>
        <v>0</v>
      </c>
    </row>
    <row r="25" spans="1:22" ht="17.25" customHeight="1" x14ac:dyDescent="0.2">
      <c r="A25" s="161"/>
      <c r="B25" s="161"/>
      <c r="C25" s="77" t="s">
        <v>13</v>
      </c>
      <c r="D25" s="59">
        <f t="shared" si="12"/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</row>
    <row r="26" spans="1:22" ht="15.75" x14ac:dyDescent="0.2">
      <c r="A26" s="168" t="s">
        <v>235</v>
      </c>
      <c r="B26" s="171" t="s">
        <v>142</v>
      </c>
      <c r="C26" s="77" t="s">
        <v>7</v>
      </c>
      <c r="D26" s="59">
        <f t="shared" ref="D26:O26" si="20">D27+D29+D32+D34</f>
        <v>12289898.1</v>
      </c>
      <c r="E26" s="59">
        <f t="shared" si="20"/>
        <v>190159.7</v>
      </c>
      <c r="F26" s="59">
        <f t="shared" si="20"/>
        <v>25969.5</v>
      </c>
      <c r="G26" s="59">
        <f t="shared" si="20"/>
        <v>41615.9</v>
      </c>
      <c r="H26" s="59">
        <f t="shared" si="20"/>
        <v>112179.9</v>
      </c>
      <c r="I26" s="59">
        <f t="shared" si="20"/>
        <v>55446.6</v>
      </c>
      <c r="J26" s="59">
        <f>J27+J29+J32+J34</f>
        <v>621253.9</v>
      </c>
      <c r="K26" s="59">
        <f>K27+K29+K32+K34</f>
        <v>1099158.2</v>
      </c>
      <c r="L26" s="59">
        <f t="shared" si="20"/>
        <v>3094072.2</v>
      </c>
      <c r="M26" s="59">
        <f t="shared" si="20"/>
        <v>3727725.5</v>
      </c>
      <c r="N26" s="59">
        <f t="shared" si="20"/>
        <v>2820171.4</v>
      </c>
      <c r="O26" s="59">
        <f t="shared" si="20"/>
        <v>502145.3</v>
      </c>
      <c r="P26" s="72"/>
      <c r="Q26" s="62"/>
    </row>
    <row r="27" spans="1:22" ht="31.5" customHeight="1" x14ac:dyDescent="0.2">
      <c r="A27" s="169"/>
      <c r="B27" s="172"/>
      <c r="C27" s="77" t="s">
        <v>80</v>
      </c>
      <c r="D27" s="59">
        <f>E27+F27+G27+H27+I27+J27+K27+L27+M27+N27+O27</f>
        <v>98793.9</v>
      </c>
      <c r="E27" s="59">
        <f>E36+E42+E48+E54+E59+E66+E72+E79+E86+E92+E98+E105+E112+E119+E127+E136+E143+E150+E156+E163+E170+E176+E182+E187+E192+E197+E202+E207+E212+E217+E222+E227+E232+E237+E242+E247+E252+E257+E262+E267+E297</f>
        <v>98793.9</v>
      </c>
      <c r="F27" s="59">
        <f t="shared" ref="F27:O27" si="21">F36+F42+F48+F54+F59+F66+F72+F79+F86+F92+F98+F105+F112+F119+F127+F136+F143+F150+F156+F163+F170+F176+F182+F187+F192+F197+F202+F207+F212+F217+F222+F227+F232+F237+F242+F247+F252+F257+F262+F267+F297</f>
        <v>0</v>
      </c>
      <c r="G27" s="59">
        <f t="shared" si="21"/>
        <v>0</v>
      </c>
      <c r="H27" s="59">
        <f t="shared" si="21"/>
        <v>0</v>
      </c>
      <c r="I27" s="59">
        <f t="shared" si="21"/>
        <v>0</v>
      </c>
      <c r="J27" s="59">
        <f t="shared" si="21"/>
        <v>0</v>
      </c>
      <c r="K27" s="59">
        <f t="shared" si="21"/>
        <v>0</v>
      </c>
      <c r="L27" s="59">
        <f t="shared" si="21"/>
        <v>0</v>
      </c>
      <c r="M27" s="59">
        <f t="shared" si="21"/>
        <v>0</v>
      </c>
      <c r="N27" s="59">
        <f t="shared" si="21"/>
        <v>0</v>
      </c>
      <c r="O27" s="59">
        <f t="shared" si="21"/>
        <v>0</v>
      </c>
    </row>
    <row r="28" spans="1:22" ht="31.5" x14ac:dyDescent="0.2">
      <c r="A28" s="169"/>
      <c r="B28" s="172"/>
      <c r="C28" s="78" t="s">
        <v>81</v>
      </c>
      <c r="D28" s="59">
        <f t="shared" ref="D28:D34" si="22">E28+F28+G28+H28+I28+J28+K28+L28+M28+N28+O28</f>
        <v>98793.9</v>
      </c>
      <c r="E28" s="75">
        <f>E60</f>
        <v>98793.9</v>
      </c>
      <c r="F28" s="75">
        <f t="shared" ref="F28:K28" si="23">F60</f>
        <v>0</v>
      </c>
      <c r="G28" s="75">
        <f t="shared" si="23"/>
        <v>0</v>
      </c>
      <c r="H28" s="75">
        <f t="shared" si="23"/>
        <v>0</v>
      </c>
      <c r="I28" s="75">
        <f t="shared" si="23"/>
        <v>0</v>
      </c>
      <c r="J28" s="75">
        <f t="shared" si="23"/>
        <v>0</v>
      </c>
      <c r="K28" s="75">
        <f t="shared" si="23"/>
        <v>0</v>
      </c>
      <c r="L28" s="75">
        <f>L60</f>
        <v>0</v>
      </c>
      <c r="M28" s="75">
        <f>M60</f>
        <v>0</v>
      </c>
      <c r="N28" s="75">
        <f>N60</f>
        <v>0</v>
      </c>
      <c r="O28" s="75">
        <f>O60</f>
        <v>0</v>
      </c>
      <c r="R28" s="62"/>
      <c r="S28" s="62"/>
      <c r="T28" s="62"/>
      <c r="U28" s="62"/>
    </row>
    <row r="29" spans="1:22" ht="31.5" x14ac:dyDescent="0.2">
      <c r="A29" s="169"/>
      <c r="B29" s="172"/>
      <c r="C29" s="77" t="s">
        <v>69</v>
      </c>
      <c r="D29" s="59">
        <f t="shared" si="22"/>
        <v>11647975.899999999</v>
      </c>
      <c r="E29" s="59">
        <f>E37+E43+E49+E55+E61+E67+E73+E80+E87+E93+E99+E106+E113+E120+E128+E137+E144+E151+E157+E164+E171+E177+E183+E188+E193+E198+E203+E213+E218+E223++E228+E233+E238+E243+E248+E253+E258+E263+E268+E298</f>
        <v>68697.599999999991</v>
      </c>
      <c r="F29" s="59">
        <f t="shared" ref="F29:I29" si="24">F37+F43+F49+F55+F61+F67+F73+F80+F87+F93+F99+F106+F113+F120+F128+F137+F144+F151+F157+F164+F171+F177+F183+F188+F193+F198+F203+F213+F218+F223++F228+F233+F238+F243+F248+F253+F258+F263+F268+F298</f>
        <v>15000</v>
      </c>
      <c r="G29" s="59">
        <f t="shared" si="24"/>
        <v>26276.799999999999</v>
      </c>
      <c r="H29" s="59">
        <f t="shared" si="24"/>
        <v>47416.2</v>
      </c>
      <c r="I29" s="59">
        <f t="shared" si="24"/>
        <v>16128.9</v>
      </c>
      <c r="J29" s="59">
        <f>J37+J43+J49+J55+J61+J67+J73+J80+J87+J93+J99+J106+J113+J120+J128+J137+J144+J151+J157+J164+J171+J177+J183+J188+J193+J198+J203+J213+J218+J223++J228+J233+J238+J243+J248+J253+J258+J263+J268+J298+J273</f>
        <v>510517.9</v>
      </c>
      <c r="K29" s="59">
        <f>K37+K43+K49+K55+K61+K67+K73+K80+K87+K93+K99+K106+K113+K120+K128+K137+K144+K151+K157+K164+K171+K177+K183+K188+K193+K198+K203+K213+K218+K223++K228+K233+K238+K243+K248+K253+K258+K263+K268+K298+K273+K278+K283+K288+K293</f>
        <v>1022380.7</v>
      </c>
      <c r="L29" s="59">
        <f>L37+L43+L49+L55+L61+L67+L73+L80+L87+L93+L99+L106+L113+L120+L128+L137+L144+L151+L157+L164+L171+L177+L183+L188+L193+L198+L203+L213+L218+L223++L228+L233+L238+L243+L248+L253+L258+L263+L268+L298+L273+L278+L283+L288+L293+L328+L343+L348+L358+L363+L378</f>
        <v>3018248.6</v>
      </c>
      <c r="M29" s="59">
        <f>M37+M43+M49+M55+M61+M67+M73+M80+M87+M93+M99+M106+M113+M120+M128+M137+M144+M151+M157+M164+M171+M177+M183+M188+M193+M198+M203+M213+M218+M223++M228+M233+M238+M243+M248+M253+M258+M263+M268+M298+M273+M278+M283+M288+M293+M328+M343+M348+M358+M363+M378</f>
        <v>3674858</v>
      </c>
      <c r="N29" s="59">
        <f>N37+N43+N49+N55+N61+N67+N73+N80+N87+N93+N99+N106+N113+N120+N128+N137+N144+N151+N157+N164+N171+N177+N183+N188+N193+N198+N203+N213+N218+N223++N228+N233+N238+N243+N248+N253+N258+N263+N268+N298+N273+N278+N283+N288+N293+N328+N343+N348+N358+N363+N378</f>
        <v>2776434.6</v>
      </c>
      <c r="O29" s="59">
        <f>O37+O43+O49+O55+O61+O67+O73+O80+O87+O93+O99+O106+O113+O120+O128+O137+O144+O151+O157+O164+O171+O177+O183+O188+O193+O198+O203+O213+O218+O223++O228+O233+O238+O243+O248+O253+O258+O263+O268+O298+O273+O278+O283+O288+O293+O328+O343+O348+O358+O363+O378</f>
        <v>472016.6</v>
      </c>
    </row>
    <row r="30" spans="1:22" ht="31.5" x14ac:dyDescent="0.2">
      <c r="A30" s="169"/>
      <c r="B30" s="172"/>
      <c r="C30" s="78" t="s">
        <v>79</v>
      </c>
      <c r="D30" s="59">
        <f t="shared" si="22"/>
        <v>43117.100000000006</v>
      </c>
      <c r="E30" s="75">
        <f t="shared" ref="E30:K30" si="25">E74+E121+E130+E145</f>
        <v>43117.100000000006</v>
      </c>
      <c r="F30" s="75">
        <f t="shared" si="25"/>
        <v>0</v>
      </c>
      <c r="G30" s="75">
        <f t="shared" si="25"/>
        <v>0</v>
      </c>
      <c r="H30" s="75">
        <f t="shared" si="25"/>
        <v>0</v>
      </c>
      <c r="I30" s="75">
        <f t="shared" si="25"/>
        <v>0</v>
      </c>
      <c r="J30" s="75">
        <f t="shared" si="25"/>
        <v>0</v>
      </c>
      <c r="K30" s="75">
        <f t="shared" si="25"/>
        <v>0</v>
      </c>
      <c r="L30" s="75">
        <f>L74+L121+L130+L145</f>
        <v>0</v>
      </c>
      <c r="M30" s="75">
        <f>M74+M121+M130+M145</f>
        <v>0</v>
      </c>
      <c r="N30" s="75">
        <f>N74+N121+N130+N145</f>
        <v>0</v>
      </c>
      <c r="O30" s="75">
        <f>O74+O121+O130+O145</f>
        <v>0</v>
      </c>
    </row>
    <row r="31" spans="1:22" ht="31.5" customHeight="1" x14ac:dyDescent="0.2">
      <c r="A31" s="169"/>
      <c r="B31" s="172"/>
      <c r="C31" s="78" t="s">
        <v>81</v>
      </c>
      <c r="D31" s="59">
        <f t="shared" si="22"/>
        <v>20580.5</v>
      </c>
      <c r="E31" s="75">
        <f>E100+E158+E129</f>
        <v>20580.5</v>
      </c>
      <c r="F31" s="75">
        <f t="shared" ref="F31:K31" si="26">F100+F158</f>
        <v>0</v>
      </c>
      <c r="G31" s="75">
        <f t="shared" si="26"/>
        <v>0</v>
      </c>
      <c r="H31" s="75">
        <f t="shared" si="26"/>
        <v>0</v>
      </c>
      <c r="I31" s="75">
        <f t="shared" si="26"/>
        <v>0</v>
      </c>
      <c r="J31" s="75">
        <f t="shared" si="26"/>
        <v>0</v>
      </c>
      <c r="K31" s="75">
        <f t="shared" si="26"/>
        <v>0</v>
      </c>
      <c r="L31" s="75">
        <f>L100+L158</f>
        <v>0</v>
      </c>
      <c r="M31" s="75">
        <f>M100+M158</f>
        <v>0</v>
      </c>
      <c r="N31" s="75">
        <f>N100+N158</f>
        <v>0</v>
      </c>
      <c r="O31" s="75">
        <f>O100+O158</f>
        <v>0</v>
      </c>
    </row>
    <row r="32" spans="1:22" ht="31.5" x14ac:dyDescent="0.2">
      <c r="A32" s="169"/>
      <c r="B32" s="172"/>
      <c r="C32" s="77" t="s">
        <v>65</v>
      </c>
      <c r="D32" s="59">
        <f>E32+F32+G32+H32+I32+J32+K32+L32+M32+N32+O32</f>
        <v>543128.30000000005</v>
      </c>
      <c r="E32" s="59">
        <f>E38+E44+E50+E56+E62+E68+E75+E81+E88+E94+E101+E107+E114+E122+E131+E138+E146+E152+E159+E165+E172+E178+E184+E189+E194+E199+E204+E209+E214+E219+E224+E229+E234+E239+E249+E244+E254+E259+E264+E269+E299</f>
        <v>22668.2</v>
      </c>
      <c r="F32" s="59">
        <f t="shared" ref="F32:I32" si="27">F38+F44+F50+F56+F62+F68+F75+F81+F88+F94+F101+F107+F114+F122+F131+F138+F146+F152+F159+F165+F172+F178+F184+F189+F194+F199+F204+F209+F214+F219+F224+F229+F234+F239+F249+F244+F254+F259+F264+F269+F299</f>
        <v>10969.5</v>
      </c>
      <c r="G32" s="59">
        <f t="shared" si="27"/>
        <v>15339.1</v>
      </c>
      <c r="H32" s="59">
        <f t="shared" si="27"/>
        <v>64763.7</v>
      </c>
      <c r="I32" s="59">
        <f t="shared" si="27"/>
        <v>39317.699999999997</v>
      </c>
      <c r="J32" s="59">
        <f>J38+J44+J50+J56+J62+J68+J75+J81+J88+J94+J101+J107+J114+J122+J131+J138+J146+J152+J159+J165+J172+J178+J184+J189+J194+J199+J204+J209+J214+J219+J224+J229+J234+J239+J249+J244+J254+J259+J264+J269+J299+J274</f>
        <v>110736</v>
      </c>
      <c r="K32" s="59">
        <f>K38+K44+K50+K56+K62+K68+K75+K81+K88+K94+K101+K107+K114+K122+K131+K138+K146+K152+K159+K165+K172+K178+K184+K189+K194+K199+K204+K209+K214+K219+K224+K229+K234+K239+K249+K244+K254+K259+K264+K269+K274+K299+K279+K284+K289+K294+K304+K309+K314+K319+K324</f>
        <v>76777.500000000029</v>
      </c>
      <c r="L32" s="59">
        <f>L38+L44+L50+L56+L62+L68+L75+L81+L88+L94+L101+L107+L114+L122+L131+L138+L146+L152+L159+L165+L172+L178+L184+L189+L194+L199+L204+L209+L214+L219+L224+L229+L234+L239+L249+L244+L254+L259+L264+L269+L274+L299+L279+L284+L289+L294+L304+L309+L314+L319+L329+L344+L349+L359+L364+L379</f>
        <v>75823.599999999977</v>
      </c>
      <c r="M32" s="59">
        <f>M38+M44+M50+M56+M62+M68+M75+M81+M88+M94+M101+M107+M114+M122+M131+M138+M146+M152+M159+M165+M172+M178+M184+M189+M194+M199+M204+M209+M214+M219+M224+M229+M234+M239+M249+M244+M254+M259+M264+M269+M274+M299+M279+M284+M289+M294+M304+M309+M314+M319+M329+M344+M349+M359+M364+M379</f>
        <v>52867.5</v>
      </c>
      <c r="N32" s="59">
        <f>N38+N44+N50+N56+N62+N68+N75+N81+N88+N94+N101+N107+N114+N122+N131+N138+N146+N152+N159+N165+N172+N178+N184+N189+N194+N199+N204+N209+N214+N219+N224+N229+N234+N239+N249+N244+N254+N259+N264+N269+N274+N299+N279+N284+N289+N294+N304+N309+N314+N319+N329+N344+N349+N359+N364+N379</f>
        <v>43736.800000000003</v>
      </c>
      <c r="O32" s="59">
        <f>O38+O44+O50+O56+O62+O68+O75+O81+O88+O94+O101+O107+O114+O122+O131+O138+O146+O152+O159+O165+O172+O178+O184+O189+O194+O199+O204+O209+O214+O219+O224+O229+O234+O239+O249+O244+O254+O259+O264+O269+O274+O299+O279+O284+O289+O294+O304+O309+O314+O319+O329+O344+O349+O359+O364+O379</f>
        <v>30128.7</v>
      </c>
      <c r="P32" s="59">
        <f t="shared" ref="P32:V32" si="28">P38+P44+P50+P56+P62+P68+P75+P81+P88+P94+P101+P107+P114+P122+P131+P138+P146+P152+P159+P165+P172+P178+P184+P189+P194+P199+P204+P209+P214+P219+P224+P229+P234+P239+P249+P244+P254+P259+P264+P269+P274+P299+P279+P284+P289+P294+P304+P309+P314+P319+P329+P344</f>
        <v>0</v>
      </c>
      <c r="Q32" s="59">
        <f t="shared" si="28"/>
        <v>0</v>
      </c>
      <c r="R32" s="59">
        <f t="shared" si="28"/>
        <v>0</v>
      </c>
      <c r="S32" s="59">
        <f t="shared" si="28"/>
        <v>0</v>
      </c>
      <c r="T32" s="59">
        <f t="shared" si="28"/>
        <v>0</v>
      </c>
      <c r="U32" s="59">
        <f t="shared" si="28"/>
        <v>0</v>
      </c>
      <c r="V32" s="59">
        <f t="shared" si="28"/>
        <v>0</v>
      </c>
    </row>
    <row r="33" spans="1:16" ht="31.5" x14ac:dyDescent="0.2">
      <c r="A33" s="169"/>
      <c r="B33" s="172"/>
      <c r="C33" s="78" t="s">
        <v>79</v>
      </c>
      <c r="D33" s="59">
        <f t="shared" si="22"/>
        <v>20554.099999999999</v>
      </c>
      <c r="E33" s="75">
        <f>E45+E51+E69+E76+E82+E89+E95+E108+E115+E123+E132+E139+E147+E153+E166+E173+E179+E39+E63</f>
        <v>14494.8</v>
      </c>
      <c r="F33" s="75">
        <f t="shared" ref="F33:K33" si="29">F45+F51+F69+F76+F82+F89+F95+F108+F115+F123+F132+F139+F147+F153+F166+F173+F179+F39+F63</f>
        <v>2151</v>
      </c>
      <c r="G33" s="75">
        <f t="shared" si="29"/>
        <v>3908.3</v>
      </c>
      <c r="H33" s="75">
        <f t="shared" si="29"/>
        <v>0</v>
      </c>
      <c r="I33" s="75">
        <f t="shared" si="29"/>
        <v>0</v>
      </c>
      <c r="J33" s="75">
        <f t="shared" si="29"/>
        <v>0</v>
      </c>
      <c r="K33" s="75">
        <f t="shared" si="29"/>
        <v>0</v>
      </c>
      <c r="L33" s="75">
        <f>L45+L51+L69+L76+L82+L89+L95+L108+L115+L123+L132+L139+L147+L153+L166+L173+L179+L39+L63</f>
        <v>0</v>
      </c>
      <c r="M33" s="75">
        <f>M45+M51+M69+M76+M82+M89+M95+M108+M115+M123+M132+M139+M147+M153+M166+M173+M179+M39+M63</f>
        <v>0</v>
      </c>
      <c r="N33" s="75">
        <f>N45+N51+N69+N76+N82+N89+N95+N108+N115+N123+N132+N139+N147+N153+N166+N173+N179+N39+N63</f>
        <v>0</v>
      </c>
      <c r="O33" s="75">
        <f>O45+O51+O69+O76+O82+O89+O95+O108+O115+O123+O132+O139+O147+O153+O166+O173+O179+O39+O63</f>
        <v>0</v>
      </c>
    </row>
    <row r="34" spans="1:16" ht="18.75" customHeight="1" x14ac:dyDescent="0.2">
      <c r="A34" s="170"/>
      <c r="B34" s="173"/>
      <c r="C34" s="77" t="s">
        <v>13</v>
      </c>
      <c r="D34" s="59">
        <f t="shared" si="22"/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</row>
    <row r="35" spans="1:16" ht="15.75" x14ac:dyDescent="0.2">
      <c r="A35" s="141" t="s">
        <v>94</v>
      </c>
      <c r="B35" s="153" t="s">
        <v>371</v>
      </c>
      <c r="C35" s="79" t="s">
        <v>7</v>
      </c>
      <c r="D35" s="59">
        <f t="shared" ref="D35:D40" si="30">E35+F35+G35+H35+I35+J35+K35+L35+M35+N35+O35</f>
        <v>20898.7</v>
      </c>
      <c r="E35" s="59">
        <f t="shared" ref="E35:J35" si="31">SUM(E36:E40)</f>
        <v>279.3</v>
      </c>
      <c r="F35" s="59">
        <f t="shared" si="31"/>
        <v>7999</v>
      </c>
      <c r="G35" s="59">
        <f>G36+G37+G38+G40</f>
        <v>3908.3</v>
      </c>
      <c r="H35" s="59">
        <f t="shared" si="31"/>
        <v>0</v>
      </c>
      <c r="I35" s="59">
        <f t="shared" si="31"/>
        <v>7695.7</v>
      </c>
      <c r="J35" s="59">
        <f t="shared" si="31"/>
        <v>1016.4000000000001</v>
      </c>
      <c r="K35" s="59">
        <f>K36+K37+K38+K39+K40</f>
        <v>0</v>
      </c>
      <c r="L35" s="59">
        <f>L36+L37+L38+L39+L40</f>
        <v>0</v>
      </c>
      <c r="M35" s="59">
        <f>M36+M37+M38+M39+M40</f>
        <v>0</v>
      </c>
      <c r="N35" s="59">
        <f>N36+N37+N38+N39+N40</f>
        <v>0</v>
      </c>
      <c r="O35" s="59">
        <f>O36+O37+O38+O39+O40</f>
        <v>0</v>
      </c>
      <c r="P35" s="64" t="s">
        <v>354</v>
      </c>
    </row>
    <row r="36" spans="1:16" ht="15.75" x14ac:dyDescent="0.2">
      <c r="A36" s="141"/>
      <c r="B36" s="154"/>
      <c r="C36" s="77" t="s">
        <v>10</v>
      </c>
      <c r="D36" s="59">
        <f t="shared" si="30"/>
        <v>0</v>
      </c>
      <c r="E36" s="59">
        <v>0</v>
      </c>
      <c r="F36" s="59">
        <v>0</v>
      </c>
      <c r="G36" s="59">
        <v>0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</row>
    <row r="37" spans="1:16" ht="15.75" x14ac:dyDescent="0.2">
      <c r="A37" s="141"/>
      <c r="B37" s="154"/>
      <c r="C37" s="77" t="s">
        <v>11</v>
      </c>
      <c r="D37" s="59">
        <f t="shared" si="30"/>
        <v>0</v>
      </c>
      <c r="E37" s="59">
        <v>0</v>
      </c>
      <c r="F37" s="59">
        <v>0</v>
      </c>
      <c r="G37" s="59">
        <v>0</v>
      </c>
      <c r="H37" s="59">
        <v>0</v>
      </c>
      <c r="I37" s="59">
        <v>0</v>
      </c>
      <c r="J37" s="59">
        <v>0</v>
      </c>
      <c r="K37" s="59">
        <v>0</v>
      </c>
      <c r="L37" s="59">
        <v>0</v>
      </c>
      <c r="M37" s="59">
        <v>0</v>
      </c>
      <c r="N37" s="59">
        <v>0</v>
      </c>
      <c r="O37" s="59">
        <v>0</v>
      </c>
    </row>
    <row r="38" spans="1:16" ht="15.75" x14ac:dyDescent="0.2">
      <c r="A38" s="141"/>
      <c r="B38" s="154"/>
      <c r="C38" s="77" t="s">
        <v>12</v>
      </c>
      <c r="D38" s="59">
        <f t="shared" si="30"/>
        <v>20898.7</v>
      </c>
      <c r="E38" s="59">
        <v>279.3</v>
      </c>
      <c r="F38" s="59">
        <v>7999</v>
      </c>
      <c r="G38" s="59">
        <v>3908.3</v>
      </c>
      <c r="H38" s="59">
        <v>0</v>
      </c>
      <c r="I38" s="59">
        <v>7695.7</v>
      </c>
      <c r="J38" s="59">
        <f>13000-10000-91-1800-1.6-235+144</f>
        <v>1016.4000000000001</v>
      </c>
      <c r="K38" s="59">
        <f>1620.7-553.4-1067.3</f>
        <v>0</v>
      </c>
      <c r="L38" s="59">
        <v>0</v>
      </c>
      <c r="M38" s="59">
        <v>0</v>
      </c>
      <c r="N38" s="59">
        <v>0</v>
      </c>
      <c r="O38" s="59">
        <v>0</v>
      </c>
    </row>
    <row r="39" spans="1:16" ht="31.5" x14ac:dyDescent="0.2">
      <c r="A39" s="141"/>
      <c r="B39" s="154"/>
      <c r="C39" s="78" t="s">
        <v>79</v>
      </c>
      <c r="D39" s="75">
        <f t="shared" si="30"/>
        <v>3908.3</v>
      </c>
      <c r="E39" s="75">
        <v>0</v>
      </c>
      <c r="F39" s="75">
        <v>0</v>
      </c>
      <c r="G39" s="75">
        <v>3908.3</v>
      </c>
      <c r="H39" s="59">
        <v>0</v>
      </c>
      <c r="I39" s="59">
        <v>0</v>
      </c>
      <c r="J39" s="59">
        <v>0</v>
      </c>
      <c r="K39" s="59">
        <v>0</v>
      </c>
      <c r="L39" s="59">
        <v>0</v>
      </c>
      <c r="M39" s="59">
        <v>0</v>
      </c>
      <c r="N39" s="59">
        <v>0</v>
      </c>
      <c r="O39" s="59">
        <v>0</v>
      </c>
    </row>
    <row r="40" spans="1:16" ht="20.25" customHeight="1" x14ac:dyDescent="0.2">
      <c r="A40" s="141"/>
      <c r="B40" s="155"/>
      <c r="C40" s="77" t="s">
        <v>13</v>
      </c>
      <c r="D40" s="59">
        <f t="shared" si="30"/>
        <v>0</v>
      </c>
      <c r="E40" s="59">
        <v>0</v>
      </c>
      <c r="F40" s="59">
        <v>0</v>
      </c>
      <c r="G40" s="59">
        <v>0</v>
      </c>
      <c r="H40" s="59">
        <v>0</v>
      </c>
      <c r="I40" s="59">
        <v>0</v>
      </c>
      <c r="J40" s="59">
        <v>0</v>
      </c>
      <c r="K40" s="59">
        <v>0</v>
      </c>
      <c r="L40" s="59">
        <v>0</v>
      </c>
      <c r="M40" s="59">
        <v>0</v>
      </c>
      <c r="N40" s="59">
        <v>0</v>
      </c>
      <c r="O40" s="59">
        <v>0</v>
      </c>
    </row>
    <row r="41" spans="1:16" ht="15.75" x14ac:dyDescent="0.2">
      <c r="A41" s="141" t="s">
        <v>95</v>
      </c>
      <c r="B41" s="145" t="s">
        <v>247</v>
      </c>
      <c r="C41" s="77" t="s">
        <v>7</v>
      </c>
      <c r="D41" s="59">
        <f>D42+D43+D44+D46</f>
        <v>89901.1</v>
      </c>
      <c r="E41" s="59">
        <f t="shared" ref="E41:O41" si="32">E42+E43+E44+E46</f>
        <v>2524.5</v>
      </c>
      <c r="F41" s="59">
        <f t="shared" si="32"/>
        <v>0</v>
      </c>
      <c r="G41" s="59">
        <f t="shared" si="32"/>
        <v>9700</v>
      </c>
      <c r="H41" s="59">
        <f t="shared" si="32"/>
        <v>55770.7</v>
      </c>
      <c r="I41" s="59">
        <f t="shared" si="32"/>
        <v>20706</v>
      </c>
      <c r="J41" s="59">
        <f>J42+J43+J44+J46</f>
        <v>1153.1000000000004</v>
      </c>
      <c r="K41" s="59">
        <f t="shared" si="32"/>
        <v>46.800000000000004</v>
      </c>
      <c r="L41" s="59">
        <f t="shared" si="32"/>
        <v>0</v>
      </c>
      <c r="M41" s="59">
        <f t="shared" si="32"/>
        <v>0</v>
      </c>
      <c r="N41" s="59">
        <f t="shared" si="32"/>
        <v>0</v>
      </c>
      <c r="O41" s="59">
        <f t="shared" si="32"/>
        <v>0</v>
      </c>
      <c r="P41" s="64" t="s">
        <v>354</v>
      </c>
    </row>
    <row r="42" spans="1:16" ht="17.25" customHeight="1" x14ac:dyDescent="0.2">
      <c r="A42" s="141"/>
      <c r="B42" s="145"/>
      <c r="C42" s="77" t="s">
        <v>10</v>
      </c>
      <c r="D42" s="59">
        <f>E42+F42+G42+H42+I42+J42+K42+L42+M42+N42+O42</f>
        <v>0</v>
      </c>
      <c r="E42" s="59">
        <v>0</v>
      </c>
      <c r="F42" s="59">
        <v>0</v>
      </c>
      <c r="G42" s="59">
        <v>0</v>
      </c>
      <c r="H42" s="59">
        <v>0</v>
      </c>
      <c r="I42" s="59">
        <v>0</v>
      </c>
      <c r="J42" s="59">
        <v>0</v>
      </c>
      <c r="K42" s="59">
        <v>0</v>
      </c>
      <c r="L42" s="59">
        <v>0</v>
      </c>
      <c r="M42" s="59">
        <v>0</v>
      </c>
      <c r="N42" s="59">
        <v>0</v>
      </c>
      <c r="O42" s="59">
        <v>0</v>
      </c>
    </row>
    <row r="43" spans="1:16" ht="15.75" x14ac:dyDescent="0.2">
      <c r="A43" s="141"/>
      <c r="B43" s="145"/>
      <c r="C43" s="77" t="s">
        <v>11</v>
      </c>
      <c r="D43" s="59">
        <f>E43+F43+G43+H43+I43+J43+K43+L43+M43+N43+O43</f>
        <v>0</v>
      </c>
      <c r="E43" s="59">
        <v>0</v>
      </c>
      <c r="F43" s="59">
        <v>0</v>
      </c>
      <c r="G43" s="59">
        <v>0</v>
      </c>
      <c r="H43" s="59">
        <v>0</v>
      </c>
      <c r="I43" s="59">
        <v>0</v>
      </c>
      <c r="J43" s="59">
        <v>0</v>
      </c>
      <c r="K43" s="59">
        <v>0</v>
      </c>
      <c r="L43" s="59">
        <v>0</v>
      </c>
      <c r="M43" s="59">
        <v>0</v>
      </c>
      <c r="N43" s="59">
        <v>0</v>
      </c>
      <c r="O43" s="59">
        <v>0</v>
      </c>
    </row>
    <row r="44" spans="1:16" ht="31.5" x14ac:dyDescent="0.2">
      <c r="A44" s="141"/>
      <c r="B44" s="145"/>
      <c r="C44" s="77" t="s">
        <v>65</v>
      </c>
      <c r="D44" s="59">
        <f>E44+F44+G44+H44+I44+J44+K44+L44+M44+N44+O44</f>
        <v>89901.1</v>
      </c>
      <c r="E44" s="59">
        <v>2524.5</v>
      </c>
      <c r="F44" s="59">
        <v>0</v>
      </c>
      <c r="G44" s="59">
        <v>9700</v>
      </c>
      <c r="H44" s="59">
        <v>55770.7</v>
      </c>
      <c r="I44" s="59">
        <f>23156-2450</f>
        <v>20706</v>
      </c>
      <c r="J44" s="59">
        <f>10000-8846.9</f>
        <v>1153.1000000000004</v>
      </c>
      <c r="K44" s="59">
        <f>49.2-2.4</f>
        <v>46.800000000000004</v>
      </c>
      <c r="L44" s="59">
        <v>0</v>
      </c>
      <c r="M44" s="59">
        <v>0</v>
      </c>
      <c r="N44" s="59">
        <v>0</v>
      </c>
      <c r="O44" s="59">
        <v>0</v>
      </c>
    </row>
    <row r="45" spans="1:16" ht="31.5" x14ac:dyDescent="0.2">
      <c r="A45" s="141"/>
      <c r="B45" s="145"/>
      <c r="C45" s="78" t="s">
        <v>79</v>
      </c>
      <c r="D45" s="59">
        <f>E45+F45+G45+H45+I45+J45+K45+L45+M45+N45+O45</f>
        <v>1837.2</v>
      </c>
      <c r="E45" s="75">
        <v>1837.2</v>
      </c>
      <c r="F45" s="75">
        <v>0</v>
      </c>
      <c r="G45" s="75">
        <v>0</v>
      </c>
      <c r="H45" s="75">
        <v>0</v>
      </c>
      <c r="I45" s="75">
        <v>0</v>
      </c>
      <c r="J45" s="75">
        <v>0</v>
      </c>
      <c r="K45" s="75">
        <v>0</v>
      </c>
      <c r="L45" s="75">
        <v>0</v>
      </c>
      <c r="M45" s="75">
        <v>0</v>
      </c>
      <c r="N45" s="75">
        <v>0</v>
      </c>
      <c r="O45" s="75">
        <v>0</v>
      </c>
    </row>
    <row r="46" spans="1:16" ht="18" customHeight="1" x14ac:dyDescent="0.2">
      <c r="A46" s="141"/>
      <c r="B46" s="145"/>
      <c r="C46" s="77" t="s">
        <v>13</v>
      </c>
      <c r="D46" s="59">
        <f>E46+F46+G46+H46+I46+J46+K46+L46+M46+N46+O46</f>
        <v>0</v>
      </c>
      <c r="E46" s="59">
        <v>0</v>
      </c>
      <c r="F46" s="59">
        <v>0</v>
      </c>
      <c r="G46" s="59">
        <v>0</v>
      </c>
      <c r="H46" s="59">
        <v>0</v>
      </c>
      <c r="I46" s="59">
        <v>0</v>
      </c>
      <c r="J46" s="59">
        <v>0</v>
      </c>
      <c r="K46" s="59">
        <v>0</v>
      </c>
      <c r="L46" s="59">
        <v>0</v>
      </c>
      <c r="M46" s="59">
        <v>0</v>
      </c>
      <c r="N46" s="59">
        <v>0</v>
      </c>
      <c r="O46" s="59">
        <v>0</v>
      </c>
    </row>
    <row r="47" spans="1:16" ht="15.75" x14ac:dyDescent="0.2">
      <c r="A47" s="138" t="s">
        <v>131</v>
      </c>
      <c r="B47" s="153" t="s">
        <v>227</v>
      </c>
      <c r="C47" s="77" t="s">
        <v>7</v>
      </c>
      <c r="D47" s="59">
        <f>E47+F47+G47+H47+I47+J47</f>
        <v>342.5</v>
      </c>
      <c r="E47" s="59">
        <f t="shared" ref="E47:K47" si="33">E48+E49+E50+E52</f>
        <v>330.5</v>
      </c>
      <c r="F47" s="59">
        <f t="shared" si="33"/>
        <v>12</v>
      </c>
      <c r="G47" s="59">
        <f t="shared" si="33"/>
        <v>0</v>
      </c>
      <c r="H47" s="59">
        <f t="shared" si="33"/>
        <v>0</v>
      </c>
      <c r="I47" s="59">
        <f t="shared" si="33"/>
        <v>0</v>
      </c>
      <c r="J47" s="59">
        <f t="shared" si="33"/>
        <v>0</v>
      </c>
      <c r="K47" s="59">
        <f t="shared" si="33"/>
        <v>0</v>
      </c>
      <c r="L47" s="59">
        <f>L48+L49+L50+L52</f>
        <v>0</v>
      </c>
      <c r="M47" s="59">
        <f>M48+M49+M50+M52</f>
        <v>0</v>
      </c>
      <c r="N47" s="59">
        <f>N48+N49+N50+N52</f>
        <v>0</v>
      </c>
      <c r="O47" s="59">
        <f>O48+O49+O50+O52</f>
        <v>0</v>
      </c>
    </row>
    <row r="48" spans="1:16" ht="15.75" x14ac:dyDescent="0.2">
      <c r="A48" s="139"/>
      <c r="B48" s="154"/>
      <c r="C48" s="77" t="s">
        <v>10</v>
      </c>
      <c r="D48" s="59">
        <f>E48+F48+G48+H48+I48+J48</f>
        <v>0</v>
      </c>
      <c r="E48" s="59">
        <v>0</v>
      </c>
      <c r="F48" s="59">
        <v>0</v>
      </c>
      <c r="G48" s="59">
        <v>0</v>
      </c>
      <c r="H48" s="59">
        <v>0</v>
      </c>
      <c r="I48" s="59">
        <v>0</v>
      </c>
      <c r="J48" s="59">
        <v>0</v>
      </c>
      <c r="K48" s="59">
        <v>0</v>
      </c>
      <c r="L48" s="59">
        <v>0</v>
      </c>
      <c r="M48" s="59">
        <v>0</v>
      </c>
      <c r="N48" s="59">
        <v>0</v>
      </c>
      <c r="O48" s="59">
        <v>0</v>
      </c>
    </row>
    <row r="49" spans="1:17" ht="15.75" x14ac:dyDescent="0.2">
      <c r="A49" s="139"/>
      <c r="B49" s="154"/>
      <c r="C49" s="77" t="s">
        <v>11</v>
      </c>
      <c r="D49" s="59">
        <f>E49+F49+G49+H49+I49+J49</f>
        <v>0</v>
      </c>
      <c r="E49" s="59">
        <v>0</v>
      </c>
      <c r="F49" s="59">
        <v>0</v>
      </c>
      <c r="G49" s="59">
        <v>0</v>
      </c>
      <c r="H49" s="59">
        <v>0</v>
      </c>
      <c r="I49" s="59">
        <v>0</v>
      </c>
      <c r="J49" s="59">
        <v>0</v>
      </c>
      <c r="K49" s="59">
        <v>0</v>
      </c>
      <c r="L49" s="59">
        <v>0</v>
      </c>
      <c r="M49" s="59">
        <v>0</v>
      </c>
      <c r="N49" s="59">
        <v>0</v>
      </c>
      <c r="O49" s="59">
        <v>0</v>
      </c>
    </row>
    <row r="50" spans="1:17" ht="30.75" customHeight="1" x14ac:dyDescent="0.2">
      <c r="A50" s="139"/>
      <c r="B50" s="154"/>
      <c r="C50" s="77" t="s">
        <v>65</v>
      </c>
      <c r="D50" s="59">
        <f>E50+F50+G50+H50+I50+J50</f>
        <v>342.5</v>
      </c>
      <c r="E50" s="59">
        <v>330.5</v>
      </c>
      <c r="F50" s="59">
        <v>12</v>
      </c>
      <c r="G50" s="59">
        <v>0</v>
      </c>
      <c r="H50" s="59">
        <v>0</v>
      </c>
      <c r="I50" s="59">
        <v>0</v>
      </c>
      <c r="J50" s="59">
        <v>0</v>
      </c>
      <c r="K50" s="59">
        <v>0</v>
      </c>
      <c r="L50" s="59">
        <v>0</v>
      </c>
      <c r="M50" s="59">
        <v>0</v>
      </c>
      <c r="N50" s="59">
        <v>0</v>
      </c>
      <c r="O50" s="59">
        <v>0</v>
      </c>
    </row>
    <row r="51" spans="1:17" ht="32.25" customHeight="1" x14ac:dyDescent="0.2">
      <c r="A51" s="139"/>
      <c r="B51" s="154"/>
      <c r="C51" s="78" t="s">
        <v>79</v>
      </c>
      <c r="D51" s="75">
        <f>E51</f>
        <v>330.5</v>
      </c>
      <c r="E51" s="75">
        <v>330.5</v>
      </c>
      <c r="F51" s="75">
        <v>0</v>
      </c>
      <c r="G51" s="75">
        <v>0</v>
      </c>
      <c r="H51" s="75">
        <v>0</v>
      </c>
      <c r="I51" s="75">
        <v>0</v>
      </c>
      <c r="J51" s="75">
        <v>0</v>
      </c>
      <c r="K51" s="59">
        <v>0</v>
      </c>
      <c r="L51" s="75">
        <v>0</v>
      </c>
      <c r="M51" s="75">
        <v>0</v>
      </c>
      <c r="N51" s="75">
        <v>0</v>
      </c>
      <c r="O51" s="59">
        <v>0</v>
      </c>
    </row>
    <row r="52" spans="1:17" ht="26.25" customHeight="1" x14ac:dyDescent="0.2">
      <c r="A52" s="140"/>
      <c r="B52" s="155"/>
      <c r="C52" s="77" t="s">
        <v>13</v>
      </c>
      <c r="D52" s="59">
        <f>E52+F52+G52+H52+I52+J52</f>
        <v>0</v>
      </c>
      <c r="E52" s="59">
        <v>0</v>
      </c>
      <c r="F52" s="59">
        <v>0</v>
      </c>
      <c r="G52" s="59">
        <v>0</v>
      </c>
      <c r="H52" s="59">
        <v>0</v>
      </c>
      <c r="I52" s="59">
        <v>0</v>
      </c>
      <c r="J52" s="59">
        <v>0</v>
      </c>
      <c r="K52" s="59">
        <v>0</v>
      </c>
      <c r="L52" s="59">
        <v>0</v>
      </c>
      <c r="M52" s="59">
        <v>0</v>
      </c>
      <c r="N52" s="59">
        <v>0</v>
      </c>
      <c r="O52" s="59">
        <v>0</v>
      </c>
    </row>
    <row r="53" spans="1:17" ht="15.75" x14ac:dyDescent="0.2">
      <c r="A53" s="141" t="s">
        <v>96</v>
      </c>
      <c r="B53" s="145" t="s">
        <v>88</v>
      </c>
      <c r="C53" s="77" t="s">
        <v>7</v>
      </c>
      <c r="D53" s="59">
        <f>E53+F53+G53+H53+I53+J53+K53+L53+M53+N53+O53</f>
        <v>5540</v>
      </c>
      <c r="E53" s="59">
        <f t="shared" ref="E53:K53" si="34">E54+E55+E56+E57</f>
        <v>5540</v>
      </c>
      <c r="F53" s="59">
        <f t="shared" si="34"/>
        <v>0</v>
      </c>
      <c r="G53" s="59">
        <f t="shared" si="34"/>
        <v>0</v>
      </c>
      <c r="H53" s="59">
        <f t="shared" si="34"/>
        <v>0</v>
      </c>
      <c r="I53" s="59">
        <f t="shared" si="34"/>
        <v>0</v>
      </c>
      <c r="J53" s="59">
        <f t="shared" si="34"/>
        <v>0</v>
      </c>
      <c r="K53" s="59">
        <f t="shared" si="34"/>
        <v>0</v>
      </c>
      <c r="L53" s="59">
        <f>L54+L55+L56+L57</f>
        <v>0</v>
      </c>
      <c r="M53" s="59">
        <f>M54+M55+M56+M57</f>
        <v>0</v>
      </c>
      <c r="N53" s="59">
        <f>N54+N55+N56+N57</f>
        <v>0</v>
      </c>
      <c r="O53" s="59">
        <f>O54+O55+O56+O57</f>
        <v>0</v>
      </c>
    </row>
    <row r="54" spans="1:17" ht="17.25" customHeight="1" x14ac:dyDescent="0.2">
      <c r="A54" s="141"/>
      <c r="B54" s="145"/>
      <c r="C54" s="77" t="s">
        <v>10</v>
      </c>
      <c r="D54" s="59">
        <f>E54+F54+G54+H54+I54+J54+K54+L54+M54+N54+O54</f>
        <v>0</v>
      </c>
      <c r="E54" s="59">
        <v>0</v>
      </c>
      <c r="F54" s="59">
        <v>0</v>
      </c>
      <c r="G54" s="59">
        <v>0</v>
      </c>
      <c r="H54" s="59">
        <v>0</v>
      </c>
      <c r="I54" s="59">
        <v>0</v>
      </c>
      <c r="J54" s="59">
        <v>0</v>
      </c>
      <c r="K54" s="59">
        <v>0</v>
      </c>
      <c r="L54" s="59">
        <v>0</v>
      </c>
      <c r="M54" s="59">
        <v>0</v>
      </c>
      <c r="N54" s="59">
        <v>0</v>
      </c>
      <c r="O54" s="59">
        <v>0</v>
      </c>
    </row>
    <row r="55" spans="1:17" ht="15.75" x14ac:dyDescent="0.2">
      <c r="A55" s="141"/>
      <c r="B55" s="145"/>
      <c r="C55" s="77" t="s">
        <v>11</v>
      </c>
      <c r="D55" s="59">
        <f>E55+F55+G55+H55+I55+J55+K55+L55+M55+N55+O55</f>
        <v>5000</v>
      </c>
      <c r="E55" s="59">
        <v>5000</v>
      </c>
      <c r="F55" s="59">
        <v>0</v>
      </c>
      <c r="G55" s="59">
        <v>0</v>
      </c>
      <c r="H55" s="59">
        <v>0</v>
      </c>
      <c r="I55" s="59">
        <v>0</v>
      </c>
      <c r="J55" s="59">
        <v>0</v>
      </c>
      <c r="K55" s="59">
        <v>0</v>
      </c>
      <c r="L55" s="59">
        <v>0</v>
      </c>
      <c r="M55" s="59">
        <v>0</v>
      </c>
      <c r="N55" s="59">
        <v>0</v>
      </c>
      <c r="O55" s="59">
        <v>0</v>
      </c>
    </row>
    <row r="56" spans="1:17" ht="15.75" x14ac:dyDescent="0.2">
      <c r="A56" s="141"/>
      <c r="B56" s="145"/>
      <c r="C56" s="77" t="s">
        <v>12</v>
      </c>
      <c r="D56" s="59">
        <f>E56+F56+G56+H56+I56+J56+K56+L56+M56+N56+O56</f>
        <v>540</v>
      </c>
      <c r="E56" s="59">
        <v>540</v>
      </c>
      <c r="F56" s="59">
        <v>0</v>
      </c>
      <c r="G56" s="59">
        <v>0</v>
      </c>
      <c r="H56" s="59">
        <v>0</v>
      </c>
      <c r="I56" s="59">
        <v>0</v>
      </c>
      <c r="J56" s="59">
        <v>0</v>
      </c>
      <c r="K56" s="59">
        <v>0</v>
      </c>
      <c r="L56" s="59">
        <v>0</v>
      </c>
      <c r="M56" s="59">
        <v>0</v>
      </c>
      <c r="N56" s="59">
        <v>0</v>
      </c>
      <c r="O56" s="59">
        <v>0</v>
      </c>
    </row>
    <row r="57" spans="1:17" ht="19.5" customHeight="1" x14ac:dyDescent="0.2">
      <c r="A57" s="141"/>
      <c r="B57" s="145"/>
      <c r="C57" s="77" t="s">
        <v>13</v>
      </c>
      <c r="D57" s="59">
        <f>E57+F57+G57+H57+I57+J57+K57+L57+M57+N57+O57</f>
        <v>0</v>
      </c>
      <c r="E57" s="59">
        <v>0</v>
      </c>
      <c r="F57" s="59">
        <v>0</v>
      </c>
      <c r="G57" s="59">
        <v>0</v>
      </c>
      <c r="H57" s="59">
        <v>0</v>
      </c>
      <c r="I57" s="59">
        <v>0</v>
      </c>
      <c r="J57" s="59">
        <v>0</v>
      </c>
      <c r="K57" s="59">
        <v>0</v>
      </c>
      <c r="L57" s="59">
        <v>0</v>
      </c>
      <c r="M57" s="59">
        <v>0</v>
      </c>
      <c r="N57" s="59">
        <v>0</v>
      </c>
      <c r="O57" s="59">
        <v>0</v>
      </c>
    </row>
    <row r="58" spans="1:17" ht="15.75" x14ac:dyDescent="0.2">
      <c r="A58" s="141" t="s">
        <v>97</v>
      </c>
      <c r="B58" s="153" t="s">
        <v>423</v>
      </c>
      <c r="C58" s="77" t="s">
        <v>7</v>
      </c>
      <c r="D58" s="59">
        <f>E58+F58+G58+H58+I58+J58</f>
        <v>103147.9</v>
      </c>
      <c r="E58" s="59">
        <f>E59+E61+E62+E64</f>
        <v>101289</v>
      </c>
      <c r="F58" s="59">
        <f>F59+F61+F62+F64</f>
        <v>1200</v>
      </c>
      <c r="G58" s="59">
        <f t="shared" ref="G58:O58" si="35">G59+G61+G62+G64</f>
        <v>0</v>
      </c>
      <c r="H58" s="59">
        <f t="shared" si="35"/>
        <v>600</v>
      </c>
      <c r="I58" s="59">
        <f t="shared" si="35"/>
        <v>35.5</v>
      </c>
      <c r="J58" s="59">
        <f t="shared" si="35"/>
        <v>23.4</v>
      </c>
      <c r="K58" s="59">
        <f t="shared" si="35"/>
        <v>0</v>
      </c>
      <c r="L58" s="59">
        <f t="shared" si="35"/>
        <v>221.5</v>
      </c>
      <c r="M58" s="59">
        <f t="shared" si="35"/>
        <v>0</v>
      </c>
      <c r="N58" s="59">
        <f t="shared" si="35"/>
        <v>0</v>
      </c>
      <c r="O58" s="59">
        <f t="shared" si="35"/>
        <v>0</v>
      </c>
      <c r="P58" s="60">
        <v>35.4</v>
      </c>
      <c r="Q58" s="72">
        <f>I58-P58</f>
        <v>0.10000000000000142</v>
      </c>
    </row>
    <row r="59" spans="1:17" ht="31.5" x14ac:dyDescent="0.2">
      <c r="A59" s="141"/>
      <c r="B59" s="154"/>
      <c r="C59" s="77" t="s">
        <v>80</v>
      </c>
      <c r="D59" s="59">
        <f t="shared" ref="D59:D64" si="36">E59+F59+G59+H59+I59+J59+K59+L59+M59+N59+O59</f>
        <v>98793.9</v>
      </c>
      <c r="E59" s="59">
        <f>E60</f>
        <v>98793.9</v>
      </c>
      <c r="F59" s="59">
        <v>0</v>
      </c>
      <c r="G59" s="59">
        <v>0</v>
      </c>
      <c r="H59" s="59">
        <v>0</v>
      </c>
      <c r="I59" s="59">
        <v>0</v>
      </c>
      <c r="J59" s="59">
        <v>0</v>
      </c>
      <c r="K59" s="59">
        <v>0</v>
      </c>
      <c r="L59" s="59">
        <v>0</v>
      </c>
      <c r="M59" s="59">
        <v>0</v>
      </c>
      <c r="N59" s="59">
        <v>0</v>
      </c>
      <c r="O59" s="59">
        <v>0</v>
      </c>
    </row>
    <row r="60" spans="1:17" ht="31.5" x14ac:dyDescent="0.2">
      <c r="A60" s="141"/>
      <c r="B60" s="154"/>
      <c r="C60" s="78" t="s">
        <v>81</v>
      </c>
      <c r="D60" s="59">
        <f t="shared" si="36"/>
        <v>98793.9</v>
      </c>
      <c r="E60" s="75">
        <v>98793.9</v>
      </c>
      <c r="F60" s="75">
        <v>0</v>
      </c>
      <c r="G60" s="75">
        <v>0</v>
      </c>
      <c r="H60" s="75">
        <v>0</v>
      </c>
      <c r="I60" s="75">
        <v>0</v>
      </c>
      <c r="J60" s="75">
        <v>0</v>
      </c>
      <c r="K60" s="75">
        <v>0</v>
      </c>
      <c r="L60" s="75">
        <v>0</v>
      </c>
      <c r="M60" s="75">
        <v>0</v>
      </c>
      <c r="N60" s="75">
        <v>0</v>
      </c>
      <c r="O60" s="75">
        <v>0</v>
      </c>
    </row>
    <row r="61" spans="1:17" ht="15.75" x14ac:dyDescent="0.2">
      <c r="A61" s="141"/>
      <c r="B61" s="154"/>
      <c r="C61" s="77" t="s">
        <v>11</v>
      </c>
      <c r="D61" s="59">
        <f t="shared" si="36"/>
        <v>0</v>
      </c>
      <c r="E61" s="59">
        <v>0</v>
      </c>
      <c r="F61" s="59">
        <v>0</v>
      </c>
      <c r="G61" s="59">
        <v>0</v>
      </c>
      <c r="H61" s="59">
        <v>0</v>
      </c>
      <c r="I61" s="59">
        <v>0</v>
      </c>
      <c r="J61" s="59">
        <v>0</v>
      </c>
      <c r="K61" s="59">
        <v>0</v>
      </c>
      <c r="L61" s="59">
        <v>0</v>
      </c>
      <c r="M61" s="59">
        <v>0</v>
      </c>
      <c r="N61" s="59">
        <v>0</v>
      </c>
      <c r="O61" s="59">
        <v>0</v>
      </c>
      <c r="P61" s="62">
        <f>D59+D61+D62+D64</f>
        <v>103369.4</v>
      </c>
      <c r="Q61" s="62"/>
    </row>
    <row r="62" spans="1:17" ht="15.75" x14ac:dyDescent="0.2">
      <c r="A62" s="141"/>
      <c r="B62" s="154"/>
      <c r="C62" s="77" t="s">
        <v>12</v>
      </c>
      <c r="D62" s="59">
        <f t="shared" si="36"/>
        <v>4575.5</v>
      </c>
      <c r="E62" s="59">
        <v>2495.1</v>
      </c>
      <c r="F62" s="59">
        <v>1200</v>
      </c>
      <c r="G62" s="59">
        <v>0</v>
      </c>
      <c r="H62" s="59">
        <v>600</v>
      </c>
      <c r="I62" s="59">
        <v>35.5</v>
      </c>
      <c r="J62" s="59">
        <f>0+23.4</f>
        <v>23.4</v>
      </c>
      <c r="K62" s="59">
        <v>0</v>
      </c>
      <c r="L62" s="59">
        <v>221.5</v>
      </c>
      <c r="M62" s="59">
        <v>0</v>
      </c>
      <c r="N62" s="59">
        <v>0</v>
      </c>
      <c r="O62" s="59">
        <v>0</v>
      </c>
    </row>
    <row r="63" spans="1:17" ht="31.5" x14ac:dyDescent="0.2">
      <c r="A63" s="141"/>
      <c r="B63" s="154"/>
      <c r="C63" s="78" t="s">
        <v>79</v>
      </c>
      <c r="D63" s="75">
        <f t="shared" si="36"/>
        <v>1200</v>
      </c>
      <c r="E63" s="75">
        <v>0</v>
      </c>
      <c r="F63" s="75">
        <v>1200</v>
      </c>
      <c r="G63" s="75">
        <v>0</v>
      </c>
      <c r="H63" s="75">
        <v>0</v>
      </c>
      <c r="I63" s="75">
        <v>0</v>
      </c>
      <c r="J63" s="75">
        <v>0</v>
      </c>
      <c r="K63" s="59">
        <v>0</v>
      </c>
      <c r="L63" s="59">
        <v>0</v>
      </c>
      <c r="M63" s="59">
        <v>0</v>
      </c>
      <c r="N63" s="59">
        <v>0</v>
      </c>
      <c r="O63" s="59">
        <v>0</v>
      </c>
    </row>
    <row r="64" spans="1:17" ht="21" customHeight="1" x14ac:dyDescent="0.2">
      <c r="A64" s="141"/>
      <c r="B64" s="155"/>
      <c r="C64" s="77" t="s">
        <v>13</v>
      </c>
      <c r="D64" s="59">
        <f t="shared" si="36"/>
        <v>0</v>
      </c>
      <c r="E64" s="59">
        <v>0</v>
      </c>
      <c r="F64" s="59">
        <v>0</v>
      </c>
      <c r="G64" s="59">
        <v>0</v>
      </c>
      <c r="H64" s="59">
        <v>0</v>
      </c>
      <c r="I64" s="59">
        <v>0</v>
      </c>
      <c r="J64" s="59">
        <v>0</v>
      </c>
      <c r="K64" s="59">
        <v>0</v>
      </c>
      <c r="L64" s="59">
        <v>0</v>
      </c>
      <c r="M64" s="59">
        <v>0</v>
      </c>
      <c r="N64" s="59">
        <v>0</v>
      </c>
      <c r="O64" s="59">
        <v>0</v>
      </c>
    </row>
    <row r="65" spans="1:15" ht="15.75" x14ac:dyDescent="0.2">
      <c r="A65" s="141" t="s">
        <v>98</v>
      </c>
      <c r="B65" s="145" t="s">
        <v>61</v>
      </c>
      <c r="C65" s="77" t="s">
        <v>7</v>
      </c>
      <c r="D65" s="59">
        <f>D66+D67+D68+D70</f>
        <v>2863</v>
      </c>
      <c r="E65" s="59">
        <f t="shared" ref="E65:K65" si="37">E66+E67+E68+E70</f>
        <v>2863</v>
      </c>
      <c r="F65" s="59">
        <f t="shared" si="37"/>
        <v>0</v>
      </c>
      <c r="G65" s="59">
        <f t="shared" si="37"/>
        <v>0</v>
      </c>
      <c r="H65" s="59">
        <f t="shared" si="37"/>
        <v>0</v>
      </c>
      <c r="I65" s="59">
        <f t="shared" si="37"/>
        <v>0</v>
      </c>
      <c r="J65" s="59">
        <f t="shared" si="37"/>
        <v>0</v>
      </c>
      <c r="K65" s="59">
        <f t="shared" si="37"/>
        <v>0</v>
      </c>
      <c r="L65" s="59">
        <f>L66+L67+L68+L70</f>
        <v>0</v>
      </c>
      <c r="M65" s="59">
        <f>M66+M67+M68+M70</f>
        <v>0</v>
      </c>
      <c r="N65" s="59">
        <f>N66+N67+N68+N70</f>
        <v>0</v>
      </c>
      <c r="O65" s="59">
        <f>O66+O67+O68+O70</f>
        <v>0</v>
      </c>
    </row>
    <row r="66" spans="1:15" ht="15.75" x14ac:dyDescent="0.2">
      <c r="A66" s="141"/>
      <c r="B66" s="145"/>
      <c r="C66" s="77" t="s">
        <v>10</v>
      </c>
      <c r="D66" s="59">
        <f>E66+F66+G66+H66+I66+J66+K66+L66+M66+N66+O66</f>
        <v>0</v>
      </c>
      <c r="E66" s="59">
        <f>F66+G66+H66+I66+J66</f>
        <v>0</v>
      </c>
      <c r="F66" s="59">
        <v>0</v>
      </c>
      <c r="G66" s="59">
        <v>0</v>
      </c>
      <c r="H66" s="59">
        <v>0</v>
      </c>
      <c r="I66" s="59">
        <v>0</v>
      </c>
      <c r="J66" s="59">
        <v>0</v>
      </c>
      <c r="K66" s="59">
        <v>0</v>
      </c>
      <c r="L66" s="59">
        <v>0</v>
      </c>
      <c r="M66" s="59">
        <v>0</v>
      </c>
      <c r="N66" s="59">
        <v>0</v>
      </c>
      <c r="O66" s="59">
        <v>0</v>
      </c>
    </row>
    <row r="67" spans="1:15" ht="15.75" x14ac:dyDescent="0.2">
      <c r="A67" s="141"/>
      <c r="B67" s="145"/>
      <c r="C67" s="77" t="s">
        <v>11</v>
      </c>
      <c r="D67" s="59">
        <f>E67+F67+G67+H67+I67+J67+K67+L67+M67+N67+O67</f>
        <v>0</v>
      </c>
      <c r="E67" s="59">
        <v>0</v>
      </c>
      <c r="F67" s="59">
        <v>0</v>
      </c>
      <c r="G67" s="59">
        <v>0</v>
      </c>
      <c r="H67" s="59">
        <v>0</v>
      </c>
      <c r="I67" s="59">
        <v>0</v>
      </c>
      <c r="J67" s="59">
        <v>0</v>
      </c>
      <c r="K67" s="59">
        <v>0</v>
      </c>
      <c r="L67" s="59">
        <v>0</v>
      </c>
      <c r="M67" s="59">
        <v>0</v>
      </c>
      <c r="N67" s="59">
        <v>0</v>
      </c>
      <c r="O67" s="59">
        <v>0</v>
      </c>
    </row>
    <row r="68" spans="1:15" ht="31.5" x14ac:dyDescent="0.2">
      <c r="A68" s="141"/>
      <c r="B68" s="145"/>
      <c r="C68" s="77" t="s">
        <v>65</v>
      </c>
      <c r="D68" s="59">
        <f>E68+F68+G68+H68+I68+J68+K68+L68+M68+N68+O68</f>
        <v>2863</v>
      </c>
      <c r="E68" s="59">
        <v>2863</v>
      </c>
      <c r="F68" s="59">
        <v>0</v>
      </c>
      <c r="G68" s="59">
        <v>0</v>
      </c>
      <c r="H68" s="59">
        <v>0</v>
      </c>
      <c r="I68" s="59">
        <v>0</v>
      </c>
      <c r="J68" s="59">
        <v>0</v>
      </c>
      <c r="K68" s="59">
        <v>0</v>
      </c>
      <c r="L68" s="59">
        <v>0</v>
      </c>
      <c r="M68" s="59">
        <v>0</v>
      </c>
      <c r="N68" s="59">
        <v>0</v>
      </c>
      <c r="O68" s="59">
        <v>0</v>
      </c>
    </row>
    <row r="69" spans="1:15" ht="33" customHeight="1" x14ac:dyDescent="0.2">
      <c r="A69" s="141"/>
      <c r="B69" s="145"/>
      <c r="C69" s="78" t="s">
        <v>79</v>
      </c>
      <c r="D69" s="59">
        <f>E69+F69+G69+H69+I69+J69+K69+L69+M69+N69+O69</f>
        <v>2863</v>
      </c>
      <c r="E69" s="75">
        <v>2863</v>
      </c>
      <c r="F69" s="75">
        <v>0</v>
      </c>
      <c r="G69" s="75">
        <v>0</v>
      </c>
      <c r="H69" s="75">
        <v>0</v>
      </c>
      <c r="I69" s="75">
        <v>0</v>
      </c>
      <c r="J69" s="75">
        <v>0</v>
      </c>
      <c r="K69" s="59">
        <v>0</v>
      </c>
      <c r="L69" s="75">
        <v>0</v>
      </c>
      <c r="M69" s="75">
        <v>0</v>
      </c>
      <c r="N69" s="75">
        <v>0</v>
      </c>
      <c r="O69" s="59">
        <v>0</v>
      </c>
    </row>
    <row r="70" spans="1:15" ht="20.25" customHeight="1" x14ac:dyDescent="0.2">
      <c r="A70" s="141"/>
      <c r="B70" s="145"/>
      <c r="C70" s="77" t="s">
        <v>13</v>
      </c>
      <c r="D70" s="59">
        <f>E70+F70+G70+H70+I70+J70+K70+L70+M70+N70+O70</f>
        <v>0</v>
      </c>
      <c r="E70" s="59">
        <v>0</v>
      </c>
      <c r="F70" s="59">
        <v>0</v>
      </c>
      <c r="G70" s="59">
        <v>0</v>
      </c>
      <c r="H70" s="59">
        <v>0</v>
      </c>
      <c r="I70" s="59">
        <v>0</v>
      </c>
      <c r="J70" s="59">
        <v>0</v>
      </c>
      <c r="K70" s="59">
        <v>0</v>
      </c>
      <c r="L70" s="59">
        <v>0</v>
      </c>
      <c r="M70" s="59">
        <v>0</v>
      </c>
      <c r="N70" s="59">
        <v>0</v>
      </c>
      <c r="O70" s="59">
        <v>0</v>
      </c>
    </row>
    <row r="71" spans="1:15" ht="15.75" x14ac:dyDescent="0.2">
      <c r="A71" s="141" t="s">
        <v>99</v>
      </c>
      <c r="B71" s="145" t="s">
        <v>138</v>
      </c>
      <c r="C71" s="77" t="s">
        <v>7</v>
      </c>
      <c r="D71" s="59">
        <f t="shared" ref="D71:K71" si="38">D72+D73+D75+D77</f>
        <v>19253.100000000002</v>
      </c>
      <c r="E71" s="59">
        <f t="shared" si="38"/>
        <v>19253.100000000002</v>
      </c>
      <c r="F71" s="59">
        <f t="shared" si="38"/>
        <v>0</v>
      </c>
      <c r="G71" s="59">
        <f t="shared" si="38"/>
        <v>0</v>
      </c>
      <c r="H71" s="59">
        <f t="shared" si="38"/>
        <v>0</v>
      </c>
      <c r="I71" s="59">
        <f t="shared" si="38"/>
        <v>0</v>
      </c>
      <c r="J71" s="59">
        <f t="shared" si="38"/>
        <v>0</v>
      </c>
      <c r="K71" s="59">
        <f t="shared" si="38"/>
        <v>0</v>
      </c>
      <c r="L71" s="59">
        <f>L72+L73+L75+L77</f>
        <v>0</v>
      </c>
      <c r="M71" s="59">
        <f>M72+M73+M75+M77</f>
        <v>0</v>
      </c>
      <c r="N71" s="59">
        <f>N72+N73+N75+N77</f>
        <v>0</v>
      </c>
      <c r="O71" s="59">
        <f>O72+O73+O75+O77</f>
        <v>0</v>
      </c>
    </row>
    <row r="72" spans="1:15" ht="15.75" x14ac:dyDescent="0.2">
      <c r="A72" s="141"/>
      <c r="B72" s="145"/>
      <c r="C72" s="77" t="s">
        <v>10</v>
      </c>
      <c r="D72" s="59">
        <f>E72+F72+G72+H72+I72+J72</f>
        <v>0</v>
      </c>
      <c r="E72" s="59">
        <f>F72+G72+H72+I72+J72</f>
        <v>0</v>
      </c>
      <c r="F72" s="59">
        <v>0</v>
      </c>
      <c r="G72" s="59">
        <v>0</v>
      </c>
      <c r="H72" s="59">
        <v>0</v>
      </c>
      <c r="I72" s="59">
        <v>0</v>
      </c>
      <c r="J72" s="59">
        <v>0</v>
      </c>
      <c r="K72" s="59">
        <v>0</v>
      </c>
      <c r="L72" s="59">
        <v>0</v>
      </c>
      <c r="M72" s="59">
        <v>0</v>
      </c>
      <c r="N72" s="59">
        <v>0</v>
      </c>
      <c r="O72" s="59">
        <v>0</v>
      </c>
    </row>
    <row r="73" spans="1:15" ht="33" customHeight="1" x14ac:dyDescent="0.2">
      <c r="A73" s="141"/>
      <c r="B73" s="145"/>
      <c r="C73" s="77" t="s">
        <v>69</v>
      </c>
      <c r="D73" s="59">
        <f>E73+F73+G73+H73+I73+J73</f>
        <v>18290.400000000001</v>
      </c>
      <c r="E73" s="59">
        <v>18290.400000000001</v>
      </c>
      <c r="F73" s="59">
        <v>0</v>
      </c>
      <c r="G73" s="59">
        <v>0</v>
      </c>
      <c r="H73" s="59">
        <v>0</v>
      </c>
      <c r="I73" s="59">
        <v>0</v>
      </c>
      <c r="J73" s="59">
        <v>0</v>
      </c>
      <c r="K73" s="59">
        <v>0</v>
      </c>
      <c r="L73" s="59">
        <v>0</v>
      </c>
      <c r="M73" s="59">
        <v>0</v>
      </c>
      <c r="N73" s="59">
        <v>0</v>
      </c>
      <c r="O73" s="59">
        <v>0</v>
      </c>
    </row>
    <row r="74" spans="1:15" ht="32.25" customHeight="1" x14ac:dyDescent="0.2">
      <c r="A74" s="141"/>
      <c r="B74" s="145"/>
      <c r="C74" s="78" t="s">
        <v>79</v>
      </c>
      <c r="D74" s="75">
        <f>E74</f>
        <v>18290.400000000001</v>
      </c>
      <c r="E74" s="75">
        <v>18290.400000000001</v>
      </c>
      <c r="F74" s="75">
        <v>0</v>
      </c>
      <c r="G74" s="75">
        <v>0</v>
      </c>
      <c r="H74" s="75">
        <v>0</v>
      </c>
      <c r="I74" s="75">
        <v>0</v>
      </c>
      <c r="J74" s="75">
        <v>0</v>
      </c>
      <c r="K74" s="59">
        <v>0</v>
      </c>
      <c r="L74" s="75">
        <v>0</v>
      </c>
      <c r="M74" s="75">
        <v>0</v>
      </c>
      <c r="N74" s="75">
        <v>0</v>
      </c>
      <c r="O74" s="59">
        <v>0</v>
      </c>
    </row>
    <row r="75" spans="1:15" ht="33.75" customHeight="1" x14ac:dyDescent="0.2">
      <c r="A75" s="141"/>
      <c r="B75" s="145"/>
      <c r="C75" s="77" t="s">
        <v>65</v>
      </c>
      <c r="D75" s="59">
        <f>E75+F75+G75+H75+I75+J75</f>
        <v>962.7</v>
      </c>
      <c r="E75" s="59">
        <v>962.7</v>
      </c>
      <c r="F75" s="59">
        <v>0</v>
      </c>
      <c r="G75" s="59">
        <v>0</v>
      </c>
      <c r="H75" s="59">
        <v>0</v>
      </c>
      <c r="I75" s="59">
        <v>0</v>
      </c>
      <c r="J75" s="59">
        <v>0</v>
      </c>
      <c r="K75" s="59">
        <v>0</v>
      </c>
      <c r="L75" s="59">
        <v>0</v>
      </c>
      <c r="M75" s="59">
        <v>0</v>
      </c>
      <c r="N75" s="59">
        <v>0</v>
      </c>
      <c r="O75" s="59">
        <v>0</v>
      </c>
    </row>
    <row r="76" spans="1:15" ht="30.75" customHeight="1" x14ac:dyDescent="0.2">
      <c r="A76" s="141"/>
      <c r="B76" s="145"/>
      <c r="C76" s="78" t="s">
        <v>79</v>
      </c>
      <c r="D76" s="75">
        <f>E76</f>
        <v>962.7</v>
      </c>
      <c r="E76" s="75">
        <v>962.7</v>
      </c>
      <c r="F76" s="75">
        <v>0</v>
      </c>
      <c r="G76" s="75">
        <v>0</v>
      </c>
      <c r="H76" s="75">
        <v>0</v>
      </c>
      <c r="I76" s="75">
        <v>0</v>
      </c>
      <c r="J76" s="75">
        <v>0</v>
      </c>
      <c r="K76" s="59">
        <v>0</v>
      </c>
      <c r="L76" s="75">
        <v>0</v>
      </c>
      <c r="M76" s="75">
        <v>0</v>
      </c>
      <c r="N76" s="75">
        <v>0</v>
      </c>
      <c r="O76" s="59">
        <v>0</v>
      </c>
    </row>
    <row r="77" spans="1:15" ht="18.75" customHeight="1" x14ac:dyDescent="0.2">
      <c r="A77" s="141"/>
      <c r="B77" s="145"/>
      <c r="C77" s="77" t="s">
        <v>13</v>
      </c>
      <c r="D77" s="59">
        <f>E77+F77+G77+H77+I77+J77</f>
        <v>0</v>
      </c>
      <c r="E77" s="59">
        <v>0</v>
      </c>
      <c r="F77" s="59">
        <v>0</v>
      </c>
      <c r="G77" s="59">
        <v>0</v>
      </c>
      <c r="H77" s="59">
        <v>0</v>
      </c>
      <c r="I77" s="59">
        <v>0</v>
      </c>
      <c r="J77" s="59">
        <v>0</v>
      </c>
      <c r="K77" s="59">
        <v>0</v>
      </c>
      <c r="L77" s="59">
        <v>0</v>
      </c>
      <c r="M77" s="59">
        <v>0</v>
      </c>
      <c r="N77" s="59">
        <v>0</v>
      </c>
      <c r="O77" s="59">
        <v>0</v>
      </c>
    </row>
    <row r="78" spans="1:15" ht="15.75" x14ac:dyDescent="0.2">
      <c r="A78" s="141" t="s">
        <v>100</v>
      </c>
      <c r="B78" s="153" t="s">
        <v>68</v>
      </c>
      <c r="C78" s="77" t="s">
        <v>7</v>
      </c>
      <c r="D78" s="59">
        <f t="shared" ref="D78:I78" si="39">D79+D80+D81+D83</f>
        <v>79.5</v>
      </c>
      <c r="E78" s="59">
        <f t="shared" si="39"/>
        <v>79.5</v>
      </c>
      <c r="F78" s="59">
        <f t="shared" si="39"/>
        <v>0</v>
      </c>
      <c r="G78" s="59">
        <f t="shared" si="39"/>
        <v>0</v>
      </c>
      <c r="H78" s="59">
        <f t="shared" si="39"/>
        <v>0</v>
      </c>
      <c r="I78" s="59">
        <f t="shared" si="39"/>
        <v>0</v>
      </c>
      <c r="J78" s="59">
        <f t="shared" ref="J78:O78" si="40">J79+J80+J81+J83</f>
        <v>0</v>
      </c>
      <c r="K78" s="59">
        <f t="shared" si="40"/>
        <v>0</v>
      </c>
      <c r="L78" s="59">
        <f t="shared" si="40"/>
        <v>0</v>
      </c>
      <c r="M78" s="59">
        <f t="shared" si="40"/>
        <v>0</v>
      </c>
      <c r="N78" s="59">
        <f t="shared" si="40"/>
        <v>0</v>
      </c>
      <c r="O78" s="59">
        <f t="shared" si="40"/>
        <v>0</v>
      </c>
    </row>
    <row r="79" spans="1:15" ht="18.75" customHeight="1" x14ac:dyDescent="0.2">
      <c r="A79" s="141"/>
      <c r="B79" s="154"/>
      <c r="C79" s="77" t="s">
        <v>10</v>
      </c>
      <c r="D79" s="59">
        <f>E79+F79+G79+H79+I79+J79</f>
        <v>0</v>
      </c>
      <c r="E79" s="59">
        <f>F79+G79+H79+I79+J79</f>
        <v>0</v>
      </c>
      <c r="F79" s="59">
        <v>0</v>
      </c>
      <c r="G79" s="59">
        <v>0</v>
      </c>
      <c r="H79" s="59">
        <v>0</v>
      </c>
      <c r="I79" s="59">
        <v>0</v>
      </c>
      <c r="J79" s="59">
        <v>0</v>
      </c>
      <c r="K79" s="59">
        <v>0</v>
      </c>
      <c r="L79" s="59">
        <v>0</v>
      </c>
      <c r="M79" s="59">
        <v>0</v>
      </c>
      <c r="N79" s="59">
        <v>0</v>
      </c>
      <c r="O79" s="59">
        <v>0</v>
      </c>
    </row>
    <row r="80" spans="1:15" ht="16.5" customHeight="1" x14ac:dyDescent="0.2">
      <c r="A80" s="141"/>
      <c r="B80" s="154"/>
      <c r="C80" s="77" t="s">
        <v>11</v>
      </c>
      <c r="D80" s="59">
        <f>E80+F80+G80+H80+I80+J80</f>
        <v>0</v>
      </c>
      <c r="E80" s="59">
        <v>0</v>
      </c>
      <c r="F80" s="59">
        <v>0</v>
      </c>
      <c r="G80" s="59">
        <v>0</v>
      </c>
      <c r="H80" s="59">
        <v>0</v>
      </c>
      <c r="I80" s="59">
        <v>0</v>
      </c>
      <c r="J80" s="59">
        <v>0</v>
      </c>
      <c r="K80" s="59">
        <v>0</v>
      </c>
      <c r="L80" s="59">
        <v>0</v>
      </c>
      <c r="M80" s="59">
        <v>0</v>
      </c>
      <c r="N80" s="59">
        <v>0</v>
      </c>
      <c r="O80" s="59">
        <v>0</v>
      </c>
    </row>
    <row r="81" spans="1:15" ht="31.5" x14ac:dyDescent="0.2">
      <c r="A81" s="141"/>
      <c r="B81" s="154"/>
      <c r="C81" s="77" t="s">
        <v>65</v>
      </c>
      <c r="D81" s="59">
        <f>E81+F81+G81+H81+I81+J81</f>
        <v>79.5</v>
      </c>
      <c r="E81" s="59">
        <v>79.5</v>
      </c>
      <c r="F81" s="59">
        <v>0</v>
      </c>
      <c r="G81" s="59">
        <v>0</v>
      </c>
      <c r="H81" s="59">
        <v>0</v>
      </c>
      <c r="I81" s="59">
        <v>0</v>
      </c>
      <c r="J81" s="59">
        <v>0</v>
      </c>
      <c r="K81" s="59">
        <v>0</v>
      </c>
      <c r="L81" s="59">
        <v>0</v>
      </c>
      <c r="M81" s="59">
        <v>0</v>
      </c>
      <c r="N81" s="59">
        <v>0</v>
      </c>
      <c r="O81" s="59">
        <v>0</v>
      </c>
    </row>
    <row r="82" spans="1:15" ht="30.75" customHeight="1" x14ac:dyDescent="0.2">
      <c r="A82" s="141"/>
      <c r="B82" s="154"/>
      <c r="C82" s="78" t="s">
        <v>79</v>
      </c>
      <c r="D82" s="75">
        <f>E82</f>
        <v>79.5</v>
      </c>
      <c r="E82" s="75">
        <v>79.5</v>
      </c>
      <c r="F82" s="75">
        <v>0</v>
      </c>
      <c r="G82" s="75">
        <v>0</v>
      </c>
      <c r="H82" s="75">
        <v>0</v>
      </c>
      <c r="I82" s="75">
        <v>0</v>
      </c>
      <c r="J82" s="75">
        <v>0</v>
      </c>
      <c r="K82" s="59">
        <v>0</v>
      </c>
      <c r="L82" s="75">
        <v>0</v>
      </c>
      <c r="M82" s="75">
        <v>0</v>
      </c>
      <c r="N82" s="75">
        <v>0</v>
      </c>
      <c r="O82" s="59">
        <v>0</v>
      </c>
    </row>
    <row r="83" spans="1:15" ht="19.5" customHeight="1" x14ac:dyDescent="0.2">
      <c r="A83" s="141"/>
      <c r="B83" s="155"/>
      <c r="C83" s="77" t="s">
        <v>13</v>
      </c>
      <c r="D83" s="59">
        <f>E83+F83+G83+H83+I83+J83</f>
        <v>0</v>
      </c>
      <c r="E83" s="59">
        <v>0</v>
      </c>
      <c r="F83" s="59">
        <v>0</v>
      </c>
      <c r="G83" s="59">
        <v>0</v>
      </c>
      <c r="H83" s="59">
        <v>0</v>
      </c>
      <c r="I83" s="59">
        <v>0</v>
      </c>
      <c r="J83" s="59">
        <v>0</v>
      </c>
      <c r="K83" s="59">
        <v>0</v>
      </c>
      <c r="L83" s="59">
        <v>0</v>
      </c>
      <c r="M83" s="59">
        <v>0</v>
      </c>
      <c r="N83" s="59">
        <v>0</v>
      </c>
      <c r="O83" s="59">
        <v>0</v>
      </c>
    </row>
    <row r="84" spans="1:15" ht="15.75" x14ac:dyDescent="0.2">
      <c r="A84" s="141" t="s">
        <v>101</v>
      </c>
      <c r="B84" s="145" t="s">
        <v>70</v>
      </c>
      <c r="C84" s="77" t="s">
        <v>7</v>
      </c>
      <c r="D84" s="59">
        <f t="shared" ref="D84:K84" si="41">D86+D87+D88+D90</f>
        <v>31.7</v>
      </c>
      <c r="E84" s="59">
        <f t="shared" si="41"/>
        <v>31.7</v>
      </c>
      <c r="F84" s="59">
        <f t="shared" si="41"/>
        <v>0</v>
      </c>
      <c r="G84" s="59">
        <f t="shared" si="41"/>
        <v>0</v>
      </c>
      <c r="H84" s="59">
        <f t="shared" si="41"/>
        <v>0</v>
      </c>
      <c r="I84" s="59">
        <f t="shared" si="41"/>
        <v>0</v>
      </c>
      <c r="J84" s="59">
        <f t="shared" si="41"/>
        <v>0</v>
      </c>
      <c r="K84" s="59">
        <f t="shared" si="41"/>
        <v>0</v>
      </c>
      <c r="L84" s="59">
        <f>L86+L87+L88+L90</f>
        <v>0</v>
      </c>
      <c r="M84" s="59">
        <f>M86+M87+M88+M90</f>
        <v>0</v>
      </c>
      <c r="N84" s="59">
        <f>N86+N87+N88+N90</f>
        <v>0</v>
      </c>
      <c r="O84" s="59">
        <f>O86+O87+O88+O90</f>
        <v>0</v>
      </c>
    </row>
    <row r="85" spans="1:15" ht="31.5" x14ac:dyDescent="0.2">
      <c r="A85" s="141"/>
      <c r="B85" s="145"/>
      <c r="C85" s="78" t="s">
        <v>79</v>
      </c>
      <c r="D85" s="75">
        <f>E85</f>
        <v>31.7</v>
      </c>
      <c r="E85" s="75">
        <f>E89</f>
        <v>31.7</v>
      </c>
      <c r="F85" s="75">
        <v>0</v>
      </c>
      <c r="G85" s="75">
        <v>0</v>
      </c>
      <c r="H85" s="75">
        <v>0</v>
      </c>
      <c r="I85" s="75">
        <v>0</v>
      </c>
      <c r="J85" s="75">
        <v>0</v>
      </c>
      <c r="K85" s="75">
        <v>0</v>
      </c>
      <c r="L85" s="75">
        <v>0</v>
      </c>
      <c r="M85" s="75">
        <v>0</v>
      </c>
      <c r="N85" s="75">
        <v>0</v>
      </c>
      <c r="O85" s="75">
        <v>0</v>
      </c>
    </row>
    <row r="86" spans="1:15" ht="15.75" x14ac:dyDescent="0.2">
      <c r="A86" s="141"/>
      <c r="B86" s="145"/>
      <c r="C86" s="77" t="s">
        <v>10</v>
      </c>
      <c r="D86" s="59">
        <f>E86+F86+G86+H86+I86+J86</f>
        <v>0</v>
      </c>
      <c r="E86" s="59">
        <f>F86+G86+H86+I86+J86</f>
        <v>0</v>
      </c>
      <c r="F86" s="59">
        <v>0</v>
      </c>
      <c r="G86" s="59">
        <v>0</v>
      </c>
      <c r="H86" s="59">
        <v>0</v>
      </c>
      <c r="I86" s="59">
        <v>0</v>
      </c>
      <c r="J86" s="59">
        <v>0</v>
      </c>
      <c r="K86" s="59">
        <v>0</v>
      </c>
      <c r="L86" s="59">
        <v>0</v>
      </c>
      <c r="M86" s="59">
        <v>0</v>
      </c>
      <c r="N86" s="59">
        <v>0</v>
      </c>
      <c r="O86" s="59">
        <v>0</v>
      </c>
    </row>
    <row r="87" spans="1:15" ht="15.75" x14ac:dyDescent="0.2">
      <c r="A87" s="141"/>
      <c r="B87" s="145"/>
      <c r="C87" s="77" t="s">
        <v>11</v>
      </c>
      <c r="D87" s="59">
        <f>E87+F87+G87+H87+I87+J87</f>
        <v>0</v>
      </c>
      <c r="E87" s="59">
        <v>0</v>
      </c>
      <c r="F87" s="59">
        <v>0</v>
      </c>
      <c r="G87" s="59">
        <v>0</v>
      </c>
      <c r="H87" s="59">
        <v>0</v>
      </c>
      <c r="I87" s="59">
        <v>0</v>
      </c>
      <c r="J87" s="59">
        <v>0</v>
      </c>
      <c r="K87" s="59">
        <v>0</v>
      </c>
      <c r="L87" s="59">
        <v>0</v>
      </c>
      <c r="M87" s="59">
        <v>0</v>
      </c>
      <c r="N87" s="59">
        <v>0</v>
      </c>
      <c r="O87" s="59">
        <v>0</v>
      </c>
    </row>
    <row r="88" spans="1:15" ht="32.25" customHeight="1" x14ac:dyDescent="0.2">
      <c r="A88" s="141"/>
      <c r="B88" s="145"/>
      <c r="C88" s="77" t="s">
        <v>65</v>
      </c>
      <c r="D88" s="59">
        <f>E88+F88+G88+H88+I88+J88</f>
        <v>31.7</v>
      </c>
      <c r="E88" s="59">
        <v>31.7</v>
      </c>
      <c r="F88" s="59">
        <v>0</v>
      </c>
      <c r="G88" s="59">
        <v>0</v>
      </c>
      <c r="H88" s="59">
        <v>0</v>
      </c>
      <c r="I88" s="59">
        <v>0</v>
      </c>
      <c r="J88" s="59">
        <v>0</v>
      </c>
      <c r="K88" s="59">
        <v>0</v>
      </c>
      <c r="L88" s="59">
        <v>0</v>
      </c>
      <c r="M88" s="59">
        <v>0</v>
      </c>
      <c r="N88" s="59">
        <v>0</v>
      </c>
      <c r="O88" s="59">
        <v>0</v>
      </c>
    </row>
    <row r="89" spans="1:15" ht="31.5" customHeight="1" x14ac:dyDescent="0.2">
      <c r="A89" s="141"/>
      <c r="B89" s="145"/>
      <c r="C89" s="78" t="s">
        <v>79</v>
      </c>
      <c r="D89" s="75">
        <f>E89</f>
        <v>31.7</v>
      </c>
      <c r="E89" s="75">
        <v>31.7</v>
      </c>
      <c r="F89" s="75">
        <v>0</v>
      </c>
      <c r="G89" s="75">
        <v>0</v>
      </c>
      <c r="H89" s="75">
        <v>0</v>
      </c>
      <c r="I89" s="75">
        <v>0</v>
      </c>
      <c r="J89" s="75">
        <v>0</v>
      </c>
      <c r="K89" s="59">
        <v>0</v>
      </c>
      <c r="L89" s="75">
        <v>0</v>
      </c>
      <c r="M89" s="75">
        <v>0</v>
      </c>
      <c r="N89" s="75">
        <v>0</v>
      </c>
      <c r="O89" s="59">
        <v>0</v>
      </c>
    </row>
    <row r="90" spans="1:15" ht="18" customHeight="1" x14ac:dyDescent="0.2">
      <c r="A90" s="141"/>
      <c r="B90" s="145"/>
      <c r="C90" s="77" t="s">
        <v>13</v>
      </c>
      <c r="D90" s="59">
        <f>E90+F90+G90+H90+I90+J90</f>
        <v>0</v>
      </c>
      <c r="E90" s="59">
        <v>0</v>
      </c>
      <c r="F90" s="59">
        <v>0</v>
      </c>
      <c r="G90" s="59">
        <v>0</v>
      </c>
      <c r="H90" s="59">
        <v>0</v>
      </c>
      <c r="I90" s="59">
        <v>0</v>
      </c>
      <c r="J90" s="59">
        <v>0</v>
      </c>
      <c r="K90" s="59">
        <v>0</v>
      </c>
      <c r="L90" s="59">
        <v>0</v>
      </c>
      <c r="M90" s="59">
        <v>0</v>
      </c>
      <c r="N90" s="59">
        <v>0</v>
      </c>
      <c r="O90" s="59">
        <v>0</v>
      </c>
    </row>
    <row r="91" spans="1:15" ht="15.75" x14ac:dyDescent="0.2">
      <c r="A91" s="141" t="s">
        <v>102</v>
      </c>
      <c r="B91" s="141" t="s">
        <v>208</v>
      </c>
      <c r="C91" s="77" t="s">
        <v>7</v>
      </c>
      <c r="D91" s="59">
        <f t="shared" ref="D91:K91" si="42">D92+D93+D94+D96</f>
        <v>7.8</v>
      </c>
      <c r="E91" s="59">
        <f t="shared" si="42"/>
        <v>7.8</v>
      </c>
      <c r="F91" s="59">
        <f t="shared" si="42"/>
        <v>0</v>
      </c>
      <c r="G91" s="59">
        <f t="shared" si="42"/>
        <v>0</v>
      </c>
      <c r="H91" s="59">
        <f t="shared" si="42"/>
        <v>0</v>
      </c>
      <c r="I91" s="59">
        <f t="shared" si="42"/>
        <v>0</v>
      </c>
      <c r="J91" s="59">
        <f t="shared" si="42"/>
        <v>0</v>
      </c>
      <c r="K91" s="59">
        <f t="shared" si="42"/>
        <v>0</v>
      </c>
      <c r="L91" s="59">
        <f>L93+L94+L95+L97</f>
        <v>0</v>
      </c>
      <c r="M91" s="59">
        <f>M93+M94+M95+M97</f>
        <v>0</v>
      </c>
      <c r="N91" s="59">
        <f>N93+N94+N95+N97</f>
        <v>0</v>
      </c>
      <c r="O91" s="59">
        <f>O93+O94+O95+O97</f>
        <v>0</v>
      </c>
    </row>
    <row r="92" spans="1:15" ht="15.75" x14ac:dyDescent="0.2">
      <c r="A92" s="141"/>
      <c r="B92" s="141"/>
      <c r="C92" s="77" t="s">
        <v>10</v>
      </c>
      <c r="D92" s="59">
        <f>E92+F92+G92+H92+I92+J92</f>
        <v>0</v>
      </c>
      <c r="E92" s="59">
        <f>F92+G92+H92+I92+J92</f>
        <v>0</v>
      </c>
      <c r="F92" s="59">
        <v>0</v>
      </c>
      <c r="G92" s="59">
        <v>0</v>
      </c>
      <c r="H92" s="59">
        <v>0</v>
      </c>
      <c r="I92" s="59">
        <v>0</v>
      </c>
      <c r="J92" s="59">
        <v>0</v>
      </c>
      <c r="K92" s="59">
        <v>0</v>
      </c>
      <c r="L92" s="75">
        <v>0</v>
      </c>
      <c r="M92" s="75">
        <v>0</v>
      </c>
      <c r="N92" s="75">
        <v>0</v>
      </c>
      <c r="O92" s="75">
        <v>0</v>
      </c>
    </row>
    <row r="93" spans="1:15" ht="18" customHeight="1" x14ac:dyDescent="0.2">
      <c r="A93" s="141"/>
      <c r="B93" s="141"/>
      <c r="C93" s="77" t="s">
        <v>11</v>
      </c>
      <c r="D93" s="59">
        <f>E93+F93+G93+H93+I93+J93</f>
        <v>0</v>
      </c>
      <c r="E93" s="59">
        <v>0</v>
      </c>
      <c r="F93" s="59">
        <v>0</v>
      </c>
      <c r="G93" s="59">
        <v>0</v>
      </c>
      <c r="H93" s="59">
        <v>0</v>
      </c>
      <c r="I93" s="59">
        <v>0</v>
      </c>
      <c r="J93" s="59">
        <v>0</v>
      </c>
      <c r="K93" s="59">
        <v>0</v>
      </c>
      <c r="L93" s="59">
        <v>0</v>
      </c>
      <c r="M93" s="59">
        <v>0</v>
      </c>
      <c r="N93" s="59">
        <v>0</v>
      </c>
      <c r="O93" s="59">
        <v>0</v>
      </c>
    </row>
    <row r="94" spans="1:15" ht="31.5" x14ac:dyDescent="0.2">
      <c r="A94" s="141"/>
      <c r="B94" s="141"/>
      <c r="C94" s="77" t="s">
        <v>65</v>
      </c>
      <c r="D94" s="59">
        <f>E94+F94+G94+H94+I94+J94</f>
        <v>7.8</v>
      </c>
      <c r="E94" s="59">
        <v>7.8</v>
      </c>
      <c r="F94" s="59">
        <v>0</v>
      </c>
      <c r="G94" s="59">
        <v>0</v>
      </c>
      <c r="H94" s="59">
        <v>0</v>
      </c>
      <c r="I94" s="59">
        <v>0</v>
      </c>
      <c r="J94" s="59">
        <v>0</v>
      </c>
      <c r="K94" s="59">
        <v>0</v>
      </c>
      <c r="L94" s="59">
        <v>0</v>
      </c>
      <c r="M94" s="59">
        <v>0</v>
      </c>
      <c r="N94" s="59">
        <v>0</v>
      </c>
      <c r="O94" s="59">
        <v>0</v>
      </c>
    </row>
    <row r="95" spans="1:15" ht="31.5" customHeight="1" x14ac:dyDescent="0.2">
      <c r="A95" s="141"/>
      <c r="B95" s="141"/>
      <c r="C95" s="78" t="s">
        <v>79</v>
      </c>
      <c r="D95" s="75">
        <f>E95</f>
        <v>7.8</v>
      </c>
      <c r="E95" s="75">
        <v>7.8</v>
      </c>
      <c r="F95" s="75">
        <v>0</v>
      </c>
      <c r="G95" s="75">
        <v>0</v>
      </c>
      <c r="H95" s="75">
        <v>0</v>
      </c>
      <c r="I95" s="75">
        <v>0</v>
      </c>
      <c r="J95" s="75">
        <v>0</v>
      </c>
      <c r="K95" s="59">
        <v>0</v>
      </c>
      <c r="L95" s="59">
        <v>0</v>
      </c>
      <c r="M95" s="59">
        <v>0</v>
      </c>
      <c r="N95" s="59">
        <v>0</v>
      </c>
      <c r="O95" s="59">
        <v>0</v>
      </c>
    </row>
    <row r="96" spans="1:15" ht="18" customHeight="1" x14ac:dyDescent="0.2">
      <c r="A96" s="141"/>
      <c r="B96" s="141"/>
      <c r="C96" s="77" t="s">
        <v>13</v>
      </c>
      <c r="D96" s="59">
        <f t="shared" ref="D96:D104" si="43">E96+F96+G96+H96+I96+J96</f>
        <v>0</v>
      </c>
      <c r="E96" s="59">
        <v>0</v>
      </c>
      <c r="F96" s="59">
        <v>0</v>
      </c>
      <c r="G96" s="59">
        <v>0</v>
      </c>
      <c r="H96" s="59">
        <v>0</v>
      </c>
      <c r="I96" s="59">
        <v>0</v>
      </c>
      <c r="J96" s="59">
        <v>0</v>
      </c>
      <c r="K96" s="59">
        <v>0</v>
      </c>
      <c r="L96" s="75">
        <v>0</v>
      </c>
      <c r="M96" s="75">
        <v>0</v>
      </c>
      <c r="N96" s="75">
        <v>0</v>
      </c>
      <c r="O96" s="59">
        <v>0</v>
      </c>
    </row>
    <row r="97" spans="1:15" ht="15.75" x14ac:dyDescent="0.2">
      <c r="A97" s="141" t="s">
        <v>103</v>
      </c>
      <c r="B97" s="145" t="s">
        <v>234</v>
      </c>
      <c r="C97" s="77" t="s">
        <v>7</v>
      </c>
      <c r="D97" s="59">
        <f t="shared" si="43"/>
        <v>12272.3</v>
      </c>
      <c r="E97" s="59">
        <f t="shared" ref="E97:K97" si="44">E98+E99+E101+E102</f>
        <v>12243.8</v>
      </c>
      <c r="F97" s="59">
        <f t="shared" si="44"/>
        <v>17.5</v>
      </c>
      <c r="G97" s="59">
        <f t="shared" si="44"/>
        <v>11</v>
      </c>
      <c r="H97" s="59">
        <f t="shared" si="44"/>
        <v>0</v>
      </c>
      <c r="I97" s="59">
        <f t="shared" si="44"/>
        <v>0</v>
      </c>
      <c r="J97" s="59">
        <f t="shared" si="44"/>
        <v>0</v>
      </c>
      <c r="K97" s="59">
        <f t="shared" si="44"/>
        <v>0</v>
      </c>
      <c r="L97" s="59">
        <v>0</v>
      </c>
      <c r="M97" s="59">
        <v>0</v>
      </c>
      <c r="N97" s="59">
        <v>0</v>
      </c>
      <c r="O97" s="59">
        <v>0</v>
      </c>
    </row>
    <row r="98" spans="1:15" ht="15.75" x14ac:dyDescent="0.2">
      <c r="A98" s="142"/>
      <c r="B98" s="145"/>
      <c r="C98" s="77" t="s">
        <v>10</v>
      </c>
      <c r="D98" s="59">
        <f t="shared" si="43"/>
        <v>0</v>
      </c>
      <c r="E98" s="59">
        <v>0</v>
      </c>
      <c r="F98" s="59">
        <v>0</v>
      </c>
      <c r="G98" s="59">
        <v>0</v>
      </c>
      <c r="H98" s="59">
        <v>0</v>
      </c>
      <c r="I98" s="59">
        <v>0</v>
      </c>
      <c r="J98" s="59">
        <v>0</v>
      </c>
      <c r="K98" s="59">
        <v>0</v>
      </c>
      <c r="L98" s="59">
        <v>0</v>
      </c>
      <c r="M98" s="59">
        <v>0</v>
      </c>
      <c r="N98" s="59">
        <v>0</v>
      </c>
      <c r="O98" s="59">
        <v>0</v>
      </c>
    </row>
    <row r="99" spans="1:15" ht="31.5" x14ac:dyDescent="0.2">
      <c r="A99" s="142"/>
      <c r="B99" s="145"/>
      <c r="C99" s="77" t="s">
        <v>69</v>
      </c>
      <c r="D99" s="59">
        <f t="shared" si="43"/>
        <v>9842.7999999999993</v>
      </c>
      <c r="E99" s="59">
        <v>9842.7999999999993</v>
      </c>
      <c r="F99" s="59">
        <v>0</v>
      </c>
      <c r="G99" s="59">
        <v>0</v>
      </c>
      <c r="H99" s="59">
        <v>0</v>
      </c>
      <c r="I99" s="59">
        <v>0</v>
      </c>
      <c r="J99" s="59">
        <v>0</v>
      </c>
      <c r="K99" s="59">
        <v>0</v>
      </c>
      <c r="L99" s="59">
        <v>0</v>
      </c>
      <c r="M99" s="59">
        <v>0</v>
      </c>
      <c r="N99" s="59">
        <v>0</v>
      </c>
      <c r="O99" s="59">
        <v>0</v>
      </c>
    </row>
    <row r="100" spans="1:15" ht="31.5" customHeight="1" x14ac:dyDescent="0.2">
      <c r="A100" s="142"/>
      <c r="B100" s="145"/>
      <c r="C100" s="78" t="s">
        <v>81</v>
      </c>
      <c r="D100" s="75">
        <f t="shared" si="43"/>
        <v>9842.7999999999993</v>
      </c>
      <c r="E100" s="75">
        <v>9842.7999999999993</v>
      </c>
      <c r="F100" s="75">
        <v>0</v>
      </c>
      <c r="G100" s="75">
        <v>0</v>
      </c>
      <c r="H100" s="75">
        <v>0</v>
      </c>
      <c r="I100" s="75">
        <v>0</v>
      </c>
      <c r="J100" s="75">
        <v>0</v>
      </c>
      <c r="K100" s="59">
        <v>0</v>
      </c>
      <c r="L100" s="75">
        <v>0</v>
      </c>
      <c r="M100" s="75">
        <v>0</v>
      </c>
      <c r="N100" s="75">
        <v>0</v>
      </c>
      <c r="O100" s="59">
        <v>0</v>
      </c>
    </row>
    <row r="101" spans="1:15" ht="16.5" customHeight="1" x14ac:dyDescent="0.2">
      <c r="A101" s="142"/>
      <c r="B101" s="145"/>
      <c r="C101" s="77" t="s">
        <v>12</v>
      </c>
      <c r="D101" s="59">
        <f t="shared" si="43"/>
        <v>2429.5</v>
      </c>
      <c r="E101" s="59">
        <v>2401</v>
      </c>
      <c r="F101" s="59">
        <v>17.5</v>
      </c>
      <c r="G101" s="59">
        <v>11</v>
      </c>
      <c r="H101" s="59">
        <v>0</v>
      </c>
      <c r="I101" s="59">
        <v>0</v>
      </c>
      <c r="J101" s="59">
        <v>0</v>
      </c>
      <c r="K101" s="59">
        <v>0</v>
      </c>
      <c r="L101" s="59">
        <v>0</v>
      </c>
      <c r="M101" s="59">
        <v>0</v>
      </c>
      <c r="N101" s="59">
        <v>0</v>
      </c>
      <c r="O101" s="59">
        <v>0</v>
      </c>
    </row>
    <row r="102" spans="1:15" ht="18.75" customHeight="1" x14ac:dyDescent="0.2">
      <c r="A102" s="142"/>
      <c r="B102" s="145"/>
      <c r="C102" s="77" t="s">
        <v>13</v>
      </c>
      <c r="D102" s="59">
        <f t="shared" si="43"/>
        <v>0</v>
      </c>
      <c r="E102" s="59">
        <v>0</v>
      </c>
      <c r="F102" s="59">
        <v>0</v>
      </c>
      <c r="G102" s="59">
        <v>0</v>
      </c>
      <c r="H102" s="59">
        <v>0</v>
      </c>
      <c r="I102" s="59">
        <v>0</v>
      </c>
      <c r="J102" s="59">
        <v>0</v>
      </c>
      <c r="K102" s="59">
        <v>0</v>
      </c>
      <c r="L102" s="59">
        <v>0</v>
      </c>
      <c r="M102" s="59">
        <v>0</v>
      </c>
      <c r="N102" s="59">
        <v>0</v>
      </c>
      <c r="O102" s="59">
        <v>0</v>
      </c>
    </row>
    <row r="103" spans="1:15" ht="15.75" x14ac:dyDescent="0.2">
      <c r="A103" s="138" t="s">
        <v>104</v>
      </c>
      <c r="B103" s="153" t="s">
        <v>139</v>
      </c>
      <c r="C103" s="77" t="s">
        <v>7</v>
      </c>
      <c r="D103" s="59">
        <f t="shared" si="43"/>
        <v>1053.9000000000001</v>
      </c>
      <c r="E103" s="59">
        <f>E106+E105+E107+E109</f>
        <v>1053.9000000000001</v>
      </c>
      <c r="F103" s="59">
        <v>0</v>
      </c>
      <c r="G103" s="59">
        <v>0</v>
      </c>
      <c r="H103" s="59">
        <v>0</v>
      </c>
      <c r="I103" s="59">
        <v>0</v>
      </c>
      <c r="J103" s="59">
        <v>0</v>
      </c>
      <c r="K103" s="59">
        <v>0</v>
      </c>
      <c r="L103" s="59">
        <v>0</v>
      </c>
      <c r="M103" s="59">
        <v>0</v>
      </c>
      <c r="N103" s="59">
        <v>0</v>
      </c>
      <c r="O103" s="59">
        <v>0</v>
      </c>
    </row>
    <row r="104" spans="1:15" ht="35.25" customHeight="1" x14ac:dyDescent="0.2">
      <c r="A104" s="139"/>
      <c r="B104" s="154"/>
      <c r="C104" s="78" t="s">
        <v>79</v>
      </c>
      <c r="D104" s="75">
        <f t="shared" si="43"/>
        <v>1053.9000000000001</v>
      </c>
      <c r="E104" s="75">
        <f>E108</f>
        <v>1053.9000000000001</v>
      </c>
      <c r="F104" s="75">
        <v>0</v>
      </c>
      <c r="G104" s="75">
        <v>0</v>
      </c>
      <c r="H104" s="75">
        <v>0</v>
      </c>
      <c r="I104" s="75">
        <v>0</v>
      </c>
      <c r="J104" s="75">
        <v>0</v>
      </c>
      <c r="K104" s="75">
        <v>0</v>
      </c>
      <c r="L104" s="75">
        <v>0</v>
      </c>
      <c r="M104" s="75">
        <v>0</v>
      </c>
      <c r="N104" s="75">
        <v>0</v>
      </c>
      <c r="O104" s="75">
        <v>0</v>
      </c>
    </row>
    <row r="105" spans="1:15" ht="15.75" x14ac:dyDescent="0.2">
      <c r="A105" s="143"/>
      <c r="B105" s="154"/>
      <c r="C105" s="77" t="s">
        <v>10</v>
      </c>
      <c r="D105" s="59">
        <v>0</v>
      </c>
      <c r="E105" s="59">
        <v>0</v>
      </c>
      <c r="F105" s="59">
        <v>0</v>
      </c>
      <c r="G105" s="59">
        <v>0</v>
      </c>
      <c r="H105" s="59">
        <v>0</v>
      </c>
      <c r="I105" s="59">
        <v>0</v>
      </c>
      <c r="J105" s="59">
        <v>0</v>
      </c>
      <c r="K105" s="59">
        <v>0</v>
      </c>
      <c r="L105" s="59">
        <v>0</v>
      </c>
      <c r="M105" s="59">
        <v>0</v>
      </c>
      <c r="N105" s="59">
        <v>0</v>
      </c>
      <c r="O105" s="59">
        <v>0</v>
      </c>
    </row>
    <row r="106" spans="1:15" ht="15.75" x14ac:dyDescent="0.2">
      <c r="A106" s="143"/>
      <c r="B106" s="154"/>
      <c r="C106" s="77" t="s">
        <v>11</v>
      </c>
      <c r="D106" s="75">
        <f>E106+F106+G106+H106+I106+J106</f>
        <v>0</v>
      </c>
      <c r="E106" s="59">
        <v>0</v>
      </c>
      <c r="F106" s="59">
        <v>0</v>
      </c>
      <c r="G106" s="59">
        <v>0</v>
      </c>
      <c r="H106" s="59">
        <v>0</v>
      </c>
      <c r="I106" s="59">
        <v>0</v>
      </c>
      <c r="J106" s="59">
        <v>0</v>
      </c>
      <c r="K106" s="59">
        <v>0</v>
      </c>
      <c r="L106" s="59">
        <v>0</v>
      </c>
      <c r="M106" s="59">
        <v>0</v>
      </c>
      <c r="N106" s="59">
        <v>0</v>
      </c>
      <c r="O106" s="59">
        <v>0</v>
      </c>
    </row>
    <row r="107" spans="1:15" ht="31.5" x14ac:dyDescent="0.2">
      <c r="A107" s="143"/>
      <c r="B107" s="154"/>
      <c r="C107" s="77" t="s">
        <v>65</v>
      </c>
      <c r="D107" s="59">
        <f>E107+F107+G107+H107+I107+J107</f>
        <v>1053.9000000000001</v>
      </c>
      <c r="E107" s="59">
        <f>E108</f>
        <v>1053.9000000000001</v>
      </c>
      <c r="F107" s="59">
        <v>0</v>
      </c>
      <c r="G107" s="59">
        <v>0</v>
      </c>
      <c r="H107" s="59">
        <v>0</v>
      </c>
      <c r="I107" s="59">
        <v>0</v>
      </c>
      <c r="J107" s="59">
        <v>0</v>
      </c>
      <c r="K107" s="59">
        <v>0</v>
      </c>
      <c r="L107" s="59">
        <v>0</v>
      </c>
      <c r="M107" s="59">
        <v>0</v>
      </c>
      <c r="N107" s="59">
        <v>0</v>
      </c>
      <c r="O107" s="59">
        <v>0</v>
      </c>
    </row>
    <row r="108" spans="1:15" ht="31.5" customHeight="1" x14ac:dyDescent="0.2">
      <c r="A108" s="143"/>
      <c r="B108" s="154"/>
      <c r="C108" s="78" t="s">
        <v>79</v>
      </c>
      <c r="D108" s="75">
        <f>E108+F108+G108+H108+I108+J108</f>
        <v>1053.9000000000001</v>
      </c>
      <c r="E108" s="75">
        <v>1053.9000000000001</v>
      </c>
      <c r="F108" s="75">
        <v>0</v>
      </c>
      <c r="G108" s="75">
        <v>0</v>
      </c>
      <c r="H108" s="75">
        <v>0</v>
      </c>
      <c r="I108" s="75">
        <v>0</v>
      </c>
      <c r="J108" s="75">
        <v>0</v>
      </c>
      <c r="K108" s="59">
        <v>0</v>
      </c>
      <c r="L108" s="75">
        <v>0</v>
      </c>
      <c r="M108" s="75">
        <v>0</v>
      </c>
      <c r="N108" s="75">
        <v>0</v>
      </c>
      <c r="O108" s="59">
        <v>0</v>
      </c>
    </row>
    <row r="109" spans="1:15" ht="18" customHeight="1" x14ac:dyDescent="0.2">
      <c r="A109" s="144"/>
      <c r="B109" s="155"/>
      <c r="C109" s="77" t="s">
        <v>13</v>
      </c>
      <c r="D109" s="59">
        <v>0</v>
      </c>
      <c r="E109" s="59">
        <v>0</v>
      </c>
      <c r="F109" s="59">
        <v>0</v>
      </c>
      <c r="G109" s="59">
        <v>0</v>
      </c>
      <c r="H109" s="59">
        <v>0</v>
      </c>
      <c r="I109" s="59">
        <v>0</v>
      </c>
      <c r="J109" s="59">
        <v>0</v>
      </c>
      <c r="K109" s="59">
        <v>0</v>
      </c>
      <c r="L109" s="59">
        <v>0</v>
      </c>
      <c r="M109" s="59">
        <v>0</v>
      </c>
      <c r="N109" s="59">
        <v>0</v>
      </c>
      <c r="O109" s="59">
        <v>0</v>
      </c>
    </row>
    <row r="110" spans="1:15" ht="15.75" x14ac:dyDescent="0.2">
      <c r="A110" s="141" t="s">
        <v>105</v>
      </c>
      <c r="B110" s="138" t="s">
        <v>72</v>
      </c>
      <c r="C110" s="77" t="s">
        <v>7</v>
      </c>
      <c r="D110" s="59">
        <f>E110+F110+G110+H110+I110+J110</f>
        <v>92.2</v>
      </c>
      <c r="E110" s="59">
        <f t="shared" ref="E110:O110" si="45">E111</f>
        <v>92.2</v>
      </c>
      <c r="F110" s="59">
        <f t="shared" si="45"/>
        <v>0</v>
      </c>
      <c r="G110" s="59">
        <f t="shared" si="45"/>
        <v>0</v>
      </c>
      <c r="H110" s="59">
        <f t="shared" si="45"/>
        <v>0</v>
      </c>
      <c r="I110" s="59">
        <f t="shared" si="45"/>
        <v>0</v>
      </c>
      <c r="J110" s="59">
        <f t="shared" si="45"/>
        <v>0</v>
      </c>
      <c r="K110" s="59">
        <f t="shared" si="45"/>
        <v>0</v>
      </c>
      <c r="L110" s="59">
        <f t="shared" si="45"/>
        <v>0</v>
      </c>
      <c r="M110" s="59">
        <f t="shared" si="45"/>
        <v>0</v>
      </c>
      <c r="N110" s="59">
        <f t="shared" si="45"/>
        <v>0</v>
      </c>
      <c r="O110" s="59">
        <f t="shared" si="45"/>
        <v>0</v>
      </c>
    </row>
    <row r="111" spans="1:15" ht="31.5" customHeight="1" x14ac:dyDescent="0.2">
      <c r="A111" s="141"/>
      <c r="B111" s="139"/>
      <c r="C111" s="78" t="s">
        <v>79</v>
      </c>
      <c r="D111" s="75">
        <f>E111+F111+G111+H111+I111+J111</f>
        <v>92.2</v>
      </c>
      <c r="E111" s="75">
        <f t="shared" ref="E111:K111" si="46">E115</f>
        <v>92.2</v>
      </c>
      <c r="F111" s="75">
        <f t="shared" si="46"/>
        <v>0</v>
      </c>
      <c r="G111" s="75">
        <f t="shared" si="46"/>
        <v>0</v>
      </c>
      <c r="H111" s="75">
        <f t="shared" si="46"/>
        <v>0</v>
      </c>
      <c r="I111" s="75">
        <f t="shared" si="46"/>
        <v>0</v>
      </c>
      <c r="J111" s="75">
        <f t="shared" si="46"/>
        <v>0</v>
      </c>
      <c r="K111" s="75">
        <f t="shared" si="46"/>
        <v>0</v>
      </c>
      <c r="L111" s="75">
        <f>L115</f>
        <v>0</v>
      </c>
      <c r="M111" s="75">
        <f>M115</f>
        <v>0</v>
      </c>
      <c r="N111" s="75">
        <f>N115</f>
        <v>0</v>
      </c>
      <c r="O111" s="75">
        <f>O115</f>
        <v>0</v>
      </c>
    </row>
    <row r="112" spans="1:15" ht="15.75" x14ac:dyDescent="0.2">
      <c r="A112" s="142"/>
      <c r="B112" s="139"/>
      <c r="C112" s="77" t="s">
        <v>10</v>
      </c>
      <c r="D112" s="59">
        <v>0</v>
      </c>
      <c r="E112" s="59">
        <v>0</v>
      </c>
      <c r="F112" s="59">
        <v>0</v>
      </c>
      <c r="G112" s="59">
        <v>0</v>
      </c>
      <c r="H112" s="59">
        <v>0</v>
      </c>
      <c r="I112" s="59">
        <v>0</v>
      </c>
      <c r="J112" s="59">
        <v>0</v>
      </c>
      <c r="K112" s="59">
        <v>0</v>
      </c>
      <c r="L112" s="59">
        <v>0</v>
      </c>
      <c r="M112" s="59">
        <v>0</v>
      </c>
      <c r="N112" s="59">
        <v>0</v>
      </c>
      <c r="O112" s="59">
        <v>0</v>
      </c>
    </row>
    <row r="113" spans="1:15" ht="15.75" x14ac:dyDescent="0.2">
      <c r="A113" s="142"/>
      <c r="B113" s="139"/>
      <c r="C113" s="77" t="s">
        <v>11</v>
      </c>
      <c r="D113" s="59">
        <f>E113+F113+G113+H113+I113+J113</f>
        <v>0</v>
      </c>
      <c r="E113" s="59">
        <v>0</v>
      </c>
      <c r="F113" s="59">
        <v>0</v>
      </c>
      <c r="G113" s="59">
        <v>0</v>
      </c>
      <c r="H113" s="59">
        <v>0</v>
      </c>
      <c r="I113" s="59">
        <v>0</v>
      </c>
      <c r="J113" s="59">
        <v>0</v>
      </c>
      <c r="K113" s="59">
        <v>0</v>
      </c>
      <c r="L113" s="59">
        <v>0</v>
      </c>
      <c r="M113" s="59">
        <v>0</v>
      </c>
      <c r="N113" s="59">
        <v>0</v>
      </c>
      <c r="O113" s="59">
        <v>0</v>
      </c>
    </row>
    <row r="114" spans="1:15" ht="31.5" x14ac:dyDescent="0.2">
      <c r="A114" s="142"/>
      <c r="B114" s="139"/>
      <c r="C114" s="77" t="s">
        <v>65</v>
      </c>
      <c r="D114" s="59">
        <f>E114+F114+G114+H114+I114+J114</f>
        <v>92.2</v>
      </c>
      <c r="E114" s="59">
        <f>E115</f>
        <v>92.2</v>
      </c>
      <c r="F114" s="59">
        <v>0</v>
      </c>
      <c r="G114" s="59">
        <v>0</v>
      </c>
      <c r="H114" s="59">
        <v>0</v>
      </c>
      <c r="I114" s="59">
        <v>0</v>
      </c>
      <c r="J114" s="59">
        <v>0</v>
      </c>
      <c r="K114" s="59">
        <v>0</v>
      </c>
      <c r="L114" s="59">
        <v>0</v>
      </c>
      <c r="M114" s="59">
        <v>0</v>
      </c>
      <c r="N114" s="59">
        <v>0</v>
      </c>
      <c r="O114" s="59">
        <v>0</v>
      </c>
    </row>
    <row r="115" spans="1:15" ht="31.5" customHeight="1" x14ac:dyDescent="0.2">
      <c r="A115" s="142"/>
      <c r="B115" s="139"/>
      <c r="C115" s="78" t="s">
        <v>79</v>
      </c>
      <c r="D115" s="75">
        <f>E115</f>
        <v>92.2</v>
      </c>
      <c r="E115" s="75">
        <v>92.2</v>
      </c>
      <c r="F115" s="75">
        <v>0</v>
      </c>
      <c r="G115" s="75">
        <v>0</v>
      </c>
      <c r="H115" s="75">
        <v>0</v>
      </c>
      <c r="I115" s="75">
        <v>0</v>
      </c>
      <c r="J115" s="75">
        <v>0</v>
      </c>
      <c r="K115" s="59">
        <v>0</v>
      </c>
      <c r="L115" s="75">
        <v>0</v>
      </c>
      <c r="M115" s="75">
        <v>0</v>
      </c>
      <c r="N115" s="75">
        <v>0</v>
      </c>
      <c r="O115" s="59">
        <v>0</v>
      </c>
    </row>
    <row r="116" spans="1:15" ht="18.75" customHeight="1" x14ac:dyDescent="0.2">
      <c r="A116" s="142"/>
      <c r="B116" s="140"/>
      <c r="C116" s="77" t="s">
        <v>13</v>
      </c>
      <c r="D116" s="59">
        <v>0</v>
      </c>
      <c r="E116" s="59">
        <v>0</v>
      </c>
      <c r="F116" s="59">
        <v>0</v>
      </c>
      <c r="G116" s="59">
        <v>0</v>
      </c>
      <c r="H116" s="59">
        <v>0</v>
      </c>
      <c r="I116" s="59">
        <v>0</v>
      </c>
      <c r="J116" s="59">
        <v>0</v>
      </c>
      <c r="K116" s="59">
        <v>0</v>
      </c>
      <c r="L116" s="59">
        <v>0</v>
      </c>
      <c r="M116" s="59">
        <v>0</v>
      </c>
      <c r="N116" s="59">
        <v>0</v>
      </c>
      <c r="O116" s="59">
        <v>0</v>
      </c>
    </row>
    <row r="117" spans="1:15" ht="15.75" x14ac:dyDescent="0.2">
      <c r="A117" s="141" t="s">
        <v>106</v>
      </c>
      <c r="B117" s="141" t="s">
        <v>77</v>
      </c>
      <c r="C117" s="77" t="s">
        <v>7</v>
      </c>
      <c r="D117" s="59">
        <f>E117+F117+G117+H117+I117+J117</f>
        <v>1186.7</v>
      </c>
      <c r="E117" s="59">
        <f t="shared" ref="E117:O117" si="47">E118</f>
        <v>1186.7</v>
      </c>
      <c r="F117" s="59">
        <f t="shared" si="47"/>
        <v>0</v>
      </c>
      <c r="G117" s="59">
        <f t="shared" si="47"/>
        <v>0</v>
      </c>
      <c r="H117" s="59">
        <f t="shared" si="47"/>
        <v>0</v>
      </c>
      <c r="I117" s="59">
        <f t="shared" si="47"/>
        <v>0</v>
      </c>
      <c r="J117" s="59">
        <f t="shared" si="47"/>
        <v>0</v>
      </c>
      <c r="K117" s="59">
        <f t="shared" si="47"/>
        <v>0</v>
      </c>
      <c r="L117" s="59">
        <f t="shared" si="47"/>
        <v>0</v>
      </c>
      <c r="M117" s="59">
        <f t="shared" si="47"/>
        <v>0</v>
      </c>
      <c r="N117" s="59">
        <f t="shared" si="47"/>
        <v>0</v>
      </c>
      <c r="O117" s="59">
        <f t="shared" si="47"/>
        <v>0</v>
      </c>
    </row>
    <row r="118" spans="1:15" ht="31.5" x14ac:dyDescent="0.2">
      <c r="A118" s="141"/>
      <c r="B118" s="141"/>
      <c r="C118" s="78" t="s">
        <v>79</v>
      </c>
      <c r="D118" s="75">
        <f>E118+F118+G118+H118+I118+J118</f>
        <v>1186.7</v>
      </c>
      <c r="E118" s="75">
        <f t="shared" ref="E118:K118" si="48">E121+E123</f>
        <v>1186.7</v>
      </c>
      <c r="F118" s="75">
        <f t="shared" si="48"/>
        <v>0</v>
      </c>
      <c r="G118" s="75">
        <f t="shared" si="48"/>
        <v>0</v>
      </c>
      <c r="H118" s="75">
        <f t="shared" si="48"/>
        <v>0</v>
      </c>
      <c r="I118" s="75">
        <f t="shared" si="48"/>
        <v>0</v>
      </c>
      <c r="J118" s="75">
        <f t="shared" si="48"/>
        <v>0</v>
      </c>
      <c r="K118" s="75">
        <f t="shared" si="48"/>
        <v>0</v>
      </c>
      <c r="L118" s="75">
        <f>L121+L123</f>
        <v>0</v>
      </c>
      <c r="M118" s="75">
        <f>M121+M123</f>
        <v>0</v>
      </c>
      <c r="N118" s="75">
        <f>N121+N123</f>
        <v>0</v>
      </c>
      <c r="O118" s="75">
        <f>O121+O123</f>
        <v>0</v>
      </c>
    </row>
    <row r="119" spans="1:15" ht="15.75" x14ac:dyDescent="0.2">
      <c r="A119" s="142"/>
      <c r="B119" s="141"/>
      <c r="C119" s="77" t="s">
        <v>10</v>
      </c>
      <c r="D119" s="59">
        <v>0</v>
      </c>
      <c r="E119" s="59">
        <v>0</v>
      </c>
      <c r="F119" s="59">
        <v>0</v>
      </c>
      <c r="G119" s="59">
        <v>0</v>
      </c>
      <c r="H119" s="59">
        <v>0</v>
      </c>
      <c r="I119" s="59">
        <v>0</v>
      </c>
      <c r="J119" s="59">
        <v>0</v>
      </c>
      <c r="K119" s="59">
        <v>0</v>
      </c>
      <c r="L119" s="59">
        <v>0</v>
      </c>
      <c r="M119" s="59">
        <v>0</v>
      </c>
      <c r="N119" s="59">
        <v>0</v>
      </c>
      <c r="O119" s="59">
        <v>0</v>
      </c>
    </row>
    <row r="120" spans="1:15" ht="31.5" x14ac:dyDescent="0.2">
      <c r="A120" s="142"/>
      <c r="B120" s="141"/>
      <c r="C120" s="77" t="s">
        <v>69</v>
      </c>
      <c r="D120" s="59">
        <f>E120+F120+G120+H120+I120+J120</f>
        <v>619.70000000000005</v>
      </c>
      <c r="E120" s="59">
        <f t="shared" ref="E120:N120" si="49">E121</f>
        <v>619.70000000000005</v>
      </c>
      <c r="F120" s="59">
        <f t="shared" si="49"/>
        <v>0</v>
      </c>
      <c r="G120" s="59">
        <f t="shared" si="49"/>
        <v>0</v>
      </c>
      <c r="H120" s="59">
        <f t="shared" si="49"/>
        <v>0</v>
      </c>
      <c r="I120" s="59">
        <f t="shared" si="49"/>
        <v>0</v>
      </c>
      <c r="J120" s="59">
        <f t="shared" si="49"/>
        <v>0</v>
      </c>
      <c r="K120" s="59">
        <v>0</v>
      </c>
      <c r="L120" s="59">
        <f t="shared" si="49"/>
        <v>0</v>
      </c>
      <c r="M120" s="59">
        <f t="shared" si="49"/>
        <v>0</v>
      </c>
      <c r="N120" s="59">
        <f t="shared" si="49"/>
        <v>0</v>
      </c>
      <c r="O120" s="59">
        <v>0</v>
      </c>
    </row>
    <row r="121" spans="1:15" ht="31.5" x14ac:dyDescent="0.2">
      <c r="A121" s="142"/>
      <c r="B121" s="141"/>
      <c r="C121" s="78" t="s">
        <v>79</v>
      </c>
      <c r="D121" s="75">
        <f>E121+F121+G121+H121+I121+J121</f>
        <v>619.70000000000005</v>
      </c>
      <c r="E121" s="75">
        <v>619.70000000000005</v>
      </c>
      <c r="F121" s="75">
        <v>0</v>
      </c>
      <c r="G121" s="75">
        <v>0</v>
      </c>
      <c r="H121" s="75">
        <v>0</v>
      </c>
      <c r="I121" s="75">
        <v>0</v>
      </c>
      <c r="J121" s="75">
        <v>0</v>
      </c>
      <c r="K121" s="59">
        <v>0</v>
      </c>
      <c r="L121" s="75">
        <v>0</v>
      </c>
      <c r="M121" s="75">
        <v>0</v>
      </c>
      <c r="N121" s="75">
        <v>0</v>
      </c>
      <c r="O121" s="59">
        <v>0</v>
      </c>
    </row>
    <row r="122" spans="1:15" ht="31.5" x14ac:dyDescent="0.2">
      <c r="A122" s="142"/>
      <c r="B122" s="141"/>
      <c r="C122" s="77" t="s">
        <v>65</v>
      </c>
      <c r="D122" s="59">
        <f>E122+F122+G122+H122+I122+J122</f>
        <v>567</v>
      </c>
      <c r="E122" s="59">
        <v>567</v>
      </c>
      <c r="F122" s="59">
        <v>0</v>
      </c>
      <c r="G122" s="59">
        <v>0</v>
      </c>
      <c r="H122" s="59">
        <v>0</v>
      </c>
      <c r="I122" s="59">
        <v>0</v>
      </c>
      <c r="J122" s="59">
        <v>0</v>
      </c>
      <c r="K122" s="59">
        <v>0</v>
      </c>
      <c r="L122" s="59">
        <v>0</v>
      </c>
      <c r="M122" s="59">
        <v>0</v>
      </c>
      <c r="N122" s="59">
        <v>0</v>
      </c>
      <c r="O122" s="59">
        <v>0</v>
      </c>
    </row>
    <row r="123" spans="1:15" ht="31.5" x14ac:dyDescent="0.2">
      <c r="A123" s="142"/>
      <c r="B123" s="141"/>
      <c r="C123" s="78" t="s">
        <v>79</v>
      </c>
      <c r="D123" s="75">
        <f>E123</f>
        <v>567</v>
      </c>
      <c r="E123" s="75">
        <v>567</v>
      </c>
      <c r="F123" s="75">
        <v>0</v>
      </c>
      <c r="G123" s="75">
        <v>0</v>
      </c>
      <c r="H123" s="75">
        <v>0</v>
      </c>
      <c r="I123" s="75">
        <v>0</v>
      </c>
      <c r="J123" s="75">
        <v>0</v>
      </c>
      <c r="K123" s="59">
        <v>0</v>
      </c>
      <c r="L123" s="75">
        <v>0</v>
      </c>
      <c r="M123" s="75">
        <v>0</v>
      </c>
      <c r="N123" s="75">
        <v>0</v>
      </c>
      <c r="O123" s="59">
        <v>0</v>
      </c>
    </row>
    <row r="124" spans="1:15" ht="18" customHeight="1" x14ac:dyDescent="0.2">
      <c r="A124" s="142"/>
      <c r="B124" s="141"/>
      <c r="C124" s="77" t="s">
        <v>13</v>
      </c>
      <c r="D124" s="59">
        <v>0</v>
      </c>
      <c r="E124" s="59">
        <v>0</v>
      </c>
      <c r="F124" s="59">
        <v>0</v>
      </c>
      <c r="G124" s="59">
        <v>0</v>
      </c>
      <c r="H124" s="59">
        <v>0</v>
      </c>
      <c r="I124" s="59">
        <v>0</v>
      </c>
      <c r="J124" s="59">
        <v>0</v>
      </c>
      <c r="K124" s="59">
        <v>0</v>
      </c>
      <c r="L124" s="59">
        <v>0</v>
      </c>
      <c r="M124" s="59">
        <v>0</v>
      </c>
      <c r="N124" s="59">
        <v>0</v>
      </c>
      <c r="O124" s="59">
        <v>0</v>
      </c>
    </row>
    <row r="125" spans="1:15" ht="15.75" x14ac:dyDescent="0.2">
      <c r="A125" s="138" t="s">
        <v>107</v>
      </c>
      <c r="B125" s="145" t="s">
        <v>140</v>
      </c>
      <c r="C125" s="77" t="s">
        <v>7</v>
      </c>
      <c r="D125" s="59">
        <f>E125+F125+G125+H125+I125+J125</f>
        <v>25000</v>
      </c>
      <c r="E125" s="59">
        <f>E127+E128+E131+E133</f>
        <v>25000</v>
      </c>
      <c r="F125" s="59">
        <f t="shared" ref="F125:K125" si="50">F127+F128+F131+F133</f>
        <v>0</v>
      </c>
      <c r="G125" s="59">
        <f t="shared" si="50"/>
        <v>0</v>
      </c>
      <c r="H125" s="59">
        <f t="shared" si="50"/>
        <v>0</v>
      </c>
      <c r="I125" s="59">
        <f t="shared" si="50"/>
        <v>0</v>
      </c>
      <c r="J125" s="59">
        <f t="shared" si="50"/>
        <v>0</v>
      </c>
      <c r="K125" s="59">
        <f t="shared" si="50"/>
        <v>0</v>
      </c>
      <c r="L125" s="59">
        <f>L127+L128+L131+L133</f>
        <v>0</v>
      </c>
      <c r="M125" s="59">
        <f>M127+M128+M131+M133</f>
        <v>0</v>
      </c>
      <c r="N125" s="59">
        <f>N127+N128+N131+N133</f>
        <v>0</v>
      </c>
      <c r="O125" s="59">
        <f>O127+O128+O131+O133</f>
        <v>0</v>
      </c>
    </row>
    <row r="126" spans="1:15" ht="31.5" x14ac:dyDescent="0.2">
      <c r="A126" s="139"/>
      <c r="B126" s="145"/>
      <c r="C126" s="78" t="s">
        <v>79</v>
      </c>
      <c r="D126" s="75">
        <f>E126+F126+G126+H126+I126+J126</f>
        <v>15579.7</v>
      </c>
      <c r="E126" s="75">
        <f>E130+E132</f>
        <v>15579.7</v>
      </c>
      <c r="F126" s="75">
        <f t="shared" ref="F126:K126" si="51">F130+F132</f>
        <v>0</v>
      </c>
      <c r="G126" s="75">
        <f t="shared" si="51"/>
        <v>0</v>
      </c>
      <c r="H126" s="75">
        <f t="shared" si="51"/>
        <v>0</v>
      </c>
      <c r="I126" s="75">
        <f t="shared" si="51"/>
        <v>0</v>
      </c>
      <c r="J126" s="75">
        <f t="shared" si="51"/>
        <v>0</v>
      </c>
      <c r="K126" s="75">
        <f t="shared" si="51"/>
        <v>0</v>
      </c>
      <c r="L126" s="75">
        <f>L130+L132</f>
        <v>0</v>
      </c>
      <c r="M126" s="75">
        <f>M130+M132</f>
        <v>0</v>
      </c>
      <c r="N126" s="75">
        <f>N130+N132</f>
        <v>0</v>
      </c>
      <c r="O126" s="75">
        <f>O130+O132</f>
        <v>0</v>
      </c>
    </row>
    <row r="127" spans="1:15" ht="15.75" x14ac:dyDescent="0.2">
      <c r="A127" s="143"/>
      <c r="B127" s="145"/>
      <c r="C127" s="77" t="s">
        <v>10</v>
      </c>
      <c r="D127" s="59">
        <v>0</v>
      </c>
      <c r="E127" s="59">
        <v>0</v>
      </c>
      <c r="F127" s="59">
        <v>0</v>
      </c>
      <c r="G127" s="59">
        <v>0</v>
      </c>
      <c r="H127" s="59">
        <v>0</v>
      </c>
      <c r="I127" s="59">
        <v>0</v>
      </c>
      <c r="J127" s="59">
        <v>0</v>
      </c>
      <c r="K127" s="59">
        <v>0</v>
      </c>
      <c r="L127" s="59">
        <v>0</v>
      </c>
      <c r="M127" s="59">
        <v>0</v>
      </c>
      <c r="N127" s="59">
        <v>0</v>
      </c>
      <c r="O127" s="59">
        <v>0</v>
      </c>
    </row>
    <row r="128" spans="1:15" ht="31.5" x14ac:dyDescent="0.2">
      <c r="A128" s="143"/>
      <c r="B128" s="145"/>
      <c r="C128" s="77" t="s">
        <v>69</v>
      </c>
      <c r="D128" s="59">
        <f>E128+F128+G128+H128+I128+J128</f>
        <v>23141.4</v>
      </c>
      <c r="E128" s="59">
        <f>E130+8045.7</f>
        <v>23141.4</v>
      </c>
      <c r="F128" s="59">
        <f>F130</f>
        <v>0</v>
      </c>
      <c r="G128" s="59">
        <f>G130</f>
        <v>0</v>
      </c>
      <c r="H128" s="59">
        <f>H130</f>
        <v>0</v>
      </c>
      <c r="I128" s="59">
        <f>I130</f>
        <v>0</v>
      </c>
      <c r="J128" s="59">
        <f>J130</f>
        <v>0</v>
      </c>
      <c r="K128" s="59">
        <v>0</v>
      </c>
      <c r="L128" s="59">
        <f>L130</f>
        <v>0</v>
      </c>
      <c r="M128" s="59">
        <f>M130</f>
        <v>0</v>
      </c>
      <c r="N128" s="59">
        <f>N130</f>
        <v>0</v>
      </c>
      <c r="O128" s="59">
        <v>0</v>
      </c>
    </row>
    <row r="129" spans="1:15" ht="31.5" x14ac:dyDescent="0.2">
      <c r="A129" s="143"/>
      <c r="B129" s="145"/>
      <c r="C129" s="78" t="s">
        <v>81</v>
      </c>
      <c r="D129" s="75">
        <f>E129+F129+G129+H129+I129+J129</f>
        <v>8045.7</v>
      </c>
      <c r="E129" s="75">
        <v>8045.7</v>
      </c>
      <c r="F129" s="75">
        <v>0</v>
      </c>
      <c r="G129" s="75">
        <v>0</v>
      </c>
      <c r="H129" s="75">
        <v>0</v>
      </c>
      <c r="I129" s="75">
        <v>0</v>
      </c>
      <c r="J129" s="75">
        <v>0</v>
      </c>
      <c r="K129" s="59">
        <v>0</v>
      </c>
      <c r="L129" s="75">
        <v>0</v>
      </c>
      <c r="M129" s="75">
        <v>0</v>
      </c>
      <c r="N129" s="75">
        <v>0</v>
      </c>
      <c r="O129" s="59">
        <v>0</v>
      </c>
    </row>
    <row r="130" spans="1:15" ht="32.25" customHeight="1" x14ac:dyDescent="0.2">
      <c r="A130" s="143"/>
      <c r="B130" s="145"/>
      <c r="C130" s="78" t="s">
        <v>79</v>
      </c>
      <c r="D130" s="75">
        <f>E130+F130+G130+H130+I130+J130</f>
        <v>15095.7</v>
      </c>
      <c r="E130" s="75">
        <v>15095.7</v>
      </c>
      <c r="F130" s="75">
        <v>0</v>
      </c>
      <c r="G130" s="75">
        <v>0</v>
      </c>
      <c r="H130" s="75">
        <v>0</v>
      </c>
      <c r="I130" s="75">
        <v>0</v>
      </c>
      <c r="J130" s="75">
        <v>0</v>
      </c>
      <c r="K130" s="59">
        <v>0</v>
      </c>
      <c r="L130" s="75">
        <v>0</v>
      </c>
      <c r="M130" s="75">
        <v>0</v>
      </c>
      <c r="N130" s="75">
        <v>0</v>
      </c>
      <c r="O130" s="59">
        <v>0</v>
      </c>
    </row>
    <row r="131" spans="1:15" ht="31.5" x14ac:dyDescent="0.2">
      <c r="A131" s="143"/>
      <c r="B131" s="145"/>
      <c r="C131" s="77" t="s">
        <v>65</v>
      </c>
      <c r="D131" s="59">
        <f>E131+F131+G131+H131+I131+J131</f>
        <v>1858.6</v>
      </c>
      <c r="E131" s="59">
        <f>484+1374.6</f>
        <v>1858.6</v>
      </c>
      <c r="F131" s="59">
        <v>0</v>
      </c>
      <c r="G131" s="59">
        <v>0</v>
      </c>
      <c r="H131" s="59">
        <v>0</v>
      </c>
      <c r="I131" s="59">
        <v>0</v>
      </c>
      <c r="J131" s="59">
        <v>0</v>
      </c>
      <c r="K131" s="59">
        <v>0</v>
      </c>
      <c r="L131" s="59">
        <v>0</v>
      </c>
      <c r="M131" s="59">
        <v>0</v>
      </c>
      <c r="N131" s="59">
        <v>0</v>
      </c>
      <c r="O131" s="59">
        <v>0</v>
      </c>
    </row>
    <row r="132" spans="1:15" ht="31.5" x14ac:dyDescent="0.2">
      <c r="A132" s="143"/>
      <c r="B132" s="145"/>
      <c r="C132" s="78" t="s">
        <v>79</v>
      </c>
      <c r="D132" s="75">
        <f>E132</f>
        <v>484</v>
      </c>
      <c r="E132" s="75">
        <v>484</v>
      </c>
      <c r="F132" s="75">
        <v>0</v>
      </c>
      <c r="G132" s="75">
        <v>0</v>
      </c>
      <c r="H132" s="75">
        <v>0</v>
      </c>
      <c r="I132" s="75">
        <v>0</v>
      </c>
      <c r="J132" s="75">
        <v>0</v>
      </c>
      <c r="K132" s="59">
        <v>0</v>
      </c>
      <c r="L132" s="75">
        <v>0</v>
      </c>
      <c r="M132" s="75">
        <v>0</v>
      </c>
      <c r="N132" s="75">
        <v>0</v>
      </c>
      <c r="O132" s="59">
        <v>0</v>
      </c>
    </row>
    <row r="133" spans="1:15" ht="15.75" x14ac:dyDescent="0.2">
      <c r="A133" s="144"/>
      <c r="B133" s="145"/>
      <c r="C133" s="77" t="s">
        <v>13</v>
      </c>
      <c r="D133" s="59">
        <v>0</v>
      </c>
      <c r="E133" s="59">
        <v>0</v>
      </c>
      <c r="F133" s="59">
        <v>0</v>
      </c>
      <c r="G133" s="59">
        <v>0</v>
      </c>
      <c r="H133" s="59">
        <v>0</v>
      </c>
      <c r="I133" s="59">
        <v>0</v>
      </c>
      <c r="J133" s="59">
        <v>0</v>
      </c>
      <c r="K133" s="59">
        <v>0</v>
      </c>
      <c r="L133" s="59">
        <v>0</v>
      </c>
      <c r="M133" s="59">
        <v>0</v>
      </c>
      <c r="N133" s="59">
        <v>0</v>
      </c>
      <c r="O133" s="59">
        <v>0</v>
      </c>
    </row>
    <row r="134" spans="1:15" ht="15.75" x14ac:dyDescent="0.2">
      <c r="A134" s="141" t="s">
        <v>108</v>
      </c>
      <c r="B134" s="145" t="s">
        <v>74</v>
      </c>
      <c r="C134" s="77" t="s">
        <v>7</v>
      </c>
      <c r="D134" s="59">
        <f>E134+F134+G134+H134+I134+J134</f>
        <v>155</v>
      </c>
      <c r="E134" s="59">
        <f>E136+E137+E138+E140</f>
        <v>155</v>
      </c>
      <c r="F134" s="59">
        <f t="shared" ref="F134:K134" si="52">F136+F137+F138+F140</f>
        <v>0</v>
      </c>
      <c r="G134" s="59">
        <f t="shared" si="52"/>
        <v>0</v>
      </c>
      <c r="H134" s="59">
        <f t="shared" si="52"/>
        <v>0</v>
      </c>
      <c r="I134" s="59">
        <f t="shared" si="52"/>
        <v>0</v>
      </c>
      <c r="J134" s="59">
        <f t="shared" si="52"/>
        <v>0</v>
      </c>
      <c r="K134" s="59">
        <f t="shared" si="52"/>
        <v>0</v>
      </c>
      <c r="L134" s="59">
        <f>L136+L137+L138+L140</f>
        <v>0</v>
      </c>
      <c r="M134" s="59">
        <f>M136+M137+M138+M140</f>
        <v>0</v>
      </c>
      <c r="N134" s="59">
        <f>N136+N137+N138+N140</f>
        <v>0</v>
      </c>
      <c r="O134" s="59">
        <f>O136+O137+O138+O140</f>
        <v>0</v>
      </c>
    </row>
    <row r="135" spans="1:15" ht="31.5" x14ac:dyDescent="0.2">
      <c r="A135" s="141"/>
      <c r="B135" s="145"/>
      <c r="C135" s="78" t="s">
        <v>79</v>
      </c>
      <c r="D135" s="75">
        <f>E135+F135+G135+H135+I135+J135</f>
        <v>155</v>
      </c>
      <c r="E135" s="75">
        <f t="shared" ref="E135:K135" si="53">E139</f>
        <v>155</v>
      </c>
      <c r="F135" s="75">
        <f t="shared" si="53"/>
        <v>0</v>
      </c>
      <c r="G135" s="75">
        <f t="shared" si="53"/>
        <v>0</v>
      </c>
      <c r="H135" s="75">
        <f t="shared" si="53"/>
        <v>0</v>
      </c>
      <c r="I135" s="75">
        <f t="shared" si="53"/>
        <v>0</v>
      </c>
      <c r="J135" s="75">
        <f t="shared" si="53"/>
        <v>0</v>
      </c>
      <c r="K135" s="75">
        <f t="shared" si="53"/>
        <v>0</v>
      </c>
      <c r="L135" s="75">
        <f>L139</f>
        <v>0</v>
      </c>
      <c r="M135" s="75">
        <f>M139</f>
        <v>0</v>
      </c>
      <c r="N135" s="75">
        <f>N139</f>
        <v>0</v>
      </c>
      <c r="O135" s="75">
        <f>O139</f>
        <v>0</v>
      </c>
    </row>
    <row r="136" spans="1:15" ht="18" customHeight="1" x14ac:dyDescent="0.2">
      <c r="A136" s="142"/>
      <c r="B136" s="145"/>
      <c r="C136" s="77" t="s">
        <v>10</v>
      </c>
      <c r="D136" s="59">
        <v>0</v>
      </c>
      <c r="E136" s="59">
        <v>0</v>
      </c>
      <c r="F136" s="59">
        <v>0</v>
      </c>
      <c r="G136" s="59">
        <v>0</v>
      </c>
      <c r="H136" s="59">
        <v>0</v>
      </c>
      <c r="I136" s="59">
        <v>0</v>
      </c>
      <c r="J136" s="59">
        <v>0</v>
      </c>
      <c r="K136" s="59">
        <v>0</v>
      </c>
      <c r="L136" s="59">
        <v>0</v>
      </c>
      <c r="M136" s="59">
        <v>0</v>
      </c>
      <c r="N136" s="59">
        <v>0</v>
      </c>
      <c r="O136" s="59">
        <v>0</v>
      </c>
    </row>
    <row r="137" spans="1:15" ht="15.75" x14ac:dyDescent="0.2">
      <c r="A137" s="142"/>
      <c r="B137" s="145"/>
      <c r="C137" s="77" t="s">
        <v>11</v>
      </c>
      <c r="D137" s="59">
        <f>E137+F137+G137+H137+I137+J137</f>
        <v>0</v>
      </c>
      <c r="E137" s="59">
        <v>0</v>
      </c>
      <c r="F137" s="59">
        <v>0</v>
      </c>
      <c r="G137" s="59">
        <v>0</v>
      </c>
      <c r="H137" s="59">
        <v>0</v>
      </c>
      <c r="I137" s="59">
        <v>0</v>
      </c>
      <c r="J137" s="59">
        <v>0</v>
      </c>
      <c r="K137" s="59">
        <v>0</v>
      </c>
      <c r="L137" s="59">
        <v>0</v>
      </c>
      <c r="M137" s="59">
        <v>0</v>
      </c>
      <c r="N137" s="59">
        <v>0</v>
      </c>
      <c r="O137" s="59">
        <v>0</v>
      </c>
    </row>
    <row r="138" spans="1:15" ht="31.5" x14ac:dyDescent="0.2">
      <c r="A138" s="142"/>
      <c r="B138" s="145"/>
      <c r="C138" s="77" t="s">
        <v>65</v>
      </c>
      <c r="D138" s="59">
        <f>E138+F138+G138+H138+I138+J138</f>
        <v>155</v>
      </c>
      <c r="E138" s="59">
        <f>E139</f>
        <v>155</v>
      </c>
      <c r="F138" s="59">
        <v>0</v>
      </c>
      <c r="G138" s="59">
        <v>0</v>
      </c>
      <c r="H138" s="59">
        <v>0</v>
      </c>
      <c r="I138" s="59">
        <v>0</v>
      </c>
      <c r="J138" s="59">
        <v>0</v>
      </c>
      <c r="K138" s="59">
        <v>0</v>
      </c>
      <c r="L138" s="59">
        <v>0</v>
      </c>
      <c r="M138" s="59">
        <v>0</v>
      </c>
      <c r="N138" s="59">
        <v>0</v>
      </c>
      <c r="O138" s="59">
        <v>0</v>
      </c>
    </row>
    <row r="139" spans="1:15" ht="32.25" customHeight="1" x14ac:dyDescent="0.2">
      <c r="A139" s="142"/>
      <c r="B139" s="145"/>
      <c r="C139" s="78" t="s">
        <v>79</v>
      </c>
      <c r="D139" s="75">
        <f>E139</f>
        <v>155</v>
      </c>
      <c r="E139" s="75">
        <v>155</v>
      </c>
      <c r="F139" s="75">
        <v>0</v>
      </c>
      <c r="G139" s="75">
        <v>0</v>
      </c>
      <c r="H139" s="75">
        <v>0</v>
      </c>
      <c r="I139" s="75">
        <v>0</v>
      </c>
      <c r="J139" s="75">
        <v>0</v>
      </c>
      <c r="K139" s="59">
        <v>0</v>
      </c>
      <c r="L139" s="75">
        <v>0</v>
      </c>
      <c r="M139" s="75">
        <v>0</v>
      </c>
      <c r="N139" s="75">
        <v>0</v>
      </c>
      <c r="O139" s="59">
        <v>0</v>
      </c>
    </row>
    <row r="140" spans="1:15" ht="18" customHeight="1" x14ac:dyDescent="0.2">
      <c r="A140" s="142"/>
      <c r="B140" s="145"/>
      <c r="C140" s="77" t="s">
        <v>13</v>
      </c>
      <c r="D140" s="75">
        <f>E140</f>
        <v>0</v>
      </c>
      <c r="E140" s="59">
        <v>0</v>
      </c>
      <c r="F140" s="59">
        <v>0</v>
      </c>
      <c r="G140" s="59">
        <v>0</v>
      </c>
      <c r="H140" s="59">
        <v>0</v>
      </c>
      <c r="I140" s="59">
        <v>0</v>
      </c>
      <c r="J140" s="59">
        <v>0</v>
      </c>
      <c r="K140" s="59">
        <v>0</v>
      </c>
      <c r="L140" s="59">
        <v>0</v>
      </c>
      <c r="M140" s="59">
        <v>0</v>
      </c>
      <c r="N140" s="59">
        <v>0</v>
      </c>
      <c r="O140" s="59">
        <v>0</v>
      </c>
    </row>
    <row r="141" spans="1:15" ht="15.75" x14ac:dyDescent="0.2">
      <c r="A141" s="174" t="s">
        <v>109</v>
      </c>
      <c r="B141" s="178" t="s">
        <v>73</v>
      </c>
      <c r="C141" s="77" t="s">
        <v>7</v>
      </c>
      <c r="D141" s="59">
        <f>E141+F141+G141+H141+I141+J141</f>
        <v>9590.7999999999993</v>
      </c>
      <c r="E141" s="59">
        <f>E143+E144+E146+E148</f>
        <v>9590.7999999999993</v>
      </c>
      <c r="F141" s="59">
        <f t="shared" ref="F141:K141" si="54">F143+F144+F146+F148</f>
        <v>0</v>
      </c>
      <c r="G141" s="59">
        <f t="shared" si="54"/>
        <v>0</v>
      </c>
      <c r="H141" s="59">
        <f t="shared" si="54"/>
        <v>0</v>
      </c>
      <c r="I141" s="59">
        <f t="shared" si="54"/>
        <v>0</v>
      </c>
      <c r="J141" s="59">
        <f t="shared" si="54"/>
        <v>0</v>
      </c>
      <c r="K141" s="59">
        <f t="shared" si="54"/>
        <v>0</v>
      </c>
      <c r="L141" s="59">
        <f>L143+L144+L146+L148</f>
        <v>0</v>
      </c>
      <c r="M141" s="59">
        <f>M143+M144+M146+M148</f>
        <v>0</v>
      </c>
      <c r="N141" s="59">
        <f>N143+N144+N146+N148</f>
        <v>0</v>
      </c>
      <c r="O141" s="59">
        <f>O143+O144+O146+O148</f>
        <v>0</v>
      </c>
    </row>
    <row r="142" spans="1:15" ht="31.5" x14ac:dyDescent="0.2">
      <c r="A142" s="174"/>
      <c r="B142" s="178"/>
      <c r="C142" s="78" t="s">
        <v>79</v>
      </c>
      <c r="D142" s="75">
        <f>E142+F142+G142+H142+I142+J142</f>
        <v>9590.7999999999993</v>
      </c>
      <c r="E142" s="75">
        <f t="shared" ref="E142:K142" si="55">E145+E147</f>
        <v>9590.7999999999993</v>
      </c>
      <c r="F142" s="75">
        <f t="shared" si="55"/>
        <v>0</v>
      </c>
      <c r="G142" s="75">
        <f t="shared" si="55"/>
        <v>0</v>
      </c>
      <c r="H142" s="75">
        <f t="shared" si="55"/>
        <v>0</v>
      </c>
      <c r="I142" s="75">
        <f t="shared" si="55"/>
        <v>0</v>
      </c>
      <c r="J142" s="75">
        <f t="shared" si="55"/>
        <v>0</v>
      </c>
      <c r="K142" s="75">
        <f t="shared" si="55"/>
        <v>0</v>
      </c>
      <c r="L142" s="75">
        <f>L145+L147</f>
        <v>0</v>
      </c>
      <c r="M142" s="75">
        <f>M145+M147</f>
        <v>0</v>
      </c>
      <c r="N142" s="75">
        <f>N145+N147</f>
        <v>0</v>
      </c>
      <c r="O142" s="75">
        <f>O145+O147</f>
        <v>0</v>
      </c>
    </row>
    <row r="143" spans="1:15" ht="16.5" customHeight="1" x14ac:dyDescent="0.2">
      <c r="A143" s="175"/>
      <c r="B143" s="178"/>
      <c r="C143" s="77" t="s">
        <v>10</v>
      </c>
      <c r="D143" s="59">
        <v>0</v>
      </c>
      <c r="E143" s="59">
        <v>0</v>
      </c>
      <c r="F143" s="59">
        <v>0</v>
      </c>
      <c r="G143" s="59">
        <v>0</v>
      </c>
      <c r="H143" s="59">
        <v>0</v>
      </c>
      <c r="I143" s="59">
        <v>0</v>
      </c>
      <c r="J143" s="59">
        <v>0</v>
      </c>
      <c r="K143" s="59">
        <v>0</v>
      </c>
      <c r="L143" s="59">
        <v>0</v>
      </c>
      <c r="M143" s="59">
        <v>0</v>
      </c>
      <c r="N143" s="59">
        <v>0</v>
      </c>
      <c r="O143" s="59">
        <v>0</v>
      </c>
    </row>
    <row r="144" spans="1:15" ht="30.75" customHeight="1" x14ac:dyDescent="0.2">
      <c r="A144" s="175"/>
      <c r="B144" s="178"/>
      <c r="C144" s="77" t="s">
        <v>69</v>
      </c>
      <c r="D144" s="59">
        <f>E144+F144+G144+H144+I144+J144</f>
        <v>9111.2999999999993</v>
      </c>
      <c r="E144" s="59">
        <f t="shared" ref="E144:N144" si="56">E145</f>
        <v>9111.2999999999993</v>
      </c>
      <c r="F144" s="59">
        <f t="shared" si="56"/>
        <v>0</v>
      </c>
      <c r="G144" s="59">
        <f t="shared" si="56"/>
        <v>0</v>
      </c>
      <c r="H144" s="59">
        <f t="shared" si="56"/>
        <v>0</v>
      </c>
      <c r="I144" s="59">
        <f t="shared" si="56"/>
        <v>0</v>
      </c>
      <c r="J144" s="59">
        <f t="shared" si="56"/>
        <v>0</v>
      </c>
      <c r="K144" s="59">
        <v>0</v>
      </c>
      <c r="L144" s="59">
        <f t="shared" si="56"/>
        <v>0</v>
      </c>
      <c r="M144" s="59">
        <f t="shared" si="56"/>
        <v>0</v>
      </c>
      <c r="N144" s="59">
        <f t="shared" si="56"/>
        <v>0</v>
      </c>
      <c r="O144" s="59">
        <v>0</v>
      </c>
    </row>
    <row r="145" spans="1:15" ht="31.5" x14ac:dyDescent="0.2">
      <c r="A145" s="175"/>
      <c r="B145" s="178"/>
      <c r="C145" s="78" t="s">
        <v>79</v>
      </c>
      <c r="D145" s="75">
        <f>E145+F145+G145+H145+I145+J145</f>
        <v>9111.2999999999993</v>
      </c>
      <c r="E145" s="75">
        <v>9111.2999999999993</v>
      </c>
      <c r="F145" s="75">
        <v>0</v>
      </c>
      <c r="G145" s="75">
        <v>0</v>
      </c>
      <c r="H145" s="75">
        <v>0</v>
      </c>
      <c r="I145" s="75">
        <v>0</v>
      </c>
      <c r="J145" s="75">
        <v>0</v>
      </c>
      <c r="K145" s="59">
        <v>0</v>
      </c>
      <c r="L145" s="75">
        <v>0</v>
      </c>
      <c r="M145" s="75">
        <v>0</v>
      </c>
      <c r="N145" s="75">
        <v>0</v>
      </c>
      <c r="O145" s="59">
        <v>0</v>
      </c>
    </row>
    <row r="146" spans="1:15" ht="31.5" x14ac:dyDescent="0.2">
      <c r="A146" s="175"/>
      <c r="B146" s="178"/>
      <c r="C146" s="77" t="s">
        <v>65</v>
      </c>
      <c r="D146" s="59">
        <f>E146+F146+G146+H146+I146+J146</f>
        <v>479.5</v>
      </c>
      <c r="E146" s="59">
        <f>E147</f>
        <v>479.5</v>
      </c>
      <c r="F146" s="59">
        <v>0</v>
      </c>
      <c r="G146" s="59">
        <v>0</v>
      </c>
      <c r="H146" s="59">
        <v>0</v>
      </c>
      <c r="I146" s="59">
        <v>0</v>
      </c>
      <c r="J146" s="59">
        <v>0</v>
      </c>
      <c r="K146" s="59">
        <v>0</v>
      </c>
      <c r="L146" s="59">
        <v>0</v>
      </c>
      <c r="M146" s="59">
        <v>0</v>
      </c>
      <c r="N146" s="59">
        <v>0</v>
      </c>
      <c r="O146" s="59">
        <v>0</v>
      </c>
    </row>
    <row r="147" spans="1:15" ht="30.75" customHeight="1" x14ac:dyDescent="0.2">
      <c r="A147" s="175"/>
      <c r="B147" s="178"/>
      <c r="C147" s="78" t="s">
        <v>79</v>
      </c>
      <c r="D147" s="75">
        <f>E147</f>
        <v>479.5</v>
      </c>
      <c r="E147" s="75">
        <v>479.5</v>
      </c>
      <c r="F147" s="75">
        <v>0</v>
      </c>
      <c r="G147" s="75">
        <v>0</v>
      </c>
      <c r="H147" s="75">
        <v>0</v>
      </c>
      <c r="I147" s="75">
        <v>0</v>
      </c>
      <c r="J147" s="75">
        <v>0</v>
      </c>
      <c r="K147" s="59">
        <v>0</v>
      </c>
      <c r="L147" s="75">
        <v>0</v>
      </c>
      <c r="M147" s="75">
        <v>0</v>
      </c>
      <c r="N147" s="75">
        <v>0</v>
      </c>
      <c r="O147" s="59">
        <v>0</v>
      </c>
    </row>
    <row r="148" spans="1:15" ht="15.75" x14ac:dyDescent="0.2">
      <c r="A148" s="175"/>
      <c r="B148" s="178"/>
      <c r="C148" s="77" t="s">
        <v>13</v>
      </c>
      <c r="D148" s="59">
        <v>0</v>
      </c>
      <c r="E148" s="59">
        <v>0</v>
      </c>
      <c r="F148" s="59">
        <v>0</v>
      </c>
      <c r="G148" s="59">
        <v>0</v>
      </c>
      <c r="H148" s="59">
        <v>0</v>
      </c>
      <c r="I148" s="59">
        <v>0</v>
      </c>
      <c r="J148" s="59">
        <v>0</v>
      </c>
      <c r="K148" s="59">
        <v>0</v>
      </c>
      <c r="L148" s="59">
        <v>0</v>
      </c>
      <c r="M148" s="59">
        <v>0</v>
      </c>
      <c r="N148" s="59">
        <v>0</v>
      </c>
      <c r="O148" s="59">
        <v>0</v>
      </c>
    </row>
    <row r="149" spans="1:15" ht="15.75" x14ac:dyDescent="0.2">
      <c r="A149" s="141" t="s">
        <v>110</v>
      </c>
      <c r="B149" s="153" t="s">
        <v>67</v>
      </c>
      <c r="C149" s="77" t="s">
        <v>7</v>
      </c>
      <c r="D149" s="59">
        <f>D150+D151+D152+D154</f>
        <v>1600.3</v>
      </c>
      <c r="E149" s="59">
        <f t="shared" ref="E149:K149" si="57">E150+E151+E152+E154</f>
        <v>1600.3</v>
      </c>
      <c r="F149" s="59">
        <f t="shared" si="57"/>
        <v>0</v>
      </c>
      <c r="G149" s="59">
        <f t="shared" si="57"/>
        <v>0</v>
      </c>
      <c r="H149" s="59">
        <f t="shared" si="57"/>
        <v>0</v>
      </c>
      <c r="I149" s="59">
        <f t="shared" si="57"/>
        <v>0</v>
      </c>
      <c r="J149" s="59">
        <f t="shared" si="57"/>
        <v>0</v>
      </c>
      <c r="K149" s="59">
        <f t="shared" si="57"/>
        <v>0</v>
      </c>
      <c r="L149" s="59">
        <f>L150+L151+L152+L154</f>
        <v>0</v>
      </c>
      <c r="M149" s="59">
        <f>M150+M151+M152+M154</f>
        <v>0</v>
      </c>
      <c r="N149" s="59">
        <f>N150+N151+N152+N154</f>
        <v>0</v>
      </c>
      <c r="O149" s="59">
        <f>O150+O151+O152+O154</f>
        <v>0</v>
      </c>
    </row>
    <row r="150" spans="1:15" ht="15.75" x14ac:dyDescent="0.2">
      <c r="A150" s="142"/>
      <c r="B150" s="154"/>
      <c r="C150" s="77" t="s">
        <v>10</v>
      </c>
      <c r="D150" s="59">
        <f>E150+F150+G150+H150+I150+J150</f>
        <v>0</v>
      </c>
      <c r="E150" s="59">
        <v>0</v>
      </c>
      <c r="F150" s="59">
        <v>0</v>
      </c>
      <c r="G150" s="59">
        <v>0</v>
      </c>
      <c r="H150" s="59">
        <v>0</v>
      </c>
      <c r="I150" s="59">
        <v>0</v>
      </c>
      <c r="J150" s="59">
        <v>0</v>
      </c>
      <c r="K150" s="59">
        <v>0</v>
      </c>
      <c r="L150" s="59">
        <v>0</v>
      </c>
      <c r="M150" s="59">
        <v>0</v>
      </c>
      <c r="N150" s="59">
        <v>0</v>
      </c>
      <c r="O150" s="59">
        <v>0</v>
      </c>
    </row>
    <row r="151" spans="1:15" ht="15.75" x14ac:dyDescent="0.2">
      <c r="A151" s="142"/>
      <c r="B151" s="154"/>
      <c r="C151" s="77" t="s">
        <v>11</v>
      </c>
      <c r="D151" s="59">
        <f>E151+F151+G151+H151+I151+J151</f>
        <v>0</v>
      </c>
      <c r="E151" s="59">
        <v>0</v>
      </c>
      <c r="F151" s="59">
        <v>0</v>
      </c>
      <c r="G151" s="59">
        <v>0</v>
      </c>
      <c r="H151" s="59">
        <v>0</v>
      </c>
      <c r="I151" s="59">
        <v>0</v>
      </c>
      <c r="J151" s="59">
        <v>0</v>
      </c>
      <c r="K151" s="59">
        <v>0</v>
      </c>
      <c r="L151" s="59">
        <v>0</v>
      </c>
      <c r="M151" s="59">
        <v>0</v>
      </c>
      <c r="N151" s="59">
        <v>0</v>
      </c>
      <c r="O151" s="59">
        <v>0</v>
      </c>
    </row>
    <row r="152" spans="1:15" ht="31.5" x14ac:dyDescent="0.2">
      <c r="A152" s="142"/>
      <c r="B152" s="154"/>
      <c r="C152" s="77" t="s">
        <v>65</v>
      </c>
      <c r="D152" s="59">
        <f>E152+F152+G152+H152+I152+J152</f>
        <v>1600.3</v>
      </c>
      <c r="E152" s="59">
        <v>1600.3</v>
      </c>
      <c r="F152" s="59">
        <v>0</v>
      </c>
      <c r="G152" s="59">
        <v>0</v>
      </c>
      <c r="H152" s="59">
        <v>0</v>
      </c>
      <c r="I152" s="59">
        <v>0</v>
      </c>
      <c r="J152" s="59">
        <v>0</v>
      </c>
      <c r="K152" s="59">
        <v>0</v>
      </c>
      <c r="L152" s="59">
        <v>0</v>
      </c>
      <c r="M152" s="59">
        <v>0</v>
      </c>
      <c r="N152" s="59">
        <v>0</v>
      </c>
      <c r="O152" s="59">
        <v>0</v>
      </c>
    </row>
    <row r="153" spans="1:15" ht="31.5" x14ac:dyDescent="0.2">
      <c r="A153" s="142"/>
      <c r="B153" s="154"/>
      <c r="C153" s="78" t="s">
        <v>79</v>
      </c>
      <c r="D153" s="75">
        <f>E153</f>
        <v>1600.3</v>
      </c>
      <c r="E153" s="75">
        <v>1600.3</v>
      </c>
      <c r="F153" s="75">
        <v>0</v>
      </c>
      <c r="G153" s="75">
        <v>0</v>
      </c>
      <c r="H153" s="75">
        <v>0</v>
      </c>
      <c r="I153" s="75">
        <v>0</v>
      </c>
      <c r="J153" s="75">
        <v>0</v>
      </c>
      <c r="K153" s="59">
        <v>0</v>
      </c>
      <c r="L153" s="75">
        <v>0</v>
      </c>
      <c r="M153" s="75">
        <v>0</v>
      </c>
      <c r="N153" s="75">
        <v>0</v>
      </c>
      <c r="O153" s="59">
        <v>0</v>
      </c>
    </row>
    <row r="154" spans="1:15" ht="21.75" customHeight="1" x14ac:dyDescent="0.2">
      <c r="A154" s="142"/>
      <c r="B154" s="155"/>
      <c r="C154" s="77" t="s">
        <v>13</v>
      </c>
      <c r="D154" s="59">
        <f>E154+F154+G154+H154+I154+J154</f>
        <v>0</v>
      </c>
      <c r="E154" s="59">
        <v>0</v>
      </c>
      <c r="F154" s="59">
        <v>0</v>
      </c>
      <c r="G154" s="59">
        <v>0</v>
      </c>
      <c r="H154" s="59">
        <v>0</v>
      </c>
      <c r="I154" s="59">
        <v>0</v>
      </c>
      <c r="J154" s="59">
        <v>0</v>
      </c>
      <c r="K154" s="59">
        <v>0</v>
      </c>
      <c r="L154" s="59">
        <v>0</v>
      </c>
      <c r="M154" s="59">
        <v>0</v>
      </c>
      <c r="N154" s="59">
        <v>0</v>
      </c>
      <c r="O154" s="59">
        <v>0</v>
      </c>
    </row>
    <row r="155" spans="1:15" ht="18" customHeight="1" x14ac:dyDescent="0.2">
      <c r="A155" s="141" t="s">
        <v>111</v>
      </c>
      <c r="B155" s="145" t="s">
        <v>141</v>
      </c>
      <c r="C155" s="77" t="s">
        <v>7</v>
      </c>
      <c r="D155" s="59">
        <f>D156+D157+D159+D160</f>
        <v>3488.1</v>
      </c>
      <c r="E155" s="59">
        <f t="shared" ref="E155:K155" si="58">E156+E157+E159+E160</f>
        <v>3088.1</v>
      </c>
      <c r="F155" s="59">
        <f t="shared" si="58"/>
        <v>0</v>
      </c>
      <c r="G155" s="59">
        <f t="shared" si="58"/>
        <v>0</v>
      </c>
      <c r="H155" s="59">
        <f t="shared" si="58"/>
        <v>400</v>
      </c>
      <c r="I155" s="59">
        <f t="shared" si="58"/>
        <v>0</v>
      </c>
      <c r="J155" s="59">
        <f t="shared" si="58"/>
        <v>0</v>
      </c>
      <c r="K155" s="59">
        <f t="shared" si="58"/>
        <v>0</v>
      </c>
      <c r="L155" s="59">
        <f>L156+L157+L159+L160</f>
        <v>0</v>
      </c>
      <c r="M155" s="59">
        <f>M156+M157+M159+M160</f>
        <v>0</v>
      </c>
      <c r="N155" s="59">
        <f>N156+N157+N159+N160</f>
        <v>0</v>
      </c>
      <c r="O155" s="59">
        <f>O156+O157+O159+O160</f>
        <v>0</v>
      </c>
    </row>
    <row r="156" spans="1:15" ht="15.75" x14ac:dyDescent="0.2">
      <c r="A156" s="142"/>
      <c r="B156" s="145"/>
      <c r="C156" s="77" t="s">
        <v>10</v>
      </c>
      <c r="D156" s="59">
        <f>E156+F156+G156+H156+I156+J156</f>
        <v>0</v>
      </c>
      <c r="E156" s="59">
        <v>0</v>
      </c>
      <c r="F156" s="59">
        <v>0</v>
      </c>
      <c r="G156" s="59">
        <v>0</v>
      </c>
      <c r="H156" s="59">
        <v>0</v>
      </c>
      <c r="I156" s="59">
        <v>0</v>
      </c>
      <c r="J156" s="59">
        <v>0</v>
      </c>
      <c r="K156" s="59">
        <v>0</v>
      </c>
      <c r="L156" s="59">
        <v>0</v>
      </c>
      <c r="M156" s="59">
        <v>0</v>
      </c>
      <c r="N156" s="59">
        <v>0</v>
      </c>
      <c r="O156" s="59">
        <v>0</v>
      </c>
    </row>
    <row r="157" spans="1:15" ht="30.75" customHeight="1" x14ac:dyDescent="0.2">
      <c r="A157" s="142"/>
      <c r="B157" s="145"/>
      <c r="C157" s="77" t="s">
        <v>69</v>
      </c>
      <c r="D157" s="59">
        <f>D158</f>
        <v>2692</v>
      </c>
      <c r="E157" s="59">
        <f t="shared" ref="E157:M157" si="59">E158</f>
        <v>2692</v>
      </c>
      <c r="F157" s="59">
        <f t="shared" si="59"/>
        <v>0</v>
      </c>
      <c r="G157" s="59">
        <f t="shared" si="59"/>
        <v>0</v>
      </c>
      <c r="H157" s="59">
        <f t="shared" si="59"/>
        <v>0</v>
      </c>
      <c r="I157" s="59">
        <f t="shared" si="59"/>
        <v>0</v>
      </c>
      <c r="J157" s="59">
        <f t="shared" si="59"/>
        <v>0</v>
      </c>
      <c r="K157" s="59">
        <v>0</v>
      </c>
      <c r="L157" s="59">
        <f t="shared" si="59"/>
        <v>0</v>
      </c>
      <c r="M157" s="59">
        <f t="shared" si="59"/>
        <v>0</v>
      </c>
      <c r="N157" s="59">
        <v>0</v>
      </c>
      <c r="O157" s="59">
        <v>0</v>
      </c>
    </row>
    <row r="158" spans="1:15" ht="31.5" x14ac:dyDescent="0.2">
      <c r="A158" s="142"/>
      <c r="B158" s="145"/>
      <c r="C158" s="78" t="s">
        <v>81</v>
      </c>
      <c r="D158" s="75">
        <f>E158+F158+G158+H158+I158+J158</f>
        <v>2692</v>
      </c>
      <c r="E158" s="75">
        <v>2692</v>
      </c>
      <c r="F158" s="75">
        <v>0</v>
      </c>
      <c r="G158" s="75">
        <v>0</v>
      </c>
      <c r="H158" s="75">
        <v>0</v>
      </c>
      <c r="I158" s="75">
        <v>0</v>
      </c>
      <c r="J158" s="75">
        <v>0</v>
      </c>
      <c r="K158" s="59">
        <v>0</v>
      </c>
      <c r="L158" s="75">
        <v>0</v>
      </c>
      <c r="M158" s="75">
        <v>0</v>
      </c>
      <c r="N158" s="59">
        <v>0</v>
      </c>
      <c r="O158" s="59">
        <v>0</v>
      </c>
    </row>
    <row r="159" spans="1:15" ht="15.75" x14ac:dyDescent="0.2">
      <c r="A159" s="142"/>
      <c r="B159" s="145"/>
      <c r="C159" s="77" t="s">
        <v>12</v>
      </c>
      <c r="D159" s="59">
        <f>E159+F159+G159+H159+I159+J159</f>
        <v>796.1</v>
      </c>
      <c r="E159" s="59">
        <v>396.1</v>
      </c>
      <c r="F159" s="59">
        <v>0</v>
      </c>
      <c r="G159" s="59">
        <v>0</v>
      </c>
      <c r="H159" s="59">
        <v>400</v>
      </c>
      <c r="I159" s="59">
        <v>0</v>
      </c>
      <c r="J159" s="59">
        <v>0</v>
      </c>
      <c r="K159" s="59">
        <v>0</v>
      </c>
      <c r="L159" s="59">
        <v>0</v>
      </c>
      <c r="M159" s="59">
        <v>0</v>
      </c>
      <c r="N159" s="59">
        <v>0</v>
      </c>
      <c r="O159" s="59">
        <v>0</v>
      </c>
    </row>
    <row r="160" spans="1:15" ht="15.75" x14ac:dyDescent="0.2">
      <c r="A160" s="142"/>
      <c r="B160" s="145"/>
      <c r="C160" s="77" t="s">
        <v>13</v>
      </c>
      <c r="D160" s="59">
        <f>E160+F160+G160+H160+I160+J160</f>
        <v>0</v>
      </c>
      <c r="E160" s="59">
        <v>0</v>
      </c>
      <c r="F160" s="59">
        <v>0</v>
      </c>
      <c r="G160" s="59">
        <v>0</v>
      </c>
      <c r="H160" s="59">
        <v>0</v>
      </c>
      <c r="I160" s="59">
        <v>0</v>
      </c>
      <c r="J160" s="59">
        <v>0</v>
      </c>
      <c r="K160" s="59">
        <v>0</v>
      </c>
      <c r="L160" s="59">
        <v>0</v>
      </c>
      <c r="M160" s="59">
        <v>0</v>
      </c>
      <c r="N160" s="59">
        <v>0</v>
      </c>
      <c r="O160" s="59">
        <v>0</v>
      </c>
    </row>
    <row r="161" spans="1:18" ht="15.75" x14ac:dyDescent="0.2">
      <c r="A161" s="141" t="s">
        <v>112</v>
      </c>
      <c r="B161" s="153" t="s">
        <v>75</v>
      </c>
      <c r="C161" s="79" t="s">
        <v>7</v>
      </c>
      <c r="D161" s="59">
        <f t="shared" ref="D161:D167" si="60">E161+F161+G161+H161+I161+J161</f>
        <v>123.9</v>
      </c>
      <c r="E161" s="59">
        <f t="shared" ref="E161:O161" si="61">E163+E164+E165+E167</f>
        <v>123.9</v>
      </c>
      <c r="F161" s="59">
        <f t="shared" si="61"/>
        <v>0</v>
      </c>
      <c r="G161" s="59">
        <f t="shared" si="61"/>
        <v>0</v>
      </c>
      <c r="H161" s="59">
        <f t="shared" si="61"/>
        <v>0</v>
      </c>
      <c r="I161" s="59">
        <f t="shared" si="61"/>
        <v>0</v>
      </c>
      <c r="J161" s="59">
        <f t="shared" si="61"/>
        <v>0</v>
      </c>
      <c r="K161" s="59">
        <f t="shared" si="61"/>
        <v>0</v>
      </c>
      <c r="L161" s="59">
        <f t="shared" si="61"/>
        <v>0</v>
      </c>
      <c r="M161" s="59">
        <f t="shared" si="61"/>
        <v>0</v>
      </c>
      <c r="N161" s="59">
        <f t="shared" si="61"/>
        <v>0</v>
      </c>
      <c r="O161" s="59">
        <f t="shared" si="61"/>
        <v>0</v>
      </c>
    </row>
    <row r="162" spans="1:18" ht="31.5" x14ac:dyDescent="0.2">
      <c r="A162" s="141"/>
      <c r="B162" s="154"/>
      <c r="C162" s="80" t="s">
        <v>79</v>
      </c>
      <c r="D162" s="75">
        <f t="shared" si="60"/>
        <v>123.9</v>
      </c>
      <c r="E162" s="75">
        <f t="shared" ref="E162:O162" si="62">E166</f>
        <v>123.9</v>
      </c>
      <c r="F162" s="75">
        <f t="shared" si="62"/>
        <v>0</v>
      </c>
      <c r="G162" s="75">
        <f t="shared" si="62"/>
        <v>0</v>
      </c>
      <c r="H162" s="75">
        <f t="shared" si="62"/>
        <v>0</v>
      </c>
      <c r="I162" s="75">
        <f t="shared" si="62"/>
        <v>0</v>
      </c>
      <c r="J162" s="75">
        <f t="shared" si="62"/>
        <v>0</v>
      </c>
      <c r="K162" s="75">
        <f t="shared" si="62"/>
        <v>0</v>
      </c>
      <c r="L162" s="75">
        <f t="shared" si="62"/>
        <v>0</v>
      </c>
      <c r="M162" s="75">
        <f t="shared" si="62"/>
        <v>0</v>
      </c>
      <c r="N162" s="75">
        <f t="shared" si="62"/>
        <v>0</v>
      </c>
      <c r="O162" s="75">
        <f t="shared" si="62"/>
        <v>0</v>
      </c>
    </row>
    <row r="163" spans="1:18" ht="15.75" x14ac:dyDescent="0.2">
      <c r="A163" s="141"/>
      <c r="B163" s="154"/>
      <c r="C163" s="79" t="s">
        <v>10</v>
      </c>
      <c r="D163" s="59">
        <f t="shared" si="60"/>
        <v>0</v>
      </c>
      <c r="E163" s="59">
        <v>0</v>
      </c>
      <c r="F163" s="59">
        <v>0</v>
      </c>
      <c r="G163" s="59">
        <v>0</v>
      </c>
      <c r="H163" s="59">
        <v>0</v>
      </c>
      <c r="I163" s="59">
        <v>0</v>
      </c>
      <c r="J163" s="59">
        <v>0</v>
      </c>
      <c r="K163" s="59">
        <v>0</v>
      </c>
      <c r="L163" s="59">
        <v>0</v>
      </c>
      <c r="M163" s="59">
        <v>0</v>
      </c>
      <c r="N163" s="59">
        <v>0</v>
      </c>
      <c r="O163" s="59">
        <v>0</v>
      </c>
    </row>
    <row r="164" spans="1:18" ht="15.75" x14ac:dyDescent="0.2">
      <c r="A164" s="141"/>
      <c r="B164" s="154"/>
      <c r="C164" s="79" t="s">
        <v>11</v>
      </c>
      <c r="D164" s="59">
        <f t="shared" si="60"/>
        <v>0</v>
      </c>
      <c r="E164" s="59">
        <v>0</v>
      </c>
      <c r="F164" s="59">
        <v>0</v>
      </c>
      <c r="G164" s="59">
        <v>0</v>
      </c>
      <c r="H164" s="59">
        <v>0</v>
      </c>
      <c r="I164" s="59">
        <v>0</v>
      </c>
      <c r="J164" s="59">
        <v>0</v>
      </c>
      <c r="K164" s="59">
        <v>0</v>
      </c>
      <c r="L164" s="59">
        <v>0</v>
      </c>
      <c r="M164" s="59">
        <v>0</v>
      </c>
      <c r="N164" s="59">
        <v>0</v>
      </c>
      <c r="O164" s="59">
        <v>0</v>
      </c>
    </row>
    <row r="165" spans="1:18" ht="31.5" x14ac:dyDescent="0.2">
      <c r="A165" s="141"/>
      <c r="B165" s="154"/>
      <c r="C165" s="77" t="s">
        <v>65</v>
      </c>
      <c r="D165" s="59">
        <f t="shared" si="60"/>
        <v>123.9</v>
      </c>
      <c r="E165" s="59">
        <f>E166</f>
        <v>123.9</v>
      </c>
      <c r="F165" s="59">
        <f>F166</f>
        <v>0</v>
      </c>
      <c r="G165" s="59">
        <f>G166</f>
        <v>0</v>
      </c>
      <c r="H165" s="59">
        <f>H166</f>
        <v>0</v>
      </c>
      <c r="I165" s="59">
        <f>I166</f>
        <v>0</v>
      </c>
      <c r="J165" s="59">
        <v>0</v>
      </c>
      <c r="K165" s="59">
        <v>0</v>
      </c>
      <c r="L165" s="59">
        <v>0</v>
      </c>
      <c r="M165" s="59">
        <v>0</v>
      </c>
      <c r="N165" s="59">
        <v>0</v>
      </c>
      <c r="O165" s="59">
        <v>0</v>
      </c>
    </row>
    <row r="166" spans="1:18" ht="31.5" x14ac:dyDescent="0.2">
      <c r="A166" s="141"/>
      <c r="B166" s="154"/>
      <c r="C166" s="80" t="s">
        <v>79</v>
      </c>
      <c r="D166" s="75">
        <f t="shared" si="60"/>
        <v>123.9</v>
      </c>
      <c r="E166" s="75">
        <v>123.9</v>
      </c>
      <c r="F166" s="75">
        <v>0</v>
      </c>
      <c r="G166" s="75">
        <v>0</v>
      </c>
      <c r="H166" s="75">
        <v>0</v>
      </c>
      <c r="I166" s="75">
        <v>0</v>
      </c>
      <c r="J166" s="75">
        <v>0</v>
      </c>
      <c r="K166" s="75">
        <v>0</v>
      </c>
      <c r="L166" s="75">
        <v>0</v>
      </c>
      <c r="M166" s="75">
        <v>0</v>
      </c>
      <c r="N166" s="75">
        <v>0</v>
      </c>
      <c r="O166" s="75">
        <v>0</v>
      </c>
      <c r="P166" s="67"/>
      <c r="Q166" s="67"/>
      <c r="R166" s="67"/>
    </row>
    <row r="167" spans="1:18" ht="20.25" customHeight="1" x14ac:dyDescent="0.2">
      <c r="A167" s="141"/>
      <c r="B167" s="155"/>
      <c r="C167" s="79" t="s">
        <v>13</v>
      </c>
      <c r="D167" s="59">
        <f t="shared" si="60"/>
        <v>0</v>
      </c>
      <c r="E167" s="59">
        <v>0</v>
      </c>
      <c r="F167" s="59">
        <v>0</v>
      </c>
      <c r="G167" s="59">
        <v>0</v>
      </c>
      <c r="H167" s="59">
        <v>0</v>
      </c>
      <c r="I167" s="59">
        <v>0</v>
      </c>
      <c r="J167" s="59">
        <v>0</v>
      </c>
      <c r="K167" s="59">
        <v>0</v>
      </c>
      <c r="L167" s="59">
        <v>0</v>
      </c>
      <c r="M167" s="59">
        <v>0</v>
      </c>
      <c r="N167" s="59">
        <v>0</v>
      </c>
      <c r="O167" s="59">
        <v>0</v>
      </c>
      <c r="P167" s="67"/>
      <c r="Q167" s="67"/>
      <c r="R167" s="67"/>
    </row>
    <row r="168" spans="1:18" ht="17.25" customHeight="1" x14ac:dyDescent="0.2">
      <c r="A168" s="141" t="s">
        <v>113</v>
      </c>
      <c r="B168" s="145" t="s">
        <v>78</v>
      </c>
      <c r="C168" s="77" t="s">
        <v>7</v>
      </c>
      <c r="D168" s="59">
        <f t="shared" ref="D168:D174" si="63">E168+F168+G168+H168+I168+J168</f>
        <v>1187</v>
      </c>
      <c r="E168" s="59">
        <f t="shared" ref="E168:K168" si="64">E170+E171+E172+E174</f>
        <v>1187</v>
      </c>
      <c r="F168" s="59">
        <f t="shared" si="64"/>
        <v>0</v>
      </c>
      <c r="G168" s="59">
        <f t="shared" si="64"/>
        <v>0</v>
      </c>
      <c r="H168" s="59">
        <f t="shared" si="64"/>
        <v>0</v>
      </c>
      <c r="I168" s="59">
        <f t="shared" si="64"/>
        <v>0</v>
      </c>
      <c r="J168" s="59">
        <f t="shared" si="64"/>
        <v>0</v>
      </c>
      <c r="K168" s="59">
        <f t="shared" si="64"/>
        <v>0</v>
      </c>
      <c r="L168" s="59">
        <f>L170+L171+L172+L174</f>
        <v>0</v>
      </c>
      <c r="M168" s="59">
        <f>M170+M171+M172+M174</f>
        <v>0</v>
      </c>
      <c r="N168" s="59">
        <f>N170+N171+N172+N174</f>
        <v>0</v>
      </c>
      <c r="O168" s="59">
        <f>O170+O171+O172+O174</f>
        <v>0</v>
      </c>
      <c r="P168" s="81"/>
      <c r="Q168" s="81"/>
      <c r="R168" s="67"/>
    </row>
    <row r="169" spans="1:18" ht="31.5" x14ac:dyDescent="0.2">
      <c r="A169" s="142"/>
      <c r="B169" s="149"/>
      <c r="C169" s="78" t="s">
        <v>79</v>
      </c>
      <c r="D169" s="75">
        <f t="shared" si="63"/>
        <v>1187</v>
      </c>
      <c r="E169" s="75">
        <f t="shared" ref="E169:K169" si="65">E173</f>
        <v>1187</v>
      </c>
      <c r="F169" s="75">
        <f t="shared" si="65"/>
        <v>0</v>
      </c>
      <c r="G169" s="75">
        <f t="shared" si="65"/>
        <v>0</v>
      </c>
      <c r="H169" s="75">
        <f t="shared" si="65"/>
        <v>0</v>
      </c>
      <c r="I169" s="75">
        <f t="shared" si="65"/>
        <v>0</v>
      </c>
      <c r="J169" s="75">
        <f t="shared" si="65"/>
        <v>0</v>
      </c>
      <c r="K169" s="75">
        <f t="shared" si="65"/>
        <v>0</v>
      </c>
      <c r="L169" s="75">
        <f>L173</f>
        <v>0</v>
      </c>
      <c r="M169" s="75">
        <f>M173</f>
        <v>0</v>
      </c>
      <c r="N169" s="75">
        <f>N173</f>
        <v>0</v>
      </c>
      <c r="O169" s="75">
        <f>O173</f>
        <v>0</v>
      </c>
      <c r="P169" s="82"/>
      <c r="Q169" s="82"/>
      <c r="R169" s="67"/>
    </row>
    <row r="170" spans="1:18" ht="15.75" x14ac:dyDescent="0.2">
      <c r="A170" s="142"/>
      <c r="B170" s="149"/>
      <c r="C170" s="77" t="s">
        <v>10</v>
      </c>
      <c r="D170" s="59">
        <f t="shared" si="63"/>
        <v>0</v>
      </c>
      <c r="E170" s="59">
        <v>0</v>
      </c>
      <c r="F170" s="59">
        <v>0</v>
      </c>
      <c r="G170" s="59">
        <v>0</v>
      </c>
      <c r="H170" s="59">
        <v>0</v>
      </c>
      <c r="I170" s="59">
        <v>0</v>
      </c>
      <c r="J170" s="59">
        <v>0</v>
      </c>
      <c r="K170" s="59">
        <v>0</v>
      </c>
      <c r="L170" s="59">
        <v>0</v>
      </c>
      <c r="M170" s="59">
        <v>0</v>
      </c>
      <c r="N170" s="59">
        <v>0</v>
      </c>
      <c r="O170" s="59">
        <v>0</v>
      </c>
      <c r="P170" s="81"/>
      <c r="Q170" s="81"/>
      <c r="R170" s="67"/>
    </row>
    <row r="171" spans="1:18" ht="15.75" x14ac:dyDescent="0.2">
      <c r="A171" s="142"/>
      <c r="B171" s="149"/>
      <c r="C171" s="77" t="s">
        <v>11</v>
      </c>
      <c r="D171" s="59">
        <f t="shared" si="63"/>
        <v>0</v>
      </c>
      <c r="E171" s="59">
        <v>0</v>
      </c>
      <c r="F171" s="59">
        <v>0</v>
      </c>
      <c r="G171" s="59">
        <v>0</v>
      </c>
      <c r="H171" s="59">
        <v>0</v>
      </c>
      <c r="I171" s="59">
        <v>0</v>
      </c>
      <c r="J171" s="59">
        <v>0</v>
      </c>
      <c r="K171" s="59">
        <v>0</v>
      </c>
      <c r="L171" s="59">
        <v>0</v>
      </c>
      <c r="M171" s="59">
        <v>0</v>
      </c>
      <c r="N171" s="59">
        <v>0</v>
      </c>
      <c r="O171" s="59">
        <v>0</v>
      </c>
      <c r="P171" s="81"/>
      <c r="Q171" s="81"/>
      <c r="R171" s="67"/>
    </row>
    <row r="172" spans="1:18" ht="32.25" customHeight="1" x14ac:dyDescent="0.2">
      <c r="A172" s="142"/>
      <c r="B172" s="149"/>
      <c r="C172" s="77" t="s">
        <v>65</v>
      </c>
      <c r="D172" s="59">
        <f t="shared" si="63"/>
        <v>1187</v>
      </c>
      <c r="E172" s="59">
        <f t="shared" ref="E172:O172" si="66">E173</f>
        <v>1187</v>
      </c>
      <c r="F172" s="59">
        <f t="shared" si="66"/>
        <v>0</v>
      </c>
      <c r="G172" s="59">
        <f t="shared" si="66"/>
        <v>0</v>
      </c>
      <c r="H172" s="59">
        <f t="shared" si="66"/>
        <v>0</v>
      </c>
      <c r="I172" s="59">
        <f t="shared" si="66"/>
        <v>0</v>
      </c>
      <c r="J172" s="59">
        <f t="shared" si="66"/>
        <v>0</v>
      </c>
      <c r="K172" s="59">
        <v>0</v>
      </c>
      <c r="L172" s="59">
        <f t="shared" si="66"/>
        <v>0</v>
      </c>
      <c r="M172" s="59">
        <f t="shared" si="66"/>
        <v>0</v>
      </c>
      <c r="N172" s="59">
        <f t="shared" si="66"/>
        <v>0</v>
      </c>
      <c r="O172" s="59">
        <f t="shared" si="66"/>
        <v>0</v>
      </c>
      <c r="P172" s="81"/>
      <c r="Q172" s="81"/>
      <c r="R172" s="67"/>
    </row>
    <row r="173" spans="1:18" ht="32.25" customHeight="1" x14ac:dyDescent="0.2">
      <c r="A173" s="142"/>
      <c r="B173" s="149"/>
      <c r="C173" s="78" t="s">
        <v>79</v>
      </c>
      <c r="D173" s="75">
        <f t="shared" si="63"/>
        <v>1187</v>
      </c>
      <c r="E173" s="75">
        <v>1187</v>
      </c>
      <c r="F173" s="75">
        <v>0</v>
      </c>
      <c r="G173" s="75">
        <v>0</v>
      </c>
      <c r="H173" s="75">
        <v>0</v>
      </c>
      <c r="I173" s="75">
        <v>0</v>
      </c>
      <c r="J173" s="75">
        <v>0</v>
      </c>
      <c r="K173" s="59">
        <v>0</v>
      </c>
      <c r="L173" s="75">
        <v>0</v>
      </c>
      <c r="M173" s="75">
        <v>0</v>
      </c>
      <c r="N173" s="75">
        <v>0</v>
      </c>
      <c r="O173" s="75">
        <v>0</v>
      </c>
      <c r="P173" s="81"/>
      <c r="Q173" s="81"/>
      <c r="R173" s="67"/>
    </row>
    <row r="174" spans="1:18" ht="18" customHeight="1" x14ac:dyDescent="0.2">
      <c r="A174" s="142"/>
      <c r="B174" s="149"/>
      <c r="C174" s="77" t="s">
        <v>13</v>
      </c>
      <c r="D174" s="59">
        <f t="shared" si="63"/>
        <v>0</v>
      </c>
      <c r="E174" s="59">
        <v>0</v>
      </c>
      <c r="F174" s="59">
        <v>0</v>
      </c>
      <c r="G174" s="59">
        <v>0</v>
      </c>
      <c r="H174" s="59">
        <v>0</v>
      </c>
      <c r="I174" s="59">
        <v>0</v>
      </c>
      <c r="J174" s="59">
        <v>0</v>
      </c>
      <c r="K174" s="59">
        <v>0</v>
      </c>
      <c r="L174" s="59">
        <v>0</v>
      </c>
      <c r="M174" s="59">
        <v>0</v>
      </c>
      <c r="N174" s="59">
        <v>0</v>
      </c>
      <c r="O174" s="59">
        <v>0</v>
      </c>
      <c r="P174" s="81"/>
      <c r="Q174" s="81"/>
      <c r="R174" s="67"/>
    </row>
    <row r="175" spans="1:18" ht="15.75" x14ac:dyDescent="0.2">
      <c r="A175" s="141" t="s">
        <v>114</v>
      </c>
      <c r="B175" s="141" t="s">
        <v>213</v>
      </c>
      <c r="C175" s="77" t="s">
        <v>7</v>
      </c>
      <c r="D175" s="59">
        <f t="shared" ref="D175:D180" si="67">E175+F175+G175+H175+I175+J175</f>
        <v>3590.6</v>
      </c>
      <c r="E175" s="59">
        <f>E176+E177+E178+E180</f>
        <v>2639.6</v>
      </c>
      <c r="F175" s="59">
        <f t="shared" ref="F175:K175" si="68">F176+F177+F178+F180</f>
        <v>951</v>
      </c>
      <c r="G175" s="59">
        <f t="shared" si="68"/>
        <v>0</v>
      </c>
      <c r="H175" s="59">
        <f t="shared" si="68"/>
        <v>0</v>
      </c>
      <c r="I175" s="59">
        <f t="shared" si="68"/>
        <v>0</v>
      </c>
      <c r="J175" s="59">
        <f t="shared" si="68"/>
        <v>0</v>
      </c>
      <c r="K175" s="59">
        <f t="shared" si="68"/>
        <v>0</v>
      </c>
      <c r="L175" s="59">
        <f>L176+L177+L178+L180</f>
        <v>0</v>
      </c>
      <c r="M175" s="59">
        <f>M176+M177+M178+M180</f>
        <v>0</v>
      </c>
      <c r="N175" s="59">
        <f>N176+N177+N178+N180</f>
        <v>0</v>
      </c>
      <c r="O175" s="59">
        <f>O176+O177+O178+O180</f>
        <v>0</v>
      </c>
      <c r="P175" s="67"/>
      <c r="Q175" s="67"/>
      <c r="R175" s="67"/>
    </row>
    <row r="176" spans="1:18" ht="15.75" x14ac:dyDescent="0.2">
      <c r="A176" s="142"/>
      <c r="B176" s="141"/>
      <c r="C176" s="77" t="s">
        <v>10</v>
      </c>
      <c r="D176" s="59">
        <f t="shared" si="67"/>
        <v>0</v>
      </c>
      <c r="E176" s="59">
        <v>0</v>
      </c>
      <c r="F176" s="59">
        <v>0</v>
      </c>
      <c r="G176" s="59">
        <v>0</v>
      </c>
      <c r="H176" s="59">
        <v>0</v>
      </c>
      <c r="I176" s="59">
        <v>0</v>
      </c>
      <c r="J176" s="59">
        <v>0</v>
      </c>
      <c r="K176" s="59">
        <v>0</v>
      </c>
      <c r="L176" s="59">
        <v>0</v>
      </c>
      <c r="M176" s="59">
        <v>0</v>
      </c>
      <c r="N176" s="59">
        <v>0</v>
      </c>
      <c r="O176" s="59">
        <v>0</v>
      </c>
    </row>
    <row r="177" spans="1:15" ht="15.75" x14ac:dyDescent="0.2">
      <c r="A177" s="142"/>
      <c r="B177" s="141"/>
      <c r="C177" s="77" t="s">
        <v>11</v>
      </c>
      <c r="D177" s="59">
        <f t="shared" si="67"/>
        <v>0</v>
      </c>
      <c r="E177" s="59">
        <v>0</v>
      </c>
      <c r="F177" s="59">
        <v>0</v>
      </c>
      <c r="G177" s="59">
        <v>0</v>
      </c>
      <c r="H177" s="59">
        <v>0</v>
      </c>
      <c r="I177" s="59">
        <v>0</v>
      </c>
      <c r="J177" s="59">
        <v>0</v>
      </c>
      <c r="K177" s="59">
        <v>0</v>
      </c>
      <c r="L177" s="59">
        <v>0</v>
      </c>
      <c r="M177" s="59">
        <v>0</v>
      </c>
      <c r="N177" s="59">
        <v>0</v>
      </c>
      <c r="O177" s="59">
        <v>0</v>
      </c>
    </row>
    <row r="178" spans="1:15" ht="31.5" x14ac:dyDescent="0.2">
      <c r="A178" s="142"/>
      <c r="B178" s="141"/>
      <c r="C178" s="77" t="s">
        <v>65</v>
      </c>
      <c r="D178" s="59">
        <f t="shared" si="67"/>
        <v>3590.6</v>
      </c>
      <c r="E178" s="59">
        <v>2639.6</v>
      </c>
      <c r="F178" s="59">
        <v>951</v>
      </c>
      <c r="G178" s="59">
        <v>0</v>
      </c>
      <c r="H178" s="59">
        <v>0</v>
      </c>
      <c r="I178" s="59">
        <v>0</v>
      </c>
      <c r="J178" s="59">
        <v>0</v>
      </c>
      <c r="K178" s="59">
        <v>0</v>
      </c>
      <c r="L178" s="59">
        <v>0</v>
      </c>
      <c r="M178" s="59">
        <v>0</v>
      </c>
      <c r="N178" s="59">
        <v>0</v>
      </c>
      <c r="O178" s="59">
        <v>0</v>
      </c>
    </row>
    <row r="179" spans="1:15" ht="31.5" x14ac:dyDescent="0.2">
      <c r="A179" s="142"/>
      <c r="B179" s="141"/>
      <c r="C179" s="78" t="s">
        <v>79</v>
      </c>
      <c r="D179" s="75">
        <f t="shared" si="67"/>
        <v>3590.6</v>
      </c>
      <c r="E179" s="75">
        <f>E178</f>
        <v>2639.6</v>
      </c>
      <c r="F179" s="75">
        <v>951</v>
      </c>
      <c r="G179" s="75">
        <v>0</v>
      </c>
      <c r="H179" s="75">
        <v>0</v>
      </c>
      <c r="I179" s="75">
        <v>0</v>
      </c>
      <c r="J179" s="75">
        <v>0</v>
      </c>
      <c r="K179" s="59">
        <v>0</v>
      </c>
      <c r="L179" s="75">
        <v>0</v>
      </c>
      <c r="M179" s="75">
        <v>0</v>
      </c>
      <c r="N179" s="75">
        <v>0</v>
      </c>
      <c r="O179" s="59">
        <v>0</v>
      </c>
    </row>
    <row r="180" spans="1:15" ht="21" customHeight="1" x14ac:dyDescent="0.2">
      <c r="A180" s="142"/>
      <c r="B180" s="141"/>
      <c r="C180" s="77" t="s">
        <v>13</v>
      </c>
      <c r="D180" s="59">
        <f t="shared" si="67"/>
        <v>0</v>
      </c>
      <c r="E180" s="59">
        <v>0</v>
      </c>
      <c r="F180" s="59">
        <v>0</v>
      </c>
      <c r="G180" s="59">
        <v>0</v>
      </c>
      <c r="H180" s="59">
        <v>0</v>
      </c>
      <c r="I180" s="59">
        <v>0</v>
      </c>
      <c r="J180" s="59">
        <v>0</v>
      </c>
      <c r="K180" s="59">
        <v>0</v>
      </c>
      <c r="L180" s="59">
        <v>0</v>
      </c>
      <c r="M180" s="59">
        <v>0</v>
      </c>
      <c r="N180" s="59">
        <v>0</v>
      </c>
      <c r="O180" s="59">
        <v>0</v>
      </c>
    </row>
    <row r="181" spans="1:15" ht="15.75" x14ac:dyDescent="0.2">
      <c r="A181" s="141" t="s">
        <v>115</v>
      </c>
      <c r="B181" s="141" t="s">
        <v>217</v>
      </c>
      <c r="C181" s="77" t="s">
        <v>7</v>
      </c>
      <c r="D181" s="59">
        <f>E181+F181+G181+H181+I181+J181+K181+L181+M181+N181+O181</f>
        <v>2617.1</v>
      </c>
      <c r="E181" s="59">
        <f t="shared" ref="E181:O181" si="69">E182+E183+E184+E185</f>
        <v>0</v>
      </c>
      <c r="F181" s="59">
        <f t="shared" si="69"/>
        <v>0</v>
      </c>
      <c r="G181" s="59">
        <f t="shared" si="69"/>
        <v>332.6</v>
      </c>
      <c r="H181" s="59">
        <f>H182+H183+H184+H185</f>
        <v>984.5</v>
      </c>
      <c r="I181" s="59">
        <f t="shared" si="69"/>
        <v>690</v>
      </c>
      <c r="J181" s="59">
        <f t="shared" si="69"/>
        <v>160</v>
      </c>
      <c r="K181" s="59">
        <f t="shared" si="69"/>
        <v>450</v>
      </c>
      <c r="L181" s="59">
        <f t="shared" si="69"/>
        <v>0</v>
      </c>
      <c r="M181" s="59">
        <f t="shared" si="69"/>
        <v>0</v>
      </c>
      <c r="N181" s="59">
        <f t="shared" si="69"/>
        <v>0</v>
      </c>
      <c r="O181" s="59">
        <f t="shared" si="69"/>
        <v>0</v>
      </c>
    </row>
    <row r="182" spans="1:15" ht="15.75" x14ac:dyDescent="0.2">
      <c r="A182" s="142"/>
      <c r="B182" s="141"/>
      <c r="C182" s="77" t="s">
        <v>10</v>
      </c>
      <c r="D182" s="59">
        <f>E182+F182+G182+H182+I182+J182+K182+L182+M182+N182+O182</f>
        <v>0</v>
      </c>
      <c r="E182" s="59">
        <v>0</v>
      </c>
      <c r="F182" s="59">
        <v>0</v>
      </c>
      <c r="G182" s="59">
        <v>0</v>
      </c>
      <c r="H182" s="59">
        <v>0</v>
      </c>
      <c r="I182" s="59">
        <v>0</v>
      </c>
      <c r="J182" s="59">
        <v>0</v>
      </c>
      <c r="K182" s="59">
        <v>0</v>
      </c>
      <c r="L182" s="59">
        <v>0</v>
      </c>
      <c r="M182" s="59">
        <v>0</v>
      </c>
      <c r="N182" s="59">
        <v>0</v>
      </c>
      <c r="O182" s="59">
        <v>0</v>
      </c>
    </row>
    <row r="183" spans="1:15" ht="15.75" x14ac:dyDescent="0.2">
      <c r="A183" s="142"/>
      <c r="B183" s="141"/>
      <c r="C183" s="77" t="s">
        <v>11</v>
      </c>
      <c r="D183" s="59">
        <f>E183+F183+G183+H183+I183+J183+K183+L183+M183+N183+O183</f>
        <v>0</v>
      </c>
      <c r="E183" s="59">
        <v>0</v>
      </c>
      <c r="F183" s="59">
        <v>0</v>
      </c>
      <c r="G183" s="59">
        <v>0</v>
      </c>
      <c r="H183" s="59">
        <v>0</v>
      </c>
      <c r="I183" s="59">
        <v>0</v>
      </c>
      <c r="J183" s="59">
        <v>0</v>
      </c>
      <c r="K183" s="59">
        <v>0</v>
      </c>
      <c r="L183" s="59">
        <v>0</v>
      </c>
      <c r="M183" s="59">
        <v>0</v>
      </c>
      <c r="N183" s="59">
        <v>0</v>
      </c>
      <c r="O183" s="59">
        <v>0</v>
      </c>
    </row>
    <row r="184" spans="1:15" ht="15.75" x14ac:dyDescent="0.2">
      <c r="A184" s="142"/>
      <c r="B184" s="141"/>
      <c r="C184" s="77" t="s">
        <v>12</v>
      </c>
      <c r="D184" s="59">
        <f>E184+F184+G184+H184+I184+J184+K184+L184+M184+N184+O184</f>
        <v>2617.1</v>
      </c>
      <c r="E184" s="59">
        <v>0</v>
      </c>
      <c r="F184" s="59">
        <v>0</v>
      </c>
      <c r="G184" s="59">
        <v>332.6</v>
      </c>
      <c r="H184" s="59">
        <v>984.5</v>
      </c>
      <c r="I184" s="59">
        <v>690</v>
      </c>
      <c r="J184" s="59">
        <f>2000-1800-40</f>
        <v>160</v>
      </c>
      <c r="K184" s="59">
        <f>2000-1550</f>
        <v>450</v>
      </c>
      <c r="L184" s="59">
        <v>0</v>
      </c>
      <c r="M184" s="59">
        <v>0</v>
      </c>
      <c r="N184" s="59">
        <v>0</v>
      </c>
      <c r="O184" s="59">
        <f>2433.3-2433.3</f>
        <v>0</v>
      </c>
    </row>
    <row r="185" spans="1:15" ht="27" customHeight="1" x14ac:dyDescent="0.2">
      <c r="A185" s="142"/>
      <c r="B185" s="141"/>
      <c r="C185" s="77" t="s">
        <v>13</v>
      </c>
      <c r="D185" s="59">
        <f>E185+F185+G185+H185+I185+J185+K185+L185+M185+N185+O185</f>
        <v>0</v>
      </c>
      <c r="E185" s="59">
        <v>0</v>
      </c>
      <c r="F185" s="59">
        <v>0</v>
      </c>
      <c r="G185" s="59">
        <v>0</v>
      </c>
      <c r="H185" s="59">
        <v>0</v>
      </c>
      <c r="I185" s="59">
        <v>0</v>
      </c>
      <c r="J185" s="59">
        <v>0</v>
      </c>
      <c r="K185" s="59">
        <v>0</v>
      </c>
      <c r="L185" s="59">
        <v>0</v>
      </c>
      <c r="M185" s="59">
        <v>0</v>
      </c>
      <c r="N185" s="59">
        <v>0</v>
      </c>
      <c r="O185" s="59">
        <v>0</v>
      </c>
    </row>
    <row r="186" spans="1:15" ht="15.75" x14ac:dyDescent="0.2">
      <c r="A186" s="141" t="s">
        <v>116</v>
      </c>
      <c r="B186" s="141" t="s">
        <v>224</v>
      </c>
      <c r="C186" s="77" t="s">
        <v>7</v>
      </c>
      <c r="D186" s="59">
        <f t="shared" ref="D186:D195" si="70">E186+F186+G186+H186+I186+J186</f>
        <v>3968.3</v>
      </c>
      <c r="E186" s="59">
        <f t="shared" ref="E186:J186" si="71">E187+E188+E189+E190</f>
        <v>0</v>
      </c>
      <c r="F186" s="59">
        <f t="shared" si="71"/>
        <v>0</v>
      </c>
      <c r="G186" s="59">
        <f t="shared" si="71"/>
        <v>0</v>
      </c>
      <c r="H186" s="59">
        <f t="shared" si="71"/>
        <v>3968.3</v>
      </c>
      <c r="I186" s="59">
        <f t="shared" si="71"/>
        <v>0</v>
      </c>
      <c r="J186" s="59">
        <f t="shared" si="71"/>
        <v>0</v>
      </c>
      <c r="K186" s="59">
        <v>0</v>
      </c>
      <c r="L186" s="59">
        <f>L187+L188+L189+L190</f>
        <v>0</v>
      </c>
      <c r="M186" s="59">
        <f>M187+M188+M189+M190</f>
        <v>0</v>
      </c>
      <c r="N186" s="59">
        <f>N187+N188+N189+N190</f>
        <v>0</v>
      </c>
      <c r="O186" s="59">
        <f>O187+O188+O189+O190</f>
        <v>0</v>
      </c>
    </row>
    <row r="187" spans="1:15" ht="15.75" x14ac:dyDescent="0.2">
      <c r="A187" s="142"/>
      <c r="B187" s="141"/>
      <c r="C187" s="77" t="s">
        <v>10</v>
      </c>
      <c r="D187" s="59">
        <f t="shared" si="70"/>
        <v>0</v>
      </c>
      <c r="E187" s="59">
        <v>0</v>
      </c>
      <c r="F187" s="59">
        <v>0</v>
      </c>
      <c r="G187" s="59">
        <v>0</v>
      </c>
      <c r="H187" s="59">
        <v>0</v>
      </c>
      <c r="I187" s="59">
        <v>0</v>
      </c>
      <c r="J187" s="59">
        <v>0</v>
      </c>
      <c r="K187" s="59">
        <v>0</v>
      </c>
      <c r="L187" s="59">
        <v>0</v>
      </c>
      <c r="M187" s="59">
        <v>0</v>
      </c>
      <c r="N187" s="59">
        <v>0</v>
      </c>
      <c r="O187" s="59">
        <v>0</v>
      </c>
    </row>
    <row r="188" spans="1:15" ht="15.75" x14ac:dyDescent="0.2">
      <c r="A188" s="142"/>
      <c r="B188" s="141"/>
      <c r="C188" s="77" t="s">
        <v>11</v>
      </c>
      <c r="D188" s="59">
        <f t="shared" si="70"/>
        <v>0</v>
      </c>
      <c r="E188" s="59">
        <v>0</v>
      </c>
      <c r="F188" s="59">
        <v>0</v>
      </c>
      <c r="G188" s="59">
        <v>0</v>
      </c>
      <c r="H188" s="59">
        <v>0</v>
      </c>
      <c r="I188" s="59">
        <v>0</v>
      </c>
      <c r="J188" s="59">
        <v>0</v>
      </c>
      <c r="K188" s="59">
        <v>0</v>
      </c>
      <c r="L188" s="59">
        <v>0</v>
      </c>
      <c r="M188" s="59">
        <v>0</v>
      </c>
      <c r="N188" s="59">
        <v>0</v>
      </c>
      <c r="O188" s="59">
        <v>0</v>
      </c>
    </row>
    <row r="189" spans="1:15" ht="15.75" x14ac:dyDescent="0.2">
      <c r="A189" s="142"/>
      <c r="B189" s="141"/>
      <c r="C189" s="77" t="s">
        <v>12</v>
      </c>
      <c r="D189" s="59">
        <f t="shared" si="70"/>
        <v>3968.3</v>
      </c>
      <c r="E189" s="59">
        <v>0</v>
      </c>
      <c r="F189" s="59">
        <v>0</v>
      </c>
      <c r="G189" s="59">
        <v>0</v>
      </c>
      <c r="H189" s="59">
        <v>3968.3</v>
      </c>
      <c r="I189" s="59">
        <v>0</v>
      </c>
      <c r="J189" s="59">
        <v>0</v>
      </c>
      <c r="K189" s="59">
        <v>0</v>
      </c>
      <c r="L189" s="59">
        <v>0</v>
      </c>
      <c r="M189" s="59">
        <v>0</v>
      </c>
      <c r="N189" s="59">
        <v>0</v>
      </c>
      <c r="O189" s="59">
        <v>0</v>
      </c>
    </row>
    <row r="190" spans="1:15" ht="24" customHeight="1" x14ac:dyDescent="0.2">
      <c r="A190" s="142"/>
      <c r="B190" s="141"/>
      <c r="C190" s="77" t="s">
        <v>13</v>
      </c>
      <c r="D190" s="59">
        <f t="shared" si="70"/>
        <v>0</v>
      </c>
      <c r="E190" s="59">
        <v>0</v>
      </c>
      <c r="F190" s="59">
        <v>0</v>
      </c>
      <c r="G190" s="59">
        <v>0</v>
      </c>
      <c r="H190" s="59">
        <v>0</v>
      </c>
      <c r="I190" s="59">
        <v>0</v>
      </c>
      <c r="J190" s="59">
        <v>0</v>
      </c>
      <c r="K190" s="59">
        <v>0</v>
      </c>
      <c r="L190" s="59">
        <v>0</v>
      </c>
      <c r="M190" s="59">
        <v>0</v>
      </c>
      <c r="N190" s="59">
        <v>0</v>
      </c>
      <c r="O190" s="59">
        <v>0</v>
      </c>
    </row>
    <row r="191" spans="1:15" ht="15.75" x14ac:dyDescent="0.2">
      <c r="A191" s="141" t="s">
        <v>117</v>
      </c>
      <c r="B191" s="141" t="s">
        <v>225</v>
      </c>
      <c r="C191" s="77" t="s">
        <v>7</v>
      </c>
      <c r="D191" s="59">
        <f t="shared" si="70"/>
        <v>15790</v>
      </c>
      <c r="E191" s="59">
        <f t="shared" ref="E191:K191" si="72">E192+E193+E194+E195</f>
        <v>0</v>
      </c>
      <c r="F191" s="59">
        <f t="shared" si="72"/>
        <v>15790</v>
      </c>
      <c r="G191" s="59">
        <f t="shared" si="72"/>
        <v>0</v>
      </c>
      <c r="H191" s="59">
        <f t="shared" si="72"/>
        <v>0</v>
      </c>
      <c r="I191" s="59">
        <f t="shared" si="72"/>
        <v>0</v>
      </c>
      <c r="J191" s="59">
        <f t="shared" si="72"/>
        <v>0</v>
      </c>
      <c r="K191" s="59">
        <f t="shared" si="72"/>
        <v>0</v>
      </c>
      <c r="L191" s="59">
        <f>L192+L193+L194+L195</f>
        <v>0</v>
      </c>
      <c r="M191" s="59">
        <f>M192+M193+M194+M195</f>
        <v>0</v>
      </c>
      <c r="N191" s="59">
        <f>N192+N193+N194+N195</f>
        <v>0</v>
      </c>
      <c r="O191" s="59">
        <f>O192+O193+O194+O195</f>
        <v>0</v>
      </c>
    </row>
    <row r="192" spans="1:15" ht="18" customHeight="1" x14ac:dyDescent="0.2">
      <c r="A192" s="142"/>
      <c r="B192" s="141"/>
      <c r="C192" s="79" t="s">
        <v>10</v>
      </c>
      <c r="D192" s="59">
        <f t="shared" si="70"/>
        <v>0</v>
      </c>
      <c r="E192" s="59">
        <v>0</v>
      </c>
      <c r="F192" s="59">
        <v>0</v>
      </c>
      <c r="G192" s="59">
        <v>0</v>
      </c>
      <c r="H192" s="59">
        <v>0</v>
      </c>
      <c r="I192" s="59">
        <v>0</v>
      </c>
      <c r="J192" s="59">
        <v>0</v>
      </c>
      <c r="K192" s="59">
        <v>0</v>
      </c>
      <c r="L192" s="59">
        <v>0</v>
      </c>
      <c r="M192" s="59">
        <v>0</v>
      </c>
      <c r="N192" s="59">
        <v>0</v>
      </c>
      <c r="O192" s="59">
        <v>0</v>
      </c>
    </row>
    <row r="193" spans="1:20" ht="18" customHeight="1" x14ac:dyDescent="0.2">
      <c r="A193" s="142"/>
      <c r="B193" s="141"/>
      <c r="C193" s="79" t="s">
        <v>11</v>
      </c>
      <c r="D193" s="59">
        <f t="shared" si="70"/>
        <v>15000</v>
      </c>
      <c r="E193" s="59">
        <v>0</v>
      </c>
      <c r="F193" s="59">
        <v>15000</v>
      </c>
      <c r="G193" s="59">
        <v>0</v>
      </c>
      <c r="H193" s="59">
        <v>0</v>
      </c>
      <c r="I193" s="59">
        <v>0</v>
      </c>
      <c r="J193" s="59">
        <v>0</v>
      </c>
      <c r="K193" s="59">
        <v>0</v>
      </c>
      <c r="L193" s="59">
        <v>0</v>
      </c>
      <c r="M193" s="59">
        <v>0</v>
      </c>
      <c r="N193" s="59">
        <v>0</v>
      </c>
      <c r="O193" s="59">
        <v>0</v>
      </c>
    </row>
    <row r="194" spans="1:20" ht="15.75" x14ac:dyDescent="0.2">
      <c r="A194" s="142"/>
      <c r="B194" s="141"/>
      <c r="C194" s="79" t="s">
        <v>12</v>
      </c>
      <c r="D194" s="59">
        <f t="shared" si="70"/>
        <v>790</v>
      </c>
      <c r="E194" s="59">
        <v>0</v>
      </c>
      <c r="F194" s="59">
        <v>790</v>
      </c>
      <c r="G194" s="59">
        <v>0</v>
      </c>
      <c r="H194" s="59">
        <v>0</v>
      </c>
      <c r="I194" s="59">
        <v>0</v>
      </c>
      <c r="J194" s="59">
        <v>0</v>
      </c>
      <c r="K194" s="59">
        <v>0</v>
      </c>
      <c r="L194" s="59">
        <v>0</v>
      </c>
      <c r="M194" s="59">
        <v>0</v>
      </c>
      <c r="N194" s="59">
        <v>0</v>
      </c>
      <c r="O194" s="59">
        <v>0</v>
      </c>
    </row>
    <row r="195" spans="1:20" ht="21.75" customHeight="1" x14ac:dyDescent="0.2">
      <c r="A195" s="142"/>
      <c r="B195" s="141"/>
      <c r="C195" s="79" t="s">
        <v>13</v>
      </c>
      <c r="D195" s="59">
        <f t="shared" si="70"/>
        <v>0</v>
      </c>
      <c r="E195" s="59">
        <v>0</v>
      </c>
      <c r="F195" s="59">
        <v>0</v>
      </c>
      <c r="G195" s="59">
        <v>0</v>
      </c>
      <c r="H195" s="59">
        <v>0</v>
      </c>
      <c r="I195" s="59">
        <v>0</v>
      </c>
      <c r="J195" s="59">
        <v>0</v>
      </c>
      <c r="K195" s="59">
        <v>0</v>
      </c>
      <c r="L195" s="59">
        <v>0</v>
      </c>
      <c r="M195" s="59">
        <v>0</v>
      </c>
      <c r="N195" s="59">
        <v>0</v>
      </c>
      <c r="O195" s="59">
        <v>0</v>
      </c>
    </row>
    <row r="196" spans="1:20" ht="15.75" x14ac:dyDescent="0.2">
      <c r="A196" s="141" t="s">
        <v>118</v>
      </c>
      <c r="B196" s="141" t="s">
        <v>380</v>
      </c>
      <c r="C196" s="77" t="s">
        <v>7</v>
      </c>
      <c r="D196" s="59">
        <f>E196+F196+G196+H196+I196+J196+J196+K196+L196+M196+N196+O196</f>
        <v>3109151.9999999995</v>
      </c>
      <c r="E196" s="59">
        <f t="shared" ref="E196:M196" si="73">E197+E198+E199+E200</f>
        <v>0</v>
      </c>
      <c r="F196" s="59">
        <f t="shared" si="73"/>
        <v>0</v>
      </c>
      <c r="G196" s="59">
        <f t="shared" si="73"/>
        <v>27664</v>
      </c>
      <c r="H196" s="59">
        <f t="shared" si="73"/>
        <v>50456.399999999994</v>
      </c>
      <c r="I196" s="59">
        <f t="shared" si="73"/>
        <v>17092.099999999999</v>
      </c>
      <c r="J196" s="59">
        <f t="shared" si="73"/>
        <v>373247.1</v>
      </c>
      <c r="K196" s="59">
        <f t="shared" si="73"/>
        <v>886803.5</v>
      </c>
      <c r="L196" s="59">
        <f t="shared" si="73"/>
        <v>622039.20000000007</v>
      </c>
      <c r="M196" s="59">
        <f t="shared" si="73"/>
        <v>235106.4</v>
      </c>
      <c r="N196" s="59">
        <f>N197+N198+N199+N200</f>
        <v>151155.79999999999</v>
      </c>
      <c r="O196" s="59">
        <f>O197+O198+O199+O200</f>
        <v>372340.4</v>
      </c>
      <c r="P196" s="60"/>
      <c r="Q196" s="72"/>
      <c r="R196" s="83"/>
      <c r="T196" s="84"/>
    </row>
    <row r="197" spans="1:20" ht="15.75" x14ac:dyDescent="0.2">
      <c r="A197" s="142"/>
      <c r="B197" s="141"/>
      <c r="C197" s="79" t="s">
        <v>10</v>
      </c>
      <c r="D197" s="59">
        <f>E197+F197+G197+H197+I197+J197+K197+L197+M197+N197+O197</f>
        <v>0</v>
      </c>
      <c r="E197" s="59">
        <v>0</v>
      </c>
      <c r="F197" s="59">
        <v>0</v>
      </c>
      <c r="G197" s="59">
        <v>0</v>
      </c>
      <c r="H197" s="59">
        <v>0</v>
      </c>
      <c r="I197" s="59">
        <v>0</v>
      </c>
      <c r="J197" s="59">
        <v>0</v>
      </c>
      <c r="K197" s="59">
        <v>0</v>
      </c>
      <c r="L197" s="59">
        <v>0</v>
      </c>
      <c r="M197" s="59">
        <v>0</v>
      </c>
      <c r="N197" s="59">
        <v>0</v>
      </c>
      <c r="O197" s="59">
        <v>0</v>
      </c>
    </row>
    <row r="198" spans="1:20" ht="15.75" x14ac:dyDescent="0.2">
      <c r="A198" s="142"/>
      <c r="B198" s="141"/>
      <c r="C198" s="79" t="s">
        <v>11</v>
      </c>
      <c r="D198" s="59">
        <f>E198+F198+G198+H198+I198+J198+K198+L198+M198+N198+O198</f>
        <v>2563796.6</v>
      </c>
      <c r="E198" s="59">
        <v>0</v>
      </c>
      <c r="F198" s="59">
        <v>0</v>
      </c>
      <c r="G198" s="59">
        <v>26276.799999999999</v>
      </c>
      <c r="H198" s="59">
        <v>47416.2</v>
      </c>
      <c r="I198" s="59">
        <v>16128.9</v>
      </c>
      <c r="J198" s="59">
        <v>350852.3</v>
      </c>
      <c r="K198" s="59">
        <v>827090.5</v>
      </c>
      <c r="L198" s="59">
        <f>90675.1+341780.4+162261.4-10000</f>
        <v>584716.9</v>
      </c>
      <c r="M198" s="59">
        <f>221840-840</f>
        <v>221000</v>
      </c>
      <c r="N198" s="59">
        <f>221840-81525</f>
        <v>140315</v>
      </c>
      <c r="O198" s="59">
        <v>350000</v>
      </c>
      <c r="P198" s="85"/>
      <c r="Q198" s="67"/>
    </row>
    <row r="199" spans="1:20" ht="15.75" x14ac:dyDescent="0.2">
      <c r="A199" s="142"/>
      <c r="B199" s="141"/>
      <c r="C199" s="79" t="s">
        <v>12</v>
      </c>
      <c r="D199" s="59">
        <f>E199+F199+G199+H199+I199+J199+K199+L199+M199+N199+O199</f>
        <v>172108.29999999996</v>
      </c>
      <c r="E199" s="59">
        <v>0</v>
      </c>
      <c r="F199" s="59">
        <v>0</v>
      </c>
      <c r="G199" s="59">
        <v>1387.2</v>
      </c>
      <c r="H199" s="59">
        <v>3040.2</v>
      </c>
      <c r="I199" s="59">
        <v>963.2</v>
      </c>
      <c r="J199" s="59">
        <v>22394.799999999999</v>
      </c>
      <c r="K199" s="59">
        <v>59713</v>
      </c>
      <c r="L199" s="59">
        <f>24355.9+3247.6+10357.2-0.1-638.3</f>
        <v>37322.299999999996</v>
      </c>
      <c r="M199" s="59">
        <f>14160-53.6</f>
        <v>14106.4</v>
      </c>
      <c r="N199" s="59">
        <f>14160-3319.2</f>
        <v>10840.8</v>
      </c>
      <c r="O199" s="59">
        <v>22340.400000000001</v>
      </c>
      <c r="P199" s="85"/>
      <c r="Q199" s="67"/>
    </row>
    <row r="200" spans="1:20" ht="28.5" customHeight="1" x14ac:dyDescent="0.2">
      <c r="A200" s="142"/>
      <c r="B200" s="141"/>
      <c r="C200" s="79" t="s">
        <v>13</v>
      </c>
      <c r="D200" s="59">
        <f>E200+F200+G200+H200+I200+J200+K200+L200+M200+N200+O200</f>
        <v>0</v>
      </c>
      <c r="E200" s="59">
        <v>0</v>
      </c>
      <c r="F200" s="59">
        <v>0</v>
      </c>
      <c r="G200" s="59">
        <v>0</v>
      </c>
      <c r="H200" s="59">
        <v>0</v>
      </c>
      <c r="I200" s="59">
        <v>0</v>
      </c>
      <c r="J200" s="59">
        <v>0</v>
      </c>
      <c r="K200" s="59">
        <v>0</v>
      </c>
      <c r="L200" s="59">
        <v>0</v>
      </c>
      <c r="M200" s="59">
        <v>0</v>
      </c>
      <c r="N200" s="59">
        <v>0</v>
      </c>
      <c r="O200" s="59">
        <v>0</v>
      </c>
      <c r="P200" s="62"/>
      <c r="Q200" s="62"/>
    </row>
    <row r="201" spans="1:20" ht="15.75" x14ac:dyDescent="0.2">
      <c r="A201" s="141" t="s">
        <v>212</v>
      </c>
      <c r="B201" s="141" t="s">
        <v>298</v>
      </c>
      <c r="C201" s="77" t="s">
        <v>7</v>
      </c>
      <c r="D201" s="59">
        <f>D202+D203+D204+D205</f>
        <v>11112.500000000002</v>
      </c>
      <c r="E201" s="59">
        <f t="shared" ref="E201:K201" si="74">E202+E203+E204+E205</f>
        <v>0</v>
      </c>
      <c r="F201" s="59">
        <f t="shared" si="74"/>
        <v>0</v>
      </c>
      <c r="G201" s="59">
        <f t="shared" si="74"/>
        <v>0</v>
      </c>
      <c r="H201" s="59">
        <f t="shared" si="74"/>
        <v>0</v>
      </c>
      <c r="I201" s="59">
        <f t="shared" si="74"/>
        <v>1845.8</v>
      </c>
      <c r="J201" s="59">
        <f t="shared" si="74"/>
        <v>4535.2</v>
      </c>
      <c r="K201" s="59">
        <f t="shared" si="74"/>
        <v>599.90000000000146</v>
      </c>
      <c r="L201" s="59">
        <f>L202+L203+L204+L205</f>
        <v>4131.6000000000004</v>
      </c>
      <c r="M201" s="59">
        <f>M202+M203+M204+M205</f>
        <v>0</v>
      </c>
      <c r="N201" s="59">
        <f>N202+N203+N204+N205</f>
        <v>0</v>
      </c>
      <c r="O201" s="59">
        <f>O202+O203+O204+O205</f>
        <v>0</v>
      </c>
      <c r="P201" s="60" t="s">
        <v>354</v>
      </c>
      <c r="Q201" s="72"/>
      <c r="T201" s="84"/>
    </row>
    <row r="202" spans="1:20" ht="15.75" x14ac:dyDescent="0.2">
      <c r="A202" s="142"/>
      <c r="B202" s="142"/>
      <c r="C202" s="77" t="s">
        <v>10</v>
      </c>
      <c r="D202" s="59">
        <f t="shared" ref="D202:D233" si="75">E202+F202+G202+H202+I202+J202+K202+L202+M202+N202+O202</f>
        <v>0</v>
      </c>
      <c r="E202" s="59">
        <v>0</v>
      </c>
      <c r="F202" s="59">
        <v>0</v>
      </c>
      <c r="G202" s="59">
        <v>0</v>
      </c>
      <c r="H202" s="59">
        <v>0</v>
      </c>
      <c r="I202" s="59">
        <v>0</v>
      </c>
      <c r="J202" s="59">
        <v>0</v>
      </c>
      <c r="K202" s="59">
        <v>0</v>
      </c>
      <c r="L202" s="59">
        <v>0</v>
      </c>
      <c r="M202" s="59">
        <v>0</v>
      </c>
      <c r="N202" s="59">
        <v>0</v>
      </c>
      <c r="O202" s="59">
        <v>0</v>
      </c>
    </row>
    <row r="203" spans="1:20" ht="15.75" x14ac:dyDescent="0.2">
      <c r="A203" s="142"/>
      <c r="B203" s="142"/>
      <c r="C203" s="77" t="s">
        <v>11</v>
      </c>
      <c r="D203" s="59">
        <f t="shared" si="75"/>
        <v>0</v>
      </c>
      <c r="E203" s="59">
        <v>0</v>
      </c>
      <c r="F203" s="59">
        <v>0</v>
      </c>
      <c r="G203" s="59">
        <v>0</v>
      </c>
      <c r="H203" s="59">
        <v>0</v>
      </c>
      <c r="I203" s="59">
        <v>0</v>
      </c>
      <c r="J203" s="59">
        <v>0</v>
      </c>
      <c r="K203" s="59">
        <v>0</v>
      </c>
      <c r="L203" s="59">
        <v>0</v>
      </c>
      <c r="M203" s="59">
        <v>0</v>
      </c>
      <c r="N203" s="59">
        <v>0</v>
      </c>
      <c r="O203" s="59">
        <v>0</v>
      </c>
      <c r="P203" s="62"/>
      <c r="Q203" s="62"/>
    </row>
    <row r="204" spans="1:20" ht="15.75" x14ac:dyDescent="0.2">
      <c r="A204" s="142"/>
      <c r="B204" s="142"/>
      <c r="C204" s="77" t="s">
        <v>12</v>
      </c>
      <c r="D204" s="59">
        <f t="shared" si="75"/>
        <v>11112.500000000002</v>
      </c>
      <c r="E204" s="59">
        <v>0</v>
      </c>
      <c r="F204" s="59">
        <v>0</v>
      </c>
      <c r="G204" s="59">
        <v>0</v>
      </c>
      <c r="H204" s="59">
        <v>0</v>
      </c>
      <c r="I204" s="59">
        <v>1845.8</v>
      </c>
      <c r="J204" s="59">
        <f>4243-69.6+361.8</f>
        <v>4535.2</v>
      </c>
      <c r="K204" s="59">
        <f>14535.2-13935.3</f>
        <v>599.90000000000146</v>
      </c>
      <c r="L204" s="59">
        <v>4131.6000000000004</v>
      </c>
      <c r="M204" s="59">
        <v>0</v>
      </c>
      <c r="N204" s="59">
        <v>0</v>
      </c>
      <c r="O204" s="59">
        <v>0</v>
      </c>
    </row>
    <row r="205" spans="1:20" ht="24" customHeight="1" x14ac:dyDescent="0.2">
      <c r="A205" s="142"/>
      <c r="B205" s="142"/>
      <c r="C205" s="77" t="s">
        <v>13</v>
      </c>
      <c r="D205" s="59">
        <f t="shared" si="75"/>
        <v>0</v>
      </c>
      <c r="E205" s="59">
        <v>0</v>
      </c>
      <c r="F205" s="59">
        <v>0</v>
      </c>
      <c r="G205" s="59">
        <v>0</v>
      </c>
      <c r="H205" s="59">
        <v>0</v>
      </c>
      <c r="I205" s="59">
        <v>0</v>
      </c>
      <c r="J205" s="59">
        <v>0</v>
      </c>
      <c r="K205" s="59">
        <v>0</v>
      </c>
      <c r="L205" s="59">
        <v>0</v>
      </c>
      <c r="M205" s="59">
        <v>0</v>
      </c>
      <c r="N205" s="59">
        <v>0</v>
      </c>
      <c r="O205" s="59">
        <v>0</v>
      </c>
    </row>
    <row r="206" spans="1:20" ht="15.75" x14ac:dyDescent="0.2">
      <c r="A206" s="141" t="s">
        <v>252</v>
      </c>
      <c r="B206" s="141" t="s">
        <v>256</v>
      </c>
      <c r="C206" s="77" t="s">
        <v>7</v>
      </c>
      <c r="D206" s="59">
        <f t="shared" si="75"/>
        <v>379.3</v>
      </c>
      <c r="E206" s="59">
        <f t="shared" ref="E206:J206" si="76">E207+E208+E209+E210</f>
        <v>0</v>
      </c>
      <c r="F206" s="59">
        <f t="shared" si="76"/>
        <v>0</v>
      </c>
      <c r="G206" s="59">
        <f t="shared" si="76"/>
        <v>0</v>
      </c>
      <c r="H206" s="59">
        <f t="shared" si="76"/>
        <v>0</v>
      </c>
      <c r="I206" s="59">
        <f t="shared" si="76"/>
        <v>10.3</v>
      </c>
      <c r="J206" s="59">
        <f t="shared" si="76"/>
        <v>0</v>
      </c>
      <c r="K206" s="59">
        <f>K207+K208+K209+K210</f>
        <v>369</v>
      </c>
      <c r="L206" s="59">
        <f>L207+L208+L209+L210</f>
        <v>0</v>
      </c>
      <c r="M206" s="59">
        <f>M207+M208+M209+M210</f>
        <v>0</v>
      </c>
      <c r="N206" s="59">
        <f>N207+N208+N209+N210</f>
        <v>0</v>
      </c>
      <c r="O206" s="59">
        <f>O207+O208+O209+O210</f>
        <v>0</v>
      </c>
      <c r="P206" s="64" t="s">
        <v>354</v>
      </c>
    </row>
    <row r="207" spans="1:20" ht="15.75" x14ac:dyDescent="0.2">
      <c r="A207" s="142"/>
      <c r="B207" s="142"/>
      <c r="C207" s="77" t="s">
        <v>10</v>
      </c>
      <c r="D207" s="59">
        <f t="shared" si="75"/>
        <v>0</v>
      </c>
      <c r="E207" s="59">
        <v>0</v>
      </c>
      <c r="F207" s="59">
        <v>0</v>
      </c>
      <c r="G207" s="59">
        <v>0</v>
      </c>
      <c r="H207" s="59">
        <v>0</v>
      </c>
      <c r="I207" s="59">
        <v>0</v>
      </c>
      <c r="J207" s="59">
        <v>0</v>
      </c>
      <c r="K207" s="59">
        <v>0</v>
      </c>
      <c r="L207" s="59">
        <v>0</v>
      </c>
      <c r="M207" s="59">
        <v>0</v>
      </c>
      <c r="N207" s="59">
        <v>0</v>
      </c>
      <c r="O207" s="59">
        <v>0</v>
      </c>
    </row>
    <row r="208" spans="1:20" ht="15.75" x14ac:dyDescent="0.2">
      <c r="A208" s="142"/>
      <c r="B208" s="142"/>
      <c r="C208" s="77" t="s">
        <v>11</v>
      </c>
      <c r="D208" s="59">
        <f t="shared" si="75"/>
        <v>0</v>
      </c>
      <c r="E208" s="59">
        <v>0</v>
      </c>
      <c r="F208" s="59">
        <v>0</v>
      </c>
      <c r="G208" s="59">
        <v>0</v>
      </c>
      <c r="H208" s="59">
        <v>0</v>
      </c>
      <c r="I208" s="59">
        <v>0</v>
      </c>
      <c r="J208" s="59">
        <v>0</v>
      </c>
      <c r="K208" s="59">
        <v>0</v>
      </c>
      <c r="L208" s="59">
        <v>0</v>
      </c>
      <c r="M208" s="59">
        <v>0</v>
      </c>
      <c r="N208" s="59">
        <v>0</v>
      </c>
      <c r="O208" s="59">
        <v>0</v>
      </c>
    </row>
    <row r="209" spans="1:16" ht="15.75" x14ac:dyDescent="0.2">
      <c r="A209" s="142"/>
      <c r="B209" s="142"/>
      <c r="C209" s="77" t="s">
        <v>12</v>
      </c>
      <c r="D209" s="59">
        <f t="shared" si="75"/>
        <v>379.3</v>
      </c>
      <c r="E209" s="59">
        <v>0</v>
      </c>
      <c r="F209" s="59">
        <v>0</v>
      </c>
      <c r="G209" s="59">
        <v>0</v>
      </c>
      <c r="H209" s="59">
        <v>0</v>
      </c>
      <c r="I209" s="59">
        <v>10.3</v>
      </c>
      <c r="J209" s="59">
        <f>10000-10000</f>
        <v>0</v>
      </c>
      <c r="K209" s="59">
        <f>10000-1800-110-137.5-7583.5</f>
        <v>369</v>
      </c>
      <c r="L209" s="59">
        <v>0</v>
      </c>
      <c r="M209" s="59">
        <v>0</v>
      </c>
      <c r="N209" s="59">
        <v>0</v>
      </c>
      <c r="O209" s="59">
        <v>0</v>
      </c>
    </row>
    <row r="210" spans="1:16" ht="18.75" customHeight="1" x14ac:dyDescent="0.2">
      <c r="A210" s="142"/>
      <c r="B210" s="142"/>
      <c r="C210" s="79" t="s">
        <v>13</v>
      </c>
      <c r="D210" s="59">
        <f t="shared" si="75"/>
        <v>0</v>
      </c>
      <c r="E210" s="59">
        <v>0</v>
      </c>
      <c r="F210" s="59">
        <v>0</v>
      </c>
      <c r="G210" s="59">
        <v>0</v>
      </c>
      <c r="H210" s="59">
        <v>0</v>
      </c>
      <c r="I210" s="59">
        <v>0</v>
      </c>
      <c r="J210" s="59">
        <v>0</v>
      </c>
      <c r="K210" s="59">
        <v>0</v>
      </c>
      <c r="L210" s="59">
        <v>0</v>
      </c>
      <c r="M210" s="59">
        <v>0</v>
      </c>
      <c r="N210" s="59">
        <v>0</v>
      </c>
      <c r="O210" s="59">
        <v>0</v>
      </c>
    </row>
    <row r="211" spans="1:16" ht="15.75" x14ac:dyDescent="0.2">
      <c r="A211" s="141" t="s">
        <v>253</v>
      </c>
      <c r="B211" s="141" t="s">
        <v>292</v>
      </c>
      <c r="C211" s="77" t="s">
        <v>7</v>
      </c>
      <c r="D211" s="59">
        <f t="shared" si="75"/>
        <v>5482.5</v>
      </c>
      <c r="E211" s="59">
        <f t="shared" ref="E211:J211" si="77">E212+E213+E214+E215</f>
        <v>0</v>
      </c>
      <c r="F211" s="59">
        <f t="shared" si="77"/>
        <v>0</v>
      </c>
      <c r="G211" s="59">
        <f t="shared" si="77"/>
        <v>0</v>
      </c>
      <c r="H211" s="59">
        <f t="shared" si="77"/>
        <v>0</v>
      </c>
      <c r="I211" s="59">
        <f t="shared" si="77"/>
        <v>0</v>
      </c>
      <c r="J211" s="59">
        <f t="shared" si="77"/>
        <v>2736.5</v>
      </c>
      <c r="K211" s="59">
        <f>K212+K213+K214+K215</f>
        <v>2746</v>
      </c>
      <c r="L211" s="59">
        <f>L212+L213+L214+L215</f>
        <v>0</v>
      </c>
      <c r="M211" s="59">
        <f>M212+M213+M214+M215</f>
        <v>0</v>
      </c>
      <c r="N211" s="59">
        <f>N212+N213+N214+N215</f>
        <v>0</v>
      </c>
      <c r="O211" s="59">
        <f>O212+O213+O214+O215</f>
        <v>0</v>
      </c>
      <c r="P211" s="64" t="s">
        <v>354</v>
      </c>
    </row>
    <row r="212" spans="1:16" ht="15.75" x14ac:dyDescent="0.2">
      <c r="A212" s="142"/>
      <c r="B212" s="142"/>
      <c r="C212" s="77" t="s">
        <v>10</v>
      </c>
      <c r="D212" s="59">
        <f t="shared" si="75"/>
        <v>0</v>
      </c>
      <c r="E212" s="59">
        <v>0</v>
      </c>
      <c r="F212" s="59">
        <v>0</v>
      </c>
      <c r="G212" s="59">
        <v>0</v>
      </c>
      <c r="H212" s="59">
        <v>0</v>
      </c>
      <c r="I212" s="59">
        <v>0</v>
      </c>
      <c r="J212" s="59">
        <v>0</v>
      </c>
      <c r="K212" s="59">
        <v>0</v>
      </c>
      <c r="L212" s="59">
        <v>0</v>
      </c>
      <c r="M212" s="59">
        <v>0</v>
      </c>
      <c r="N212" s="59">
        <v>0</v>
      </c>
      <c r="O212" s="59">
        <v>0</v>
      </c>
    </row>
    <row r="213" spans="1:16" ht="15.75" x14ac:dyDescent="0.2">
      <c r="A213" s="142"/>
      <c r="B213" s="142"/>
      <c r="C213" s="77" t="s">
        <v>11</v>
      </c>
      <c r="D213" s="59">
        <f t="shared" si="75"/>
        <v>0</v>
      </c>
      <c r="E213" s="59">
        <v>0</v>
      </c>
      <c r="F213" s="59">
        <v>0</v>
      </c>
      <c r="G213" s="59">
        <v>0</v>
      </c>
      <c r="H213" s="59">
        <v>0</v>
      </c>
      <c r="I213" s="59">
        <v>0</v>
      </c>
      <c r="J213" s="59">
        <v>0</v>
      </c>
      <c r="K213" s="59">
        <v>0</v>
      </c>
      <c r="L213" s="59">
        <v>0</v>
      </c>
      <c r="M213" s="59">
        <v>0</v>
      </c>
      <c r="N213" s="59">
        <v>0</v>
      </c>
      <c r="O213" s="59">
        <v>0</v>
      </c>
    </row>
    <row r="214" spans="1:16" ht="15.75" x14ac:dyDescent="0.2">
      <c r="A214" s="142"/>
      <c r="B214" s="142"/>
      <c r="C214" s="77" t="s">
        <v>12</v>
      </c>
      <c r="D214" s="59">
        <f t="shared" si="75"/>
        <v>5482.5</v>
      </c>
      <c r="E214" s="59">
        <v>0</v>
      </c>
      <c r="F214" s="59">
        <v>0</v>
      </c>
      <c r="G214" s="59">
        <v>0</v>
      </c>
      <c r="H214" s="59">
        <v>0</v>
      </c>
      <c r="I214" s="59">
        <v>0</v>
      </c>
      <c r="J214" s="59">
        <f>2800-63.5</f>
        <v>2736.5</v>
      </c>
      <c r="K214" s="59">
        <v>2746</v>
      </c>
      <c r="L214" s="59">
        <v>0</v>
      </c>
      <c r="M214" s="59">
        <v>0</v>
      </c>
      <c r="N214" s="59">
        <v>0</v>
      </c>
      <c r="O214" s="59">
        <v>0</v>
      </c>
    </row>
    <row r="215" spans="1:16" ht="17.25" customHeight="1" x14ac:dyDescent="0.2">
      <c r="A215" s="142"/>
      <c r="B215" s="142"/>
      <c r="C215" s="79" t="s">
        <v>13</v>
      </c>
      <c r="D215" s="59">
        <f t="shared" si="75"/>
        <v>0</v>
      </c>
      <c r="E215" s="59">
        <v>0</v>
      </c>
      <c r="F215" s="59">
        <v>0</v>
      </c>
      <c r="G215" s="59">
        <v>0</v>
      </c>
      <c r="H215" s="59">
        <v>0</v>
      </c>
      <c r="I215" s="59">
        <v>0</v>
      </c>
      <c r="J215" s="59">
        <v>0</v>
      </c>
      <c r="K215" s="59">
        <v>0</v>
      </c>
      <c r="L215" s="59">
        <v>0</v>
      </c>
      <c r="M215" s="59">
        <v>0</v>
      </c>
      <c r="N215" s="59">
        <v>0</v>
      </c>
      <c r="O215" s="59">
        <v>0</v>
      </c>
    </row>
    <row r="216" spans="1:16" ht="15.75" x14ac:dyDescent="0.2">
      <c r="A216" s="141" t="s">
        <v>254</v>
      </c>
      <c r="B216" s="141" t="s">
        <v>415</v>
      </c>
      <c r="C216" s="77" t="s">
        <v>7</v>
      </c>
      <c r="D216" s="59">
        <f t="shared" si="75"/>
        <v>241</v>
      </c>
      <c r="E216" s="59">
        <f t="shared" ref="E216:J216" si="78">E217+E218+E219+E220</f>
        <v>0</v>
      </c>
      <c r="F216" s="59">
        <f t="shared" si="78"/>
        <v>0</v>
      </c>
      <c r="G216" s="59">
        <f t="shared" si="78"/>
        <v>0</v>
      </c>
      <c r="H216" s="59">
        <f t="shared" si="78"/>
        <v>0</v>
      </c>
      <c r="I216" s="59">
        <f t="shared" si="78"/>
        <v>0</v>
      </c>
      <c r="J216" s="59">
        <f t="shared" si="78"/>
        <v>230</v>
      </c>
      <c r="K216" s="59">
        <f>K217+K218+K219+K220</f>
        <v>0</v>
      </c>
      <c r="L216" s="59">
        <f>L217+L218+L219+L220</f>
        <v>11</v>
      </c>
      <c r="M216" s="59">
        <f>M217+M218+M219+M220</f>
        <v>0</v>
      </c>
      <c r="N216" s="59">
        <f>N217+N218+N219+N220</f>
        <v>0</v>
      </c>
      <c r="O216" s="59">
        <f>O217+O218+O219+O220</f>
        <v>0</v>
      </c>
    </row>
    <row r="217" spans="1:16" ht="15.75" x14ac:dyDescent="0.2">
      <c r="A217" s="142"/>
      <c r="B217" s="142"/>
      <c r="C217" s="77" t="s">
        <v>10</v>
      </c>
      <c r="D217" s="59">
        <f t="shared" si="75"/>
        <v>0</v>
      </c>
      <c r="E217" s="59">
        <v>0</v>
      </c>
      <c r="F217" s="59">
        <v>0</v>
      </c>
      <c r="G217" s="59">
        <v>0</v>
      </c>
      <c r="H217" s="59">
        <v>0</v>
      </c>
      <c r="I217" s="59">
        <v>0</v>
      </c>
      <c r="J217" s="59">
        <v>0</v>
      </c>
      <c r="K217" s="59">
        <v>0</v>
      </c>
      <c r="L217" s="59">
        <v>0</v>
      </c>
      <c r="M217" s="59">
        <v>0</v>
      </c>
      <c r="N217" s="59">
        <v>0</v>
      </c>
      <c r="O217" s="59">
        <v>0</v>
      </c>
    </row>
    <row r="218" spans="1:16" ht="15.75" x14ac:dyDescent="0.2">
      <c r="A218" s="142"/>
      <c r="B218" s="142"/>
      <c r="C218" s="77" t="s">
        <v>11</v>
      </c>
      <c r="D218" s="59">
        <f t="shared" si="75"/>
        <v>0</v>
      </c>
      <c r="E218" s="59">
        <v>0</v>
      </c>
      <c r="F218" s="59">
        <v>0</v>
      </c>
      <c r="G218" s="59">
        <v>0</v>
      </c>
      <c r="H218" s="59">
        <v>0</v>
      </c>
      <c r="I218" s="59">
        <v>0</v>
      </c>
      <c r="J218" s="59">
        <v>0</v>
      </c>
      <c r="K218" s="59">
        <v>0</v>
      </c>
      <c r="L218" s="59">
        <v>0</v>
      </c>
      <c r="M218" s="59">
        <v>0</v>
      </c>
      <c r="N218" s="59">
        <v>0</v>
      </c>
      <c r="O218" s="59">
        <v>0</v>
      </c>
    </row>
    <row r="219" spans="1:16" ht="15.75" x14ac:dyDescent="0.2">
      <c r="A219" s="142"/>
      <c r="B219" s="142"/>
      <c r="C219" s="77" t="s">
        <v>12</v>
      </c>
      <c r="D219" s="59">
        <f t="shared" si="75"/>
        <v>241</v>
      </c>
      <c r="E219" s="59">
        <v>0</v>
      </c>
      <c r="F219" s="59">
        <v>0</v>
      </c>
      <c r="G219" s="59">
        <v>0</v>
      </c>
      <c r="H219" s="59">
        <v>0</v>
      </c>
      <c r="I219" s="59">
        <v>0</v>
      </c>
      <c r="J219" s="59">
        <f>8500-8500+300-65.1-4.9</f>
        <v>230</v>
      </c>
      <c r="K219" s="59">
        <v>0</v>
      </c>
      <c r="L219" s="59">
        <v>11</v>
      </c>
      <c r="M219" s="59">
        <v>0</v>
      </c>
      <c r="N219" s="59">
        <v>0</v>
      </c>
      <c r="O219" s="59">
        <v>0</v>
      </c>
    </row>
    <row r="220" spans="1:16" ht="17.25" customHeight="1" x14ac:dyDescent="0.2">
      <c r="A220" s="142"/>
      <c r="B220" s="142"/>
      <c r="C220" s="77" t="s">
        <v>13</v>
      </c>
      <c r="D220" s="59">
        <f t="shared" si="75"/>
        <v>0</v>
      </c>
      <c r="E220" s="59">
        <v>0</v>
      </c>
      <c r="F220" s="59">
        <v>0</v>
      </c>
      <c r="G220" s="59">
        <v>0</v>
      </c>
      <c r="H220" s="59">
        <v>0</v>
      </c>
      <c r="I220" s="59">
        <v>0</v>
      </c>
      <c r="J220" s="59">
        <v>0</v>
      </c>
      <c r="K220" s="59">
        <v>0</v>
      </c>
      <c r="L220" s="59">
        <v>0</v>
      </c>
      <c r="M220" s="59">
        <v>0</v>
      </c>
      <c r="N220" s="59">
        <v>0</v>
      </c>
      <c r="O220" s="59">
        <v>0</v>
      </c>
    </row>
    <row r="221" spans="1:16" ht="15.75" x14ac:dyDescent="0.2">
      <c r="A221" s="141" t="s">
        <v>255</v>
      </c>
      <c r="B221" s="141" t="s">
        <v>257</v>
      </c>
      <c r="C221" s="77" t="s">
        <v>7</v>
      </c>
      <c r="D221" s="59">
        <f t="shared" si="75"/>
        <v>159.99999999999997</v>
      </c>
      <c r="E221" s="59">
        <f t="shared" ref="E221:J221" si="79">E222+E223+E224+E225</f>
        <v>0</v>
      </c>
      <c r="F221" s="59">
        <f t="shared" si="79"/>
        <v>0</v>
      </c>
      <c r="G221" s="59">
        <f t="shared" si="79"/>
        <v>0</v>
      </c>
      <c r="H221" s="59">
        <f t="shared" si="79"/>
        <v>0</v>
      </c>
      <c r="I221" s="59">
        <f t="shared" si="79"/>
        <v>160</v>
      </c>
      <c r="J221" s="59">
        <f t="shared" si="79"/>
        <v>0</v>
      </c>
      <c r="K221" s="59">
        <f>K222+K223+K224+K225</f>
        <v>-2.2648549702353193E-14</v>
      </c>
      <c r="L221" s="59">
        <f>L222+L223+L224+L225</f>
        <v>0</v>
      </c>
      <c r="M221" s="59">
        <f>M222+M223+M224+M225</f>
        <v>0</v>
      </c>
      <c r="N221" s="59">
        <f>N222+N223+N224+N225</f>
        <v>0</v>
      </c>
      <c r="O221" s="59">
        <f>O222+O223+O224+O225</f>
        <v>0</v>
      </c>
    </row>
    <row r="222" spans="1:16" ht="15.75" x14ac:dyDescent="0.2">
      <c r="A222" s="142"/>
      <c r="B222" s="142"/>
      <c r="C222" s="77" t="s">
        <v>10</v>
      </c>
      <c r="D222" s="59">
        <f t="shared" si="75"/>
        <v>0</v>
      </c>
      <c r="E222" s="59">
        <v>0</v>
      </c>
      <c r="F222" s="59">
        <v>0</v>
      </c>
      <c r="G222" s="59">
        <v>0</v>
      </c>
      <c r="H222" s="59">
        <v>0</v>
      </c>
      <c r="I222" s="59">
        <v>0</v>
      </c>
      <c r="J222" s="59">
        <v>0</v>
      </c>
      <c r="K222" s="59">
        <v>0</v>
      </c>
      <c r="L222" s="59">
        <v>0</v>
      </c>
      <c r="M222" s="59">
        <v>0</v>
      </c>
      <c r="N222" s="59">
        <v>0</v>
      </c>
      <c r="O222" s="59">
        <v>0</v>
      </c>
    </row>
    <row r="223" spans="1:16" ht="15.75" x14ac:dyDescent="0.2">
      <c r="A223" s="142"/>
      <c r="B223" s="142"/>
      <c r="C223" s="77" t="s">
        <v>11</v>
      </c>
      <c r="D223" s="59">
        <f t="shared" si="75"/>
        <v>0</v>
      </c>
      <c r="E223" s="59">
        <v>0</v>
      </c>
      <c r="F223" s="59">
        <v>0</v>
      </c>
      <c r="G223" s="59">
        <v>0</v>
      </c>
      <c r="H223" s="59">
        <v>0</v>
      </c>
      <c r="I223" s="59">
        <v>0</v>
      </c>
      <c r="J223" s="59">
        <v>0</v>
      </c>
      <c r="K223" s="59">
        <v>0</v>
      </c>
      <c r="L223" s="59">
        <v>0</v>
      </c>
      <c r="M223" s="59">
        <v>0</v>
      </c>
      <c r="N223" s="59">
        <v>0</v>
      </c>
      <c r="O223" s="59">
        <v>0</v>
      </c>
    </row>
    <row r="224" spans="1:16" ht="15.75" x14ac:dyDescent="0.2">
      <c r="A224" s="142"/>
      <c r="B224" s="142"/>
      <c r="C224" s="77" t="s">
        <v>12</v>
      </c>
      <c r="D224" s="59">
        <f t="shared" si="75"/>
        <v>159.99999999999997</v>
      </c>
      <c r="E224" s="59">
        <v>0</v>
      </c>
      <c r="F224" s="59">
        <v>0</v>
      </c>
      <c r="G224" s="59">
        <v>0</v>
      </c>
      <c r="H224" s="59">
        <v>0</v>
      </c>
      <c r="I224" s="59">
        <v>160</v>
      </c>
      <c r="J224" s="59">
        <f>2000-600-1400</f>
        <v>0</v>
      </c>
      <c r="K224" s="59">
        <f>454.9-451-3.9</f>
        <v>-2.2648549702353193E-14</v>
      </c>
      <c r="L224" s="59">
        <v>0</v>
      </c>
      <c r="M224" s="59">
        <v>0</v>
      </c>
      <c r="N224" s="59">
        <v>0</v>
      </c>
      <c r="O224" s="59">
        <v>0</v>
      </c>
    </row>
    <row r="225" spans="1:24" ht="24" customHeight="1" x14ac:dyDescent="0.2">
      <c r="A225" s="142"/>
      <c r="B225" s="142"/>
      <c r="C225" s="79" t="s">
        <v>13</v>
      </c>
      <c r="D225" s="59">
        <f t="shared" si="75"/>
        <v>0</v>
      </c>
      <c r="E225" s="59">
        <v>0</v>
      </c>
      <c r="F225" s="59">
        <v>0</v>
      </c>
      <c r="G225" s="59">
        <v>0</v>
      </c>
      <c r="H225" s="59">
        <v>0</v>
      </c>
      <c r="I225" s="59">
        <v>0</v>
      </c>
      <c r="J225" s="59">
        <v>0</v>
      </c>
      <c r="K225" s="59">
        <v>0</v>
      </c>
      <c r="L225" s="59">
        <v>0</v>
      </c>
      <c r="M225" s="59">
        <v>0</v>
      </c>
      <c r="N225" s="59">
        <v>0</v>
      </c>
      <c r="O225" s="59">
        <v>0</v>
      </c>
    </row>
    <row r="226" spans="1:24" ht="15.75" x14ac:dyDescent="0.2">
      <c r="A226" s="141" t="s">
        <v>271</v>
      </c>
      <c r="B226" s="138" t="s">
        <v>272</v>
      </c>
      <c r="C226" s="77" t="s">
        <v>7</v>
      </c>
      <c r="D226" s="59">
        <f t="shared" si="75"/>
        <v>1402.5</v>
      </c>
      <c r="E226" s="59">
        <f t="shared" ref="E226:J226" si="80">E227+E228+E229+E230</f>
        <v>0</v>
      </c>
      <c r="F226" s="59">
        <f t="shared" si="80"/>
        <v>0</v>
      </c>
      <c r="G226" s="59">
        <f t="shared" si="80"/>
        <v>0</v>
      </c>
      <c r="H226" s="59">
        <f t="shared" si="80"/>
        <v>0</v>
      </c>
      <c r="I226" s="59">
        <f t="shared" si="80"/>
        <v>1402.5</v>
      </c>
      <c r="J226" s="59">
        <f t="shared" si="80"/>
        <v>0</v>
      </c>
      <c r="K226" s="59">
        <f>K227+K228+K229+K230</f>
        <v>0</v>
      </c>
      <c r="L226" s="59">
        <f>L227+L228+L229+L230</f>
        <v>0</v>
      </c>
      <c r="M226" s="59">
        <f>M227+M228+M229+M230</f>
        <v>0</v>
      </c>
      <c r="N226" s="59">
        <f>N227+N228+N229+N230</f>
        <v>0</v>
      </c>
      <c r="O226" s="59">
        <f>O227+O228+O229+O230</f>
        <v>0</v>
      </c>
    </row>
    <row r="227" spans="1:24" ht="15.75" x14ac:dyDescent="0.2">
      <c r="A227" s="142"/>
      <c r="B227" s="143"/>
      <c r="C227" s="77" t="s">
        <v>10</v>
      </c>
      <c r="D227" s="59">
        <f t="shared" si="75"/>
        <v>0</v>
      </c>
      <c r="E227" s="59">
        <v>0</v>
      </c>
      <c r="F227" s="59">
        <v>0</v>
      </c>
      <c r="G227" s="59">
        <v>0</v>
      </c>
      <c r="H227" s="59">
        <v>0</v>
      </c>
      <c r="I227" s="59">
        <v>0</v>
      </c>
      <c r="J227" s="59">
        <v>0</v>
      </c>
      <c r="K227" s="59">
        <v>0</v>
      </c>
      <c r="L227" s="59">
        <v>0</v>
      </c>
      <c r="M227" s="59">
        <v>0</v>
      </c>
      <c r="N227" s="59">
        <v>0</v>
      </c>
      <c r="O227" s="59">
        <v>0</v>
      </c>
    </row>
    <row r="228" spans="1:24" ht="15.75" x14ac:dyDescent="0.2">
      <c r="A228" s="142"/>
      <c r="B228" s="143"/>
      <c r="C228" s="77" t="s">
        <v>11</v>
      </c>
      <c r="D228" s="59">
        <f t="shared" si="75"/>
        <v>0</v>
      </c>
      <c r="E228" s="59">
        <v>0</v>
      </c>
      <c r="F228" s="59">
        <v>0</v>
      </c>
      <c r="G228" s="59">
        <v>0</v>
      </c>
      <c r="H228" s="59">
        <v>0</v>
      </c>
      <c r="I228" s="59">
        <v>0</v>
      </c>
      <c r="J228" s="59">
        <v>0</v>
      </c>
      <c r="K228" s="59">
        <v>0</v>
      </c>
      <c r="L228" s="59">
        <v>0</v>
      </c>
      <c r="M228" s="59">
        <v>0</v>
      </c>
      <c r="N228" s="59">
        <v>0</v>
      </c>
      <c r="O228" s="59">
        <v>0</v>
      </c>
    </row>
    <row r="229" spans="1:24" ht="15.75" x14ac:dyDescent="0.2">
      <c r="A229" s="142"/>
      <c r="B229" s="143"/>
      <c r="C229" s="77" t="s">
        <v>12</v>
      </c>
      <c r="D229" s="59">
        <f t="shared" si="75"/>
        <v>1402.5</v>
      </c>
      <c r="E229" s="59">
        <v>0</v>
      </c>
      <c r="F229" s="59">
        <v>0</v>
      </c>
      <c r="G229" s="59">
        <v>0</v>
      </c>
      <c r="H229" s="59">
        <v>0</v>
      </c>
      <c r="I229" s="59">
        <v>1402.5</v>
      </c>
      <c r="J229" s="59">
        <v>0</v>
      </c>
      <c r="K229" s="59">
        <v>0</v>
      </c>
      <c r="L229" s="59">
        <v>0</v>
      </c>
      <c r="M229" s="59">
        <v>0</v>
      </c>
      <c r="N229" s="59">
        <v>0</v>
      </c>
      <c r="O229" s="59">
        <v>0</v>
      </c>
    </row>
    <row r="230" spans="1:24" ht="21.75" customHeight="1" x14ac:dyDescent="0.2">
      <c r="A230" s="142"/>
      <c r="B230" s="144"/>
      <c r="C230" s="79" t="s">
        <v>13</v>
      </c>
      <c r="D230" s="59">
        <f t="shared" si="75"/>
        <v>0</v>
      </c>
      <c r="E230" s="59">
        <v>0</v>
      </c>
      <c r="F230" s="59">
        <v>0</v>
      </c>
      <c r="G230" s="59">
        <v>0</v>
      </c>
      <c r="H230" s="59">
        <v>0</v>
      </c>
      <c r="I230" s="59">
        <v>0</v>
      </c>
      <c r="J230" s="59">
        <v>0</v>
      </c>
      <c r="K230" s="59">
        <v>0</v>
      </c>
      <c r="L230" s="59">
        <v>0</v>
      </c>
      <c r="M230" s="59">
        <v>0</v>
      </c>
      <c r="N230" s="59">
        <v>0</v>
      </c>
      <c r="O230" s="59">
        <v>0</v>
      </c>
    </row>
    <row r="231" spans="1:24" ht="15.75" x14ac:dyDescent="0.2">
      <c r="A231" s="141" t="s">
        <v>279</v>
      </c>
      <c r="B231" s="138" t="s">
        <v>280</v>
      </c>
      <c r="C231" s="77" t="s">
        <v>7</v>
      </c>
      <c r="D231" s="59">
        <f t="shared" si="75"/>
        <v>4280.7</v>
      </c>
      <c r="E231" s="59">
        <f t="shared" ref="E231:J231" si="81">E232+E233+E234+E235</f>
        <v>0</v>
      </c>
      <c r="F231" s="59">
        <f t="shared" si="81"/>
        <v>0</v>
      </c>
      <c r="G231" s="59">
        <f t="shared" si="81"/>
        <v>0</v>
      </c>
      <c r="H231" s="59">
        <f t="shared" si="81"/>
        <v>0</v>
      </c>
      <c r="I231" s="59">
        <f t="shared" si="81"/>
        <v>4280.7</v>
      </c>
      <c r="J231" s="59">
        <f t="shared" si="81"/>
        <v>0</v>
      </c>
      <c r="K231" s="59">
        <f>K232+K233+K234+K235</f>
        <v>0</v>
      </c>
      <c r="L231" s="59">
        <f>L232+L233+L234+L235</f>
        <v>0</v>
      </c>
      <c r="M231" s="59">
        <f>M232+M233+M234+M235</f>
        <v>0</v>
      </c>
      <c r="N231" s="59">
        <f>N232+N233+N234+N235</f>
        <v>0</v>
      </c>
      <c r="O231" s="59">
        <f>O232+O233+O234+O235</f>
        <v>0</v>
      </c>
    </row>
    <row r="232" spans="1:24" ht="15.75" x14ac:dyDescent="0.2">
      <c r="A232" s="142"/>
      <c r="B232" s="143"/>
      <c r="C232" s="77" t="s">
        <v>10</v>
      </c>
      <c r="D232" s="59">
        <f t="shared" si="75"/>
        <v>0</v>
      </c>
      <c r="E232" s="59">
        <v>0</v>
      </c>
      <c r="F232" s="59">
        <v>0</v>
      </c>
      <c r="G232" s="59">
        <v>0</v>
      </c>
      <c r="H232" s="59">
        <v>0</v>
      </c>
      <c r="I232" s="59">
        <v>0</v>
      </c>
      <c r="J232" s="59">
        <v>0</v>
      </c>
      <c r="K232" s="59">
        <v>0</v>
      </c>
      <c r="L232" s="59">
        <v>0</v>
      </c>
      <c r="M232" s="59">
        <v>0</v>
      </c>
      <c r="N232" s="59">
        <v>0</v>
      </c>
      <c r="O232" s="59">
        <v>0</v>
      </c>
    </row>
    <row r="233" spans="1:24" ht="15.75" x14ac:dyDescent="0.2">
      <c r="A233" s="142"/>
      <c r="B233" s="143"/>
      <c r="C233" s="77" t="s">
        <v>11</v>
      </c>
      <c r="D233" s="59">
        <f t="shared" si="75"/>
        <v>0</v>
      </c>
      <c r="E233" s="59">
        <v>0</v>
      </c>
      <c r="F233" s="59">
        <v>0</v>
      </c>
      <c r="G233" s="59">
        <v>0</v>
      </c>
      <c r="H233" s="59">
        <v>0</v>
      </c>
      <c r="I233" s="59">
        <v>0</v>
      </c>
      <c r="J233" s="59">
        <v>0</v>
      </c>
      <c r="K233" s="59">
        <v>0</v>
      </c>
      <c r="L233" s="59">
        <v>0</v>
      </c>
      <c r="M233" s="59">
        <v>0</v>
      </c>
      <c r="N233" s="59">
        <v>0</v>
      </c>
      <c r="O233" s="59">
        <v>0</v>
      </c>
    </row>
    <row r="234" spans="1:24" ht="15.75" x14ac:dyDescent="0.2">
      <c r="A234" s="142"/>
      <c r="B234" s="143"/>
      <c r="C234" s="77" t="s">
        <v>12</v>
      </c>
      <c r="D234" s="59">
        <f t="shared" ref="D234:D265" si="82">E234+F234+G234+H234+I234+J234+K234+L234+M234+N234+O234</f>
        <v>4280.7</v>
      </c>
      <c r="E234" s="59">
        <v>0</v>
      </c>
      <c r="F234" s="59">
        <v>0</v>
      </c>
      <c r="G234" s="59">
        <v>0</v>
      </c>
      <c r="H234" s="59">
        <v>0</v>
      </c>
      <c r="I234" s="59">
        <v>4280.7</v>
      </c>
      <c r="J234" s="59">
        <v>0</v>
      </c>
      <c r="K234" s="59">
        <v>0</v>
      </c>
      <c r="L234" s="59">
        <v>0</v>
      </c>
      <c r="M234" s="59">
        <v>0</v>
      </c>
      <c r="N234" s="59">
        <v>0</v>
      </c>
      <c r="O234" s="59">
        <v>0</v>
      </c>
    </row>
    <row r="235" spans="1:24" ht="23.25" customHeight="1" x14ac:dyDescent="0.2">
      <c r="A235" s="142"/>
      <c r="B235" s="144"/>
      <c r="C235" s="77" t="s">
        <v>13</v>
      </c>
      <c r="D235" s="59">
        <f t="shared" si="82"/>
        <v>0</v>
      </c>
      <c r="E235" s="59">
        <v>0</v>
      </c>
      <c r="F235" s="59">
        <v>0</v>
      </c>
      <c r="G235" s="59">
        <v>0</v>
      </c>
      <c r="H235" s="59">
        <v>0</v>
      </c>
      <c r="I235" s="59">
        <v>0</v>
      </c>
      <c r="J235" s="59">
        <v>0</v>
      </c>
      <c r="K235" s="59">
        <v>0</v>
      </c>
      <c r="L235" s="59">
        <v>0</v>
      </c>
      <c r="M235" s="59">
        <v>0</v>
      </c>
      <c r="N235" s="59">
        <v>0</v>
      </c>
      <c r="O235" s="59">
        <v>0</v>
      </c>
    </row>
    <row r="236" spans="1:24" ht="15.75" x14ac:dyDescent="0.2">
      <c r="A236" s="141" t="s">
        <v>293</v>
      </c>
      <c r="B236" s="138" t="s">
        <v>367</v>
      </c>
      <c r="C236" s="77" t="s">
        <v>43</v>
      </c>
      <c r="D236" s="59">
        <f t="shared" si="82"/>
        <v>307198.09999999998</v>
      </c>
      <c r="E236" s="59">
        <f t="shared" ref="E236:J236" si="83">E237+E238+E239+E240</f>
        <v>0</v>
      </c>
      <c r="F236" s="59">
        <f t="shared" si="83"/>
        <v>0</v>
      </c>
      <c r="G236" s="59">
        <f t="shared" si="83"/>
        <v>0</v>
      </c>
      <c r="H236" s="59">
        <f t="shared" si="83"/>
        <v>0</v>
      </c>
      <c r="I236" s="59">
        <f t="shared" si="83"/>
        <v>0</v>
      </c>
      <c r="J236" s="59">
        <f t="shared" si="83"/>
        <v>159665.60000000001</v>
      </c>
      <c r="K236" s="59">
        <f>K237+K238+K239+K240</f>
        <v>120030.5</v>
      </c>
      <c r="L236" s="59">
        <f>L237+L238+L239+L240</f>
        <v>27502</v>
      </c>
      <c r="M236" s="59">
        <f>M237+M238+M239+M240</f>
        <v>0</v>
      </c>
      <c r="N236" s="59">
        <f>N237+N238+N239+N240</f>
        <v>0</v>
      </c>
      <c r="O236" s="59">
        <f>O237+O238+O239+O240</f>
        <v>0</v>
      </c>
      <c r="X236" s="62"/>
    </row>
    <row r="237" spans="1:24" ht="15.75" x14ac:dyDescent="0.2">
      <c r="A237" s="142"/>
      <c r="B237" s="143"/>
      <c r="C237" s="77" t="s">
        <v>10</v>
      </c>
      <c r="D237" s="59">
        <f t="shared" si="82"/>
        <v>0</v>
      </c>
      <c r="E237" s="59">
        <v>0</v>
      </c>
      <c r="F237" s="59">
        <v>0</v>
      </c>
      <c r="G237" s="59">
        <v>0</v>
      </c>
      <c r="H237" s="59">
        <v>0</v>
      </c>
      <c r="I237" s="59">
        <v>0</v>
      </c>
      <c r="J237" s="59">
        <v>0</v>
      </c>
      <c r="K237" s="59">
        <v>0</v>
      </c>
      <c r="L237" s="59">
        <v>0</v>
      </c>
      <c r="M237" s="59">
        <v>0</v>
      </c>
      <c r="N237" s="59">
        <v>0</v>
      </c>
      <c r="O237" s="59">
        <v>0</v>
      </c>
    </row>
    <row r="238" spans="1:24" ht="15.75" x14ac:dyDescent="0.2">
      <c r="A238" s="142"/>
      <c r="B238" s="143"/>
      <c r="C238" s="77" t="s">
        <v>11</v>
      </c>
      <c r="D238" s="59">
        <f t="shared" si="82"/>
        <v>307198.09999999998</v>
      </c>
      <c r="E238" s="59">
        <v>0</v>
      </c>
      <c r="F238" s="59">
        <v>0</v>
      </c>
      <c r="G238" s="59">
        <v>0</v>
      </c>
      <c r="H238" s="59">
        <v>0</v>
      </c>
      <c r="I238" s="59">
        <v>0</v>
      </c>
      <c r="J238" s="59">
        <v>159665.60000000001</v>
      </c>
      <c r="K238" s="59">
        <f>173506.2-22060.2-31415.5</f>
        <v>120030.5</v>
      </c>
      <c r="L238" s="59">
        <f>151446-151446+27502</f>
        <v>27502</v>
      </c>
      <c r="M238" s="59">
        <f t="shared" ref="M238:N238" si="84">151446-151446</f>
        <v>0</v>
      </c>
      <c r="N238" s="59">
        <f t="shared" si="84"/>
        <v>0</v>
      </c>
      <c r="O238" s="59">
        <v>0</v>
      </c>
    </row>
    <row r="239" spans="1:24" ht="15.75" x14ac:dyDescent="0.2">
      <c r="A239" s="142"/>
      <c r="B239" s="143"/>
      <c r="C239" s="77" t="s">
        <v>12</v>
      </c>
      <c r="D239" s="59">
        <f t="shared" si="82"/>
        <v>0</v>
      </c>
      <c r="E239" s="59">
        <v>0</v>
      </c>
      <c r="F239" s="59">
        <v>0</v>
      </c>
      <c r="G239" s="59">
        <v>0</v>
      </c>
      <c r="H239" s="59">
        <v>0</v>
      </c>
      <c r="I239" s="59">
        <v>0</v>
      </c>
      <c r="J239" s="59">
        <v>0</v>
      </c>
      <c r="K239" s="59">
        <v>0</v>
      </c>
      <c r="L239" s="59">
        <v>0</v>
      </c>
      <c r="M239" s="59">
        <v>0</v>
      </c>
      <c r="N239" s="59">
        <v>0</v>
      </c>
      <c r="O239" s="59">
        <v>0</v>
      </c>
    </row>
    <row r="240" spans="1:24" ht="24" customHeight="1" x14ac:dyDescent="0.2">
      <c r="A240" s="142"/>
      <c r="B240" s="144"/>
      <c r="C240" s="79" t="s">
        <v>13</v>
      </c>
      <c r="D240" s="59">
        <f t="shared" si="82"/>
        <v>0</v>
      </c>
      <c r="E240" s="59">
        <v>0</v>
      </c>
      <c r="F240" s="59">
        <v>0</v>
      </c>
      <c r="G240" s="59">
        <v>0</v>
      </c>
      <c r="H240" s="59">
        <v>0</v>
      </c>
      <c r="I240" s="59">
        <v>0</v>
      </c>
      <c r="J240" s="59">
        <v>0</v>
      </c>
      <c r="K240" s="59">
        <v>0</v>
      </c>
      <c r="L240" s="59">
        <v>0</v>
      </c>
      <c r="M240" s="59">
        <v>0</v>
      </c>
      <c r="N240" s="59">
        <v>0</v>
      </c>
      <c r="O240" s="59">
        <v>0</v>
      </c>
    </row>
    <row r="241" spans="1:15" ht="15.75" x14ac:dyDescent="0.2">
      <c r="A241" s="141" t="s">
        <v>299</v>
      </c>
      <c r="B241" s="141" t="s">
        <v>305</v>
      </c>
      <c r="C241" s="77" t="s">
        <v>7</v>
      </c>
      <c r="D241" s="59">
        <f t="shared" si="82"/>
        <v>1528</v>
      </c>
      <c r="E241" s="59">
        <f t="shared" ref="E241:J241" si="85">E242+E243+E244+E245</f>
        <v>0</v>
      </c>
      <c r="F241" s="59">
        <f t="shared" si="85"/>
        <v>0</v>
      </c>
      <c r="G241" s="59">
        <f t="shared" si="85"/>
        <v>0</v>
      </c>
      <c r="H241" s="59">
        <f t="shared" si="85"/>
        <v>0</v>
      </c>
      <c r="I241" s="59">
        <f t="shared" si="85"/>
        <v>1528</v>
      </c>
      <c r="J241" s="59">
        <f t="shared" si="85"/>
        <v>0</v>
      </c>
      <c r="K241" s="59">
        <f>K242+K243+K244+K245</f>
        <v>0</v>
      </c>
      <c r="L241" s="59">
        <f>L242+L243+L244+L245</f>
        <v>0</v>
      </c>
      <c r="M241" s="59">
        <f>M242+M243+M244+M245</f>
        <v>0</v>
      </c>
      <c r="N241" s="59">
        <f>N242+N243+N244+N245</f>
        <v>0</v>
      </c>
      <c r="O241" s="59">
        <f>O242+O243+O244+O245</f>
        <v>0</v>
      </c>
    </row>
    <row r="242" spans="1:15" ht="15.75" x14ac:dyDescent="0.2">
      <c r="A242" s="142"/>
      <c r="B242" s="142"/>
      <c r="C242" s="77" t="s">
        <v>10</v>
      </c>
      <c r="D242" s="59">
        <f t="shared" si="82"/>
        <v>0</v>
      </c>
      <c r="E242" s="59">
        <v>0</v>
      </c>
      <c r="F242" s="59">
        <v>0</v>
      </c>
      <c r="G242" s="59">
        <v>0</v>
      </c>
      <c r="H242" s="59">
        <v>0</v>
      </c>
      <c r="I242" s="59">
        <v>0</v>
      </c>
      <c r="J242" s="59">
        <v>0</v>
      </c>
      <c r="K242" s="59">
        <v>0</v>
      </c>
      <c r="L242" s="59">
        <v>0</v>
      </c>
      <c r="M242" s="59">
        <v>0</v>
      </c>
      <c r="N242" s="59">
        <v>0</v>
      </c>
      <c r="O242" s="59">
        <v>0</v>
      </c>
    </row>
    <row r="243" spans="1:15" ht="15.75" x14ac:dyDescent="0.2">
      <c r="A243" s="142"/>
      <c r="B243" s="142"/>
      <c r="C243" s="77" t="s">
        <v>11</v>
      </c>
      <c r="D243" s="59">
        <f t="shared" si="82"/>
        <v>0</v>
      </c>
      <c r="E243" s="59">
        <v>0</v>
      </c>
      <c r="F243" s="59">
        <v>0</v>
      </c>
      <c r="G243" s="59">
        <v>0</v>
      </c>
      <c r="H243" s="59">
        <v>0</v>
      </c>
      <c r="I243" s="59">
        <v>0</v>
      </c>
      <c r="J243" s="59">
        <v>0</v>
      </c>
      <c r="K243" s="59">
        <v>0</v>
      </c>
      <c r="L243" s="59">
        <v>0</v>
      </c>
      <c r="M243" s="59">
        <v>0</v>
      </c>
      <c r="N243" s="59">
        <v>0</v>
      </c>
      <c r="O243" s="59">
        <v>0</v>
      </c>
    </row>
    <row r="244" spans="1:15" ht="15.75" x14ac:dyDescent="0.2">
      <c r="A244" s="142"/>
      <c r="B244" s="142"/>
      <c r="C244" s="77" t="s">
        <v>12</v>
      </c>
      <c r="D244" s="59">
        <f t="shared" si="82"/>
        <v>1528</v>
      </c>
      <c r="E244" s="59">
        <v>0</v>
      </c>
      <c r="F244" s="59">
        <v>0</v>
      </c>
      <c r="G244" s="59">
        <v>0</v>
      </c>
      <c r="H244" s="59">
        <v>0</v>
      </c>
      <c r="I244" s="59">
        <v>1528</v>
      </c>
      <c r="J244" s="59">
        <v>0</v>
      </c>
      <c r="K244" s="59">
        <v>0</v>
      </c>
      <c r="L244" s="59">
        <v>0</v>
      </c>
      <c r="M244" s="59">
        <v>0</v>
      </c>
      <c r="N244" s="59">
        <v>0</v>
      </c>
      <c r="O244" s="59">
        <v>0</v>
      </c>
    </row>
    <row r="245" spans="1:15" ht="24.75" customHeight="1" x14ac:dyDescent="0.2">
      <c r="A245" s="142"/>
      <c r="B245" s="142"/>
      <c r="C245" s="79" t="s">
        <v>13</v>
      </c>
      <c r="D245" s="59">
        <f t="shared" si="82"/>
        <v>0</v>
      </c>
      <c r="E245" s="59">
        <v>0</v>
      </c>
      <c r="F245" s="59">
        <v>0</v>
      </c>
      <c r="G245" s="59">
        <v>0</v>
      </c>
      <c r="H245" s="59">
        <v>0</v>
      </c>
      <c r="I245" s="59">
        <v>0</v>
      </c>
      <c r="J245" s="59">
        <v>0</v>
      </c>
      <c r="K245" s="59">
        <v>0</v>
      </c>
      <c r="L245" s="59">
        <v>0</v>
      </c>
      <c r="M245" s="59">
        <v>0</v>
      </c>
      <c r="N245" s="59">
        <v>0</v>
      </c>
      <c r="O245" s="59">
        <v>0</v>
      </c>
    </row>
    <row r="246" spans="1:15" ht="42" customHeight="1" x14ac:dyDescent="0.2">
      <c r="A246" s="141" t="s">
        <v>301</v>
      </c>
      <c r="B246" s="141" t="s">
        <v>372</v>
      </c>
      <c r="C246" s="77" t="s">
        <v>7</v>
      </c>
      <c r="D246" s="59">
        <f t="shared" si="82"/>
        <v>50891.799999999996</v>
      </c>
      <c r="E246" s="59">
        <f t="shared" ref="E246:J246" si="86">E247+E248+E249+E250</f>
        <v>0</v>
      </c>
      <c r="F246" s="59">
        <f t="shared" si="86"/>
        <v>0</v>
      </c>
      <c r="G246" s="59">
        <f t="shared" si="86"/>
        <v>0</v>
      </c>
      <c r="H246" s="59">
        <f t="shared" si="86"/>
        <v>0</v>
      </c>
      <c r="I246" s="59">
        <f t="shared" si="86"/>
        <v>0</v>
      </c>
      <c r="J246" s="59">
        <f t="shared" si="86"/>
        <v>50891.799999999996</v>
      </c>
      <c r="K246" s="59">
        <f>K247+K248+K249+K250</f>
        <v>0</v>
      </c>
      <c r="L246" s="59">
        <f>L247+L248+L249+L250</f>
        <v>0</v>
      </c>
      <c r="M246" s="59">
        <f>M247+M248+M249+M250</f>
        <v>0</v>
      </c>
      <c r="N246" s="59">
        <f>N247+N248+N249+N250</f>
        <v>0</v>
      </c>
      <c r="O246" s="59">
        <f>O247+O248+O249+O250</f>
        <v>0</v>
      </c>
    </row>
    <row r="247" spans="1:15" ht="19.5" customHeight="1" x14ac:dyDescent="0.2">
      <c r="A247" s="142"/>
      <c r="B247" s="142"/>
      <c r="C247" s="77" t="s">
        <v>10</v>
      </c>
      <c r="D247" s="59">
        <f t="shared" si="82"/>
        <v>0</v>
      </c>
      <c r="E247" s="59">
        <v>0</v>
      </c>
      <c r="F247" s="59">
        <v>0</v>
      </c>
      <c r="G247" s="59">
        <v>0</v>
      </c>
      <c r="H247" s="59">
        <v>0</v>
      </c>
      <c r="I247" s="59">
        <v>0</v>
      </c>
      <c r="J247" s="59">
        <v>0</v>
      </c>
      <c r="K247" s="59">
        <v>0</v>
      </c>
      <c r="L247" s="59">
        <v>0</v>
      </c>
      <c r="M247" s="59">
        <v>0</v>
      </c>
      <c r="N247" s="59">
        <v>0</v>
      </c>
      <c r="O247" s="59">
        <v>0</v>
      </c>
    </row>
    <row r="248" spans="1:15" ht="15.75" x14ac:dyDescent="0.2">
      <c r="A248" s="142"/>
      <c r="B248" s="142"/>
      <c r="C248" s="77" t="s">
        <v>11</v>
      </c>
      <c r="D248" s="59">
        <f t="shared" si="82"/>
        <v>0</v>
      </c>
      <c r="E248" s="59">
        <v>0</v>
      </c>
      <c r="F248" s="59">
        <v>0</v>
      </c>
      <c r="G248" s="59">
        <v>0</v>
      </c>
      <c r="H248" s="59">
        <v>0</v>
      </c>
      <c r="I248" s="59">
        <v>0</v>
      </c>
      <c r="J248" s="59">
        <v>0</v>
      </c>
      <c r="K248" s="59">
        <v>0</v>
      </c>
      <c r="L248" s="59">
        <v>0</v>
      </c>
      <c r="M248" s="59">
        <v>0</v>
      </c>
      <c r="N248" s="59">
        <v>0</v>
      </c>
      <c r="O248" s="59">
        <v>0</v>
      </c>
    </row>
    <row r="249" spans="1:15" ht="15.75" x14ac:dyDescent="0.2">
      <c r="A249" s="142"/>
      <c r="B249" s="142"/>
      <c r="C249" s="77" t="s">
        <v>12</v>
      </c>
      <c r="D249" s="59">
        <f t="shared" si="82"/>
        <v>50891.799999999996</v>
      </c>
      <c r="E249" s="59">
        <v>0</v>
      </c>
      <c r="F249" s="59">
        <v>0</v>
      </c>
      <c r="G249" s="59">
        <v>0</v>
      </c>
      <c r="H249" s="59">
        <v>0</v>
      </c>
      <c r="I249" s="59">
        <v>0</v>
      </c>
      <c r="J249" s="59">
        <f>58078.1-10000+10000-9132.4+146.1+1800</f>
        <v>50891.799999999996</v>
      </c>
      <c r="K249" s="59">
        <v>0</v>
      </c>
      <c r="L249" s="59">
        <v>0</v>
      </c>
      <c r="M249" s="59">
        <v>0</v>
      </c>
      <c r="N249" s="59">
        <v>0</v>
      </c>
      <c r="O249" s="59">
        <v>0</v>
      </c>
    </row>
    <row r="250" spans="1:15" ht="29.25" customHeight="1" x14ac:dyDescent="0.2">
      <c r="A250" s="142"/>
      <c r="B250" s="142"/>
      <c r="C250" s="79" t="s">
        <v>13</v>
      </c>
      <c r="D250" s="59">
        <f t="shared" si="82"/>
        <v>0</v>
      </c>
      <c r="E250" s="59">
        <v>0</v>
      </c>
      <c r="F250" s="59">
        <v>0</v>
      </c>
      <c r="G250" s="59">
        <v>0</v>
      </c>
      <c r="H250" s="59">
        <v>0</v>
      </c>
      <c r="I250" s="59">
        <v>0</v>
      </c>
      <c r="J250" s="59">
        <v>0</v>
      </c>
      <c r="K250" s="59">
        <v>0</v>
      </c>
      <c r="L250" s="59">
        <v>0</v>
      </c>
      <c r="M250" s="59">
        <v>0</v>
      </c>
      <c r="N250" s="59">
        <v>0</v>
      </c>
      <c r="O250" s="59">
        <v>0</v>
      </c>
    </row>
    <row r="251" spans="1:15" ht="15.75" hidden="1" x14ac:dyDescent="0.2">
      <c r="A251" s="141"/>
      <c r="B251" s="138" t="s">
        <v>320</v>
      </c>
      <c r="C251" s="77" t="s">
        <v>7</v>
      </c>
      <c r="D251" s="59">
        <f t="shared" si="82"/>
        <v>0</v>
      </c>
      <c r="E251" s="59">
        <f t="shared" ref="E251:J251" si="87">E252+E253+E254+E255</f>
        <v>0</v>
      </c>
      <c r="F251" s="59">
        <f t="shared" si="87"/>
        <v>0</v>
      </c>
      <c r="G251" s="59">
        <f t="shared" si="87"/>
        <v>0</v>
      </c>
      <c r="H251" s="59">
        <f t="shared" si="87"/>
        <v>0</v>
      </c>
      <c r="I251" s="59">
        <f t="shared" si="87"/>
        <v>0</v>
      </c>
      <c r="J251" s="59">
        <f t="shared" si="87"/>
        <v>0</v>
      </c>
      <c r="K251" s="59">
        <f>K252+K253+K254+K255</f>
        <v>0</v>
      </c>
      <c r="L251" s="59">
        <f>L252+L253+L254+L255</f>
        <v>0</v>
      </c>
      <c r="M251" s="59">
        <f>M252+M253+M254+M255</f>
        <v>0</v>
      </c>
      <c r="N251" s="59">
        <f>N252+N253+N254+N255</f>
        <v>0</v>
      </c>
      <c r="O251" s="59">
        <f>O252+O253+O254+O255</f>
        <v>0</v>
      </c>
    </row>
    <row r="252" spans="1:15" ht="15.75" hidden="1" x14ac:dyDescent="0.2">
      <c r="A252" s="142"/>
      <c r="B252" s="143"/>
      <c r="C252" s="77" t="s">
        <v>10</v>
      </c>
      <c r="D252" s="59">
        <f t="shared" si="82"/>
        <v>0</v>
      </c>
      <c r="E252" s="59">
        <v>0</v>
      </c>
      <c r="F252" s="59">
        <v>0</v>
      </c>
      <c r="G252" s="59">
        <v>0</v>
      </c>
      <c r="H252" s="59">
        <v>0</v>
      </c>
      <c r="I252" s="59">
        <v>0</v>
      </c>
      <c r="J252" s="59">
        <v>0</v>
      </c>
      <c r="K252" s="59">
        <v>0</v>
      </c>
      <c r="L252" s="59">
        <v>0</v>
      </c>
      <c r="M252" s="59">
        <v>0</v>
      </c>
      <c r="N252" s="59">
        <v>0</v>
      </c>
      <c r="O252" s="59">
        <v>0</v>
      </c>
    </row>
    <row r="253" spans="1:15" ht="15.75" hidden="1" x14ac:dyDescent="0.2">
      <c r="A253" s="142"/>
      <c r="B253" s="143"/>
      <c r="C253" s="77" t="s">
        <v>11</v>
      </c>
      <c r="D253" s="59">
        <f t="shared" si="82"/>
        <v>0</v>
      </c>
      <c r="E253" s="59">
        <v>0</v>
      </c>
      <c r="F253" s="59">
        <v>0</v>
      </c>
      <c r="G253" s="59">
        <v>0</v>
      </c>
      <c r="H253" s="59">
        <v>0</v>
      </c>
      <c r="I253" s="59">
        <v>0</v>
      </c>
      <c r="J253" s="59">
        <v>0</v>
      </c>
      <c r="K253" s="59">
        <v>0</v>
      </c>
      <c r="L253" s="59">
        <v>0</v>
      </c>
      <c r="M253" s="59">
        <v>0</v>
      </c>
      <c r="N253" s="59">
        <v>0</v>
      </c>
      <c r="O253" s="59">
        <v>0</v>
      </c>
    </row>
    <row r="254" spans="1:15" ht="15.75" hidden="1" x14ac:dyDescent="0.2">
      <c r="A254" s="142"/>
      <c r="B254" s="143"/>
      <c r="C254" s="77" t="s">
        <v>12</v>
      </c>
      <c r="D254" s="59">
        <f t="shared" si="82"/>
        <v>0</v>
      </c>
      <c r="E254" s="59">
        <v>0</v>
      </c>
      <c r="F254" s="59">
        <v>0</v>
      </c>
      <c r="G254" s="59">
        <v>0</v>
      </c>
      <c r="H254" s="59">
        <v>0</v>
      </c>
      <c r="I254" s="59">
        <v>0</v>
      </c>
      <c r="J254" s="59">
        <v>0</v>
      </c>
      <c r="K254" s="59">
        <v>0</v>
      </c>
      <c r="L254" s="59">
        <v>0</v>
      </c>
      <c r="M254" s="59">
        <v>0</v>
      </c>
      <c r="N254" s="59">
        <v>0</v>
      </c>
      <c r="O254" s="59">
        <v>0</v>
      </c>
    </row>
    <row r="255" spans="1:15" ht="21.75" hidden="1" customHeight="1" x14ac:dyDescent="0.2">
      <c r="A255" s="142"/>
      <c r="B255" s="144"/>
      <c r="C255" s="79" t="s">
        <v>13</v>
      </c>
      <c r="D255" s="59">
        <f t="shared" si="82"/>
        <v>0</v>
      </c>
      <c r="E255" s="59">
        <v>0</v>
      </c>
      <c r="F255" s="59">
        <v>0</v>
      </c>
      <c r="G255" s="59">
        <v>0</v>
      </c>
      <c r="H255" s="59">
        <v>0</v>
      </c>
      <c r="I255" s="59">
        <v>0</v>
      </c>
      <c r="J255" s="59">
        <v>0</v>
      </c>
      <c r="K255" s="59">
        <v>0</v>
      </c>
      <c r="L255" s="59">
        <v>0</v>
      </c>
      <c r="M255" s="59">
        <v>0</v>
      </c>
      <c r="N255" s="59">
        <v>0</v>
      </c>
      <c r="O255" s="59">
        <v>0</v>
      </c>
    </row>
    <row r="256" spans="1:15" ht="15.75" x14ac:dyDescent="0.2">
      <c r="A256" s="141" t="s">
        <v>304</v>
      </c>
      <c r="B256" s="138" t="s">
        <v>323</v>
      </c>
      <c r="C256" s="79" t="s">
        <v>7</v>
      </c>
      <c r="D256" s="59">
        <f t="shared" si="82"/>
        <v>1919</v>
      </c>
      <c r="E256" s="59">
        <f t="shared" ref="E256:J256" si="88">E257+E258+E259+E260</f>
        <v>0</v>
      </c>
      <c r="F256" s="59">
        <f t="shared" si="88"/>
        <v>0</v>
      </c>
      <c r="G256" s="59">
        <f t="shared" si="88"/>
        <v>0</v>
      </c>
      <c r="H256" s="59">
        <f t="shared" si="88"/>
        <v>0</v>
      </c>
      <c r="I256" s="59">
        <f t="shared" si="88"/>
        <v>0</v>
      </c>
      <c r="J256" s="59">
        <f t="shared" si="88"/>
        <v>1919</v>
      </c>
      <c r="K256" s="59">
        <f>K257+K258+K259+K260</f>
        <v>0</v>
      </c>
      <c r="L256" s="59">
        <f>L257+L258+L259+L260</f>
        <v>0</v>
      </c>
      <c r="M256" s="59">
        <f>M257+M258+M259+M260</f>
        <v>0</v>
      </c>
      <c r="N256" s="59">
        <f>N257+N258+N259+N260</f>
        <v>0</v>
      </c>
      <c r="O256" s="59">
        <f>O257+O258+O259+O260</f>
        <v>0</v>
      </c>
    </row>
    <row r="257" spans="1:16" ht="15.75" x14ac:dyDescent="0.2">
      <c r="A257" s="142"/>
      <c r="B257" s="143"/>
      <c r="C257" s="79" t="s">
        <v>10</v>
      </c>
      <c r="D257" s="59">
        <f t="shared" si="82"/>
        <v>0</v>
      </c>
      <c r="E257" s="59">
        <v>0</v>
      </c>
      <c r="F257" s="59">
        <v>0</v>
      </c>
      <c r="G257" s="59">
        <v>0</v>
      </c>
      <c r="H257" s="59">
        <v>0</v>
      </c>
      <c r="I257" s="59">
        <v>0</v>
      </c>
      <c r="J257" s="59">
        <v>0</v>
      </c>
      <c r="K257" s="59">
        <v>0</v>
      </c>
      <c r="L257" s="59">
        <v>0</v>
      </c>
      <c r="M257" s="59">
        <v>0</v>
      </c>
      <c r="N257" s="59">
        <v>0</v>
      </c>
      <c r="O257" s="59">
        <v>0</v>
      </c>
    </row>
    <row r="258" spans="1:16" ht="15.75" x14ac:dyDescent="0.2">
      <c r="A258" s="142"/>
      <c r="B258" s="143"/>
      <c r="C258" s="79" t="s">
        <v>11</v>
      </c>
      <c r="D258" s="59">
        <f t="shared" si="82"/>
        <v>0</v>
      </c>
      <c r="E258" s="59">
        <v>0</v>
      </c>
      <c r="F258" s="59">
        <v>0</v>
      </c>
      <c r="G258" s="59">
        <v>0</v>
      </c>
      <c r="H258" s="59">
        <v>0</v>
      </c>
      <c r="I258" s="59">
        <v>0</v>
      </c>
      <c r="J258" s="59">
        <v>0</v>
      </c>
      <c r="K258" s="59">
        <v>0</v>
      </c>
      <c r="L258" s="59">
        <v>0</v>
      </c>
      <c r="M258" s="59">
        <v>0</v>
      </c>
      <c r="N258" s="59">
        <v>0</v>
      </c>
      <c r="O258" s="59">
        <v>0</v>
      </c>
    </row>
    <row r="259" spans="1:16" ht="15.75" x14ac:dyDescent="0.2">
      <c r="A259" s="142"/>
      <c r="B259" s="143"/>
      <c r="C259" s="79" t="s">
        <v>12</v>
      </c>
      <c r="D259" s="59">
        <f t="shared" si="82"/>
        <v>1919</v>
      </c>
      <c r="E259" s="59">
        <v>0</v>
      </c>
      <c r="F259" s="59">
        <v>0</v>
      </c>
      <c r="G259" s="59">
        <v>0</v>
      </c>
      <c r="H259" s="59">
        <v>0</v>
      </c>
      <c r="I259" s="59">
        <v>0</v>
      </c>
      <c r="J259" s="59">
        <f>2000-81</f>
        <v>1919</v>
      </c>
      <c r="K259" s="59">
        <v>0</v>
      </c>
      <c r="L259" s="59">
        <v>0</v>
      </c>
      <c r="M259" s="59">
        <v>0</v>
      </c>
      <c r="N259" s="59">
        <v>0</v>
      </c>
      <c r="O259" s="59">
        <v>0</v>
      </c>
    </row>
    <row r="260" spans="1:16" ht="23.25" customHeight="1" x14ac:dyDescent="0.2">
      <c r="A260" s="142"/>
      <c r="B260" s="144"/>
      <c r="C260" s="79" t="s">
        <v>13</v>
      </c>
      <c r="D260" s="59">
        <f t="shared" si="82"/>
        <v>0</v>
      </c>
      <c r="E260" s="59">
        <v>0</v>
      </c>
      <c r="F260" s="59">
        <v>0</v>
      </c>
      <c r="G260" s="59">
        <v>0</v>
      </c>
      <c r="H260" s="59">
        <v>0</v>
      </c>
      <c r="I260" s="59">
        <v>0</v>
      </c>
      <c r="J260" s="59">
        <v>0</v>
      </c>
      <c r="K260" s="59">
        <v>0</v>
      </c>
      <c r="L260" s="59">
        <v>0</v>
      </c>
      <c r="M260" s="59">
        <v>0</v>
      </c>
      <c r="N260" s="59">
        <v>0</v>
      </c>
      <c r="O260" s="59">
        <v>0</v>
      </c>
    </row>
    <row r="261" spans="1:16" ht="15.75" x14ac:dyDescent="0.2">
      <c r="A261" s="141" t="s">
        <v>319</v>
      </c>
      <c r="B261" s="138" t="s">
        <v>324</v>
      </c>
      <c r="C261" s="79" t="s">
        <v>7</v>
      </c>
      <c r="D261" s="59">
        <f t="shared" si="82"/>
        <v>15546.3</v>
      </c>
      <c r="E261" s="59">
        <f t="shared" ref="E261:J261" si="89">E262+E263+E264+E265</f>
        <v>0</v>
      </c>
      <c r="F261" s="59">
        <f t="shared" si="89"/>
        <v>0</v>
      </c>
      <c r="G261" s="59">
        <f t="shared" si="89"/>
        <v>0</v>
      </c>
      <c r="H261" s="59">
        <f t="shared" si="89"/>
        <v>0</v>
      </c>
      <c r="I261" s="59">
        <f t="shared" si="89"/>
        <v>0</v>
      </c>
      <c r="J261" s="59">
        <f t="shared" si="89"/>
        <v>7794.2999999999993</v>
      </c>
      <c r="K261" s="59">
        <f>K262+K263+K264+K265</f>
        <v>7752</v>
      </c>
      <c r="L261" s="59">
        <f>L262+L263+L264+L265</f>
        <v>0</v>
      </c>
      <c r="M261" s="59">
        <f>M262+M263+M264+M265</f>
        <v>0</v>
      </c>
      <c r="N261" s="59">
        <f>N262+N263+N264+N265</f>
        <v>0</v>
      </c>
      <c r="O261" s="59">
        <f>O262+O263+O264+O265</f>
        <v>0</v>
      </c>
    </row>
    <row r="262" spans="1:16" ht="16.5" customHeight="1" x14ac:dyDescent="0.2">
      <c r="A262" s="142"/>
      <c r="B262" s="143"/>
      <c r="C262" s="77" t="s">
        <v>10</v>
      </c>
      <c r="D262" s="59">
        <f t="shared" si="82"/>
        <v>0</v>
      </c>
      <c r="E262" s="59">
        <v>0</v>
      </c>
      <c r="F262" s="59">
        <v>0</v>
      </c>
      <c r="G262" s="59">
        <v>0</v>
      </c>
      <c r="H262" s="59">
        <v>0</v>
      </c>
      <c r="I262" s="59">
        <v>0</v>
      </c>
      <c r="J262" s="59">
        <v>0</v>
      </c>
      <c r="K262" s="59">
        <v>0</v>
      </c>
      <c r="L262" s="59">
        <v>0</v>
      </c>
      <c r="M262" s="59">
        <v>0</v>
      </c>
      <c r="N262" s="59">
        <v>0</v>
      </c>
      <c r="O262" s="59">
        <v>0</v>
      </c>
    </row>
    <row r="263" spans="1:16" ht="16.5" customHeight="1" x14ac:dyDescent="0.2">
      <c r="A263" s="142"/>
      <c r="B263" s="143"/>
      <c r="C263" s="77" t="s">
        <v>11</v>
      </c>
      <c r="D263" s="59">
        <f t="shared" si="82"/>
        <v>0</v>
      </c>
      <c r="E263" s="59">
        <v>0</v>
      </c>
      <c r="F263" s="59">
        <v>0</v>
      </c>
      <c r="G263" s="59">
        <v>0</v>
      </c>
      <c r="H263" s="59">
        <v>0</v>
      </c>
      <c r="I263" s="59">
        <v>0</v>
      </c>
      <c r="J263" s="59">
        <v>0</v>
      </c>
      <c r="K263" s="59">
        <v>0</v>
      </c>
      <c r="L263" s="59">
        <v>0</v>
      </c>
      <c r="M263" s="59">
        <v>0</v>
      </c>
      <c r="N263" s="59">
        <v>0</v>
      </c>
      <c r="O263" s="59">
        <v>0</v>
      </c>
    </row>
    <row r="264" spans="1:16" ht="16.5" customHeight="1" x14ac:dyDescent="0.2">
      <c r="A264" s="142"/>
      <c r="B264" s="143"/>
      <c r="C264" s="77" t="s">
        <v>12</v>
      </c>
      <c r="D264" s="59">
        <f t="shared" si="82"/>
        <v>15546.3</v>
      </c>
      <c r="E264" s="59">
        <v>0</v>
      </c>
      <c r="F264" s="59">
        <v>0</v>
      </c>
      <c r="G264" s="59">
        <v>0</v>
      </c>
      <c r="H264" s="59">
        <v>0</v>
      </c>
      <c r="I264" s="59">
        <v>0</v>
      </c>
      <c r="J264" s="59">
        <f>8000-205.6-0.1</f>
        <v>7794.2999999999993</v>
      </c>
      <c r="K264" s="59">
        <f>8000-300+52</f>
        <v>7752</v>
      </c>
      <c r="L264" s="59">
        <v>0</v>
      </c>
      <c r="M264" s="59">
        <v>0</v>
      </c>
      <c r="N264" s="59">
        <v>0</v>
      </c>
      <c r="O264" s="59">
        <v>0</v>
      </c>
    </row>
    <row r="265" spans="1:16" ht="27.75" customHeight="1" x14ac:dyDescent="0.2">
      <c r="A265" s="142"/>
      <c r="B265" s="144"/>
      <c r="C265" s="79" t="s">
        <v>13</v>
      </c>
      <c r="D265" s="59">
        <f t="shared" si="82"/>
        <v>0</v>
      </c>
      <c r="E265" s="59">
        <v>0</v>
      </c>
      <c r="F265" s="59">
        <v>0</v>
      </c>
      <c r="G265" s="59">
        <v>0</v>
      </c>
      <c r="H265" s="59">
        <v>0</v>
      </c>
      <c r="I265" s="59">
        <v>0</v>
      </c>
      <c r="J265" s="59">
        <v>0</v>
      </c>
      <c r="K265" s="59">
        <v>0</v>
      </c>
      <c r="L265" s="59">
        <v>0</v>
      </c>
      <c r="M265" s="59">
        <v>0</v>
      </c>
      <c r="N265" s="59">
        <v>0</v>
      </c>
      <c r="O265" s="59">
        <v>0</v>
      </c>
    </row>
    <row r="266" spans="1:16" ht="15.75" x14ac:dyDescent="0.2">
      <c r="A266" s="141" t="s">
        <v>321</v>
      </c>
      <c r="B266" s="141" t="s">
        <v>339</v>
      </c>
      <c r="C266" s="79" t="s">
        <v>7</v>
      </c>
      <c r="D266" s="59">
        <f t="shared" ref="D266:D275" si="90">E266+F266+G266+H266+I266+J266+K266+L266+M266+N266+O266</f>
        <v>9202</v>
      </c>
      <c r="E266" s="59">
        <f t="shared" ref="E266:J266" si="91">E267+E268+E269+E270</f>
        <v>0</v>
      </c>
      <c r="F266" s="59">
        <f t="shared" si="91"/>
        <v>0</v>
      </c>
      <c r="G266" s="59">
        <f t="shared" si="91"/>
        <v>0</v>
      </c>
      <c r="H266" s="59">
        <f t="shared" si="91"/>
        <v>0</v>
      </c>
      <c r="I266" s="59">
        <f t="shared" si="91"/>
        <v>0</v>
      </c>
      <c r="J266" s="59">
        <f t="shared" si="91"/>
        <v>9202</v>
      </c>
      <c r="K266" s="59">
        <f>K267+K268+K269+K270</f>
        <v>0</v>
      </c>
      <c r="L266" s="59">
        <f>L267+L268+L269+L270</f>
        <v>0</v>
      </c>
      <c r="M266" s="59">
        <f>M267+M268+M269+M270</f>
        <v>0</v>
      </c>
      <c r="N266" s="59">
        <f>N267+N268+N269+N270</f>
        <v>0</v>
      </c>
      <c r="O266" s="59">
        <f>O267+O268+O269+O270</f>
        <v>0</v>
      </c>
    </row>
    <row r="267" spans="1:16" ht="16.5" customHeight="1" x14ac:dyDescent="0.2">
      <c r="A267" s="142"/>
      <c r="B267" s="142"/>
      <c r="C267" s="77" t="s">
        <v>10</v>
      </c>
      <c r="D267" s="59">
        <f t="shared" si="90"/>
        <v>0</v>
      </c>
      <c r="E267" s="59">
        <v>0</v>
      </c>
      <c r="F267" s="59">
        <v>0</v>
      </c>
      <c r="G267" s="59">
        <v>0</v>
      </c>
      <c r="H267" s="59">
        <v>0</v>
      </c>
      <c r="I267" s="59">
        <v>0</v>
      </c>
      <c r="J267" s="59">
        <v>0</v>
      </c>
      <c r="K267" s="59">
        <v>0</v>
      </c>
      <c r="L267" s="59">
        <v>0</v>
      </c>
      <c r="M267" s="59">
        <v>0</v>
      </c>
      <c r="N267" s="59">
        <v>0</v>
      </c>
      <c r="O267" s="59">
        <v>0</v>
      </c>
    </row>
    <row r="268" spans="1:16" ht="16.5" customHeight="1" x14ac:dyDescent="0.2">
      <c r="A268" s="142"/>
      <c r="B268" s="142"/>
      <c r="C268" s="77" t="s">
        <v>11</v>
      </c>
      <c r="D268" s="59">
        <f t="shared" si="90"/>
        <v>0</v>
      </c>
      <c r="E268" s="59">
        <v>0</v>
      </c>
      <c r="F268" s="59">
        <v>0</v>
      </c>
      <c r="G268" s="59">
        <v>0</v>
      </c>
      <c r="H268" s="59">
        <v>0</v>
      </c>
      <c r="I268" s="59">
        <v>0</v>
      </c>
      <c r="J268" s="59">
        <v>0</v>
      </c>
      <c r="K268" s="59">
        <v>0</v>
      </c>
      <c r="L268" s="59">
        <v>0</v>
      </c>
      <c r="M268" s="59">
        <v>0</v>
      </c>
      <c r="N268" s="59">
        <v>0</v>
      </c>
      <c r="O268" s="59">
        <v>0</v>
      </c>
    </row>
    <row r="269" spans="1:16" ht="16.5" customHeight="1" x14ac:dyDescent="0.2">
      <c r="A269" s="142"/>
      <c r="B269" s="142"/>
      <c r="C269" s="77" t="s">
        <v>12</v>
      </c>
      <c r="D269" s="59">
        <f t="shared" si="90"/>
        <v>9202</v>
      </c>
      <c r="E269" s="59">
        <v>0</v>
      </c>
      <c r="F269" s="59">
        <v>0</v>
      </c>
      <c r="G269" s="59">
        <v>0</v>
      </c>
      <c r="H269" s="59">
        <v>0</v>
      </c>
      <c r="I269" s="59">
        <v>0</v>
      </c>
      <c r="J269" s="59">
        <f>10000-798</f>
        <v>9202</v>
      </c>
      <c r="K269" s="59">
        <v>0</v>
      </c>
      <c r="L269" s="59">
        <v>0</v>
      </c>
      <c r="M269" s="59">
        <v>0</v>
      </c>
      <c r="N269" s="59">
        <v>0</v>
      </c>
      <c r="O269" s="59">
        <v>0</v>
      </c>
    </row>
    <row r="270" spans="1:16" ht="24.75" customHeight="1" x14ac:dyDescent="0.2">
      <c r="A270" s="142"/>
      <c r="B270" s="142"/>
      <c r="C270" s="79" t="s">
        <v>13</v>
      </c>
      <c r="D270" s="59">
        <f t="shared" si="90"/>
        <v>0</v>
      </c>
      <c r="E270" s="59">
        <v>0</v>
      </c>
      <c r="F270" s="59">
        <v>0</v>
      </c>
      <c r="G270" s="59">
        <v>0</v>
      </c>
      <c r="H270" s="59">
        <v>0</v>
      </c>
      <c r="I270" s="59">
        <v>0</v>
      </c>
      <c r="J270" s="59">
        <v>0</v>
      </c>
      <c r="K270" s="59">
        <v>0</v>
      </c>
      <c r="L270" s="59">
        <v>0</v>
      </c>
      <c r="M270" s="59">
        <v>0</v>
      </c>
      <c r="N270" s="59">
        <v>0</v>
      </c>
      <c r="O270" s="59">
        <v>0</v>
      </c>
    </row>
    <row r="271" spans="1:16" ht="41.25" customHeight="1" x14ac:dyDescent="0.2">
      <c r="A271" s="141" t="s">
        <v>322</v>
      </c>
      <c r="B271" s="141" t="s">
        <v>373</v>
      </c>
      <c r="C271" s="79" t="s">
        <v>7</v>
      </c>
      <c r="D271" s="59">
        <f t="shared" si="90"/>
        <v>8744.6</v>
      </c>
      <c r="E271" s="59">
        <f t="shared" ref="E271:J271" si="92">E272+E273+E274+E275</f>
        <v>0</v>
      </c>
      <c r="F271" s="59">
        <f t="shared" si="92"/>
        <v>0</v>
      </c>
      <c r="G271" s="59">
        <f t="shared" si="92"/>
        <v>0</v>
      </c>
      <c r="H271" s="59">
        <f>H272+H273+H274+H275</f>
        <v>0</v>
      </c>
      <c r="I271" s="59">
        <f t="shared" si="92"/>
        <v>0</v>
      </c>
      <c r="J271" s="59">
        <f t="shared" si="92"/>
        <v>8679.5</v>
      </c>
      <c r="K271" s="59">
        <f>K272+K273+K274+K275</f>
        <v>65.099999999999994</v>
      </c>
      <c r="L271" s="59">
        <f>L272+L273+L274+L275</f>
        <v>0</v>
      </c>
      <c r="M271" s="59">
        <f>M272+M273+M274+M275</f>
        <v>0</v>
      </c>
      <c r="N271" s="59">
        <f>N272+N273+N274+N275</f>
        <v>0</v>
      </c>
      <c r="O271" s="59">
        <f>O272+O273+O274+O275</f>
        <v>0</v>
      </c>
      <c r="P271" s="64" t="s">
        <v>348</v>
      </c>
    </row>
    <row r="272" spans="1:16" ht="16.5" customHeight="1" x14ac:dyDescent="0.2">
      <c r="A272" s="142"/>
      <c r="B272" s="142"/>
      <c r="C272" s="77" t="s">
        <v>10</v>
      </c>
      <c r="D272" s="59">
        <f t="shared" si="90"/>
        <v>0</v>
      </c>
      <c r="E272" s="59">
        <v>0</v>
      </c>
      <c r="F272" s="59">
        <v>0</v>
      </c>
      <c r="G272" s="59">
        <v>0</v>
      </c>
      <c r="H272" s="59">
        <v>0</v>
      </c>
      <c r="I272" s="59">
        <v>0</v>
      </c>
      <c r="J272" s="59">
        <v>0</v>
      </c>
      <c r="K272" s="59">
        <v>0</v>
      </c>
      <c r="L272" s="59">
        <v>0</v>
      </c>
      <c r="M272" s="59">
        <v>0</v>
      </c>
      <c r="N272" s="59">
        <v>0</v>
      </c>
      <c r="O272" s="59">
        <v>0</v>
      </c>
    </row>
    <row r="273" spans="1:24" ht="16.5" customHeight="1" x14ac:dyDescent="0.2">
      <c r="A273" s="142"/>
      <c r="B273" s="142"/>
      <c r="C273" s="77" t="s">
        <v>11</v>
      </c>
      <c r="D273" s="59">
        <f t="shared" si="90"/>
        <v>0</v>
      </c>
      <c r="E273" s="59">
        <v>0</v>
      </c>
      <c r="F273" s="59">
        <v>0</v>
      </c>
      <c r="G273" s="59">
        <v>0</v>
      </c>
      <c r="H273" s="59">
        <v>0</v>
      </c>
      <c r="I273" s="59">
        <v>0</v>
      </c>
      <c r="J273" s="59">
        <v>0</v>
      </c>
      <c r="K273" s="59">
        <v>0</v>
      </c>
      <c r="L273" s="59">
        <v>0</v>
      </c>
      <c r="M273" s="59">
        <v>0</v>
      </c>
      <c r="N273" s="59">
        <v>0</v>
      </c>
      <c r="O273" s="59">
        <v>0</v>
      </c>
    </row>
    <row r="274" spans="1:24" ht="16.5" customHeight="1" x14ac:dyDescent="0.2">
      <c r="A274" s="142"/>
      <c r="B274" s="142"/>
      <c r="C274" s="77" t="s">
        <v>12</v>
      </c>
      <c r="D274" s="59">
        <f t="shared" si="90"/>
        <v>8744.6</v>
      </c>
      <c r="E274" s="59">
        <v>0</v>
      </c>
      <c r="F274" s="59">
        <v>0</v>
      </c>
      <c r="G274" s="59">
        <v>0</v>
      </c>
      <c r="H274" s="59">
        <v>0</v>
      </c>
      <c r="I274" s="59">
        <v>0</v>
      </c>
      <c r="J274" s="59">
        <f>8846.9-23.4-144</f>
        <v>8679.5</v>
      </c>
      <c r="K274" s="59">
        <f>0+65.1</f>
        <v>65.099999999999994</v>
      </c>
      <c r="L274" s="59">
        <v>0</v>
      </c>
      <c r="M274" s="59">
        <v>0</v>
      </c>
      <c r="N274" s="59">
        <v>0</v>
      </c>
      <c r="O274" s="59">
        <v>0</v>
      </c>
    </row>
    <row r="275" spans="1:24" ht="16.5" customHeight="1" x14ac:dyDescent="0.2">
      <c r="A275" s="142"/>
      <c r="B275" s="142"/>
      <c r="C275" s="79" t="s">
        <v>13</v>
      </c>
      <c r="D275" s="59">
        <f t="shared" si="90"/>
        <v>0</v>
      </c>
      <c r="E275" s="59">
        <v>0</v>
      </c>
      <c r="F275" s="59">
        <v>0</v>
      </c>
      <c r="G275" s="59">
        <v>0</v>
      </c>
      <c r="H275" s="59">
        <v>0</v>
      </c>
      <c r="I275" s="59">
        <v>0</v>
      </c>
      <c r="J275" s="59">
        <v>0</v>
      </c>
      <c r="K275" s="59">
        <v>0</v>
      </c>
      <c r="L275" s="59">
        <v>0</v>
      </c>
      <c r="M275" s="59">
        <v>0</v>
      </c>
      <c r="N275" s="59">
        <v>0</v>
      </c>
      <c r="O275" s="59">
        <v>0</v>
      </c>
    </row>
    <row r="276" spans="1:24" ht="42" hidden="1" customHeight="1" x14ac:dyDescent="0.2">
      <c r="A276" s="141" t="s">
        <v>428</v>
      </c>
      <c r="B276" s="141" t="s">
        <v>379</v>
      </c>
      <c r="C276" s="79" t="s">
        <v>7</v>
      </c>
      <c r="D276" s="59">
        <f t="shared" ref="D276:D297" si="93">E276+F276+G276+H276+I276+J276+K276+L276+M276+N276+O276</f>
        <v>0</v>
      </c>
      <c r="E276" s="59">
        <f t="shared" ref="E276:O276" si="94">E277+E278+E279+E280</f>
        <v>0</v>
      </c>
      <c r="F276" s="59">
        <f t="shared" si="94"/>
        <v>0</v>
      </c>
      <c r="G276" s="59">
        <f t="shared" si="94"/>
        <v>0</v>
      </c>
      <c r="H276" s="59">
        <f t="shared" si="94"/>
        <v>0</v>
      </c>
      <c r="I276" s="59">
        <f t="shared" si="94"/>
        <v>0</v>
      </c>
      <c r="J276" s="59">
        <f t="shared" si="94"/>
        <v>0</v>
      </c>
      <c r="K276" s="59">
        <f t="shared" si="94"/>
        <v>0</v>
      </c>
      <c r="L276" s="59">
        <f t="shared" si="94"/>
        <v>0</v>
      </c>
      <c r="M276" s="59">
        <f t="shared" si="94"/>
        <v>0</v>
      </c>
      <c r="N276" s="59">
        <f t="shared" si="94"/>
        <v>0</v>
      </c>
      <c r="O276" s="59">
        <f t="shared" si="94"/>
        <v>0</v>
      </c>
    </row>
    <row r="277" spans="1:24" ht="16.5" hidden="1" customHeight="1" x14ac:dyDescent="0.2">
      <c r="A277" s="142"/>
      <c r="B277" s="142"/>
      <c r="C277" s="77" t="s">
        <v>10</v>
      </c>
      <c r="D277" s="59">
        <f t="shared" si="93"/>
        <v>0</v>
      </c>
      <c r="E277" s="59">
        <v>0</v>
      </c>
      <c r="F277" s="59">
        <v>0</v>
      </c>
      <c r="G277" s="59">
        <v>0</v>
      </c>
      <c r="H277" s="59">
        <v>0</v>
      </c>
      <c r="I277" s="59">
        <v>0</v>
      </c>
      <c r="J277" s="59">
        <v>0</v>
      </c>
      <c r="K277" s="59">
        <v>0</v>
      </c>
      <c r="L277" s="59">
        <v>0</v>
      </c>
      <c r="M277" s="59">
        <v>0</v>
      </c>
      <c r="N277" s="59">
        <v>0</v>
      </c>
      <c r="O277" s="59">
        <v>0</v>
      </c>
    </row>
    <row r="278" spans="1:24" ht="16.5" hidden="1" customHeight="1" x14ac:dyDescent="0.2">
      <c r="A278" s="142"/>
      <c r="B278" s="142"/>
      <c r="C278" s="77" t="s">
        <v>11</v>
      </c>
      <c r="D278" s="59">
        <f t="shared" si="93"/>
        <v>0</v>
      </c>
      <c r="E278" s="59">
        <v>0</v>
      </c>
      <c r="F278" s="59">
        <v>0</v>
      </c>
      <c r="G278" s="59">
        <v>0</v>
      </c>
      <c r="H278" s="59">
        <v>0</v>
      </c>
      <c r="I278" s="59">
        <v>0</v>
      </c>
      <c r="J278" s="59">
        <v>0</v>
      </c>
      <c r="K278" s="59">
        <v>0</v>
      </c>
      <c r="L278" s="59">
        <f>23500-23500</f>
        <v>0</v>
      </c>
      <c r="M278" s="59">
        <v>0</v>
      </c>
      <c r="N278" s="59">
        <v>0</v>
      </c>
      <c r="O278" s="59">
        <v>0</v>
      </c>
      <c r="X278" s="64" t="s">
        <v>426</v>
      </c>
    </row>
    <row r="279" spans="1:24" ht="16.5" hidden="1" customHeight="1" x14ac:dyDescent="0.2">
      <c r="A279" s="142"/>
      <c r="B279" s="142"/>
      <c r="C279" s="77" t="s">
        <v>12</v>
      </c>
      <c r="D279" s="59">
        <f t="shared" si="93"/>
        <v>0</v>
      </c>
      <c r="E279" s="59">
        <v>0</v>
      </c>
      <c r="F279" s="59">
        <v>0</v>
      </c>
      <c r="G279" s="59">
        <v>0</v>
      </c>
      <c r="H279" s="59">
        <v>0</v>
      </c>
      <c r="I279" s="59">
        <v>0</v>
      </c>
      <c r="J279" s="59">
        <v>0</v>
      </c>
      <c r="K279" s="59">
        <v>0</v>
      </c>
      <c r="L279" s="59">
        <f>1500-1500</f>
        <v>0</v>
      </c>
      <c r="M279" s="59">
        <v>0</v>
      </c>
      <c r="N279" s="59">
        <v>0</v>
      </c>
      <c r="O279" s="59">
        <v>0</v>
      </c>
    </row>
    <row r="280" spans="1:24" ht="23.25" hidden="1" customHeight="1" x14ac:dyDescent="0.2">
      <c r="A280" s="142"/>
      <c r="B280" s="142"/>
      <c r="C280" s="79" t="s">
        <v>13</v>
      </c>
      <c r="D280" s="59">
        <f t="shared" si="93"/>
        <v>0</v>
      </c>
      <c r="E280" s="59">
        <v>0</v>
      </c>
      <c r="F280" s="59">
        <v>0</v>
      </c>
      <c r="G280" s="59">
        <v>0</v>
      </c>
      <c r="H280" s="59">
        <v>0</v>
      </c>
      <c r="I280" s="59">
        <v>0</v>
      </c>
      <c r="J280" s="59">
        <v>0</v>
      </c>
      <c r="K280" s="59">
        <v>0</v>
      </c>
      <c r="L280" s="59">
        <v>0</v>
      </c>
      <c r="M280" s="59">
        <v>0</v>
      </c>
      <c r="N280" s="59">
        <v>0</v>
      </c>
      <c r="O280" s="59">
        <v>0</v>
      </c>
    </row>
    <row r="281" spans="1:24" ht="15.75" x14ac:dyDescent="0.2">
      <c r="A281" s="141" t="s">
        <v>336</v>
      </c>
      <c r="B281" s="141" t="s">
        <v>366</v>
      </c>
      <c r="C281" s="79" t="s">
        <v>7</v>
      </c>
      <c r="D281" s="59">
        <f t="shared" si="93"/>
        <v>589.1</v>
      </c>
      <c r="E281" s="59">
        <f t="shared" ref="E281:O281" si="95">E282+E283+E284+E285</f>
        <v>0</v>
      </c>
      <c r="F281" s="59">
        <f t="shared" si="95"/>
        <v>0</v>
      </c>
      <c r="G281" s="59">
        <f t="shared" si="95"/>
        <v>0</v>
      </c>
      <c r="H281" s="59">
        <f t="shared" si="95"/>
        <v>0</v>
      </c>
      <c r="I281" s="59">
        <f t="shared" si="95"/>
        <v>0</v>
      </c>
      <c r="J281" s="59">
        <f t="shared" si="95"/>
        <v>0</v>
      </c>
      <c r="K281" s="59">
        <f t="shared" si="95"/>
        <v>589.1</v>
      </c>
      <c r="L281" s="59">
        <f t="shared" si="95"/>
        <v>0</v>
      </c>
      <c r="M281" s="59">
        <f t="shared" si="95"/>
        <v>0</v>
      </c>
      <c r="N281" s="59">
        <f t="shared" si="95"/>
        <v>0</v>
      </c>
      <c r="O281" s="59">
        <f t="shared" si="95"/>
        <v>0</v>
      </c>
    </row>
    <row r="282" spans="1:24" ht="16.5" customHeight="1" x14ac:dyDescent="0.2">
      <c r="A282" s="142"/>
      <c r="B282" s="142"/>
      <c r="C282" s="77" t="s">
        <v>10</v>
      </c>
      <c r="D282" s="59">
        <f t="shared" si="93"/>
        <v>0</v>
      </c>
      <c r="E282" s="59">
        <v>0</v>
      </c>
      <c r="F282" s="59">
        <v>0</v>
      </c>
      <c r="G282" s="59">
        <v>0</v>
      </c>
      <c r="H282" s="59">
        <v>0</v>
      </c>
      <c r="I282" s="59">
        <v>0</v>
      </c>
      <c r="J282" s="59">
        <v>0</v>
      </c>
      <c r="K282" s="59">
        <v>0</v>
      </c>
      <c r="L282" s="59">
        <v>0</v>
      </c>
      <c r="M282" s="59">
        <v>0</v>
      </c>
      <c r="N282" s="59">
        <v>0</v>
      </c>
      <c r="O282" s="59">
        <v>0</v>
      </c>
    </row>
    <row r="283" spans="1:24" ht="16.5" customHeight="1" x14ac:dyDescent="0.2">
      <c r="A283" s="142"/>
      <c r="B283" s="142"/>
      <c r="C283" s="77" t="s">
        <v>11</v>
      </c>
      <c r="D283" s="59">
        <f t="shared" si="93"/>
        <v>0</v>
      </c>
      <c r="E283" s="59">
        <v>0</v>
      </c>
      <c r="F283" s="59">
        <v>0</v>
      </c>
      <c r="G283" s="59">
        <v>0</v>
      </c>
      <c r="H283" s="59">
        <v>0</v>
      </c>
      <c r="I283" s="59">
        <v>0</v>
      </c>
      <c r="J283" s="59">
        <v>0</v>
      </c>
      <c r="K283" s="59">
        <v>0</v>
      </c>
      <c r="L283" s="59">
        <v>0</v>
      </c>
      <c r="M283" s="59">
        <v>0</v>
      </c>
      <c r="N283" s="59">
        <v>0</v>
      </c>
      <c r="O283" s="59">
        <v>0</v>
      </c>
    </row>
    <row r="284" spans="1:24" ht="16.5" customHeight="1" x14ac:dyDescent="0.2">
      <c r="A284" s="142"/>
      <c r="B284" s="142"/>
      <c r="C284" s="77" t="s">
        <v>12</v>
      </c>
      <c r="D284" s="59">
        <f t="shared" si="93"/>
        <v>589.1</v>
      </c>
      <c r="E284" s="59">
        <v>0</v>
      </c>
      <c r="F284" s="59">
        <v>0</v>
      </c>
      <c r="G284" s="59">
        <v>0</v>
      </c>
      <c r="H284" s="59">
        <v>0</v>
      </c>
      <c r="I284" s="59">
        <v>0</v>
      </c>
      <c r="J284" s="59">
        <v>0</v>
      </c>
      <c r="K284" s="59">
        <f>2000-65.1-1345.7-0.1</f>
        <v>589.1</v>
      </c>
      <c r="L284" s="59">
        <v>0</v>
      </c>
      <c r="M284" s="59">
        <v>0</v>
      </c>
      <c r="N284" s="59">
        <v>0</v>
      </c>
      <c r="O284" s="59">
        <v>0</v>
      </c>
    </row>
    <row r="285" spans="1:24" ht="24" customHeight="1" x14ac:dyDescent="0.2">
      <c r="A285" s="142"/>
      <c r="B285" s="142"/>
      <c r="C285" s="79" t="s">
        <v>13</v>
      </c>
      <c r="D285" s="59">
        <f t="shared" si="93"/>
        <v>0</v>
      </c>
      <c r="E285" s="59">
        <v>0</v>
      </c>
      <c r="F285" s="59">
        <v>0</v>
      </c>
      <c r="G285" s="59">
        <v>0</v>
      </c>
      <c r="H285" s="59">
        <v>0</v>
      </c>
      <c r="I285" s="59">
        <v>0</v>
      </c>
      <c r="J285" s="59">
        <v>0</v>
      </c>
      <c r="K285" s="59">
        <v>0</v>
      </c>
      <c r="L285" s="59">
        <v>0</v>
      </c>
      <c r="M285" s="59">
        <v>0</v>
      </c>
      <c r="N285" s="59">
        <v>0</v>
      </c>
      <c r="O285" s="59">
        <v>0</v>
      </c>
    </row>
    <row r="286" spans="1:24" ht="15.75" hidden="1" x14ac:dyDescent="0.2">
      <c r="A286" s="141"/>
      <c r="B286" s="141" t="s">
        <v>390</v>
      </c>
      <c r="C286" s="79" t="s">
        <v>7</v>
      </c>
      <c r="D286" s="59">
        <f t="shared" si="93"/>
        <v>0</v>
      </c>
      <c r="E286" s="59">
        <f t="shared" ref="E286:O287" si="96">E287+E288+E289+E290</f>
        <v>0</v>
      </c>
      <c r="F286" s="59">
        <f t="shared" si="96"/>
        <v>0</v>
      </c>
      <c r="G286" s="59">
        <f t="shared" si="96"/>
        <v>0</v>
      </c>
      <c r="H286" s="59">
        <f t="shared" si="96"/>
        <v>0</v>
      </c>
      <c r="I286" s="59">
        <f t="shared" si="96"/>
        <v>0</v>
      </c>
      <c r="J286" s="59">
        <f t="shared" si="96"/>
        <v>0</v>
      </c>
      <c r="K286" s="59">
        <f t="shared" si="96"/>
        <v>0</v>
      </c>
      <c r="L286" s="59">
        <f t="shared" si="96"/>
        <v>0</v>
      </c>
      <c r="M286" s="59">
        <f t="shared" si="96"/>
        <v>0</v>
      </c>
      <c r="N286" s="59">
        <f t="shared" si="96"/>
        <v>0</v>
      </c>
      <c r="O286" s="59">
        <f t="shared" si="96"/>
        <v>0</v>
      </c>
    </row>
    <row r="287" spans="1:24" ht="16.5" hidden="1" customHeight="1" x14ac:dyDescent="0.2">
      <c r="A287" s="142"/>
      <c r="B287" s="142"/>
      <c r="C287" s="77" t="s">
        <v>10</v>
      </c>
      <c r="D287" s="59">
        <f t="shared" si="93"/>
        <v>0</v>
      </c>
      <c r="E287" s="59">
        <f t="shared" si="96"/>
        <v>0</v>
      </c>
      <c r="F287" s="59">
        <v>0</v>
      </c>
      <c r="G287" s="59">
        <v>0</v>
      </c>
      <c r="H287" s="59">
        <v>0</v>
      </c>
      <c r="I287" s="59">
        <v>0</v>
      </c>
      <c r="J287" s="59">
        <v>0</v>
      </c>
      <c r="K287" s="59">
        <v>0</v>
      </c>
      <c r="L287" s="59">
        <v>0</v>
      </c>
      <c r="M287" s="59">
        <v>0</v>
      </c>
      <c r="N287" s="59">
        <v>0</v>
      </c>
      <c r="O287" s="59">
        <v>0</v>
      </c>
    </row>
    <row r="288" spans="1:24" ht="16.5" hidden="1" customHeight="1" x14ac:dyDescent="0.2">
      <c r="A288" s="142"/>
      <c r="B288" s="142"/>
      <c r="C288" s="77" t="s">
        <v>11</v>
      </c>
      <c r="D288" s="59">
        <f t="shared" si="93"/>
        <v>0</v>
      </c>
      <c r="E288" s="59">
        <v>0</v>
      </c>
      <c r="F288" s="59">
        <v>0</v>
      </c>
      <c r="G288" s="59">
        <v>0</v>
      </c>
      <c r="H288" s="59">
        <v>0</v>
      </c>
      <c r="I288" s="59">
        <v>0</v>
      </c>
      <c r="J288" s="59">
        <v>0</v>
      </c>
      <c r="K288" s="59">
        <v>0</v>
      </c>
      <c r="L288" s="59">
        <v>0</v>
      </c>
      <c r="M288" s="59">
        <v>0</v>
      </c>
      <c r="N288" s="59">
        <v>0</v>
      </c>
      <c r="O288" s="59">
        <v>0</v>
      </c>
    </row>
    <row r="289" spans="1:24" ht="16.5" hidden="1" customHeight="1" x14ac:dyDescent="0.2">
      <c r="A289" s="142"/>
      <c r="B289" s="142"/>
      <c r="C289" s="77" t="s">
        <v>12</v>
      </c>
      <c r="D289" s="59">
        <f t="shared" si="93"/>
        <v>0</v>
      </c>
      <c r="E289" s="59">
        <v>0</v>
      </c>
      <c r="F289" s="59">
        <v>0</v>
      </c>
      <c r="G289" s="59">
        <v>0</v>
      </c>
      <c r="H289" s="59">
        <v>0</v>
      </c>
      <c r="I289" s="59">
        <v>0</v>
      </c>
      <c r="J289" s="59">
        <v>0</v>
      </c>
      <c r="K289" s="59">
        <v>0</v>
      </c>
      <c r="L289" s="59">
        <v>0</v>
      </c>
      <c r="M289" s="59">
        <v>0</v>
      </c>
      <c r="N289" s="59">
        <v>0</v>
      </c>
      <c r="O289" s="59">
        <v>0</v>
      </c>
    </row>
    <row r="290" spans="1:24" ht="21.75" hidden="1" customHeight="1" x14ac:dyDescent="0.2">
      <c r="A290" s="142"/>
      <c r="B290" s="142"/>
      <c r="C290" s="79" t="s">
        <v>13</v>
      </c>
      <c r="D290" s="59">
        <f t="shared" si="93"/>
        <v>0</v>
      </c>
      <c r="E290" s="59">
        <v>0</v>
      </c>
      <c r="F290" s="59">
        <v>0</v>
      </c>
      <c r="G290" s="59">
        <v>0</v>
      </c>
      <c r="H290" s="59">
        <v>0</v>
      </c>
      <c r="I290" s="59">
        <v>0</v>
      </c>
      <c r="J290" s="59">
        <v>0</v>
      </c>
      <c r="K290" s="59">
        <v>0</v>
      </c>
      <c r="L290" s="59">
        <v>0</v>
      </c>
      <c r="M290" s="59">
        <v>0</v>
      </c>
      <c r="N290" s="59">
        <v>0</v>
      </c>
      <c r="O290" s="59">
        <v>0</v>
      </c>
    </row>
    <row r="291" spans="1:24" ht="15.75" hidden="1" x14ac:dyDescent="0.2">
      <c r="A291" s="141"/>
      <c r="B291" s="141" t="s">
        <v>300</v>
      </c>
      <c r="C291" s="79" t="s">
        <v>7</v>
      </c>
      <c r="D291" s="59">
        <f t="shared" si="93"/>
        <v>0</v>
      </c>
      <c r="E291" s="59">
        <f t="shared" ref="E291:O291" si="97">E292+E293+E294+E295</f>
        <v>0</v>
      </c>
      <c r="F291" s="59">
        <f t="shared" si="97"/>
        <v>0</v>
      </c>
      <c r="G291" s="59">
        <f t="shared" si="97"/>
        <v>0</v>
      </c>
      <c r="H291" s="59">
        <f t="shared" si="97"/>
        <v>0</v>
      </c>
      <c r="I291" s="59">
        <f t="shared" si="97"/>
        <v>0</v>
      </c>
      <c r="J291" s="59">
        <f t="shared" si="97"/>
        <v>0</v>
      </c>
      <c r="K291" s="59">
        <f t="shared" si="97"/>
        <v>0</v>
      </c>
      <c r="L291" s="59">
        <f t="shared" si="97"/>
        <v>0</v>
      </c>
      <c r="M291" s="59">
        <f t="shared" si="97"/>
        <v>0</v>
      </c>
      <c r="N291" s="59">
        <f t="shared" si="97"/>
        <v>0</v>
      </c>
      <c r="O291" s="59">
        <f t="shared" si="97"/>
        <v>0</v>
      </c>
    </row>
    <row r="292" spans="1:24" ht="16.5" hidden="1" customHeight="1" x14ac:dyDescent="0.2">
      <c r="A292" s="142"/>
      <c r="B292" s="142"/>
      <c r="C292" s="77" t="s">
        <v>10</v>
      </c>
      <c r="D292" s="59">
        <f t="shared" si="93"/>
        <v>0</v>
      </c>
      <c r="E292" s="59">
        <v>0</v>
      </c>
      <c r="F292" s="59">
        <v>0</v>
      </c>
      <c r="G292" s="59">
        <v>0</v>
      </c>
      <c r="H292" s="59">
        <v>0</v>
      </c>
      <c r="I292" s="59">
        <v>0</v>
      </c>
      <c r="J292" s="59">
        <v>0</v>
      </c>
      <c r="K292" s="59">
        <v>0</v>
      </c>
      <c r="L292" s="59">
        <v>0</v>
      </c>
      <c r="M292" s="59">
        <v>0</v>
      </c>
      <c r="N292" s="59">
        <v>0</v>
      </c>
      <c r="O292" s="59">
        <v>0</v>
      </c>
    </row>
    <row r="293" spans="1:24" ht="16.5" hidden="1" customHeight="1" x14ac:dyDescent="0.2">
      <c r="A293" s="142"/>
      <c r="B293" s="142"/>
      <c r="C293" s="77" t="s">
        <v>11</v>
      </c>
      <c r="D293" s="59">
        <f t="shared" si="93"/>
        <v>0</v>
      </c>
      <c r="E293" s="59">
        <v>0</v>
      </c>
      <c r="F293" s="59">
        <v>0</v>
      </c>
      <c r="G293" s="59">
        <v>0</v>
      </c>
      <c r="H293" s="59">
        <v>0</v>
      </c>
      <c r="I293" s="59">
        <v>0</v>
      </c>
      <c r="J293" s="59">
        <v>0</v>
      </c>
      <c r="K293" s="59">
        <v>0</v>
      </c>
      <c r="L293" s="59">
        <v>0</v>
      </c>
      <c r="M293" s="59">
        <v>0</v>
      </c>
      <c r="N293" s="59">
        <v>0</v>
      </c>
      <c r="O293" s="59">
        <v>0</v>
      </c>
    </row>
    <row r="294" spans="1:24" ht="16.5" hidden="1" customHeight="1" x14ac:dyDescent="0.2">
      <c r="A294" s="142"/>
      <c r="B294" s="142"/>
      <c r="C294" s="77" t="s">
        <v>12</v>
      </c>
      <c r="D294" s="59">
        <f t="shared" si="93"/>
        <v>0</v>
      </c>
      <c r="E294" s="59">
        <v>0</v>
      </c>
      <c r="F294" s="59">
        <v>0</v>
      </c>
      <c r="G294" s="59">
        <v>0</v>
      </c>
      <c r="H294" s="59">
        <v>0</v>
      </c>
      <c r="I294" s="59">
        <v>0</v>
      </c>
      <c r="J294" s="59">
        <v>0</v>
      </c>
      <c r="K294" s="59">
        <f>4000-4000</f>
        <v>0</v>
      </c>
      <c r="L294" s="59">
        <v>0</v>
      </c>
      <c r="M294" s="59">
        <v>0</v>
      </c>
      <c r="N294" s="59">
        <v>0</v>
      </c>
      <c r="O294" s="59">
        <v>0</v>
      </c>
    </row>
    <row r="295" spans="1:24" ht="24" hidden="1" customHeight="1" x14ac:dyDescent="0.2">
      <c r="A295" s="142"/>
      <c r="B295" s="142"/>
      <c r="C295" s="79" t="s">
        <v>13</v>
      </c>
      <c r="D295" s="59">
        <f t="shared" si="93"/>
        <v>0</v>
      </c>
      <c r="E295" s="59">
        <v>0</v>
      </c>
      <c r="F295" s="59">
        <v>0</v>
      </c>
      <c r="G295" s="59">
        <v>0</v>
      </c>
      <c r="H295" s="59">
        <v>0</v>
      </c>
      <c r="I295" s="59">
        <v>0</v>
      </c>
      <c r="J295" s="59">
        <v>0</v>
      </c>
      <c r="K295" s="59">
        <v>0</v>
      </c>
      <c r="L295" s="59">
        <v>0</v>
      </c>
      <c r="M295" s="59">
        <v>0</v>
      </c>
      <c r="N295" s="59">
        <v>0</v>
      </c>
      <c r="O295" s="59">
        <v>0</v>
      </c>
    </row>
    <row r="296" spans="1:24" s="86" customFormat="1" ht="24.75" customHeight="1" x14ac:dyDescent="0.2">
      <c r="A296" s="138" t="s">
        <v>338</v>
      </c>
      <c r="B296" s="138" t="s">
        <v>375</v>
      </c>
      <c r="C296" s="79" t="s">
        <v>7</v>
      </c>
      <c r="D296" s="59">
        <f t="shared" si="93"/>
        <v>75259.7</v>
      </c>
      <c r="E296" s="59">
        <f>E297+E298+E299+E300</f>
        <v>0</v>
      </c>
      <c r="F296" s="59">
        <f t="shared" ref="F296:O296" si="98">F297+F298+F299+F300</f>
        <v>0</v>
      </c>
      <c r="G296" s="59">
        <f t="shared" si="98"/>
        <v>0</v>
      </c>
      <c r="H296" s="59">
        <f t="shared" si="98"/>
        <v>0</v>
      </c>
      <c r="I296" s="59">
        <f t="shared" si="98"/>
        <v>0</v>
      </c>
      <c r="J296" s="59">
        <f t="shared" si="98"/>
        <v>0</v>
      </c>
      <c r="K296" s="59">
        <f t="shared" si="98"/>
        <v>75259.7</v>
      </c>
      <c r="L296" s="59">
        <f t="shared" si="98"/>
        <v>0</v>
      </c>
      <c r="M296" s="59">
        <f t="shared" si="98"/>
        <v>0</v>
      </c>
      <c r="N296" s="59">
        <f t="shared" si="98"/>
        <v>0</v>
      </c>
      <c r="O296" s="59">
        <f t="shared" si="98"/>
        <v>0</v>
      </c>
    </row>
    <row r="297" spans="1:24" s="86" customFormat="1" ht="24.75" customHeight="1" x14ac:dyDescent="0.2">
      <c r="A297" s="139"/>
      <c r="B297" s="139"/>
      <c r="C297" s="77" t="s">
        <v>10</v>
      </c>
      <c r="D297" s="59">
        <f t="shared" si="93"/>
        <v>0</v>
      </c>
      <c r="E297" s="59">
        <v>0</v>
      </c>
      <c r="F297" s="59">
        <v>0</v>
      </c>
      <c r="G297" s="59">
        <v>0</v>
      </c>
      <c r="H297" s="59">
        <v>0</v>
      </c>
      <c r="I297" s="59">
        <v>0</v>
      </c>
      <c r="J297" s="59">
        <v>0</v>
      </c>
      <c r="K297" s="59">
        <v>0</v>
      </c>
      <c r="L297" s="59">
        <v>0</v>
      </c>
      <c r="M297" s="59">
        <v>0</v>
      </c>
      <c r="N297" s="59">
        <v>0</v>
      </c>
      <c r="O297" s="59">
        <v>0</v>
      </c>
    </row>
    <row r="298" spans="1:24" s="86" customFormat="1" ht="24.75" customHeight="1" x14ac:dyDescent="0.2">
      <c r="A298" s="139"/>
      <c r="B298" s="139"/>
      <c r="C298" s="77" t="s">
        <v>11</v>
      </c>
      <c r="D298" s="59">
        <f>E298+F298+G298+H298+I298+J298+K298+L298+M298+N298+O298</f>
        <v>75259.7</v>
      </c>
      <c r="E298" s="59">
        <v>0</v>
      </c>
      <c r="F298" s="59">
        <v>0</v>
      </c>
      <c r="G298" s="59">
        <v>0</v>
      </c>
      <c r="H298" s="59">
        <v>0</v>
      </c>
      <c r="I298" s="59">
        <v>0</v>
      </c>
      <c r="J298" s="59">
        <v>0</v>
      </c>
      <c r="K298" s="59">
        <f>139260-42274.5-21725.8</f>
        <v>75259.7</v>
      </c>
      <c r="L298" s="59">
        <f>44738.1-44738.1</f>
        <v>0</v>
      </c>
      <c r="M298" s="59">
        <f t="shared" ref="M298:N298" si="99">44738.1-44738.1</f>
        <v>0</v>
      </c>
      <c r="N298" s="59">
        <f t="shared" si="99"/>
        <v>0</v>
      </c>
      <c r="O298" s="59">
        <v>0</v>
      </c>
      <c r="X298" s="87"/>
    </row>
    <row r="299" spans="1:24" s="86" customFormat="1" ht="24.75" customHeight="1" x14ac:dyDescent="0.2">
      <c r="A299" s="139"/>
      <c r="B299" s="139"/>
      <c r="C299" s="77" t="s">
        <v>12</v>
      </c>
      <c r="D299" s="59">
        <f t="shared" ref="D299:D305" si="100">E299+F299+G299+H299+I299+J299+K299+L299+M299+N299+O299</f>
        <v>0</v>
      </c>
      <c r="E299" s="59">
        <v>0</v>
      </c>
      <c r="F299" s="59">
        <v>0</v>
      </c>
      <c r="G299" s="59">
        <v>0</v>
      </c>
      <c r="H299" s="59">
        <v>0</v>
      </c>
      <c r="I299" s="59">
        <v>0</v>
      </c>
      <c r="J299" s="59">
        <v>0</v>
      </c>
      <c r="K299" s="59">
        <v>0</v>
      </c>
      <c r="L299" s="59">
        <v>0</v>
      </c>
      <c r="M299" s="59">
        <v>0</v>
      </c>
      <c r="N299" s="59">
        <v>0</v>
      </c>
      <c r="O299" s="59">
        <v>0</v>
      </c>
    </row>
    <row r="300" spans="1:24" s="86" customFormat="1" ht="24.75" customHeight="1" x14ac:dyDescent="0.2">
      <c r="A300" s="140"/>
      <c r="B300" s="140"/>
      <c r="C300" s="79" t="s">
        <v>13</v>
      </c>
      <c r="D300" s="59">
        <f t="shared" si="100"/>
        <v>0</v>
      </c>
      <c r="E300" s="59">
        <v>0</v>
      </c>
      <c r="F300" s="59">
        <v>0</v>
      </c>
      <c r="G300" s="59">
        <v>0</v>
      </c>
      <c r="H300" s="59">
        <v>0</v>
      </c>
      <c r="I300" s="59">
        <v>0</v>
      </c>
      <c r="J300" s="59">
        <v>0</v>
      </c>
      <c r="K300" s="59">
        <v>0</v>
      </c>
      <c r="L300" s="59">
        <v>0</v>
      </c>
      <c r="M300" s="59">
        <v>0</v>
      </c>
      <c r="N300" s="59">
        <v>0</v>
      </c>
      <c r="O300" s="59">
        <v>0</v>
      </c>
    </row>
    <row r="301" spans="1:24" s="86" customFormat="1" ht="22.5" customHeight="1" x14ac:dyDescent="0.2">
      <c r="A301" s="141" t="s">
        <v>345</v>
      </c>
      <c r="B301" s="141" t="s">
        <v>382</v>
      </c>
      <c r="C301" s="77" t="s">
        <v>7</v>
      </c>
      <c r="D301" s="59">
        <f t="shared" si="100"/>
        <v>553.4</v>
      </c>
      <c r="E301" s="59">
        <f>E302+E303+E304+E305</f>
        <v>0</v>
      </c>
      <c r="F301" s="59">
        <f t="shared" ref="F301:L301" si="101">F302+F303+F304+F305</f>
        <v>0</v>
      </c>
      <c r="G301" s="59">
        <f t="shared" si="101"/>
        <v>0</v>
      </c>
      <c r="H301" s="59">
        <f t="shared" si="101"/>
        <v>0</v>
      </c>
      <c r="I301" s="59">
        <f t="shared" si="101"/>
        <v>0</v>
      </c>
      <c r="J301" s="59">
        <f t="shared" si="101"/>
        <v>0</v>
      </c>
      <c r="K301" s="59">
        <f t="shared" si="101"/>
        <v>553.4</v>
      </c>
      <c r="L301" s="59">
        <f t="shared" si="101"/>
        <v>0</v>
      </c>
      <c r="M301" s="59">
        <f t="shared" ref="M301" si="102">M302+M303+M304+M305</f>
        <v>0</v>
      </c>
      <c r="N301" s="59">
        <f t="shared" ref="N301" si="103">N302+N303+N304+N305</f>
        <v>0</v>
      </c>
      <c r="O301" s="59">
        <f t="shared" ref="O301" si="104">O302+O303+O304+O305</f>
        <v>0</v>
      </c>
    </row>
    <row r="302" spans="1:24" s="86" customFormat="1" ht="22.5" customHeight="1" x14ac:dyDescent="0.2">
      <c r="A302" s="142"/>
      <c r="B302" s="141"/>
      <c r="C302" s="79" t="s">
        <v>10</v>
      </c>
      <c r="D302" s="59">
        <f t="shared" si="100"/>
        <v>0</v>
      </c>
      <c r="E302" s="59">
        <v>0</v>
      </c>
      <c r="F302" s="59">
        <v>0</v>
      </c>
      <c r="G302" s="59">
        <v>0</v>
      </c>
      <c r="H302" s="59">
        <v>0</v>
      </c>
      <c r="I302" s="59">
        <v>0</v>
      </c>
      <c r="J302" s="59">
        <v>0</v>
      </c>
      <c r="K302" s="59">
        <v>0</v>
      </c>
      <c r="L302" s="59">
        <v>0</v>
      </c>
      <c r="M302" s="59">
        <v>0</v>
      </c>
      <c r="N302" s="59">
        <v>0</v>
      </c>
      <c r="O302" s="59">
        <v>0</v>
      </c>
    </row>
    <row r="303" spans="1:24" s="86" customFormat="1" ht="22.5" customHeight="1" x14ac:dyDescent="0.2">
      <c r="A303" s="142"/>
      <c r="B303" s="141"/>
      <c r="C303" s="79" t="s">
        <v>11</v>
      </c>
      <c r="D303" s="59">
        <f>E303+F303+G303+H303+I303+J303+K303+L303+M303+N303+O303</f>
        <v>0</v>
      </c>
      <c r="E303" s="59">
        <v>0</v>
      </c>
      <c r="F303" s="59">
        <v>0</v>
      </c>
      <c r="G303" s="59">
        <v>0</v>
      </c>
      <c r="H303" s="59">
        <v>0</v>
      </c>
      <c r="I303" s="59">
        <v>0</v>
      </c>
      <c r="J303" s="59">
        <v>0</v>
      </c>
      <c r="K303" s="59">
        <v>0</v>
      </c>
      <c r="L303" s="59">
        <v>0</v>
      </c>
      <c r="M303" s="59">
        <v>0</v>
      </c>
      <c r="N303" s="59">
        <v>0</v>
      </c>
      <c r="O303" s="59">
        <v>0</v>
      </c>
    </row>
    <row r="304" spans="1:24" s="86" customFormat="1" ht="22.5" customHeight="1" x14ac:dyDescent="0.2">
      <c r="A304" s="142"/>
      <c r="B304" s="141"/>
      <c r="C304" s="79" t="s">
        <v>12</v>
      </c>
      <c r="D304" s="59">
        <f t="shared" si="100"/>
        <v>553.4</v>
      </c>
      <c r="E304" s="59">
        <v>0</v>
      </c>
      <c r="F304" s="59">
        <v>0</v>
      </c>
      <c r="G304" s="59">
        <v>0</v>
      </c>
      <c r="H304" s="59">
        <v>0</v>
      </c>
      <c r="I304" s="59">
        <v>0</v>
      </c>
      <c r="J304" s="59">
        <v>0</v>
      </c>
      <c r="K304" s="59">
        <v>553.4</v>
      </c>
      <c r="L304" s="59">
        <v>0</v>
      </c>
      <c r="M304" s="59">
        <v>0</v>
      </c>
      <c r="N304" s="59">
        <v>0</v>
      </c>
      <c r="O304" s="59">
        <v>0</v>
      </c>
    </row>
    <row r="305" spans="1:15" s="86" customFormat="1" ht="22.5" customHeight="1" x14ac:dyDescent="0.2">
      <c r="A305" s="142"/>
      <c r="B305" s="141"/>
      <c r="C305" s="79" t="s">
        <v>13</v>
      </c>
      <c r="D305" s="59">
        <f t="shared" si="100"/>
        <v>0</v>
      </c>
      <c r="E305" s="59">
        <v>0</v>
      </c>
      <c r="F305" s="59">
        <v>0</v>
      </c>
      <c r="G305" s="59">
        <v>0</v>
      </c>
      <c r="H305" s="59">
        <v>0</v>
      </c>
      <c r="I305" s="59">
        <v>0</v>
      </c>
      <c r="J305" s="59">
        <v>0</v>
      </c>
      <c r="K305" s="59">
        <v>0</v>
      </c>
      <c r="L305" s="59">
        <v>0</v>
      </c>
      <c r="M305" s="59">
        <v>0</v>
      </c>
      <c r="N305" s="59">
        <v>0</v>
      </c>
      <c r="O305" s="59">
        <v>0</v>
      </c>
    </row>
    <row r="306" spans="1:15" s="86" customFormat="1" ht="18.75" customHeight="1" x14ac:dyDescent="0.2">
      <c r="A306" s="141" t="s">
        <v>347</v>
      </c>
      <c r="B306" s="141" t="s">
        <v>385</v>
      </c>
      <c r="C306" s="77" t="s">
        <v>7</v>
      </c>
      <c r="D306" s="59">
        <f t="shared" ref="D306:D307" si="105">E306+F306+G306+H306+I306+J306+K306+L306+M306+N306+O306</f>
        <v>4316.6000000000004</v>
      </c>
      <c r="E306" s="59">
        <f>E307+E308+E309+E310</f>
        <v>0</v>
      </c>
      <c r="F306" s="59">
        <f t="shared" ref="F306:O306" si="106">F307+F308+F309+F310</f>
        <v>0</v>
      </c>
      <c r="G306" s="59">
        <f t="shared" si="106"/>
        <v>0</v>
      </c>
      <c r="H306" s="59">
        <f t="shared" si="106"/>
        <v>0</v>
      </c>
      <c r="I306" s="59">
        <f t="shared" si="106"/>
        <v>0</v>
      </c>
      <c r="J306" s="59">
        <f t="shared" si="106"/>
        <v>0</v>
      </c>
      <c r="K306" s="59">
        <f t="shared" si="106"/>
        <v>2648</v>
      </c>
      <c r="L306" s="59">
        <f t="shared" si="106"/>
        <v>1668.6</v>
      </c>
      <c r="M306" s="59">
        <f t="shared" si="106"/>
        <v>0</v>
      </c>
      <c r="N306" s="59">
        <f t="shared" si="106"/>
        <v>0</v>
      </c>
      <c r="O306" s="59">
        <f t="shared" si="106"/>
        <v>0</v>
      </c>
    </row>
    <row r="307" spans="1:15" s="86" customFormat="1" ht="18.75" customHeight="1" x14ac:dyDescent="0.2">
      <c r="A307" s="142"/>
      <c r="B307" s="141"/>
      <c r="C307" s="79" t="s">
        <v>10</v>
      </c>
      <c r="D307" s="59">
        <f t="shared" si="105"/>
        <v>0</v>
      </c>
      <c r="E307" s="59">
        <v>0</v>
      </c>
      <c r="F307" s="59">
        <v>0</v>
      </c>
      <c r="G307" s="59">
        <v>0</v>
      </c>
      <c r="H307" s="59">
        <v>0</v>
      </c>
      <c r="I307" s="59">
        <v>0</v>
      </c>
      <c r="J307" s="59">
        <v>0</v>
      </c>
      <c r="K307" s="59">
        <v>0</v>
      </c>
      <c r="L307" s="59">
        <v>0</v>
      </c>
      <c r="M307" s="59">
        <v>0</v>
      </c>
      <c r="N307" s="59">
        <v>0</v>
      </c>
      <c r="O307" s="59">
        <v>0</v>
      </c>
    </row>
    <row r="308" spans="1:15" s="86" customFormat="1" ht="18.75" customHeight="1" x14ac:dyDescent="0.2">
      <c r="A308" s="142"/>
      <c r="B308" s="141"/>
      <c r="C308" s="79" t="s">
        <v>11</v>
      </c>
      <c r="D308" s="59">
        <f>E308+F308+G308+H308+I308+J308+K308+L308+M308+N308+O308</f>
        <v>0</v>
      </c>
      <c r="E308" s="59">
        <v>0</v>
      </c>
      <c r="F308" s="59">
        <v>0</v>
      </c>
      <c r="G308" s="59">
        <v>0</v>
      </c>
      <c r="H308" s="59">
        <v>0</v>
      </c>
      <c r="I308" s="59">
        <v>0</v>
      </c>
      <c r="J308" s="59">
        <v>0</v>
      </c>
      <c r="K308" s="59">
        <v>0</v>
      </c>
      <c r="L308" s="59">
        <v>0</v>
      </c>
      <c r="M308" s="59">
        <v>0</v>
      </c>
      <c r="N308" s="59">
        <v>0</v>
      </c>
      <c r="O308" s="59">
        <v>0</v>
      </c>
    </row>
    <row r="309" spans="1:15" s="86" customFormat="1" ht="18.75" customHeight="1" x14ac:dyDescent="0.2">
      <c r="A309" s="142"/>
      <c r="B309" s="141"/>
      <c r="C309" s="79" t="s">
        <v>12</v>
      </c>
      <c r="D309" s="59">
        <f t="shared" ref="D309:D310" si="107">E309+F309+G309+H309+I309+J309+K309+L309+M309+N309+O309</f>
        <v>4316.6000000000004</v>
      </c>
      <c r="E309" s="59">
        <v>0</v>
      </c>
      <c r="F309" s="59">
        <v>0</v>
      </c>
      <c r="G309" s="59">
        <v>0</v>
      </c>
      <c r="H309" s="59">
        <v>0</v>
      </c>
      <c r="I309" s="59">
        <v>0</v>
      </c>
      <c r="J309" s="59">
        <v>0</v>
      </c>
      <c r="K309" s="59">
        <v>2648</v>
      </c>
      <c r="L309" s="59">
        <v>1668.6</v>
      </c>
      <c r="M309" s="59">
        <v>0</v>
      </c>
      <c r="N309" s="59">
        <v>0</v>
      </c>
      <c r="O309" s="59">
        <v>0</v>
      </c>
    </row>
    <row r="310" spans="1:15" s="86" customFormat="1" ht="18.75" customHeight="1" x14ac:dyDescent="0.2">
      <c r="A310" s="142"/>
      <c r="B310" s="141"/>
      <c r="C310" s="79" t="s">
        <v>13</v>
      </c>
      <c r="D310" s="59">
        <f t="shared" si="107"/>
        <v>0</v>
      </c>
      <c r="E310" s="59">
        <v>0</v>
      </c>
      <c r="F310" s="59">
        <v>0</v>
      </c>
      <c r="G310" s="59">
        <v>0</v>
      </c>
      <c r="H310" s="59">
        <v>0</v>
      </c>
      <c r="I310" s="59">
        <v>0</v>
      </c>
      <c r="J310" s="59">
        <v>0</v>
      </c>
      <c r="K310" s="59">
        <v>0</v>
      </c>
      <c r="L310" s="59">
        <v>0</v>
      </c>
      <c r="M310" s="59">
        <v>0</v>
      </c>
      <c r="N310" s="59">
        <v>0</v>
      </c>
      <c r="O310" s="59">
        <v>0</v>
      </c>
    </row>
    <row r="311" spans="1:15" s="86" customFormat="1" ht="18.75" customHeight="1" x14ac:dyDescent="0.2">
      <c r="A311" s="138" t="s">
        <v>410</v>
      </c>
      <c r="B311" s="138" t="s">
        <v>391</v>
      </c>
      <c r="C311" s="77" t="s">
        <v>7</v>
      </c>
      <c r="D311" s="59">
        <f>SUM(D312:D315)</f>
        <v>251.1</v>
      </c>
      <c r="E311" s="59">
        <f t="shared" ref="E311:J311" si="108">SUM(E312:E315)</f>
        <v>0</v>
      </c>
      <c r="F311" s="59">
        <f t="shared" si="108"/>
        <v>0</v>
      </c>
      <c r="G311" s="59">
        <f t="shared" si="108"/>
        <v>0</v>
      </c>
      <c r="H311" s="59">
        <f t="shared" si="108"/>
        <v>0</v>
      </c>
      <c r="I311" s="59">
        <f t="shared" si="108"/>
        <v>0</v>
      </c>
      <c r="J311" s="59">
        <f t="shared" si="108"/>
        <v>0</v>
      </c>
      <c r="K311" s="59">
        <f>SUM(K312:K315)</f>
        <v>251.1</v>
      </c>
      <c r="L311" s="59">
        <v>0</v>
      </c>
      <c r="M311" s="59">
        <v>0</v>
      </c>
      <c r="N311" s="59">
        <v>0</v>
      </c>
      <c r="O311" s="59">
        <v>0</v>
      </c>
    </row>
    <row r="312" spans="1:15" s="86" customFormat="1" ht="18.75" customHeight="1" x14ac:dyDescent="0.2">
      <c r="A312" s="139"/>
      <c r="B312" s="139"/>
      <c r="C312" s="79" t="s">
        <v>10</v>
      </c>
      <c r="D312" s="59">
        <f>SUM(E312:O312)</f>
        <v>0</v>
      </c>
      <c r="E312" s="59">
        <v>0</v>
      </c>
      <c r="F312" s="59">
        <v>0</v>
      </c>
      <c r="G312" s="59">
        <v>0</v>
      </c>
      <c r="H312" s="59">
        <v>0</v>
      </c>
      <c r="I312" s="59">
        <v>0</v>
      </c>
      <c r="J312" s="59">
        <v>0</v>
      </c>
      <c r="K312" s="59">
        <v>0</v>
      </c>
      <c r="L312" s="59">
        <v>0</v>
      </c>
      <c r="M312" s="59">
        <v>0</v>
      </c>
      <c r="N312" s="59">
        <v>0</v>
      </c>
      <c r="O312" s="59">
        <v>0</v>
      </c>
    </row>
    <row r="313" spans="1:15" s="86" customFormat="1" ht="18.75" customHeight="1" x14ac:dyDescent="0.2">
      <c r="A313" s="139"/>
      <c r="B313" s="139"/>
      <c r="C313" s="79" t="s">
        <v>11</v>
      </c>
      <c r="D313" s="59">
        <f t="shared" ref="D313:D315" si="109">SUM(E313:O313)</f>
        <v>0</v>
      </c>
      <c r="E313" s="59">
        <v>0</v>
      </c>
      <c r="F313" s="59">
        <v>0</v>
      </c>
      <c r="G313" s="59">
        <v>0</v>
      </c>
      <c r="H313" s="59">
        <v>0</v>
      </c>
      <c r="I313" s="59">
        <v>0</v>
      </c>
      <c r="J313" s="59">
        <v>0</v>
      </c>
      <c r="K313" s="59">
        <v>0</v>
      </c>
      <c r="L313" s="59">
        <v>0</v>
      </c>
      <c r="M313" s="59">
        <v>0</v>
      </c>
      <c r="N313" s="59">
        <v>0</v>
      </c>
      <c r="O313" s="59">
        <v>0</v>
      </c>
    </row>
    <row r="314" spans="1:15" s="86" customFormat="1" ht="18.75" customHeight="1" x14ac:dyDescent="0.2">
      <c r="A314" s="139"/>
      <c r="B314" s="139"/>
      <c r="C314" s="79" t="s">
        <v>12</v>
      </c>
      <c r="D314" s="59">
        <f t="shared" si="109"/>
        <v>251.1</v>
      </c>
      <c r="E314" s="59">
        <v>0</v>
      </c>
      <c r="F314" s="59">
        <v>0</v>
      </c>
      <c r="G314" s="59">
        <v>0</v>
      </c>
      <c r="H314" s="59">
        <v>0</v>
      </c>
      <c r="I314" s="59">
        <v>0</v>
      </c>
      <c r="J314" s="59">
        <v>0</v>
      </c>
      <c r="K314" s="59">
        <f>451-199.9</f>
        <v>251.1</v>
      </c>
      <c r="L314" s="59">
        <v>0</v>
      </c>
      <c r="M314" s="59">
        <v>0</v>
      </c>
      <c r="N314" s="59">
        <v>0</v>
      </c>
      <c r="O314" s="59">
        <v>0</v>
      </c>
    </row>
    <row r="315" spans="1:15" s="86" customFormat="1" ht="18.75" customHeight="1" x14ac:dyDescent="0.2">
      <c r="A315" s="140"/>
      <c r="B315" s="140"/>
      <c r="C315" s="79" t="s">
        <v>13</v>
      </c>
      <c r="D315" s="59">
        <f t="shared" si="109"/>
        <v>0</v>
      </c>
      <c r="E315" s="59">
        <v>0</v>
      </c>
      <c r="F315" s="59">
        <v>0</v>
      </c>
      <c r="G315" s="59">
        <v>0</v>
      </c>
      <c r="H315" s="59">
        <v>0</v>
      </c>
      <c r="I315" s="59">
        <v>0</v>
      </c>
      <c r="J315" s="59">
        <v>0</v>
      </c>
      <c r="K315" s="59">
        <v>0</v>
      </c>
      <c r="L315" s="59">
        <v>0</v>
      </c>
      <c r="M315" s="59">
        <v>0</v>
      </c>
      <c r="N315" s="59">
        <v>0</v>
      </c>
      <c r="O315" s="59">
        <v>0</v>
      </c>
    </row>
    <row r="316" spans="1:15" s="86" customFormat="1" ht="18.75" hidden="1" customHeight="1" x14ac:dyDescent="0.2">
      <c r="A316" s="138"/>
      <c r="B316" s="138" t="s">
        <v>403</v>
      </c>
      <c r="C316" s="77" t="s">
        <v>7</v>
      </c>
      <c r="D316" s="59">
        <f>SUM(D317:D320)</f>
        <v>0</v>
      </c>
      <c r="E316" s="59">
        <f t="shared" ref="E316:J316" si="110">SUM(E317:E320)</f>
        <v>0</v>
      </c>
      <c r="F316" s="59">
        <f t="shared" si="110"/>
        <v>0</v>
      </c>
      <c r="G316" s="59">
        <f t="shared" si="110"/>
        <v>0</v>
      </c>
      <c r="H316" s="59">
        <f t="shared" si="110"/>
        <v>0</v>
      </c>
      <c r="I316" s="59">
        <f t="shared" si="110"/>
        <v>0</v>
      </c>
      <c r="J316" s="59">
        <f t="shared" si="110"/>
        <v>0</v>
      </c>
      <c r="K316" s="59">
        <f>SUM(K317:K320)</f>
        <v>0</v>
      </c>
      <c r="L316" s="59">
        <v>0</v>
      </c>
      <c r="M316" s="59">
        <v>0</v>
      </c>
      <c r="N316" s="59">
        <v>0</v>
      </c>
      <c r="O316" s="59">
        <v>0</v>
      </c>
    </row>
    <row r="317" spans="1:15" s="86" customFormat="1" ht="18.75" hidden="1" customHeight="1" x14ac:dyDescent="0.2">
      <c r="A317" s="139"/>
      <c r="B317" s="139"/>
      <c r="C317" s="79" t="s">
        <v>10</v>
      </c>
      <c r="D317" s="59">
        <f>SUM(E317:O317)</f>
        <v>0</v>
      </c>
      <c r="E317" s="59">
        <v>0</v>
      </c>
      <c r="F317" s="59">
        <v>0</v>
      </c>
      <c r="G317" s="59">
        <v>0</v>
      </c>
      <c r="H317" s="59">
        <v>0</v>
      </c>
      <c r="I317" s="59">
        <v>0</v>
      </c>
      <c r="J317" s="59">
        <v>0</v>
      </c>
      <c r="K317" s="59">
        <v>0</v>
      </c>
      <c r="L317" s="59">
        <v>0</v>
      </c>
      <c r="M317" s="59">
        <v>0</v>
      </c>
      <c r="N317" s="59">
        <v>0</v>
      </c>
      <c r="O317" s="59">
        <v>0</v>
      </c>
    </row>
    <row r="318" spans="1:15" s="86" customFormat="1" ht="18.75" hidden="1" customHeight="1" x14ac:dyDescent="0.2">
      <c r="A318" s="139"/>
      <c r="B318" s="139"/>
      <c r="C318" s="79" t="s">
        <v>11</v>
      </c>
      <c r="D318" s="59">
        <f t="shared" ref="D318:D320" si="111">SUM(E318:O318)</f>
        <v>0</v>
      </c>
      <c r="E318" s="59">
        <v>0</v>
      </c>
      <c r="F318" s="59">
        <v>0</v>
      </c>
      <c r="G318" s="59">
        <v>0</v>
      </c>
      <c r="H318" s="59">
        <v>0</v>
      </c>
      <c r="I318" s="59">
        <v>0</v>
      </c>
      <c r="J318" s="59">
        <v>0</v>
      </c>
      <c r="K318" s="59">
        <v>0</v>
      </c>
      <c r="L318" s="59">
        <v>0</v>
      </c>
      <c r="M318" s="59">
        <v>0</v>
      </c>
      <c r="N318" s="59">
        <v>0</v>
      </c>
      <c r="O318" s="59">
        <v>0</v>
      </c>
    </row>
    <row r="319" spans="1:15" s="86" customFormat="1" ht="18.75" hidden="1" customHeight="1" x14ac:dyDescent="0.2">
      <c r="A319" s="139"/>
      <c r="B319" s="139"/>
      <c r="C319" s="79" t="s">
        <v>12</v>
      </c>
      <c r="D319" s="59">
        <f t="shared" si="111"/>
        <v>0</v>
      </c>
      <c r="E319" s="59">
        <v>0</v>
      </c>
      <c r="F319" s="59">
        <v>0</v>
      </c>
      <c r="G319" s="59">
        <v>0</v>
      </c>
      <c r="H319" s="59">
        <v>0</v>
      </c>
      <c r="I319" s="59">
        <v>0</v>
      </c>
      <c r="J319" s="59">
        <v>0</v>
      </c>
      <c r="K319" s="59">
        <f>3553.2-3553.2</f>
        <v>0</v>
      </c>
      <c r="L319" s="59">
        <v>0</v>
      </c>
      <c r="M319" s="59">
        <v>0</v>
      </c>
      <c r="N319" s="59">
        <v>0</v>
      </c>
      <c r="O319" s="59">
        <v>0</v>
      </c>
    </row>
    <row r="320" spans="1:15" s="86" customFormat="1" ht="18.75" hidden="1" customHeight="1" x14ac:dyDescent="0.2">
      <c r="A320" s="140"/>
      <c r="B320" s="140"/>
      <c r="C320" s="79" t="s">
        <v>13</v>
      </c>
      <c r="D320" s="59">
        <f t="shared" si="111"/>
        <v>0</v>
      </c>
      <c r="E320" s="59">
        <v>0</v>
      </c>
      <c r="F320" s="59">
        <v>0</v>
      </c>
      <c r="G320" s="59">
        <v>0</v>
      </c>
      <c r="H320" s="59">
        <v>0</v>
      </c>
      <c r="I320" s="59">
        <v>0</v>
      </c>
      <c r="J320" s="59">
        <v>0</v>
      </c>
      <c r="K320" s="59">
        <v>0</v>
      </c>
      <c r="L320" s="59">
        <v>0</v>
      </c>
      <c r="M320" s="59">
        <v>0</v>
      </c>
      <c r="N320" s="59">
        <v>0</v>
      </c>
      <c r="O320" s="59">
        <v>0</v>
      </c>
    </row>
    <row r="321" spans="1:22" s="86" customFormat="1" ht="18.75" customHeight="1" x14ac:dyDescent="0.2">
      <c r="A321" s="138" t="s">
        <v>408</v>
      </c>
      <c r="B321" s="138" t="s">
        <v>409</v>
      </c>
      <c r="C321" s="77" t="s">
        <v>7</v>
      </c>
      <c r="D321" s="59">
        <f>SUM(D322:D325)</f>
        <v>994.1</v>
      </c>
      <c r="E321" s="59">
        <f t="shared" ref="E321:J321" si="112">SUM(E322:E325)</f>
        <v>0</v>
      </c>
      <c r="F321" s="59">
        <f t="shared" si="112"/>
        <v>0</v>
      </c>
      <c r="G321" s="59">
        <f t="shared" si="112"/>
        <v>0</v>
      </c>
      <c r="H321" s="59">
        <f t="shared" si="112"/>
        <v>0</v>
      </c>
      <c r="I321" s="59">
        <f t="shared" si="112"/>
        <v>0</v>
      </c>
      <c r="J321" s="59">
        <f t="shared" si="112"/>
        <v>0</v>
      </c>
      <c r="K321" s="59">
        <f>SUM(K322:K325)</f>
        <v>994.1</v>
      </c>
      <c r="L321" s="59">
        <v>0</v>
      </c>
      <c r="M321" s="59">
        <v>0</v>
      </c>
      <c r="N321" s="59">
        <v>0</v>
      </c>
      <c r="O321" s="59">
        <v>0</v>
      </c>
    </row>
    <row r="322" spans="1:22" s="86" customFormat="1" ht="18.75" customHeight="1" x14ac:dyDescent="0.2">
      <c r="A322" s="139"/>
      <c r="B322" s="139"/>
      <c r="C322" s="79" t="s">
        <v>10</v>
      </c>
      <c r="D322" s="59">
        <f>SUM(E322:O322)</f>
        <v>0</v>
      </c>
      <c r="E322" s="59">
        <v>0</v>
      </c>
      <c r="F322" s="59">
        <v>0</v>
      </c>
      <c r="G322" s="59">
        <v>0</v>
      </c>
      <c r="H322" s="59">
        <v>0</v>
      </c>
      <c r="I322" s="59">
        <v>0</v>
      </c>
      <c r="J322" s="59">
        <v>0</v>
      </c>
      <c r="K322" s="59">
        <v>0</v>
      </c>
      <c r="L322" s="59">
        <v>0</v>
      </c>
      <c r="M322" s="59">
        <v>0</v>
      </c>
      <c r="N322" s="59">
        <v>0</v>
      </c>
      <c r="O322" s="59">
        <v>0</v>
      </c>
      <c r="P322" s="59">
        <v>0</v>
      </c>
      <c r="Q322" s="59">
        <v>0</v>
      </c>
      <c r="R322" s="59">
        <v>0</v>
      </c>
      <c r="S322" s="59">
        <v>0</v>
      </c>
      <c r="T322" s="59">
        <v>0</v>
      </c>
      <c r="U322" s="59">
        <v>0</v>
      </c>
      <c r="V322" s="59">
        <v>0</v>
      </c>
    </row>
    <row r="323" spans="1:22" s="86" customFormat="1" ht="18.75" customHeight="1" x14ac:dyDescent="0.2">
      <c r="A323" s="139"/>
      <c r="B323" s="139"/>
      <c r="C323" s="79" t="s">
        <v>11</v>
      </c>
      <c r="D323" s="59">
        <f t="shared" ref="D323:D325" si="113">SUM(E323:O323)</f>
        <v>0</v>
      </c>
      <c r="E323" s="59">
        <v>0</v>
      </c>
      <c r="F323" s="59">
        <v>0</v>
      </c>
      <c r="G323" s="59">
        <v>0</v>
      </c>
      <c r="H323" s="59">
        <v>0</v>
      </c>
      <c r="I323" s="59">
        <v>0</v>
      </c>
      <c r="J323" s="59">
        <v>0</v>
      </c>
      <c r="K323" s="59">
        <v>0</v>
      </c>
      <c r="L323" s="59">
        <v>0</v>
      </c>
      <c r="M323" s="59">
        <v>0</v>
      </c>
      <c r="N323" s="59">
        <v>0</v>
      </c>
      <c r="O323" s="59">
        <v>0</v>
      </c>
      <c r="P323" s="59">
        <v>0</v>
      </c>
      <c r="Q323" s="59">
        <v>0</v>
      </c>
      <c r="R323" s="59">
        <v>0</v>
      </c>
      <c r="S323" s="59">
        <v>0</v>
      </c>
      <c r="T323" s="59">
        <v>0</v>
      </c>
      <c r="U323" s="59">
        <v>0</v>
      </c>
      <c r="V323" s="59">
        <v>0</v>
      </c>
    </row>
    <row r="324" spans="1:22" s="86" customFormat="1" ht="18.75" customHeight="1" x14ac:dyDescent="0.2">
      <c r="A324" s="139"/>
      <c r="B324" s="139"/>
      <c r="C324" s="79" t="s">
        <v>12</v>
      </c>
      <c r="D324" s="59">
        <f t="shared" si="113"/>
        <v>994.1</v>
      </c>
      <c r="E324" s="59">
        <v>0</v>
      </c>
      <c r="F324" s="59">
        <v>0</v>
      </c>
      <c r="G324" s="59">
        <v>0</v>
      </c>
      <c r="H324" s="59">
        <v>0</v>
      </c>
      <c r="I324" s="59">
        <v>0</v>
      </c>
      <c r="J324" s="59">
        <v>0</v>
      </c>
      <c r="K324" s="59">
        <v>994.1</v>
      </c>
      <c r="L324" s="59">
        <v>0</v>
      </c>
      <c r="M324" s="59">
        <v>0</v>
      </c>
      <c r="N324" s="59">
        <v>0</v>
      </c>
      <c r="O324" s="59">
        <v>0</v>
      </c>
      <c r="P324" s="59">
        <v>0</v>
      </c>
      <c r="Q324" s="59">
        <v>0</v>
      </c>
      <c r="R324" s="59">
        <v>0</v>
      </c>
      <c r="S324" s="59">
        <v>0</v>
      </c>
      <c r="T324" s="59">
        <v>0</v>
      </c>
      <c r="U324" s="59">
        <v>0</v>
      </c>
      <c r="V324" s="59">
        <v>0</v>
      </c>
    </row>
    <row r="325" spans="1:22" s="86" customFormat="1" ht="18.75" customHeight="1" x14ac:dyDescent="0.2">
      <c r="A325" s="140"/>
      <c r="B325" s="140"/>
      <c r="C325" s="79" t="s">
        <v>13</v>
      </c>
      <c r="D325" s="59">
        <f t="shared" si="113"/>
        <v>0</v>
      </c>
      <c r="E325" s="59">
        <v>0</v>
      </c>
      <c r="F325" s="59">
        <v>0</v>
      </c>
      <c r="G325" s="59">
        <v>0</v>
      </c>
      <c r="H325" s="59">
        <v>0</v>
      </c>
      <c r="I325" s="59">
        <v>0</v>
      </c>
      <c r="J325" s="59">
        <v>0</v>
      </c>
      <c r="K325" s="59">
        <v>0</v>
      </c>
      <c r="L325" s="59">
        <v>0</v>
      </c>
      <c r="M325" s="59">
        <v>0</v>
      </c>
      <c r="N325" s="59">
        <v>0</v>
      </c>
      <c r="O325" s="59">
        <v>0</v>
      </c>
      <c r="P325" s="59">
        <v>0</v>
      </c>
      <c r="Q325" s="59">
        <v>0</v>
      </c>
      <c r="R325" s="59">
        <v>0</v>
      </c>
      <c r="S325" s="59">
        <v>0</v>
      </c>
      <c r="T325" s="59">
        <v>0</v>
      </c>
      <c r="U325" s="59">
        <v>0</v>
      </c>
      <c r="V325" s="59">
        <v>0</v>
      </c>
    </row>
    <row r="326" spans="1:22" s="86" customFormat="1" ht="18.75" customHeight="1" x14ac:dyDescent="0.2">
      <c r="A326" s="138" t="s">
        <v>383</v>
      </c>
      <c r="B326" s="138" t="s">
        <v>421</v>
      </c>
      <c r="C326" s="77" t="s">
        <v>7</v>
      </c>
      <c r="D326" s="59">
        <f>SUM(D327:D330)</f>
        <v>1269013.2000000002</v>
      </c>
      <c r="E326" s="59">
        <f t="shared" ref="E326:J326" si="114">SUM(E327:E330)</f>
        <v>0</v>
      </c>
      <c r="F326" s="59">
        <f t="shared" si="114"/>
        <v>0</v>
      </c>
      <c r="G326" s="59">
        <f t="shared" si="114"/>
        <v>0</v>
      </c>
      <c r="H326" s="59">
        <f t="shared" si="114"/>
        <v>0</v>
      </c>
      <c r="I326" s="59">
        <f t="shared" si="114"/>
        <v>0</v>
      </c>
      <c r="J326" s="59">
        <f t="shared" si="114"/>
        <v>0</v>
      </c>
      <c r="K326" s="59">
        <f>SUM(K327:K330)</f>
        <v>0</v>
      </c>
      <c r="L326" s="59">
        <f t="shared" ref="L326:O326" si="115">SUM(L327:L330)</f>
        <v>429013.19999999995</v>
      </c>
      <c r="M326" s="59">
        <f t="shared" si="115"/>
        <v>840000</v>
      </c>
      <c r="N326" s="59">
        <f t="shared" si="115"/>
        <v>0</v>
      </c>
      <c r="O326" s="59">
        <f t="shared" si="115"/>
        <v>0</v>
      </c>
      <c r="P326" s="81"/>
      <c r="Q326" s="81"/>
      <c r="R326" s="81"/>
      <c r="S326" s="81"/>
      <c r="T326" s="81"/>
      <c r="U326" s="81"/>
      <c r="V326" s="81"/>
    </row>
    <row r="327" spans="1:22" s="86" customFormat="1" ht="18.75" customHeight="1" x14ac:dyDescent="0.2">
      <c r="A327" s="139"/>
      <c r="B327" s="139"/>
      <c r="C327" s="79" t="s">
        <v>10</v>
      </c>
      <c r="D327" s="59">
        <f>SUM(E327:O327)</f>
        <v>0</v>
      </c>
      <c r="E327" s="59">
        <v>0</v>
      </c>
      <c r="F327" s="59">
        <v>0</v>
      </c>
      <c r="G327" s="59">
        <v>0</v>
      </c>
      <c r="H327" s="59">
        <v>0</v>
      </c>
      <c r="I327" s="59">
        <v>0</v>
      </c>
      <c r="J327" s="59">
        <v>0</v>
      </c>
      <c r="K327" s="59">
        <v>0</v>
      </c>
      <c r="L327" s="59">
        <v>0</v>
      </c>
      <c r="M327" s="59">
        <v>0</v>
      </c>
      <c r="N327" s="59">
        <v>0</v>
      </c>
      <c r="O327" s="59">
        <v>0</v>
      </c>
      <c r="P327" s="81"/>
      <c r="Q327" s="81"/>
      <c r="R327" s="81"/>
      <c r="S327" s="81"/>
      <c r="T327" s="81"/>
      <c r="U327" s="81"/>
      <c r="V327" s="81"/>
    </row>
    <row r="328" spans="1:22" s="86" customFormat="1" ht="18.75" customHeight="1" x14ac:dyDescent="0.2">
      <c r="A328" s="139"/>
      <c r="B328" s="139"/>
      <c r="C328" s="79" t="s">
        <v>11</v>
      </c>
      <c r="D328" s="59">
        <f t="shared" ref="D328:D330" si="116">SUM(E328:O328)</f>
        <v>1256323.1000000001</v>
      </c>
      <c r="E328" s="59">
        <v>0</v>
      </c>
      <c r="F328" s="59">
        <v>0</v>
      </c>
      <c r="G328" s="59">
        <v>0</v>
      </c>
      <c r="H328" s="59">
        <v>0</v>
      </c>
      <c r="I328" s="59">
        <v>0</v>
      </c>
      <c r="J328" s="59">
        <v>0</v>
      </c>
      <c r="K328" s="59">
        <v>0</v>
      </c>
      <c r="L328" s="59">
        <f>L333+L338</f>
        <v>424723.1</v>
      </c>
      <c r="M328" s="59">
        <f t="shared" ref="M328:V328" si="117">M333+M338</f>
        <v>831600</v>
      </c>
      <c r="N328" s="59">
        <f t="shared" si="117"/>
        <v>0</v>
      </c>
      <c r="O328" s="59">
        <f t="shared" si="117"/>
        <v>0</v>
      </c>
      <c r="P328" s="59">
        <f t="shared" si="117"/>
        <v>0</v>
      </c>
      <c r="Q328" s="59">
        <f t="shared" si="117"/>
        <v>0</v>
      </c>
      <c r="R328" s="59">
        <f t="shared" si="117"/>
        <v>0</v>
      </c>
      <c r="S328" s="59">
        <f t="shared" si="117"/>
        <v>0</v>
      </c>
      <c r="T328" s="59">
        <f t="shared" si="117"/>
        <v>0</v>
      </c>
      <c r="U328" s="59">
        <f t="shared" si="117"/>
        <v>0</v>
      </c>
      <c r="V328" s="59">
        <f t="shared" si="117"/>
        <v>0</v>
      </c>
    </row>
    <row r="329" spans="1:22" s="86" customFormat="1" ht="18.75" customHeight="1" x14ac:dyDescent="0.2">
      <c r="A329" s="139"/>
      <c r="B329" s="139"/>
      <c r="C329" s="79" t="s">
        <v>12</v>
      </c>
      <c r="D329" s="59">
        <f t="shared" si="116"/>
        <v>12690.1</v>
      </c>
      <c r="E329" s="59">
        <v>0</v>
      </c>
      <c r="F329" s="59">
        <v>0</v>
      </c>
      <c r="G329" s="59">
        <v>0</v>
      </c>
      <c r="H329" s="59">
        <v>0</v>
      </c>
      <c r="I329" s="59">
        <v>0</v>
      </c>
      <c r="J329" s="59">
        <v>0</v>
      </c>
      <c r="K329" s="59">
        <v>0</v>
      </c>
      <c r="L329" s="59">
        <f>L334++L339</f>
        <v>4290.1000000000004</v>
      </c>
      <c r="M329" s="59">
        <f t="shared" ref="M329:O329" si="118">M334++M339</f>
        <v>8400</v>
      </c>
      <c r="N329" s="59">
        <f t="shared" si="118"/>
        <v>0</v>
      </c>
      <c r="O329" s="59">
        <f t="shared" si="118"/>
        <v>0</v>
      </c>
      <c r="P329" s="81"/>
      <c r="Q329" s="81"/>
      <c r="R329" s="81"/>
      <c r="S329" s="81"/>
      <c r="T329" s="81"/>
      <c r="U329" s="81"/>
      <c r="V329" s="81"/>
    </row>
    <row r="330" spans="1:22" s="86" customFormat="1" ht="36.75" customHeight="1" x14ac:dyDescent="0.2">
      <c r="A330" s="140"/>
      <c r="B330" s="140"/>
      <c r="C330" s="79" t="s">
        <v>13</v>
      </c>
      <c r="D330" s="59">
        <f t="shared" si="116"/>
        <v>0</v>
      </c>
      <c r="E330" s="59">
        <v>0</v>
      </c>
      <c r="F330" s="59">
        <v>0</v>
      </c>
      <c r="G330" s="59">
        <v>0</v>
      </c>
      <c r="H330" s="59">
        <v>0</v>
      </c>
      <c r="I330" s="59">
        <v>0</v>
      </c>
      <c r="J330" s="59">
        <v>0</v>
      </c>
      <c r="K330" s="59">
        <v>0</v>
      </c>
      <c r="L330" s="59">
        <v>0</v>
      </c>
      <c r="M330" s="59">
        <v>0</v>
      </c>
      <c r="N330" s="59">
        <v>0</v>
      </c>
      <c r="O330" s="59">
        <v>0</v>
      </c>
      <c r="P330" s="81"/>
      <c r="Q330" s="81"/>
      <c r="R330" s="81"/>
      <c r="S330" s="81"/>
      <c r="T330" s="81"/>
      <c r="U330" s="81"/>
      <c r="V330" s="81"/>
    </row>
    <row r="331" spans="1:22" s="86" customFormat="1" ht="21" customHeight="1" x14ac:dyDescent="0.2">
      <c r="A331" s="138" t="s">
        <v>429</v>
      </c>
      <c r="B331" s="138" t="s">
        <v>420</v>
      </c>
      <c r="C331" s="77" t="s">
        <v>7</v>
      </c>
      <c r="D331" s="59">
        <f>SUM(D332:D335)</f>
        <v>1200000</v>
      </c>
      <c r="E331" s="59">
        <f t="shared" ref="E331:J331" si="119">SUM(E332:E335)</f>
        <v>0</v>
      </c>
      <c r="F331" s="59">
        <f t="shared" si="119"/>
        <v>0</v>
      </c>
      <c r="G331" s="59">
        <f t="shared" si="119"/>
        <v>0</v>
      </c>
      <c r="H331" s="59">
        <f t="shared" si="119"/>
        <v>0</v>
      </c>
      <c r="I331" s="59">
        <f t="shared" si="119"/>
        <v>0</v>
      </c>
      <c r="J331" s="59">
        <f t="shared" si="119"/>
        <v>0</v>
      </c>
      <c r="K331" s="59">
        <f>SUM(K332:K335)</f>
        <v>0</v>
      </c>
      <c r="L331" s="59">
        <f t="shared" ref="L331:O331" si="120">SUM(L332:L335)</f>
        <v>360000</v>
      </c>
      <c r="M331" s="59">
        <f t="shared" si="120"/>
        <v>840000</v>
      </c>
      <c r="N331" s="59">
        <f t="shared" si="120"/>
        <v>0</v>
      </c>
      <c r="O331" s="59">
        <f t="shared" si="120"/>
        <v>0</v>
      </c>
      <c r="P331" s="81"/>
      <c r="Q331" s="81"/>
      <c r="R331" s="81"/>
      <c r="S331" s="81"/>
      <c r="T331" s="81"/>
      <c r="U331" s="81"/>
      <c r="V331" s="81"/>
    </row>
    <row r="332" spans="1:22" s="86" customFormat="1" ht="21" customHeight="1" x14ac:dyDescent="0.2">
      <c r="A332" s="139"/>
      <c r="B332" s="139"/>
      <c r="C332" s="79" t="s">
        <v>10</v>
      </c>
      <c r="D332" s="59">
        <f>SUM(E332:O332)</f>
        <v>0</v>
      </c>
      <c r="E332" s="59">
        <v>0</v>
      </c>
      <c r="F332" s="59">
        <v>0</v>
      </c>
      <c r="G332" s="59">
        <v>0</v>
      </c>
      <c r="H332" s="59">
        <v>0</v>
      </c>
      <c r="I332" s="59">
        <v>0</v>
      </c>
      <c r="J332" s="59">
        <v>0</v>
      </c>
      <c r="K332" s="59">
        <v>0</v>
      </c>
      <c r="L332" s="59">
        <v>0</v>
      </c>
      <c r="M332" s="59">
        <v>0</v>
      </c>
      <c r="N332" s="59">
        <v>0</v>
      </c>
      <c r="O332" s="59">
        <v>0</v>
      </c>
      <c r="P332" s="81"/>
      <c r="Q332" s="81"/>
      <c r="R332" s="81"/>
      <c r="S332" s="81"/>
      <c r="T332" s="81"/>
      <c r="U332" s="81"/>
      <c r="V332" s="81"/>
    </row>
    <row r="333" spans="1:22" s="86" customFormat="1" ht="21" customHeight="1" x14ac:dyDescent="0.2">
      <c r="A333" s="139"/>
      <c r="B333" s="139"/>
      <c r="C333" s="79" t="s">
        <v>11</v>
      </c>
      <c r="D333" s="59">
        <f t="shared" ref="D333:D335" si="121">SUM(E333:O333)</f>
        <v>1188000</v>
      </c>
      <c r="E333" s="59">
        <v>0</v>
      </c>
      <c r="F333" s="59">
        <v>0</v>
      </c>
      <c r="G333" s="59">
        <v>0</v>
      </c>
      <c r="H333" s="59">
        <v>0</v>
      </c>
      <c r="I333" s="59">
        <v>0</v>
      </c>
      <c r="J333" s="59">
        <v>0</v>
      </c>
      <c r="K333" s="59">
        <v>0</v>
      </c>
      <c r="L333" s="59">
        <v>356400</v>
      </c>
      <c r="M333" s="59">
        <v>831600</v>
      </c>
      <c r="N333" s="59">
        <v>0</v>
      </c>
      <c r="O333" s="59">
        <v>0</v>
      </c>
      <c r="P333" s="81"/>
      <c r="Q333" s="81"/>
      <c r="R333" s="81"/>
      <c r="S333" s="81"/>
      <c r="T333" s="81"/>
      <c r="U333" s="81"/>
      <c r="V333" s="81"/>
    </row>
    <row r="334" spans="1:22" s="86" customFormat="1" ht="21" customHeight="1" x14ac:dyDescent="0.2">
      <c r="A334" s="139"/>
      <c r="B334" s="139"/>
      <c r="C334" s="79" t="s">
        <v>12</v>
      </c>
      <c r="D334" s="59">
        <f t="shared" si="121"/>
        <v>12000</v>
      </c>
      <c r="E334" s="59">
        <v>0</v>
      </c>
      <c r="F334" s="59">
        <v>0</v>
      </c>
      <c r="G334" s="59">
        <v>0</v>
      </c>
      <c r="H334" s="59">
        <v>0</v>
      </c>
      <c r="I334" s="59">
        <v>0</v>
      </c>
      <c r="J334" s="59">
        <v>0</v>
      </c>
      <c r="K334" s="59">
        <v>0</v>
      </c>
      <c r="L334" s="59">
        <v>3600</v>
      </c>
      <c r="M334" s="59">
        <v>8400</v>
      </c>
      <c r="N334" s="59">
        <v>0</v>
      </c>
      <c r="O334" s="59">
        <v>0</v>
      </c>
      <c r="P334" s="81"/>
      <c r="Q334" s="81"/>
      <c r="R334" s="81"/>
      <c r="S334" s="81"/>
      <c r="T334" s="81"/>
      <c r="U334" s="81"/>
      <c r="V334" s="81"/>
    </row>
    <row r="335" spans="1:22" s="86" customFormat="1" ht="21" customHeight="1" x14ac:dyDescent="0.2">
      <c r="A335" s="140"/>
      <c r="B335" s="140"/>
      <c r="C335" s="79" t="s">
        <v>13</v>
      </c>
      <c r="D335" s="59">
        <f t="shared" si="121"/>
        <v>0</v>
      </c>
      <c r="E335" s="59">
        <v>0</v>
      </c>
      <c r="F335" s="59">
        <v>0</v>
      </c>
      <c r="G335" s="59">
        <v>0</v>
      </c>
      <c r="H335" s="59">
        <v>0</v>
      </c>
      <c r="I335" s="59">
        <v>0</v>
      </c>
      <c r="J335" s="59">
        <v>0</v>
      </c>
      <c r="K335" s="59">
        <v>0</v>
      </c>
      <c r="L335" s="59">
        <v>0</v>
      </c>
      <c r="M335" s="59">
        <v>0</v>
      </c>
      <c r="N335" s="59">
        <v>0</v>
      </c>
      <c r="O335" s="59">
        <v>0</v>
      </c>
      <c r="P335" s="81"/>
      <c r="Q335" s="81"/>
      <c r="R335" s="81"/>
      <c r="S335" s="81"/>
      <c r="T335" s="81"/>
      <c r="U335" s="81"/>
      <c r="V335" s="81"/>
    </row>
    <row r="336" spans="1:22" s="86" customFormat="1" ht="21" customHeight="1" x14ac:dyDescent="0.2">
      <c r="A336" s="138" t="s">
        <v>430</v>
      </c>
      <c r="B336" s="138" t="s">
        <v>417</v>
      </c>
      <c r="C336" s="77" t="s">
        <v>7</v>
      </c>
      <c r="D336" s="59">
        <f>SUM(D337:D340)</f>
        <v>69013.200000000012</v>
      </c>
      <c r="E336" s="59">
        <f t="shared" ref="E336:J336" si="122">SUM(E337:E340)</f>
        <v>0</v>
      </c>
      <c r="F336" s="59">
        <f t="shared" si="122"/>
        <v>0</v>
      </c>
      <c r="G336" s="59">
        <f t="shared" si="122"/>
        <v>0</v>
      </c>
      <c r="H336" s="59">
        <f t="shared" si="122"/>
        <v>0</v>
      </c>
      <c r="I336" s="59">
        <f t="shared" si="122"/>
        <v>0</v>
      </c>
      <c r="J336" s="59">
        <f t="shared" si="122"/>
        <v>0</v>
      </c>
      <c r="K336" s="59">
        <f>SUM(K337:K340)</f>
        <v>0</v>
      </c>
      <c r="L336" s="59">
        <f t="shared" ref="L336:O336" si="123">SUM(L337:L340)</f>
        <v>69013.200000000012</v>
      </c>
      <c r="M336" s="59">
        <f t="shared" si="123"/>
        <v>0</v>
      </c>
      <c r="N336" s="59">
        <f t="shared" si="123"/>
        <v>0</v>
      </c>
      <c r="O336" s="59">
        <f t="shared" si="123"/>
        <v>0</v>
      </c>
      <c r="P336" s="81"/>
      <c r="Q336" s="81"/>
      <c r="R336" s="81"/>
      <c r="S336" s="81"/>
      <c r="T336" s="81"/>
      <c r="U336" s="81"/>
      <c r="V336" s="81"/>
    </row>
    <row r="337" spans="1:22" s="86" customFormat="1" ht="21" customHeight="1" x14ac:dyDescent="0.2">
      <c r="A337" s="139"/>
      <c r="B337" s="139"/>
      <c r="C337" s="79" t="s">
        <v>10</v>
      </c>
      <c r="D337" s="59">
        <f>SUM(E337:O337)</f>
        <v>0</v>
      </c>
      <c r="E337" s="59">
        <v>0</v>
      </c>
      <c r="F337" s="59">
        <v>0</v>
      </c>
      <c r="G337" s="59">
        <v>0</v>
      </c>
      <c r="H337" s="59">
        <v>0</v>
      </c>
      <c r="I337" s="59">
        <v>0</v>
      </c>
      <c r="J337" s="59">
        <v>0</v>
      </c>
      <c r="K337" s="59">
        <v>0</v>
      </c>
      <c r="L337" s="59">
        <v>0</v>
      </c>
      <c r="M337" s="59">
        <v>0</v>
      </c>
      <c r="N337" s="59">
        <v>0</v>
      </c>
      <c r="O337" s="59">
        <v>0</v>
      </c>
      <c r="P337" s="81"/>
      <c r="Q337" s="81"/>
      <c r="R337" s="81"/>
      <c r="S337" s="81"/>
      <c r="T337" s="81"/>
      <c r="U337" s="81"/>
      <c r="V337" s="81"/>
    </row>
    <row r="338" spans="1:22" s="86" customFormat="1" ht="21" customHeight="1" x14ac:dyDescent="0.2">
      <c r="A338" s="139"/>
      <c r="B338" s="139"/>
      <c r="C338" s="79" t="s">
        <v>11</v>
      </c>
      <c r="D338" s="59">
        <f t="shared" ref="D338:D340" si="124">SUM(E338:O338)</f>
        <v>68323.100000000006</v>
      </c>
      <c r="E338" s="59">
        <v>0</v>
      </c>
      <c r="F338" s="59">
        <v>0</v>
      </c>
      <c r="G338" s="59">
        <v>0</v>
      </c>
      <c r="H338" s="59">
        <v>0</v>
      </c>
      <c r="I338" s="59">
        <v>0</v>
      </c>
      <c r="J338" s="59">
        <v>0</v>
      </c>
      <c r="K338" s="59">
        <v>0</v>
      </c>
      <c r="L338" s="59">
        <f>68322.8 - 1.7+2</f>
        <v>68323.100000000006</v>
      </c>
      <c r="M338" s="59">
        <v>0</v>
      </c>
      <c r="N338" s="59">
        <v>0</v>
      </c>
      <c r="O338" s="59">
        <v>0</v>
      </c>
      <c r="P338" s="81"/>
      <c r="Q338" s="81"/>
      <c r="R338" s="81"/>
      <c r="S338" s="81"/>
      <c r="T338" s="81"/>
      <c r="U338" s="81"/>
      <c r="V338" s="81"/>
    </row>
    <row r="339" spans="1:22" s="86" customFormat="1" ht="21" customHeight="1" x14ac:dyDescent="0.2">
      <c r="A339" s="139"/>
      <c r="B339" s="139"/>
      <c r="C339" s="79" t="s">
        <v>12</v>
      </c>
      <c r="D339" s="59">
        <f t="shared" si="124"/>
        <v>690.1</v>
      </c>
      <c r="E339" s="59">
        <v>0</v>
      </c>
      <c r="F339" s="59">
        <v>0</v>
      </c>
      <c r="G339" s="59">
        <v>0</v>
      </c>
      <c r="H339" s="59">
        <v>0</v>
      </c>
      <c r="I339" s="59">
        <v>0</v>
      </c>
      <c r="J339" s="59">
        <v>0</v>
      </c>
      <c r="K339" s="59">
        <v>0</v>
      </c>
      <c r="L339" s="59">
        <v>690.1</v>
      </c>
      <c r="M339" s="59">
        <v>0</v>
      </c>
      <c r="N339" s="59">
        <v>0</v>
      </c>
      <c r="O339" s="59">
        <v>0</v>
      </c>
      <c r="P339" s="81"/>
      <c r="Q339" s="81"/>
      <c r="R339" s="81"/>
      <c r="S339" s="81"/>
      <c r="T339" s="81"/>
      <c r="U339" s="81"/>
      <c r="V339" s="81"/>
    </row>
    <row r="340" spans="1:22" s="86" customFormat="1" ht="21" customHeight="1" x14ac:dyDescent="0.2">
      <c r="A340" s="140"/>
      <c r="B340" s="140"/>
      <c r="C340" s="79" t="s">
        <v>13</v>
      </c>
      <c r="D340" s="59">
        <f t="shared" si="124"/>
        <v>0</v>
      </c>
      <c r="E340" s="59">
        <v>0</v>
      </c>
      <c r="F340" s="59">
        <v>0</v>
      </c>
      <c r="G340" s="59">
        <v>0</v>
      </c>
      <c r="H340" s="59">
        <v>0</v>
      </c>
      <c r="I340" s="59">
        <v>0</v>
      </c>
      <c r="J340" s="59">
        <v>0</v>
      </c>
      <c r="K340" s="59">
        <v>0</v>
      </c>
      <c r="L340" s="59">
        <v>0</v>
      </c>
      <c r="M340" s="59">
        <v>0</v>
      </c>
      <c r="N340" s="59">
        <v>0</v>
      </c>
      <c r="O340" s="59">
        <v>0</v>
      </c>
      <c r="P340" s="81"/>
      <c r="Q340" s="81"/>
      <c r="R340" s="81"/>
      <c r="S340" s="81"/>
      <c r="T340" s="81"/>
      <c r="U340" s="81"/>
      <c r="V340" s="81"/>
    </row>
    <row r="341" spans="1:22" s="86" customFormat="1" ht="18.75" customHeight="1" x14ac:dyDescent="0.2">
      <c r="A341" s="138" t="s">
        <v>384</v>
      </c>
      <c r="B341" s="138" t="s">
        <v>412</v>
      </c>
      <c r="C341" s="77" t="s">
        <v>7</v>
      </c>
      <c r="D341" s="59">
        <f>SUM(D342:D345)</f>
        <v>484863.3</v>
      </c>
      <c r="E341" s="59">
        <f t="shared" ref="E341:J341" si="125">SUM(E342:E345)</f>
        <v>0</v>
      </c>
      <c r="F341" s="59">
        <f t="shared" si="125"/>
        <v>0</v>
      </c>
      <c r="G341" s="59">
        <f t="shared" si="125"/>
        <v>0</v>
      </c>
      <c r="H341" s="59">
        <f t="shared" si="125"/>
        <v>0</v>
      </c>
      <c r="I341" s="59">
        <f t="shared" si="125"/>
        <v>0</v>
      </c>
      <c r="J341" s="59">
        <f t="shared" si="125"/>
        <v>0</v>
      </c>
      <c r="K341" s="59">
        <f>SUM(K342:K345)</f>
        <v>0</v>
      </c>
      <c r="L341" s="59">
        <f t="shared" ref="L341:N341" si="126">SUM(L342:L345)</f>
        <v>152212.40000000002</v>
      </c>
      <c r="M341" s="59">
        <f>SUM(M342:M345)</f>
        <v>78728.800000000003</v>
      </c>
      <c r="N341" s="59">
        <f t="shared" si="126"/>
        <v>124117.20000000001</v>
      </c>
      <c r="O341" s="59">
        <f t="shared" ref="O341" si="127">SUM(O342:O345)</f>
        <v>129804.90000000001</v>
      </c>
      <c r="P341" s="81"/>
      <c r="Q341" s="81"/>
      <c r="R341" s="81"/>
      <c r="S341" s="81"/>
      <c r="T341" s="81"/>
      <c r="U341" s="81"/>
      <c r="V341" s="81"/>
    </row>
    <row r="342" spans="1:22" s="86" customFormat="1" ht="18.75" customHeight="1" x14ac:dyDescent="0.2">
      <c r="A342" s="139"/>
      <c r="B342" s="139"/>
      <c r="C342" s="79" t="s">
        <v>10</v>
      </c>
      <c r="D342" s="59">
        <f>SUM(E342:O342)</f>
        <v>0</v>
      </c>
      <c r="E342" s="59">
        <v>0</v>
      </c>
      <c r="F342" s="59">
        <v>0</v>
      </c>
      <c r="G342" s="59">
        <v>0</v>
      </c>
      <c r="H342" s="59">
        <v>0</v>
      </c>
      <c r="I342" s="59">
        <v>0</v>
      </c>
      <c r="J342" s="59">
        <v>0</v>
      </c>
      <c r="K342" s="59">
        <v>0</v>
      </c>
      <c r="L342" s="59">
        <v>0</v>
      </c>
      <c r="M342" s="59">
        <v>0</v>
      </c>
      <c r="N342" s="59">
        <v>0</v>
      </c>
      <c r="O342" s="59">
        <v>0</v>
      </c>
      <c r="P342" s="81"/>
      <c r="Q342" s="81"/>
      <c r="R342" s="81"/>
      <c r="S342" s="81"/>
      <c r="T342" s="81"/>
      <c r="U342" s="81"/>
      <c r="V342" s="81"/>
    </row>
    <row r="343" spans="1:22" s="86" customFormat="1" ht="18.75" customHeight="1" x14ac:dyDescent="0.2">
      <c r="A343" s="139"/>
      <c r="B343" s="139"/>
      <c r="C343" s="79" t="s">
        <v>11</v>
      </c>
      <c r="D343" s="59">
        <f t="shared" ref="D343:D345" si="128">SUM(E343:O343)</f>
        <v>455873.1</v>
      </c>
      <c r="E343" s="59">
        <v>0</v>
      </c>
      <c r="F343" s="59">
        <v>0</v>
      </c>
      <c r="G343" s="59">
        <v>0</v>
      </c>
      <c r="H343" s="59">
        <v>0</v>
      </c>
      <c r="I343" s="59">
        <v>0</v>
      </c>
      <c r="J343" s="59">
        <v>0</v>
      </c>
      <c r="K343" s="59">
        <v>0</v>
      </c>
      <c r="L343" s="59">
        <f>147166.6-4086.9</f>
        <v>143079.70000000001</v>
      </c>
      <c r="M343" s="59">
        <f>108572.1-34465.5</f>
        <v>74106.600000000006</v>
      </c>
      <c r="N343" s="59">
        <f>114543.6-4523.5+6650.1</f>
        <v>116670.20000000001</v>
      </c>
      <c r="O343" s="59">
        <f>114543.6+7473</f>
        <v>122016.6</v>
      </c>
      <c r="P343" s="81"/>
      <c r="Q343" s="81"/>
      <c r="R343" s="81"/>
      <c r="S343" s="81"/>
      <c r="T343" s="81"/>
      <c r="U343" s="81"/>
      <c r="V343" s="81"/>
    </row>
    <row r="344" spans="1:22" s="86" customFormat="1" ht="18.75" customHeight="1" x14ac:dyDescent="0.2">
      <c r="A344" s="139"/>
      <c r="B344" s="139"/>
      <c r="C344" s="79" t="s">
        <v>12</v>
      </c>
      <c r="D344" s="59">
        <f t="shared" si="128"/>
        <v>28990.2</v>
      </c>
      <c r="E344" s="59">
        <v>0</v>
      </c>
      <c r="F344" s="59">
        <v>0</v>
      </c>
      <c r="G344" s="59">
        <v>0</v>
      </c>
      <c r="H344" s="59">
        <v>0</v>
      </c>
      <c r="I344" s="59">
        <v>0</v>
      </c>
      <c r="J344" s="59">
        <v>0</v>
      </c>
      <c r="K344" s="59">
        <v>0</v>
      </c>
      <c r="L344" s="59">
        <f>9393.6-260.9</f>
        <v>9132.7000000000007</v>
      </c>
      <c r="M344" s="59">
        <f>6656.4-1926.2-108</f>
        <v>4622.2</v>
      </c>
      <c r="N344" s="59">
        <f>7311.3-288.7+424.4</f>
        <v>7447</v>
      </c>
      <c r="O344" s="59">
        <f>7311.3+477</f>
        <v>7788.3</v>
      </c>
      <c r="P344" s="81"/>
      <c r="Q344" s="81"/>
      <c r="R344" s="81"/>
      <c r="S344" s="81"/>
      <c r="T344" s="81"/>
      <c r="U344" s="81"/>
      <c r="V344" s="81"/>
    </row>
    <row r="345" spans="1:22" s="86" customFormat="1" ht="18.75" customHeight="1" x14ac:dyDescent="0.2">
      <c r="A345" s="140"/>
      <c r="B345" s="140"/>
      <c r="C345" s="79" t="s">
        <v>13</v>
      </c>
      <c r="D345" s="59">
        <f t="shared" si="128"/>
        <v>0</v>
      </c>
      <c r="E345" s="59">
        <v>0</v>
      </c>
      <c r="F345" s="59">
        <v>0</v>
      </c>
      <c r="G345" s="59">
        <v>0</v>
      </c>
      <c r="H345" s="59">
        <v>0</v>
      </c>
      <c r="I345" s="59">
        <v>0</v>
      </c>
      <c r="J345" s="59">
        <v>0</v>
      </c>
      <c r="K345" s="59">
        <v>0</v>
      </c>
      <c r="L345" s="59">
        <v>0</v>
      </c>
      <c r="M345" s="59">
        <v>0</v>
      </c>
      <c r="N345" s="59">
        <v>0</v>
      </c>
      <c r="O345" s="59">
        <v>0</v>
      </c>
      <c r="P345" s="81"/>
      <c r="Q345" s="81"/>
      <c r="R345" s="81"/>
      <c r="S345" s="81"/>
      <c r="T345" s="81"/>
      <c r="U345" s="81"/>
      <c r="V345" s="81"/>
    </row>
    <row r="346" spans="1:22" s="86" customFormat="1" ht="18.75" customHeight="1" x14ac:dyDescent="0.2">
      <c r="A346" s="138" t="s">
        <v>411</v>
      </c>
      <c r="B346" s="138" t="s">
        <v>414</v>
      </c>
      <c r="C346" s="77" t="s">
        <v>7</v>
      </c>
      <c r="D346" s="59">
        <f>SUM(D347:D350)</f>
        <v>2577072.7000000002</v>
      </c>
      <c r="E346" s="59">
        <f t="shared" ref="E346:J346" si="129">SUM(E347:E350)</f>
        <v>0</v>
      </c>
      <c r="F346" s="59">
        <f t="shared" si="129"/>
        <v>0</v>
      </c>
      <c r="G346" s="59">
        <f t="shared" si="129"/>
        <v>0</v>
      </c>
      <c r="H346" s="59">
        <f t="shared" si="129"/>
        <v>0</v>
      </c>
      <c r="I346" s="59">
        <f t="shared" si="129"/>
        <v>0</v>
      </c>
      <c r="J346" s="59">
        <f t="shared" si="129"/>
        <v>0</v>
      </c>
      <c r="K346" s="59">
        <f>SUM(K347:K350)</f>
        <v>0</v>
      </c>
      <c r="L346" s="59">
        <f t="shared" ref="L346:O346" si="130">SUM(L347:L350)</f>
        <v>808080.8</v>
      </c>
      <c r="M346" s="59">
        <f t="shared" si="130"/>
        <v>1768991.9</v>
      </c>
      <c r="N346" s="59">
        <f t="shared" si="130"/>
        <v>0</v>
      </c>
      <c r="O346" s="59">
        <f t="shared" si="130"/>
        <v>0</v>
      </c>
      <c r="P346" s="81"/>
      <c r="Q346" s="81"/>
      <c r="R346" s="81"/>
      <c r="S346" s="81"/>
      <c r="T346" s="81"/>
      <c r="U346" s="81"/>
      <c r="V346" s="81"/>
    </row>
    <row r="347" spans="1:22" s="86" customFormat="1" ht="18.75" customHeight="1" x14ac:dyDescent="0.2">
      <c r="A347" s="139"/>
      <c r="B347" s="139"/>
      <c r="C347" s="79" t="s">
        <v>10</v>
      </c>
      <c r="D347" s="59">
        <f>SUM(E347:O347)</f>
        <v>0</v>
      </c>
      <c r="E347" s="59">
        <v>0</v>
      </c>
      <c r="F347" s="59">
        <v>0</v>
      </c>
      <c r="G347" s="59">
        <v>0</v>
      </c>
      <c r="H347" s="59">
        <v>0</v>
      </c>
      <c r="I347" s="59">
        <v>0</v>
      </c>
      <c r="J347" s="59">
        <v>0</v>
      </c>
      <c r="K347" s="59">
        <v>0</v>
      </c>
      <c r="L347" s="59">
        <v>0</v>
      </c>
      <c r="M347" s="59">
        <v>0</v>
      </c>
      <c r="N347" s="59">
        <v>0</v>
      </c>
      <c r="O347" s="59">
        <v>0</v>
      </c>
      <c r="P347" s="81"/>
      <c r="Q347" s="81"/>
      <c r="R347" s="81"/>
      <c r="S347" s="81"/>
      <c r="T347" s="81"/>
      <c r="U347" s="81"/>
      <c r="V347" s="81"/>
    </row>
    <row r="348" spans="1:22" s="86" customFormat="1" ht="18.75" customHeight="1" x14ac:dyDescent="0.2">
      <c r="A348" s="139"/>
      <c r="B348" s="139"/>
      <c r="C348" s="79" t="s">
        <v>11</v>
      </c>
      <c r="D348" s="59">
        <f t="shared" ref="D348:D350" si="131">SUM(E348:O348)</f>
        <v>2551302</v>
      </c>
      <c r="E348" s="59">
        <v>0</v>
      </c>
      <c r="F348" s="59">
        <v>0</v>
      </c>
      <c r="G348" s="59">
        <v>0</v>
      </c>
      <c r="H348" s="59">
        <v>0</v>
      </c>
      <c r="I348" s="59">
        <v>0</v>
      </c>
      <c r="J348" s="59">
        <v>0</v>
      </c>
      <c r="K348" s="59">
        <v>0</v>
      </c>
      <c r="L348" s="59">
        <v>800000</v>
      </c>
      <c r="M348" s="59">
        <v>1751302</v>
      </c>
      <c r="N348" s="59">
        <v>0</v>
      </c>
      <c r="O348" s="59">
        <v>0</v>
      </c>
      <c r="P348" s="81"/>
      <c r="Q348" s="81"/>
      <c r="R348" s="81"/>
      <c r="S348" s="81"/>
      <c r="T348" s="81"/>
      <c r="U348" s="81"/>
      <c r="V348" s="81"/>
    </row>
    <row r="349" spans="1:22" s="86" customFormat="1" ht="18.75" customHeight="1" x14ac:dyDescent="0.2">
      <c r="A349" s="139"/>
      <c r="B349" s="139"/>
      <c r="C349" s="79" t="s">
        <v>12</v>
      </c>
      <c r="D349" s="59">
        <f t="shared" si="131"/>
        <v>25770.7</v>
      </c>
      <c r="E349" s="59">
        <v>0</v>
      </c>
      <c r="F349" s="59">
        <v>0</v>
      </c>
      <c r="G349" s="59">
        <v>0</v>
      </c>
      <c r="H349" s="59">
        <v>0</v>
      </c>
      <c r="I349" s="59">
        <v>0</v>
      </c>
      <c r="J349" s="59">
        <v>0</v>
      </c>
      <c r="K349" s="59">
        <v>0</v>
      </c>
      <c r="L349" s="59">
        <v>8080.8</v>
      </c>
      <c r="M349" s="59">
        <v>17689.900000000001</v>
      </c>
      <c r="N349" s="59">
        <v>0</v>
      </c>
      <c r="O349" s="59">
        <v>0</v>
      </c>
      <c r="P349" s="81"/>
      <c r="Q349" s="81"/>
      <c r="R349" s="81"/>
      <c r="S349" s="81"/>
      <c r="T349" s="81"/>
      <c r="U349" s="81"/>
      <c r="V349" s="81"/>
    </row>
    <row r="350" spans="1:22" s="86" customFormat="1" ht="18.75" customHeight="1" x14ac:dyDescent="0.2">
      <c r="A350" s="140"/>
      <c r="B350" s="140"/>
      <c r="C350" s="79" t="s">
        <v>13</v>
      </c>
      <c r="D350" s="59">
        <f t="shared" si="131"/>
        <v>0</v>
      </c>
      <c r="E350" s="59">
        <v>0</v>
      </c>
      <c r="F350" s="59">
        <v>0</v>
      </c>
      <c r="G350" s="59">
        <v>0</v>
      </c>
      <c r="H350" s="59">
        <v>0</v>
      </c>
      <c r="I350" s="59">
        <v>0</v>
      </c>
      <c r="J350" s="59">
        <v>0</v>
      </c>
      <c r="K350" s="59">
        <v>0</v>
      </c>
      <c r="L350" s="59">
        <v>0</v>
      </c>
      <c r="M350" s="59">
        <v>0</v>
      </c>
      <c r="N350" s="59">
        <v>0</v>
      </c>
      <c r="O350" s="59">
        <v>0</v>
      </c>
      <c r="P350" s="81"/>
      <c r="Q350" s="81"/>
      <c r="R350" s="81"/>
      <c r="S350" s="81"/>
      <c r="T350" s="81"/>
      <c r="U350" s="81"/>
      <c r="V350" s="81"/>
    </row>
    <row r="351" spans="1:22" s="86" customFormat="1" ht="18.75" customHeight="1" x14ac:dyDescent="0.2">
      <c r="A351" s="135" t="s">
        <v>441</v>
      </c>
      <c r="B351" s="138" t="s">
        <v>442</v>
      </c>
      <c r="C351" s="77" t="s">
        <v>7</v>
      </c>
      <c r="D351" s="59">
        <f>SUM(D352:D355)</f>
        <v>2577072.7000000002</v>
      </c>
      <c r="E351" s="59">
        <f t="shared" ref="E351:J351" si="132">SUM(E352:E355)</f>
        <v>0</v>
      </c>
      <c r="F351" s="59">
        <f t="shared" si="132"/>
        <v>0</v>
      </c>
      <c r="G351" s="59">
        <f t="shared" si="132"/>
        <v>0</v>
      </c>
      <c r="H351" s="59">
        <f t="shared" si="132"/>
        <v>0</v>
      </c>
      <c r="I351" s="59">
        <f t="shared" si="132"/>
        <v>0</v>
      </c>
      <c r="J351" s="59">
        <f t="shared" si="132"/>
        <v>0</v>
      </c>
      <c r="K351" s="59">
        <f>SUM(K352:K355)</f>
        <v>0</v>
      </c>
      <c r="L351" s="59">
        <f t="shared" ref="L351:O351" si="133">SUM(L352:L355)</f>
        <v>808080.8</v>
      </c>
      <c r="M351" s="59">
        <f t="shared" si="133"/>
        <v>1768991.9</v>
      </c>
      <c r="N351" s="59">
        <f t="shared" si="133"/>
        <v>0</v>
      </c>
      <c r="O351" s="59">
        <f t="shared" si="133"/>
        <v>0</v>
      </c>
      <c r="P351" s="81"/>
      <c r="Q351" s="81"/>
      <c r="R351" s="81"/>
      <c r="S351" s="81"/>
      <c r="T351" s="81"/>
      <c r="U351" s="81"/>
      <c r="V351" s="81"/>
    </row>
    <row r="352" spans="1:22" s="86" customFormat="1" ht="18.75" customHeight="1" x14ac:dyDescent="0.2">
      <c r="A352" s="136"/>
      <c r="B352" s="139"/>
      <c r="C352" s="79" t="s">
        <v>10</v>
      </c>
      <c r="D352" s="59">
        <f>SUM(E352:O352)</f>
        <v>0</v>
      </c>
      <c r="E352" s="59">
        <v>0</v>
      </c>
      <c r="F352" s="59">
        <v>0</v>
      </c>
      <c r="G352" s="59">
        <v>0</v>
      </c>
      <c r="H352" s="59">
        <v>0</v>
      </c>
      <c r="I352" s="59">
        <v>0</v>
      </c>
      <c r="J352" s="59">
        <v>0</v>
      </c>
      <c r="K352" s="59">
        <v>0</v>
      </c>
      <c r="L352" s="59">
        <v>0</v>
      </c>
      <c r="M352" s="59">
        <v>0</v>
      </c>
      <c r="N352" s="59">
        <v>0</v>
      </c>
      <c r="O352" s="59">
        <v>0</v>
      </c>
      <c r="P352" s="81"/>
      <c r="Q352" s="81"/>
      <c r="R352" s="81"/>
      <c r="S352" s="81"/>
      <c r="T352" s="81"/>
      <c r="U352" s="81"/>
      <c r="V352" s="81"/>
    </row>
    <row r="353" spans="1:22" s="86" customFormat="1" ht="18.75" customHeight="1" x14ac:dyDescent="0.2">
      <c r="A353" s="136"/>
      <c r="B353" s="139"/>
      <c r="C353" s="79" t="s">
        <v>11</v>
      </c>
      <c r="D353" s="59">
        <f t="shared" ref="D353:D355" si="134">SUM(E353:O353)</f>
        <v>2551302</v>
      </c>
      <c r="E353" s="59">
        <v>0</v>
      </c>
      <c r="F353" s="59">
        <v>0</v>
      </c>
      <c r="G353" s="59">
        <v>0</v>
      </c>
      <c r="H353" s="59">
        <v>0</v>
      </c>
      <c r="I353" s="59">
        <v>0</v>
      </c>
      <c r="J353" s="59">
        <v>0</v>
      </c>
      <c r="K353" s="59">
        <v>0</v>
      </c>
      <c r="L353" s="59">
        <v>800000</v>
      </c>
      <c r="M353" s="59">
        <v>1751302</v>
      </c>
      <c r="N353" s="59">
        <v>0</v>
      </c>
      <c r="O353" s="59">
        <v>0</v>
      </c>
      <c r="P353" s="81"/>
      <c r="Q353" s="81"/>
      <c r="R353" s="81"/>
      <c r="S353" s="81"/>
      <c r="T353" s="81"/>
      <c r="U353" s="81"/>
      <c r="V353" s="81"/>
    </row>
    <row r="354" spans="1:22" s="86" customFormat="1" ht="18.75" customHeight="1" x14ac:dyDescent="0.2">
      <c r="A354" s="136"/>
      <c r="B354" s="139"/>
      <c r="C354" s="79" t="s">
        <v>12</v>
      </c>
      <c r="D354" s="59">
        <f t="shared" si="134"/>
        <v>25770.7</v>
      </c>
      <c r="E354" s="59">
        <v>0</v>
      </c>
      <c r="F354" s="59">
        <v>0</v>
      </c>
      <c r="G354" s="59">
        <v>0</v>
      </c>
      <c r="H354" s="59">
        <v>0</v>
      </c>
      <c r="I354" s="59">
        <v>0</v>
      </c>
      <c r="J354" s="59">
        <v>0</v>
      </c>
      <c r="K354" s="59">
        <v>0</v>
      </c>
      <c r="L354" s="59">
        <v>8080.8</v>
      </c>
      <c r="M354" s="59">
        <v>17689.900000000001</v>
      </c>
      <c r="N354" s="59">
        <v>0</v>
      </c>
      <c r="O354" s="59">
        <v>0</v>
      </c>
      <c r="P354" s="81"/>
      <c r="Q354" s="81"/>
      <c r="R354" s="81"/>
      <c r="S354" s="81"/>
      <c r="T354" s="81"/>
      <c r="U354" s="81"/>
      <c r="V354" s="81"/>
    </row>
    <row r="355" spans="1:22" s="86" customFormat="1" ht="18.75" customHeight="1" x14ac:dyDescent="0.2">
      <c r="A355" s="137"/>
      <c r="B355" s="140"/>
      <c r="C355" s="79" t="s">
        <v>13</v>
      </c>
      <c r="D355" s="59">
        <f t="shared" si="134"/>
        <v>0</v>
      </c>
      <c r="E355" s="59">
        <v>0</v>
      </c>
      <c r="F355" s="59">
        <v>0</v>
      </c>
      <c r="G355" s="59">
        <v>0</v>
      </c>
      <c r="H355" s="59">
        <v>0</v>
      </c>
      <c r="I355" s="59">
        <v>0</v>
      </c>
      <c r="J355" s="59">
        <v>0</v>
      </c>
      <c r="K355" s="59">
        <v>0</v>
      </c>
      <c r="L355" s="59">
        <v>0</v>
      </c>
      <c r="M355" s="59">
        <v>0</v>
      </c>
      <c r="N355" s="59">
        <v>0</v>
      </c>
      <c r="O355" s="59">
        <v>0</v>
      </c>
      <c r="P355" s="81"/>
      <c r="Q355" s="81"/>
      <c r="R355" s="81"/>
      <c r="S355" s="81"/>
      <c r="T355" s="81"/>
      <c r="U355" s="81"/>
      <c r="V355" s="81"/>
    </row>
    <row r="356" spans="1:22" s="86" customFormat="1" ht="18.75" customHeight="1" x14ac:dyDescent="0.2">
      <c r="A356" s="138" t="s">
        <v>413</v>
      </c>
      <c r="B356" s="138" t="s">
        <v>425</v>
      </c>
      <c r="C356" s="77" t="s">
        <v>7</v>
      </c>
      <c r="D356" s="59">
        <f>SUM(D357:D360)</f>
        <v>258.19999999999993</v>
      </c>
      <c r="E356" s="59">
        <f t="shared" ref="E356:J356" si="135">SUM(E357:E360)</f>
        <v>0</v>
      </c>
      <c r="F356" s="59">
        <f t="shared" si="135"/>
        <v>0</v>
      </c>
      <c r="G356" s="59">
        <f t="shared" si="135"/>
        <v>0</v>
      </c>
      <c r="H356" s="59">
        <f t="shared" si="135"/>
        <v>0</v>
      </c>
      <c r="I356" s="59">
        <f t="shared" si="135"/>
        <v>0</v>
      </c>
      <c r="J356" s="59">
        <f t="shared" si="135"/>
        <v>0</v>
      </c>
      <c r="K356" s="59">
        <f>SUM(K357:K360)</f>
        <v>0</v>
      </c>
      <c r="L356" s="59">
        <f t="shared" ref="L356:O356" si="136">SUM(L357:L360)</f>
        <v>258.19999999999993</v>
      </c>
      <c r="M356" s="59">
        <f t="shared" si="136"/>
        <v>0</v>
      </c>
      <c r="N356" s="59">
        <f t="shared" si="136"/>
        <v>0</v>
      </c>
      <c r="O356" s="59">
        <f t="shared" si="136"/>
        <v>0</v>
      </c>
      <c r="P356" s="81"/>
      <c r="Q356" s="81"/>
      <c r="R356" s="81"/>
      <c r="S356" s="81"/>
      <c r="T356" s="81"/>
      <c r="U356" s="81"/>
      <c r="V356" s="81"/>
    </row>
    <row r="357" spans="1:22" s="86" customFormat="1" ht="18.75" customHeight="1" x14ac:dyDescent="0.2">
      <c r="A357" s="139"/>
      <c r="B357" s="139"/>
      <c r="C357" s="79" t="s">
        <v>10</v>
      </c>
      <c r="D357" s="59">
        <f>SUM(E357:O357)</f>
        <v>0</v>
      </c>
      <c r="E357" s="59">
        <v>0</v>
      </c>
      <c r="F357" s="59">
        <v>0</v>
      </c>
      <c r="G357" s="59">
        <v>0</v>
      </c>
      <c r="H357" s="59">
        <v>0</v>
      </c>
      <c r="I357" s="59">
        <v>0</v>
      </c>
      <c r="J357" s="59">
        <v>0</v>
      </c>
      <c r="K357" s="59">
        <v>0</v>
      </c>
      <c r="L357" s="59">
        <v>0</v>
      </c>
      <c r="M357" s="59">
        <v>0</v>
      </c>
      <c r="N357" s="59">
        <v>0</v>
      </c>
      <c r="O357" s="59">
        <v>0</v>
      </c>
      <c r="P357" s="81"/>
      <c r="Q357" s="81"/>
      <c r="R357" s="81"/>
      <c r="S357" s="81"/>
      <c r="T357" s="81"/>
      <c r="U357" s="81"/>
      <c r="V357" s="81"/>
    </row>
    <row r="358" spans="1:22" s="86" customFormat="1" ht="18.75" customHeight="1" x14ac:dyDescent="0.2">
      <c r="A358" s="139"/>
      <c r="B358" s="139"/>
      <c r="C358" s="79" t="s">
        <v>11</v>
      </c>
      <c r="D358" s="59">
        <f t="shared" ref="D358:D360" si="137">SUM(E358:O358)</f>
        <v>0</v>
      </c>
      <c r="E358" s="59">
        <v>0</v>
      </c>
      <c r="F358" s="59">
        <v>0</v>
      </c>
      <c r="G358" s="59">
        <v>0</v>
      </c>
      <c r="H358" s="59">
        <v>0</v>
      </c>
      <c r="I358" s="59">
        <v>0</v>
      </c>
      <c r="J358" s="59">
        <v>0</v>
      </c>
      <c r="K358" s="59">
        <v>0</v>
      </c>
      <c r="L358" s="59">
        <v>0</v>
      </c>
      <c r="M358" s="59">
        <v>0</v>
      </c>
      <c r="N358" s="59">
        <v>0</v>
      </c>
      <c r="O358" s="59">
        <v>0</v>
      </c>
      <c r="P358" s="81"/>
      <c r="Q358" s="81"/>
      <c r="R358" s="81"/>
      <c r="S358" s="81"/>
      <c r="T358" s="81"/>
      <c r="U358" s="81"/>
      <c r="V358" s="81"/>
    </row>
    <row r="359" spans="1:22" s="86" customFormat="1" ht="18.75" customHeight="1" x14ac:dyDescent="0.2">
      <c r="A359" s="139"/>
      <c r="B359" s="139"/>
      <c r="C359" s="79" t="s">
        <v>12</v>
      </c>
      <c r="D359" s="59">
        <f t="shared" si="137"/>
        <v>258.19999999999993</v>
      </c>
      <c r="E359" s="59">
        <v>0</v>
      </c>
      <c r="F359" s="59">
        <v>0</v>
      </c>
      <c r="G359" s="59">
        <v>0</v>
      </c>
      <c r="H359" s="59">
        <v>0</v>
      </c>
      <c r="I359" s="59">
        <v>0</v>
      </c>
      <c r="J359" s="59">
        <v>0</v>
      </c>
      <c r="K359" s="59">
        <v>0</v>
      </c>
      <c r="L359" s="57">
        <f>2.5+198.3+1493.4-1493.4+57.4</f>
        <v>258.19999999999993</v>
      </c>
      <c r="M359" s="59">
        <v>0</v>
      </c>
      <c r="N359" s="59">
        <v>0</v>
      </c>
      <c r="O359" s="59">
        <v>0</v>
      </c>
      <c r="P359" s="81"/>
      <c r="Q359" s="81"/>
      <c r="R359" s="81"/>
      <c r="S359" s="81"/>
      <c r="T359" s="81"/>
      <c r="U359" s="81"/>
      <c r="V359" s="81"/>
    </row>
    <row r="360" spans="1:22" s="86" customFormat="1" ht="18.75" customHeight="1" x14ac:dyDescent="0.2">
      <c r="A360" s="140"/>
      <c r="B360" s="140"/>
      <c r="C360" s="79" t="s">
        <v>13</v>
      </c>
      <c r="D360" s="59">
        <f t="shared" si="137"/>
        <v>0</v>
      </c>
      <c r="E360" s="59">
        <v>0</v>
      </c>
      <c r="F360" s="59">
        <v>0</v>
      </c>
      <c r="G360" s="59">
        <v>0</v>
      </c>
      <c r="H360" s="59">
        <v>0</v>
      </c>
      <c r="I360" s="59">
        <v>0</v>
      </c>
      <c r="J360" s="59">
        <v>0</v>
      </c>
      <c r="K360" s="59">
        <v>0</v>
      </c>
      <c r="L360" s="59">
        <v>0</v>
      </c>
      <c r="M360" s="59">
        <v>0</v>
      </c>
      <c r="N360" s="59">
        <v>0</v>
      </c>
      <c r="O360" s="59">
        <v>0</v>
      </c>
      <c r="P360" s="81"/>
      <c r="Q360" s="81"/>
      <c r="R360" s="81"/>
      <c r="S360" s="81"/>
      <c r="T360" s="81"/>
      <c r="U360" s="81"/>
      <c r="V360" s="81"/>
    </row>
    <row r="361" spans="1:22" s="86" customFormat="1" ht="18.75" customHeight="1" x14ac:dyDescent="0.2">
      <c r="A361" s="138" t="s">
        <v>431</v>
      </c>
      <c r="B361" s="138" t="s">
        <v>434</v>
      </c>
      <c r="C361" s="77" t="s">
        <v>7</v>
      </c>
      <c r="D361" s="59">
        <f>SUM(D362:D365)</f>
        <v>4394382.7</v>
      </c>
      <c r="E361" s="59">
        <f t="shared" ref="E361:J361" si="138">SUM(E362:E365)</f>
        <v>0</v>
      </c>
      <c r="F361" s="59">
        <f t="shared" si="138"/>
        <v>0</v>
      </c>
      <c r="G361" s="59">
        <f t="shared" si="138"/>
        <v>0</v>
      </c>
      <c r="H361" s="59">
        <f t="shared" si="138"/>
        <v>0</v>
      </c>
      <c r="I361" s="59">
        <f t="shared" si="138"/>
        <v>0</v>
      </c>
      <c r="J361" s="59">
        <f t="shared" si="138"/>
        <v>0</v>
      </c>
      <c r="K361" s="59">
        <f>SUM(K362:K365)</f>
        <v>0</v>
      </c>
      <c r="L361" s="59">
        <f t="shared" ref="L361:O361" si="139">SUM(L362:L365)</f>
        <v>1044585.9</v>
      </c>
      <c r="M361" s="59">
        <f t="shared" si="139"/>
        <v>804898.4</v>
      </c>
      <c r="N361" s="59">
        <f t="shared" si="139"/>
        <v>2544898.4</v>
      </c>
      <c r="O361" s="59">
        <f t="shared" si="139"/>
        <v>0</v>
      </c>
      <c r="P361" s="81"/>
      <c r="Q361" s="81"/>
      <c r="R361" s="81"/>
      <c r="S361" s="81"/>
      <c r="T361" s="81"/>
      <c r="U361" s="81"/>
      <c r="V361" s="81"/>
    </row>
    <row r="362" spans="1:22" s="86" customFormat="1" ht="18.75" customHeight="1" x14ac:dyDescent="0.2">
      <c r="A362" s="139"/>
      <c r="B362" s="139"/>
      <c r="C362" s="79" t="s">
        <v>10</v>
      </c>
      <c r="D362" s="59">
        <f>SUM(E362:O362)</f>
        <v>0</v>
      </c>
      <c r="E362" s="59">
        <v>0</v>
      </c>
      <c r="F362" s="59">
        <v>0</v>
      </c>
      <c r="G362" s="59">
        <v>0</v>
      </c>
      <c r="H362" s="59">
        <v>0</v>
      </c>
      <c r="I362" s="59">
        <v>0</v>
      </c>
      <c r="J362" s="59">
        <v>0</v>
      </c>
      <c r="K362" s="59">
        <v>0</v>
      </c>
      <c r="L362" s="59">
        <f>L367+L372</f>
        <v>0</v>
      </c>
      <c r="M362" s="59">
        <f t="shared" ref="M362:O362" si="140">M367+M372</f>
        <v>0</v>
      </c>
      <c r="N362" s="59">
        <f t="shared" si="140"/>
        <v>0</v>
      </c>
      <c r="O362" s="59">
        <f t="shared" si="140"/>
        <v>0</v>
      </c>
      <c r="P362" s="81"/>
      <c r="Q362" s="81"/>
      <c r="R362" s="81"/>
      <c r="S362" s="81"/>
      <c r="T362" s="81"/>
      <c r="U362" s="81"/>
      <c r="V362" s="81"/>
    </row>
    <row r="363" spans="1:22" s="86" customFormat="1" ht="18.75" customHeight="1" x14ac:dyDescent="0.2">
      <c r="A363" s="139"/>
      <c r="B363" s="139"/>
      <c r="C363" s="79" t="s">
        <v>11</v>
      </c>
      <c r="D363" s="59">
        <f t="shared" ref="D363:D365" si="141">SUM(E363:O363)</f>
        <v>4350438.8</v>
      </c>
      <c r="E363" s="59">
        <v>0</v>
      </c>
      <c r="F363" s="59">
        <v>0</v>
      </c>
      <c r="G363" s="59">
        <v>0</v>
      </c>
      <c r="H363" s="59">
        <v>0</v>
      </c>
      <c r="I363" s="59">
        <v>0</v>
      </c>
      <c r="J363" s="59">
        <v>0</v>
      </c>
      <c r="K363" s="59">
        <v>0</v>
      </c>
      <c r="L363" s="59">
        <f>L368+L373</f>
        <v>1034140</v>
      </c>
      <c r="M363" s="59">
        <f t="shared" ref="M363:O363" si="142">M368+M373</f>
        <v>796849.4</v>
      </c>
      <c r="N363" s="59">
        <f t="shared" si="142"/>
        <v>2519449.4</v>
      </c>
      <c r="O363" s="59">
        <f t="shared" si="142"/>
        <v>0</v>
      </c>
      <c r="P363" s="81"/>
      <c r="Q363" s="81"/>
      <c r="R363" s="81"/>
      <c r="S363" s="81"/>
      <c r="T363" s="81"/>
      <c r="U363" s="81"/>
      <c r="V363" s="81"/>
    </row>
    <row r="364" spans="1:22" s="86" customFormat="1" ht="18.75" customHeight="1" x14ac:dyDescent="0.2">
      <c r="A364" s="139"/>
      <c r="B364" s="139"/>
      <c r="C364" s="79" t="s">
        <v>12</v>
      </c>
      <c r="D364" s="59">
        <f t="shared" si="141"/>
        <v>43943.9</v>
      </c>
      <c r="E364" s="59">
        <v>0</v>
      </c>
      <c r="F364" s="59">
        <v>0</v>
      </c>
      <c r="G364" s="59">
        <v>0</v>
      </c>
      <c r="H364" s="59">
        <v>0</v>
      </c>
      <c r="I364" s="59">
        <v>0</v>
      </c>
      <c r="J364" s="59">
        <v>0</v>
      </c>
      <c r="K364" s="59">
        <v>0</v>
      </c>
      <c r="L364" s="59">
        <f>L374+L369</f>
        <v>10445.9</v>
      </c>
      <c r="M364" s="59">
        <f t="shared" ref="M364:V364" si="143">M374+M369</f>
        <v>8049</v>
      </c>
      <c r="N364" s="59">
        <f t="shared" si="143"/>
        <v>25449</v>
      </c>
      <c r="O364" s="59">
        <f t="shared" si="143"/>
        <v>0</v>
      </c>
      <c r="P364" s="59">
        <f t="shared" si="143"/>
        <v>0</v>
      </c>
      <c r="Q364" s="59">
        <f t="shared" si="143"/>
        <v>0</v>
      </c>
      <c r="R364" s="59">
        <f t="shared" si="143"/>
        <v>0</v>
      </c>
      <c r="S364" s="59">
        <f t="shared" si="143"/>
        <v>0</v>
      </c>
      <c r="T364" s="59">
        <f t="shared" si="143"/>
        <v>0</v>
      </c>
      <c r="U364" s="59">
        <f t="shared" si="143"/>
        <v>0</v>
      </c>
      <c r="V364" s="59">
        <f t="shared" si="143"/>
        <v>0</v>
      </c>
    </row>
    <row r="365" spans="1:22" s="86" customFormat="1" ht="38.25" customHeight="1" x14ac:dyDescent="0.2">
      <c r="A365" s="140"/>
      <c r="B365" s="140"/>
      <c r="C365" s="79" t="s">
        <v>13</v>
      </c>
      <c r="D365" s="59">
        <f t="shared" si="141"/>
        <v>0</v>
      </c>
      <c r="E365" s="59">
        <v>0</v>
      </c>
      <c r="F365" s="59">
        <v>0</v>
      </c>
      <c r="G365" s="59">
        <v>0</v>
      </c>
      <c r="H365" s="59">
        <v>0</v>
      </c>
      <c r="I365" s="59">
        <v>0</v>
      </c>
      <c r="J365" s="59">
        <v>0</v>
      </c>
      <c r="K365" s="59">
        <v>0</v>
      </c>
      <c r="L365" s="59">
        <f>L370+L375</f>
        <v>0</v>
      </c>
      <c r="M365" s="59">
        <f t="shared" ref="M365:O365" si="144">M370+M375</f>
        <v>0</v>
      </c>
      <c r="N365" s="59">
        <f t="shared" si="144"/>
        <v>0</v>
      </c>
      <c r="O365" s="59">
        <f t="shared" si="144"/>
        <v>0</v>
      </c>
      <c r="P365" s="81"/>
      <c r="Q365" s="81"/>
      <c r="R365" s="81"/>
      <c r="S365" s="81"/>
      <c r="T365" s="81"/>
      <c r="U365" s="81"/>
      <c r="V365" s="81"/>
    </row>
    <row r="366" spans="1:22" s="86" customFormat="1" ht="18.75" customHeight="1" x14ac:dyDescent="0.2">
      <c r="A366" s="138" t="s">
        <v>432</v>
      </c>
      <c r="B366" s="138" t="s">
        <v>416</v>
      </c>
      <c r="C366" s="77" t="s">
        <v>7</v>
      </c>
      <c r="D366" s="59">
        <f>SUM(D367:D370)</f>
        <v>3140000</v>
      </c>
      <c r="E366" s="59">
        <f t="shared" ref="E366:J366" si="145">SUM(E367:E370)</f>
        <v>0</v>
      </c>
      <c r="F366" s="59">
        <f t="shared" si="145"/>
        <v>0</v>
      </c>
      <c r="G366" s="59">
        <f t="shared" si="145"/>
        <v>0</v>
      </c>
      <c r="H366" s="59">
        <f t="shared" si="145"/>
        <v>0</v>
      </c>
      <c r="I366" s="59">
        <f t="shared" si="145"/>
        <v>0</v>
      </c>
      <c r="J366" s="59">
        <f t="shared" si="145"/>
        <v>0</v>
      </c>
      <c r="K366" s="59">
        <f>SUM(K367:K370)</f>
        <v>0</v>
      </c>
      <c r="L366" s="59">
        <f t="shared" ref="L366:O366" si="146">SUM(L367:L370)</f>
        <v>1000000</v>
      </c>
      <c r="M366" s="59">
        <f t="shared" si="146"/>
        <v>200000</v>
      </c>
      <c r="N366" s="59">
        <f t="shared" si="146"/>
        <v>1940000</v>
      </c>
      <c r="O366" s="59">
        <f t="shared" si="146"/>
        <v>0</v>
      </c>
      <c r="P366" s="81"/>
      <c r="Q366" s="81"/>
      <c r="R366" s="81"/>
      <c r="S366" s="81"/>
      <c r="T366" s="81"/>
      <c r="U366" s="81"/>
      <c r="V366" s="81"/>
    </row>
    <row r="367" spans="1:22" s="86" customFormat="1" ht="18.75" customHeight="1" x14ac:dyDescent="0.2">
      <c r="A367" s="139"/>
      <c r="B367" s="139"/>
      <c r="C367" s="79" t="s">
        <v>10</v>
      </c>
      <c r="D367" s="59">
        <f>SUM(E367:O367)</f>
        <v>0</v>
      </c>
      <c r="E367" s="59">
        <v>0</v>
      </c>
      <c r="F367" s="59">
        <v>0</v>
      </c>
      <c r="G367" s="59">
        <v>0</v>
      </c>
      <c r="H367" s="59">
        <v>0</v>
      </c>
      <c r="I367" s="59">
        <v>0</v>
      </c>
      <c r="J367" s="59">
        <v>0</v>
      </c>
      <c r="K367" s="59">
        <v>0</v>
      </c>
      <c r="L367" s="59">
        <v>0</v>
      </c>
      <c r="M367" s="59">
        <v>0</v>
      </c>
      <c r="N367" s="59">
        <v>0</v>
      </c>
      <c r="O367" s="59">
        <v>0</v>
      </c>
      <c r="P367" s="81"/>
      <c r="Q367" s="81"/>
      <c r="R367" s="81"/>
      <c r="S367" s="81"/>
      <c r="T367" s="81"/>
      <c r="U367" s="81"/>
      <c r="V367" s="81"/>
    </row>
    <row r="368" spans="1:22" s="86" customFormat="1" ht="18.75" customHeight="1" x14ac:dyDescent="0.2">
      <c r="A368" s="139"/>
      <c r="B368" s="139"/>
      <c r="C368" s="79" t="s">
        <v>11</v>
      </c>
      <c r="D368" s="59">
        <f t="shared" ref="D368:D370" si="147">SUM(E368:O368)</f>
        <v>3108600</v>
      </c>
      <c r="E368" s="59">
        <v>0</v>
      </c>
      <c r="F368" s="59">
        <v>0</v>
      </c>
      <c r="G368" s="59">
        <v>0</v>
      </c>
      <c r="H368" s="59">
        <v>0</v>
      </c>
      <c r="I368" s="59">
        <v>0</v>
      </c>
      <c r="J368" s="59">
        <v>0</v>
      </c>
      <c r="K368" s="59">
        <v>0</v>
      </c>
      <c r="L368" s="59">
        <v>990000</v>
      </c>
      <c r="M368" s="59">
        <v>198000</v>
      </c>
      <c r="N368" s="59">
        <v>1920600</v>
      </c>
      <c r="O368" s="59">
        <v>0</v>
      </c>
      <c r="P368" s="81"/>
      <c r="Q368" s="81"/>
      <c r="R368" s="81"/>
      <c r="S368" s="81"/>
      <c r="T368" s="81"/>
      <c r="U368" s="81"/>
      <c r="V368" s="81"/>
    </row>
    <row r="369" spans="1:22" s="86" customFormat="1" ht="18.75" customHeight="1" x14ac:dyDescent="0.2">
      <c r="A369" s="139"/>
      <c r="B369" s="139"/>
      <c r="C369" s="79" t="s">
        <v>12</v>
      </c>
      <c r="D369" s="59">
        <f t="shared" si="147"/>
        <v>31400</v>
      </c>
      <c r="E369" s="59">
        <v>0</v>
      </c>
      <c r="F369" s="59">
        <v>0</v>
      </c>
      <c r="G369" s="59">
        <v>0</v>
      </c>
      <c r="H369" s="59">
        <v>0</v>
      </c>
      <c r="I369" s="59">
        <v>0</v>
      </c>
      <c r="J369" s="59">
        <v>0</v>
      </c>
      <c r="K369" s="59">
        <v>0</v>
      </c>
      <c r="L369" s="59">
        <v>10000</v>
      </c>
      <c r="M369" s="59">
        <v>2000</v>
      </c>
      <c r="N369" s="59">
        <v>19400</v>
      </c>
      <c r="O369" s="59">
        <v>0</v>
      </c>
      <c r="P369" s="81"/>
      <c r="Q369" s="81"/>
      <c r="R369" s="81"/>
      <c r="S369" s="81"/>
      <c r="T369" s="81"/>
      <c r="U369" s="81"/>
      <c r="V369" s="81"/>
    </row>
    <row r="370" spans="1:22" s="86" customFormat="1" ht="18.75" customHeight="1" x14ac:dyDescent="0.2">
      <c r="A370" s="140"/>
      <c r="B370" s="140"/>
      <c r="C370" s="79" t="s">
        <v>13</v>
      </c>
      <c r="D370" s="59">
        <f t="shared" si="147"/>
        <v>0</v>
      </c>
      <c r="E370" s="59">
        <v>0</v>
      </c>
      <c r="F370" s="59">
        <v>0</v>
      </c>
      <c r="G370" s="59">
        <v>0</v>
      </c>
      <c r="H370" s="59">
        <v>0</v>
      </c>
      <c r="I370" s="59">
        <v>0</v>
      </c>
      <c r="J370" s="59">
        <v>0</v>
      </c>
      <c r="K370" s="59">
        <v>0</v>
      </c>
      <c r="L370" s="59">
        <v>0</v>
      </c>
      <c r="M370" s="59">
        <v>0</v>
      </c>
      <c r="N370" s="59">
        <v>0</v>
      </c>
      <c r="O370" s="59">
        <v>0</v>
      </c>
      <c r="P370" s="81"/>
      <c r="Q370" s="81"/>
      <c r="R370" s="81"/>
      <c r="S370" s="81"/>
      <c r="T370" s="81"/>
      <c r="U370" s="81"/>
      <c r="V370" s="81"/>
    </row>
    <row r="371" spans="1:22" s="86" customFormat="1" ht="18.75" customHeight="1" x14ac:dyDescent="0.2">
      <c r="A371" s="138" t="s">
        <v>433</v>
      </c>
      <c r="B371" s="138" t="s">
        <v>422</v>
      </c>
      <c r="C371" s="77" t="s">
        <v>7</v>
      </c>
      <c r="D371" s="59">
        <f>SUM(D372:D375)</f>
        <v>1254382.7</v>
      </c>
      <c r="E371" s="59">
        <f t="shared" ref="E371:J371" si="148">SUM(E372:E375)</f>
        <v>0</v>
      </c>
      <c r="F371" s="59">
        <f t="shared" si="148"/>
        <v>0</v>
      </c>
      <c r="G371" s="59">
        <f t="shared" si="148"/>
        <v>0</v>
      </c>
      <c r="H371" s="59">
        <f t="shared" si="148"/>
        <v>0</v>
      </c>
      <c r="I371" s="59">
        <f t="shared" si="148"/>
        <v>0</v>
      </c>
      <c r="J371" s="59">
        <f t="shared" si="148"/>
        <v>0</v>
      </c>
      <c r="K371" s="59">
        <f>SUM(K372:K375)</f>
        <v>0</v>
      </c>
      <c r="L371" s="59">
        <f t="shared" ref="L371:O371" si="149">SUM(L372:L375)</f>
        <v>44585.9</v>
      </c>
      <c r="M371" s="59">
        <f t="shared" si="149"/>
        <v>604898.4</v>
      </c>
      <c r="N371" s="59">
        <f t="shared" si="149"/>
        <v>604898.4</v>
      </c>
      <c r="O371" s="59">
        <f t="shared" si="149"/>
        <v>0</v>
      </c>
      <c r="P371" s="81"/>
      <c r="Q371" s="81"/>
      <c r="R371" s="81"/>
      <c r="S371" s="81"/>
      <c r="T371" s="81"/>
      <c r="U371" s="81"/>
      <c r="V371" s="81"/>
    </row>
    <row r="372" spans="1:22" s="86" customFormat="1" ht="18.75" customHeight="1" x14ac:dyDescent="0.2">
      <c r="A372" s="139"/>
      <c r="B372" s="139"/>
      <c r="C372" s="79" t="s">
        <v>10</v>
      </c>
      <c r="D372" s="59">
        <f>SUM(E372:O372)</f>
        <v>0</v>
      </c>
      <c r="E372" s="59">
        <v>0</v>
      </c>
      <c r="F372" s="59">
        <v>0</v>
      </c>
      <c r="G372" s="59">
        <v>0</v>
      </c>
      <c r="H372" s="59">
        <v>0</v>
      </c>
      <c r="I372" s="59">
        <v>0</v>
      </c>
      <c r="J372" s="59">
        <v>0</v>
      </c>
      <c r="K372" s="59">
        <v>0</v>
      </c>
      <c r="L372" s="59">
        <v>0</v>
      </c>
      <c r="M372" s="59">
        <v>0</v>
      </c>
      <c r="N372" s="59">
        <v>0</v>
      </c>
      <c r="O372" s="59">
        <v>0</v>
      </c>
      <c r="P372" s="81"/>
      <c r="Q372" s="81"/>
      <c r="R372" s="81"/>
      <c r="S372" s="81"/>
      <c r="T372" s="81"/>
      <c r="U372" s="81"/>
      <c r="V372" s="81"/>
    </row>
    <row r="373" spans="1:22" s="86" customFormat="1" ht="18.75" customHeight="1" x14ac:dyDescent="0.2">
      <c r="A373" s="139"/>
      <c r="B373" s="139"/>
      <c r="C373" s="79" t="s">
        <v>11</v>
      </c>
      <c r="D373" s="59">
        <f t="shared" ref="D373:D375" si="150">SUM(E373:O373)</f>
        <v>1241838.8</v>
      </c>
      <c r="E373" s="59">
        <v>0</v>
      </c>
      <c r="F373" s="59">
        <v>0</v>
      </c>
      <c r="G373" s="59">
        <v>0</v>
      </c>
      <c r="H373" s="59">
        <v>0</v>
      </c>
      <c r="I373" s="59">
        <v>0</v>
      </c>
      <c r="J373" s="59">
        <v>0</v>
      </c>
      <c r="K373" s="59">
        <v>0</v>
      </c>
      <c r="L373" s="59">
        <v>44140</v>
      </c>
      <c r="M373" s="59">
        <v>598849.4</v>
      </c>
      <c r="N373" s="59">
        <v>598849.4</v>
      </c>
      <c r="O373" s="59">
        <v>0</v>
      </c>
      <c r="P373" s="81"/>
      <c r="Q373" s="81"/>
      <c r="R373" s="81"/>
      <c r="S373" s="81"/>
      <c r="T373" s="81"/>
      <c r="U373" s="81"/>
      <c r="V373" s="81"/>
    </row>
    <row r="374" spans="1:22" s="86" customFormat="1" ht="18.75" customHeight="1" x14ac:dyDescent="0.2">
      <c r="A374" s="139"/>
      <c r="B374" s="139"/>
      <c r="C374" s="79" t="s">
        <v>12</v>
      </c>
      <c r="D374" s="59">
        <f t="shared" si="150"/>
        <v>12543.9</v>
      </c>
      <c r="E374" s="59">
        <v>0</v>
      </c>
      <c r="F374" s="59">
        <v>0</v>
      </c>
      <c r="G374" s="59">
        <v>0</v>
      </c>
      <c r="H374" s="59">
        <v>0</v>
      </c>
      <c r="I374" s="59">
        <v>0</v>
      </c>
      <c r="J374" s="59">
        <v>0</v>
      </c>
      <c r="K374" s="59">
        <v>0</v>
      </c>
      <c r="L374" s="59">
        <f>446-0.1</f>
        <v>445.9</v>
      </c>
      <c r="M374" s="59">
        <v>6049</v>
      </c>
      <c r="N374" s="59">
        <v>6049</v>
      </c>
      <c r="O374" s="59">
        <v>0</v>
      </c>
      <c r="P374" s="81"/>
      <c r="Q374" s="81"/>
      <c r="R374" s="81"/>
      <c r="S374" s="81"/>
      <c r="T374" s="81"/>
      <c r="U374" s="81"/>
      <c r="V374" s="81"/>
    </row>
    <row r="375" spans="1:22" s="86" customFormat="1" ht="18.75" customHeight="1" x14ac:dyDescent="0.2">
      <c r="A375" s="140"/>
      <c r="B375" s="140"/>
      <c r="C375" s="79" t="s">
        <v>13</v>
      </c>
      <c r="D375" s="59">
        <f t="shared" si="150"/>
        <v>0</v>
      </c>
      <c r="E375" s="59">
        <v>0</v>
      </c>
      <c r="F375" s="59">
        <v>0</v>
      </c>
      <c r="G375" s="59">
        <v>0</v>
      </c>
      <c r="H375" s="59">
        <v>0</v>
      </c>
      <c r="I375" s="59">
        <v>0</v>
      </c>
      <c r="J375" s="59">
        <v>0</v>
      </c>
      <c r="K375" s="59">
        <v>0</v>
      </c>
      <c r="L375" s="59">
        <v>0</v>
      </c>
      <c r="M375" s="59">
        <v>0</v>
      </c>
      <c r="N375" s="59">
        <v>0</v>
      </c>
      <c r="O375" s="59">
        <v>0</v>
      </c>
      <c r="P375" s="81"/>
      <c r="Q375" s="81"/>
      <c r="R375" s="81"/>
      <c r="S375" s="81"/>
      <c r="T375" s="81"/>
      <c r="U375" s="81"/>
      <c r="V375" s="81"/>
    </row>
    <row r="376" spans="1:22" s="86" customFormat="1" ht="18.75" customHeight="1" x14ac:dyDescent="0.2">
      <c r="A376" s="138" t="s">
        <v>439</v>
      </c>
      <c r="B376" s="138" t="s">
        <v>440</v>
      </c>
      <c r="C376" s="77" t="s">
        <v>7</v>
      </c>
      <c r="D376" s="59">
        <f>SUM(D377:D380)</f>
        <v>4347.8</v>
      </c>
      <c r="E376" s="59">
        <f t="shared" ref="E376:J376" si="151">SUM(E377:E380)</f>
        <v>0</v>
      </c>
      <c r="F376" s="59">
        <f t="shared" si="151"/>
        <v>0</v>
      </c>
      <c r="G376" s="59">
        <f t="shared" si="151"/>
        <v>0</v>
      </c>
      <c r="H376" s="59">
        <f t="shared" si="151"/>
        <v>0</v>
      </c>
      <c r="I376" s="59">
        <f t="shared" si="151"/>
        <v>0</v>
      </c>
      <c r="J376" s="59">
        <f t="shared" si="151"/>
        <v>0</v>
      </c>
      <c r="K376" s="59">
        <f>SUM(K377:K380)</f>
        <v>0</v>
      </c>
      <c r="L376" s="59">
        <f t="shared" ref="L376" si="152">SUM(L377:L380)</f>
        <v>4347.8</v>
      </c>
      <c r="M376" s="59">
        <f>SUM(M377:M380)</f>
        <v>0</v>
      </c>
      <c r="N376" s="59">
        <f t="shared" ref="N376" si="153">SUM(N377:N380)</f>
        <v>0</v>
      </c>
      <c r="O376" s="59">
        <f t="shared" ref="O376" si="154">SUM(O377:O380)</f>
        <v>0</v>
      </c>
      <c r="P376" s="81"/>
      <c r="Q376" s="81"/>
      <c r="R376" s="81"/>
      <c r="S376" s="81"/>
      <c r="T376" s="81"/>
      <c r="U376" s="81"/>
      <c r="V376" s="81"/>
    </row>
    <row r="377" spans="1:22" s="86" customFormat="1" ht="18.75" customHeight="1" x14ac:dyDescent="0.2">
      <c r="A377" s="139"/>
      <c r="B377" s="139"/>
      <c r="C377" s="79" t="s">
        <v>10</v>
      </c>
      <c r="D377" s="59">
        <f>SUM(E377:O377)</f>
        <v>0</v>
      </c>
      <c r="E377" s="59">
        <v>0</v>
      </c>
      <c r="F377" s="59">
        <v>0</v>
      </c>
      <c r="G377" s="59">
        <v>0</v>
      </c>
      <c r="H377" s="59">
        <v>0</v>
      </c>
      <c r="I377" s="59">
        <v>0</v>
      </c>
      <c r="J377" s="59">
        <v>0</v>
      </c>
      <c r="K377" s="59">
        <v>0</v>
      </c>
      <c r="L377" s="59">
        <v>0</v>
      </c>
      <c r="M377" s="59">
        <v>0</v>
      </c>
      <c r="N377" s="59">
        <v>0</v>
      </c>
      <c r="O377" s="59">
        <v>0</v>
      </c>
      <c r="P377" s="81"/>
      <c r="Q377" s="81"/>
      <c r="R377" s="81"/>
      <c r="S377" s="81"/>
      <c r="T377" s="81"/>
      <c r="U377" s="81"/>
      <c r="V377" s="81"/>
    </row>
    <row r="378" spans="1:22" s="86" customFormat="1" ht="18.75" customHeight="1" x14ac:dyDescent="0.2">
      <c r="A378" s="139"/>
      <c r="B378" s="139"/>
      <c r="C378" s="79" t="s">
        <v>11</v>
      </c>
      <c r="D378" s="59">
        <f t="shared" ref="D378:D380" si="155">SUM(E378:O378)</f>
        <v>4086.9</v>
      </c>
      <c r="E378" s="59">
        <v>0</v>
      </c>
      <c r="F378" s="59">
        <v>0</v>
      </c>
      <c r="G378" s="59">
        <v>0</v>
      </c>
      <c r="H378" s="59">
        <v>0</v>
      </c>
      <c r="I378" s="59">
        <v>0</v>
      </c>
      <c r="J378" s="59">
        <v>0</v>
      </c>
      <c r="K378" s="59">
        <v>0</v>
      </c>
      <c r="L378" s="59">
        <v>4086.9</v>
      </c>
      <c r="M378" s="59">
        <f>4287.6-4287.6</f>
        <v>0</v>
      </c>
      <c r="N378" s="59">
        <f>4523.5-4523.5</f>
        <v>0</v>
      </c>
      <c r="O378" s="59">
        <v>0</v>
      </c>
      <c r="P378" s="81"/>
      <c r="Q378" s="81"/>
      <c r="R378" s="81"/>
      <c r="S378" s="81"/>
      <c r="T378" s="81"/>
      <c r="U378" s="81"/>
      <c r="V378" s="81"/>
    </row>
    <row r="379" spans="1:22" s="86" customFormat="1" ht="18.75" customHeight="1" x14ac:dyDescent="0.2">
      <c r="A379" s="139"/>
      <c r="B379" s="139"/>
      <c r="C379" s="79" t="s">
        <v>12</v>
      </c>
      <c r="D379" s="59">
        <f t="shared" si="155"/>
        <v>260.89999999999998</v>
      </c>
      <c r="E379" s="59">
        <v>0</v>
      </c>
      <c r="F379" s="59">
        <v>0</v>
      </c>
      <c r="G379" s="59">
        <v>0</v>
      </c>
      <c r="H379" s="59">
        <v>0</v>
      </c>
      <c r="I379" s="59">
        <v>0</v>
      </c>
      <c r="J379" s="59">
        <v>0</v>
      </c>
      <c r="K379" s="59">
        <v>0</v>
      </c>
      <c r="L379" s="59">
        <v>260.89999999999998</v>
      </c>
      <c r="M379" s="59">
        <f>273.7-273.7</f>
        <v>0</v>
      </c>
      <c r="N379" s="59">
        <f>288.7-288.7</f>
        <v>0</v>
      </c>
      <c r="O379" s="59">
        <v>0</v>
      </c>
      <c r="P379" s="81"/>
      <c r="Q379" s="81"/>
      <c r="R379" s="81"/>
      <c r="S379" s="81"/>
      <c r="T379" s="81"/>
      <c r="U379" s="81"/>
      <c r="V379" s="81"/>
    </row>
    <row r="380" spans="1:22" s="86" customFormat="1" ht="18.75" customHeight="1" x14ac:dyDescent="0.2">
      <c r="A380" s="140"/>
      <c r="B380" s="140"/>
      <c r="C380" s="79" t="s">
        <v>13</v>
      </c>
      <c r="D380" s="59">
        <f t="shared" si="155"/>
        <v>0</v>
      </c>
      <c r="E380" s="59">
        <v>0</v>
      </c>
      <c r="F380" s="59">
        <v>0</v>
      </c>
      <c r="G380" s="59">
        <v>0</v>
      </c>
      <c r="H380" s="59">
        <v>0</v>
      </c>
      <c r="I380" s="59">
        <v>0</v>
      </c>
      <c r="J380" s="59">
        <v>0</v>
      </c>
      <c r="K380" s="59">
        <v>0</v>
      </c>
      <c r="L380" s="59">
        <v>0</v>
      </c>
      <c r="M380" s="59">
        <v>0</v>
      </c>
      <c r="N380" s="59">
        <v>0</v>
      </c>
      <c r="O380" s="59">
        <v>0</v>
      </c>
      <c r="P380" s="81"/>
      <c r="Q380" s="81"/>
      <c r="R380" s="81"/>
      <c r="S380" s="81"/>
      <c r="T380" s="81"/>
      <c r="U380" s="81"/>
      <c r="V380" s="81"/>
    </row>
    <row r="381" spans="1:22" ht="15.75" x14ac:dyDescent="0.2">
      <c r="A381" s="141" t="s">
        <v>145</v>
      </c>
      <c r="B381" s="145" t="s">
        <v>204</v>
      </c>
      <c r="C381" s="77" t="s">
        <v>7</v>
      </c>
      <c r="D381" s="59">
        <f>D382+D383+D384+D385</f>
        <v>220857.30000000002</v>
      </c>
      <c r="E381" s="59">
        <f>E382+E383+E384+E385</f>
        <v>24704.6</v>
      </c>
      <c r="F381" s="59">
        <f t="shared" ref="F381:O381" si="156">F382+F383+F384+F385</f>
        <v>23418.400000000001</v>
      </c>
      <c r="G381" s="59">
        <f t="shared" si="156"/>
        <v>28089.699999999997</v>
      </c>
      <c r="H381" s="59">
        <f t="shared" si="156"/>
        <v>23411.7</v>
      </c>
      <c r="I381" s="59">
        <f t="shared" si="156"/>
        <v>24700.5</v>
      </c>
      <c r="J381" s="59">
        <f t="shared" si="156"/>
        <v>23045.699999999997</v>
      </c>
      <c r="K381" s="59">
        <f t="shared" si="156"/>
        <v>23013.5</v>
      </c>
      <c r="L381" s="59">
        <f t="shared" si="156"/>
        <v>16344</v>
      </c>
      <c r="M381" s="59">
        <f t="shared" si="156"/>
        <v>10220</v>
      </c>
      <c r="N381" s="59">
        <f t="shared" si="156"/>
        <v>12043.5</v>
      </c>
      <c r="O381" s="59">
        <f t="shared" si="156"/>
        <v>11865.699999999999</v>
      </c>
    </row>
    <row r="382" spans="1:22" ht="16.5" customHeight="1" x14ac:dyDescent="0.2">
      <c r="A382" s="141"/>
      <c r="B382" s="145"/>
      <c r="C382" s="77" t="s">
        <v>10</v>
      </c>
      <c r="D382" s="59">
        <f t="shared" ref="D382:D427" si="157">E382+F382+G382+H382+I382+J382+K382+L382+M382+N382+O382</f>
        <v>0</v>
      </c>
      <c r="E382" s="59">
        <f>E387+E397+E407</f>
        <v>0</v>
      </c>
      <c r="F382" s="59">
        <f t="shared" ref="F382:O382" si="158">F387+F397+F407</f>
        <v>0</v>
      </c>
      <c r="G382" s="59">
        <f t="shared" si="158"/>
        <v>0</v>
      </c>
      <c r="H382" s="59">
        <f t="shared" si="158"/>
        <v>0</v>
      </c>
      <c r="I382" s="59">
        <f t="shared" si="158"/>
        <v>0</v>
      </c>
      <c r="J382" s="59">
        <f t="shared" si="158"/>
        <v>0</v>
      </c>
      <c r="K382" s="59">
        <f t="shared" si="158"/>
        <v>0</v>
      </c>
      <c r="L382" s="59">
        <f t="shared" si="158"/>
        <v>0</v>
      </c>
      <c r="M382" s="59">
        <f t="shared" si="158"/>
        <v>0</v>
      </c>
      <c r="N382" s="59">
        <f t="shared" si="158"/>
        <v>0</v>
      </c>
      <c r="O382" s="59">
        <f t="shared" si="158"/>
        <v>0</v>
      </c>
      <c r="P382" s="62"/>
      <c r="Q382" s="62"/>
    </row>
    <row r="383" spans="1:22" ht="18" customHeight="1" x14ac:dyDescent="0.2">
      <c r="A383" s="141"/>
      <c r="B383" s="145"/>
      <c r="C383" s="77" t="s">
        <v>11</v>
      </c>
      <c r="D383" s="59">
        <f t="shared" si="157"/>
        <v>23608.400000000001</v>
      </c>
      <c r="E383" s="59">
        <f>E388+E393+E398+E403+E408</f>
        <v>0</v>
      </c>
      <c r="F383" s="59">
        <f t="shared" ref="F383:O383" si="159">F388+F393+F398+F403+F408</f>
        <v>0</v>
      </c>
      <c r="G383" s="59">
        <f t="shared" si="159"/>
        <v>0</v>
      </c>
      <c r="H383" s="59">
        <f t="shared" si="159"/>
        <v>0</v>
      </c>
      <c r="I383" s="59">
        <f t="shared" si="159"/>
        <v>16106.5</v>
      </c>
      <c r="J383" s="59">
        <f>J388+J393+J398+J403+J408</f>
        <v>7501.9</v>
      </c>
      <c r="K383" s="59">
        <f t="shared" si="159"/>
        <v>0</v>
      </c>
      <c r="L383" s="59">
        <f t="shared" si="159"/>
        <v>0</v>
      </c>
      <c r="M383" s="59">
        <f t="shared" si="159"/>
        <v>0</v>
      </c>
      <c r="N383" s="59">
        <f t="shared" si="159"/>
        <v>0</v>
      </c>
      <c r="O383" s="59">
        <f t="shared" si="159"/>
        <v>0</v>
      </c>
    </row>
    <row r="384" spans="1:22" ht="18" customHeight="1" x14ac:dyDescent="0.2">
      <c r="A384" s="141"/>
      <c r="B384" s="145"/>
      <c r="C384" s="77" t="s">
        <v>12</v>
      </c>
      <c r="D384" s="59">
        <f t="shared" si="157"/>
        <v>197248.90000000002</v>
      </c>
      <c r="E384" s="59">
        <f>E389+E399+E409+E414+E394+E404</f>
        <v>24704.6</v>
      </c>
      <c r="F384" s="59">
        <f t="shared" ref="F384:I384" si="160">F389+F399+F409+F414+F394+F404</f>
        <v>23418.400000000001</v>
      </c>
      <c r="G384" s="59">
        <f t="shared" si="160"/>
        <v>28089.699999999997</v>
      </c>
      <c r="H384" s="59">
        <f t="shared" si="160"/>
        <v>23411.7</v>
      </c>
      <c r="I384" s="59">
        <f t="shared" si="160"/>
        <v>8594</v>
      </c>
      <c r="J384" s="59">
        <f>J389+J399+J409+J414+J394+J404</f>
        <v>15543.8</v>
      </c>
      <c r="K384" s="59">
        <f>K389+K399+K409+K414+K394+K404+K419</f>
        <v>23013.5</v>
      </c>
      <c r="L384" s="59">
        <f t="shared" ref="L384:O384" si="161">L389+L399+L409+L414+L394+L404+L419</f>
        <v>16344</v>
      </c>
      <c r="M384" s="59">
        <f t="shared" si="161"/>
        <v>10220</v>
      </c>
      <c r="N384" s="59">
        <f t="shared" si="161"/>
        <v>12043.5</v>
      </c>
      <c r="O384" s="59">
        <f t="shared" si="161"/>
        <v>11865.699999999999</v>
      </c>
    </row>
    <row r="385" spans="1:25" ht="18" customHeight="1" x14ac:dyDescent="0.2">
      <c r="A385" s="141"/>
      <c r="B385" s="145"/>
      <c r="C385" s="77" t="s">
        <v>13</v>
      </c>
      <c r="D385" s="59">
        <f t="shared" si="157"/>
        <v>0</v>
      </c>
      <c r="E385" s="59">
        <f>E390+E400+E410</f>
        <v>0</v>
      </c>
      <c r="F385" s="59">
        <f t="shared" ref="F385:O385" si="162">F390+F400+F410</f>
        <v>0</v>
      </c>
      <c r="G385" s="59">
        <f t="shared" si="162"/>
        <v>0</v>
      </c>
      <c r="H385" s="59">
        <f t="shared" si="162"/>
        <v>0</v>
      </c>
      <c r="I385" s="59">
        <f t="shared" si="162"/>
        <v>0</v>
      </c>
      <c r="J385" s="59">
        <f t="shared" si="162"/>
        <v>0</v>
      </c>
      <c r="K385" s="59">
        <f t="shared" si="162"/>
        <v>0</v>
      </c>
      <c r="L385" s="59">
        <f t="shared" si="162"/>
        <v>0</v>
      </c>
      <c r="M385" s="59">
        <f t="shared" si="162"/>
        <v>0</v>
      </c>
      <c r="N385" s="59">
        <f t="shared" si="162"/>
        <v>0</v>
      </c>
      <c r="O385" s="59">
        <f t="shared" si="162"/>
        <v>0</v>
      </c>
    </row>
    <row r="386" spans="1:25" ht="15.75" x14ac:dyDescent="0.2">
      <c r="A386" s="141" t="s">
        <v>146</v>
      </c>
      <c r="B386" s="145" t="s">
        <v>52</v>
      </c>
      <c r="C386" s="77" t="s">
        <v>7</v>
      </c>
      <c r="D386" s="59">
        <f t="shared" si="157"/>
        <v>87876.800000000003</v>
      </c>
      <c r="E386" s="59">
        <f t="shared" ref="E386:O386" si="163">E387+E388+E389+E390</f>
        <v>5089.5</v>
      </c>
      <c r="F386" s="59">
        <f t="shared" si="163"/>
        <v>6465</v>
      </c>
      <c r="G386" s="59">
        <f t="shared" si="163"/>
        <v>8661.7999999999993</v>
      </c>
      <c r="H386" s="59">
        <f t="shared" si="163"/>
        <v>9358.2000000000007</v>
      </c>
      <c r="I386" s="59">
        <f t="shared" si="163"/>
        <v>8594</v>
      </c>
      <c r="J386" s="59">
        <f>J387+J388+J389+J390</f>
        <v>7198.9000000000005</v>
      </c>
      <c r="K386" s="59">
        <f t="shared" si="163"/>
        <v>12364.6</v>
      </c>
      <c r="L386" s="59">
        <f t="shared" si="163"/>
        <v>9251.5</v>
      </c>
      <c r="M386" s="59">
        <f t="shared" si="163"/>
        <v>6256.5</v>
      </c>
      <c r="N386" s="59">
        <f t="shared" si="163"/>
        <v>7372.8</v>
      </c>
      <c r="O386" s="59">
        <f t="shared" si="163"/>
        <v>7263.9999999999991</v>
      </c>
    </row>
    <row r="387" spans="1:25" ht="15.75" x14ac:dyDescent="0.2">
      <c r="A387" s="141"/>
      <c r="B387" s="145"/>
      <c r="C387" s="77" t="s">
        <v>10</v>
      </c>
      <c r="D387" s="59">
        <f t="shared" si="157"/>
        <v>0</v>
      </c>
      <c r="E387" s="59">
        <v>0</v>
      </c>
      <c r="F387" s="59">
        <v>0</v>
      </c>
      <c r="G387" s="59">
        <v>0</v>
      </c>
      <c r="H387" s="59">
        <v>0</v>
      </c>
      <c r="I387" s="59">
        <v>0</v>
      </c>
      <c r="J387" s="59">
        <v>0</v>
      </c>
      <c r="K387" s="59">
        <v>0</v>
      </c>
      <c r="L387" s="59">
        <v>0</v>
      </c>
      <c r="M387" s="59">
        <v>0</v>
      </c>
      <c r="N387" s="59">
        <v>0</v>
      </c>
      <c r="O387" s="59">
        <v>0</v>
      </c>
    </row>
    <row r="388" spans="1:25" ht="15.75" x14ac:dyDescent="0.2">
      <c r="A388" s="141"/>
      <c r="B388" s="145"/>
      <c r="C388" s="77" t="s">
        <v>11</v>
      </c>
      <c r="D388" s="59">
        <f t="shared" si="157"/>
        <v>0</v>
      </c>
      <c r="E388" s="59">
        <v>0</v>
      </c>
      <c r="F388" s="59">
        <v>0</v>
      </c>
      <c r="G388" s="59">
        <v>0</v>
      </c>
      <c r="H388" s="59">
        <v>0</v>
      </c>
      <c r="I388" s="59">
        <v>0</v>
      </c>
      <c r="J388" s="59">
        <v>0</v>
      </c>
      <c r="K388" s="59">
        <v>0</v>
      </c>
      <c r="L388" s="59">
        <v>0</v>
      </c>
      <c r="M388" s="59">
        <v>0</v>
      </c>
      <c r="N388" s="59">
        <v>0</v>
      </c>
      <c r="O388" s="59">
        <v>0</v>
      </c>
    </row>
    <row r="389" spans="1:25" ht="15.75" x14ac:dyDescent="0.2">
      <c r="A389" s="141"/>
      <c r="B389" s="145"/>
      <c r="C389" s="77" t="s">
        <v>12</v>
      </c>
      <c r="D389" s="59">
        <f t="shared" si="157"/>
        <v>87876.800000000003</v>
      </c>
      <c r="E389" s="59">
        <v>5089.5</v>
      </c>
      <c r="F389" s="59">
        <v>6465</v>
      </c>
      <c r="G389" s="59">
        <v>8661.7999999999993</v>
      </c>
      <c r="H389" s="59">
        <v>9358.2000000000007</v>
      </c>
      <c r="I389" s="59">
        <v>8594</v>
      </c>
      <c r="J389" s="59">
        <f>2886.8+1860.3+2451.8</f>
        <v>7198.9000000000005</v>
      </c>
      <c r="K389" s="59">
        <f>8859.6+1000+555+1950</f>
        <v>12364.6</v>
      </c>
      <c r="L389" s="59">
        <f>5576.5+2175+1500</f>
        <v>9251.5</v>
      </c>
      <c r="M389" s="59">
        <f>5913.1+343.4</f>
        <v>6256.5</v>
      </c>
      <c r="N389" s="59">
        <f>5942+1430.8</f>
        <v>7372.8</v>
      </c>
      <c r="O389" s="59">
        <f>10976.3-3712.3</f>
        <v>7263.9999999999991</v>
      </c>
      <c r="W389" s="62"/>
      <c r="X389" s="62"/>
      <c r="Y389" s="62"/>
    </row>
    <row r="390" spans="1:25" ht="15.75" x14ac:dyDescent="0.2">
      <c r="A390" s="141"/>
      <c r="B390" s="145"/>
      <c r="C390" s="79" t="s">
        <v>13</v>
      </c>
      <c r="D390" s="59">
        <f t="shared" si="157"/>
        <v>0</v>
      </c>
      <c r="E390" s="59">
        <v>0</v>
      </c>
      <c r="F390" s="59">
        <v>0</v>
      </c>
      <c r="G390" s="59">
        <v>0</v>
      </c>
      <c r="H390" s="59">
        <v>0</v>
      </c>
      <c r="I390" s="59">
        <v>0</v>
      </c>
      <c r="J390" s="59">
        <v>0</v>
      </c>
      <c r="K390" s="59">
        <v>0</v>
      </c>
      <c r="L390" s="59">
        <v>0</v>
      </c>
      <c r="M390" s="59">
        <v>0</v>
      </c>
      <c r="N390" s="59">
        <v>0</v>
      </c>
      <c r="O390" s="59">
        <v>0</v>
      </c>
    </row>
    <row r="391" spans="1:25" ht="15.75" x14ac:dyDescent="0.2">
      <c r="A391" s="141" t="s">
        <v>147</v>
      </c>
      <c r="B391" s="145" t="s">
        <v>365</v>
      </c>
      <c r="C391" s="77" t="s">
        <v>7</v>
      </c>
      <c r="D391" s="59">
        <f t="shared" si="157"/>
        <v>11065.3</v>
      </c>
      <c r="E391" s="59">
        <f t="shared" ref="E391:O391" si="164">E392+E393+E394+E395</f>
        <v>0</v>
      </c>
      <c r="F391" s="59">
        <f t="shared" si="164"/>
        <v>0</v>
      </c>
      <c r="G391" s="59">
        <f t="shared" si="164"/>
        <v>0</v>
      </c>
      <c r="H391" s="59">
        <f t="shared" si="164"/>
        <v>0</v>
      </c>
      <c r="I391" s="59">
        <f t="shared" si="164"/>
        <v>7430.4</v>
      </c>
      <c r="J391" s="59">
        <f t="shared" si="164"/>
        <v>3634.8999999999996</v>
      </c>
      <c r="K391" s="59">
        <f t="shared" si="164"/>
        <v>0</v>
      </c>
      <c r="L391" s="59">
        <f t="shared" si="164"/>
        <v>0</v>
      </c>
      <c r="M391" s="59">
        <f t="shared" si="164"/>
        <v>0</v>
      </c>
      <c r="N391" s="59">
        <f t="shared" si="164"/>
        <v>0</v>
      </c>
      <c r="O391" s="59">
        <f t="shared" si="164"/>
        <v>0</v>
      </c>
    </row>
    <row r="392" spans="1:25" ht="21" customHeight="1" x14ac:dyDescent="0.2">
      <c r="A392" s="141"/>
      <c r="B392" s="145"/>
      <c r="C392" s="77" t="s">
        <v>10</v>
      </c>
      <c r="D392" s="59">
        <f t="shared" si="157"/>
        <v>0</v>
      </c>
      <c r="E392" s="59">
        <v>0</v>
      </c>
      <c r="F392" s="59">
        <v>0</v>
      </c>
      <c r="G392" s="59">
        <v>0</v>
      </c>
      <c r="H392" s="59">
        <v>0</v>
      </c>
      <c r="I392" s="59">
        <v>0</v>
      </c>
      <c r="J392" s="59">
        <v>0</v>
      </c>
      <c r="K392" s="59">
        <v>0</v>
      </c>
      <c r="L392" s="59">
        <v>0</v>
      </c>
      <c r="M392" s="59">
        <v>0</v>
      </c>
      <c r="N392" s="59">
        <v>0</v>
      </c>
      <c r="O392" s="59">
        <v>0</v>
      </c>
    </row>
    <row r="393" spans="1:25" ht="15.75" x14ac:dyDescent="0.2">
      <c r="A393" s="141"/>
      <c r="B393" s="145"/>
      <c r="C393" s="77" t="s">
        <v>11</v>
      </c>
      <c r="D393" s="59">
        <f t="shared" si="157"/>
        <v>11065.3</v>
      </c>
      <c r="E393" s="59">
        <v>0</v>
      </c>
      <c r="F393" s="59">
        <v>0</v>
      </c>
      <c r="G393" s="59">
        <v>0</v>
      </c>
      <c r="H393" s="59">
        <v>0</v>
      </c>
      <c r="I393" s="59">
        <f>6602.5+827.9</f>
        <v>7430.4</v>
      </c>
      <c r="J393" s="59">
        <f>6521.7-2886.8</f>
        <v>3634.8999999999996</v>
      </c>
      <c r="K393" s="59">
        <v>0</v>
      </c>
      <c r="L393" s="59">
        <v>0</v>
      </c>
      <c r="M393" s="59">
        <v>0</v>
      </c>
      <c r="N393" s="59">
        <v>0</v>
      </c>
      <c r="O393" s="59">
        <v>0</v>
      </c>
    </row>
    <row r="394" spans="1:25" ht="15.75" x14ac:dyDescent="0.2">
      <c r="A394" s="141"/>
      <c r="B394" s="145"/>
      <c r="C394" s="77" t="s">
        <v>12</v>
      </c>
      <c r="D394" s="59">
        <f t="shared" si="157"/>
        <v>0</v>
      </c>
      <c r="E394" s="59">
        <v>0</v>
      </c>
      <c r="F394" s="59">
        <v>0</v>
      </c>
      <c r="G394" s="59">
        <v>0</v>
      </c>
      <c r="H394" s="59">
        <v>0</v>
      </c>
      <c r="I394" s="59">
        <v>0</v>
      </c>
      <c r="J394" s="59">
        <v>0</v>
      </c>
      <c r="K394" s="59">
        <v>0</v>
      </c>
      <c r="L394" s="59">
        <v>0</v>
      </c>
      <c r="M394" s="59">
        <v>0</v>
      </c>
      <c r="N394" s="59">
        <v>0</v>
      </c>
      <c r="O394" s="59">
        <v>0</v>
      </c>
    </row>
    <row r="395" spans="1:25" ht="21.75" customHeight="1" x14ac:dyDescent="0.2">
      <c r="A395" s="141"/>
      <c r="B395" s="145"/>
      <c r="C395" s="79" t="s">
        <v>13</v>
      </c>
      <c r="D395" s="59">
        <f t="shared" si="157"/>
        <v>0</v>
      </c>
      <c r="E395" s="59">
        <v>0</v>
      </c>
      <c r="F395" s="59">
        <v>0</v>
      </c>
      <c r="G395" s="59">
        <v>0</v>
      </c>
      <c r="H395" s="59">
        <v>0</v>
      </c>
      <c r="I395" s="59">
        <v>0</v>
      </c>
      <c r="J395" s="59">
        <v>0</v>
      </c>
      <c r="K395" s="59">
        <v>0</v>
      </c>
      <c r="L395" s="59">
        <v>0</v>
      </c>
      <c r="M395" s="59">
        <v>0</v>
      </c>
      <c r="N395" s="59">
        <v>0</v>
      </c>
      <c r="O395" s="59">
        <v>0</v>
      </c>
    </row>
    <row r="396" spans="1:25" ht="15.75" customHeight="1" x14ac:dyDescent="0.2">
      <c r="A396" s="141" t="s">
        <v>148</v>
      </c>
      <c r="B396" s="145" t="s">
        <v>58</v>
      </c>
      <c r="C396" s="77" t="s">
        <v>7</v>
      </c>
      <c r="D396" s="59">
        <f t="shared" si="157"/>
        <v>104328.4</v>
      </c>
      <c r="E396" s="59">
        <f t="shared" ref="E396:O396" si="165">E397+E398+E400+E399</f>
        <v>17919.099999999999</v>
      </c>
      <c r="F396" s="59">
        <f t="shared" si="165"/>
        <v>16953.400000000001</v>
      </c>
      <c r="G396" s="59">
        <f t="shared" si="165"/>
        <v>16137.9</v>
      </c>
      <c r="H396" s="59">
        <f t="shared" si="165"/>
        <v>14053.5</v>
      </c>
      <c r="I396" s="59">
        <f t="shared" si="165"/>
        <v>0</v>
      </c>
      <c r="J396" s="59">
        <f t="shared" si="165"/>
        <v>8344.9</v>
      </c>
      <c r="K396" s="59">
        <f t="shared" si="165"/>
        <v>10648.9</v>
      </c>
      <c r="L396" s="59">
        <f t="shared" si="165"/>
        <v>7072.5</v>
      </c>
      <c r="M396" s="59">
        <f t="shared" si="165"/>
        <v>3952.2000000000003</v>
      </c>
      <c r="N396" s="59">
        <f t="shared" si="165"/>
        <v>4657.4000000000005</v>
      </c>
      <c r="O396" s="59">
        <f t="shared" si="165"/>
        <v>4588.6000000000004</v>
      </c>
    </row>
    <row r="397" spans="1:25" ht="15.75" customHeight="1" x14ac:dyDescent="0.2">
      <c r="A397" s="141"/>
      <c r="B397" s="145"/>
      <c r="C397" s="77" t="s">
        <v>10</v>
      </c>
      <c r="D397" s="59">
        <f t="shared" si="157"/>
        <v>0</v>
      </c>
      <c r="E397" s="59">
        <v>0</v>
      </c>
      <c r="F397" s="59">
        <v>0</v>
      </c>
      <c r="G397" s="59">
        <v>0</v>
      </c>
      <c r="H397" s="59">
        <v>0</v>
      </c>
      <c r="I397" s="59">
        <v>0</v>
      </c>
      <c r="J397" s="59">
        <v>0</v>
      </c>
      <c r="K397" s="59">
        <v>0</v>
      </c>
      <c r="L397" s="59">
        <v>0</v>
      </c>
      <c r="M397" s="59">
        <v>0</v>
      </c>
      <c r="N397" s="59">
        <v>0</v>
      </c>
      <c r="O397" s="59">
        <v>0</v>
      </c>
    </row>
    <row r="398" spans="1:25" ht="15.75" customHeight="1" x14ac:dyDescent="0.2">
      <c r="A398" s="141"/>
      <c r="B398" s="145"/>
      <c r="C398" s="77" t="s">
        <v>11</v>
      </c>
      <c r="D398" s="59">
        <f t="shared" si="157"/>
        <v>0</v>
      </c>
      <c r="E398" s="59">
        <v>0</v>
      </c>
      <c r="F398" s="59">
        <v>0</v>
      </c>
      <c r="G398" s="59">
        <v>0</v>
      </c>
      <c r="H398" s="59">
        <v>0</v>
      </c>
      <c r="I398" s="59">
        <v>0</v>
      </c>
      <c r="J398" s="59">
        <v>0</v>
      </c>
      <c r="K398" s="59">
        <v>0</v>
      </c>
      <c r="L398" s="59">
        <v>0</v>
      </c>
      <c r="M398" s="59">
        <v>0</v>
      </c>
      <c r="N398" s="59">
        <v>0</v>
      </c>
      <c r="O398" s="59">
        <v>0</v>
      </c>
    </row>
    <row r="399" spans="1:25" ht="15.75" customHeight="1" x14ac:dyDescent="0.2">
      <c r="A399" s="141"/>
      <c r="B399" s="145"/>
      <c r="C399" s="77" t="s">
        <v>12</v>
      </c>
      <c r="D399" s="59">
        <f t="shared" si="157"/>
        <v>104328.4</v>
      </c>
      <c r="E399" s="59">
        <v>17919.099999999999</v>
      </c>
      <c r="F399" s="59">
        <v>16953.400000000001</v>
      </c>
      <c r="G399" s="59">
        <v>16137.9</v>
      </c>
      <c r="H399" s="59">
        <v>14053.5</v>
      </c>
      <c r="I399" s="59">
        <v>0</v>
      </c>
      <c r="J399" s="59">
        <f>0+2600+6251.4-506.5</f>
        <v>8344.9</v>
      </c>
      <c r="K399" s="59">
        <f>13474.9-2900+74</f>
        <v>10648.9</v>
      </c>
      <c r="L399" s="57">
        <f>5037.6+2000-40.6-15+90.5</f>
        <v>7072.5</v>
      </c>
      <c r="M399" s="59">
        <f>5341.7-1097.6-291.9</f>
        <v>3952.2000000000003</v>
      </c>
      <c r="N399" s="59">
        <f>5367.8-710.4</f>
        <v>4657.4000000000005</v>
      </c>
      <c r="O399" s="59">
        <f>13511.2-8922.6</f>
        <v>4588.6000000000004</v>
      </c>
      <c r="X399" s="62"/>
      <c r="Y399" s="62"/>
    </row>
    <row r="400" spans="1:25" ht="22.5" customHeight="1" x14ac:dyDescent="0.2">
      <c r="A400" s="141"/>
      <c r="B400" s="145"/>
      <c r="C400" s="79" t="s">
        <v>13</v>
      </c>
      <c r="D400" s="59">
        <f t="shared" si="157"/>
        <v>0</v>
      </c>
      <c r="E400" s="59">
        <v>0</v>
      </c>
      <c r="F400" s="59">
        <v>0</v>
      </c>
      <c r="G400" s="59">
        <v>0</v>
      </c>
      <c r="H400" s="59">
        <v>0</v>
      </c>
      <c r="I400" s="59">
        <v>0</v>
      </c>
      <c r="J400" s="88">
        <v>0</v>
      </c>
      <c r="K400" s="88">
        <v>0</v>
      </c>
      <c r="L400" s="88">
        <v>0</v>
      </c>
      <c r="M400" s="88">
        <v>0</v>
      </c>
      <c r="N400" s="88">
        <v>0</v>
      </c>
      <c r="O400" s="88">
        <v>0</v>
      </c>
    </row>
    <row r="401" spans="1:15" ht="18.75" customHeight="1" x14ac:dyDescent="0.2">
      <c r="A401" s="141" t="s">
        <v>209</v>
      </c>
      <c r="B401" s="145" t="s">
        <v>264</v>
      </c>
      <c r="C401" s="79" t="s">
        <v>7</v>
      </c>
      <c r="D401" s="59">
        <f t="shared" si="157"/>
        <v>12543.1</v>
      </c>
      <c r="E401" s="59">
        <f t="shared" ref="E401:O401" si="166">E402+E403+E405+E404</f>
        <v>0</v>
      </c>
      <c r="F401" s="59">
        <f t="shared" si="166"/>
        <v>0</v>
      </c>
      <c r="G401" s="59">
        <f t="shared" si="166"/>
        <v>0</v>
      </c>
      <c r="H401" s="59">
        <f t="shared" si="166"/>
        <v>0</v>
      </c>
      <c r="I401" s="59">
        <f t="shared" si="166"/>
        <v>8676.1</v>
      </c>
      <c r="J401" s="59">
        <f t="shared" si="166"/>
        <v>3867</v>
      </c>
      <c r="K401" s="59">
        <f t="shared" si="166"/>
        <v>0</v>
      </c>
      <c r="L401" s="59">
        <f t="shared" si="166"/>
        <v>0</v>
      </c>
      <c r="M401" s="59">
        <f t="shared" si="166"/>
        <v>0</v>
      </c>
      <c r="N401" s="59">
        <f t="shared" si="166"/>
        <v>0</v>
      </c>
      <c r="O401" s="59">
        <f t="shared" si="166"/>
        <v>0</v>
      </c>
    </row>
    <row r="402" spans="1:15" ht="18.75" customHeight="1" x14ac:dyDescent="0.2">
      <c r="A402" s="141"/>
      <c r="B402" s="145"/>
      <c r="C402" s="79" t="s">
        <v>10</v>
      </c>
      <c r="D402" s="59">
        <f t="shared" si="157"/>
        <v>0</v>
      </c>
      <c r="E402" s="59">
        <v>0</v>
      </c>
      <c r="F402" s="59">
        <v>0</v>
      </c>
      <c r="G402" s="59">
        <v>0</v>
      </c>
      <c r="H402" s="59">
        <v>0</v>
      </c>
      <c r="I402" s="59">
        <v>0</v>
      </c>
      <c r="J402" s="59">
        <v>0</v>
      </c>
      <c r="K402" s="59">
        <v>0</v>
      </c>
      <c r="L402" s="59">
        <v>0</v>
      </c>
      <c r="M402" s="59">
        <v>0</v>
      </c>
      <c r="N402" s="59">
        <v>0</v>
      </c>
      <c r="O402" s="59">
        <v>0</v>
      </c>
    </row>
    <row r="403" spans="1:15" ht="18.75" customHeight="1" x14ac:dyDescent="0.2">
      <c r="A403" s="141"/>
      <c r="B403" s="145"/>
      <c r="C403" s="79" t="s">
        <v>11</v>
      </c>
      <c r="D403" s="59">
        <f t="shared" si="157"/>
        <v>12543.1</v>
      </c>
      <c r="E403" s="59">
        <v>0</v>
      </c>
      <c r="F403" s="59">
        <v>0</v>
      </c>
      <c r="G403" s="59">
        <v>0</v>
      </c>
      <c r="H403" s="59">
        <v>0</v>
      </c>
      <c r="I403" s="59">
        <f>10280.7-1604.6</f>
        <v>8676.1</v>
      </c>
      <c r="J403" s="59">
        <f>10118.4-6251.4</f>
        <v>3867</v>
      </c>
      <c r="K403" s="59">
        <v>0</v>
      </c>
      <c r="L403" s="59">
        <v>0</v>
      </c>
      <c r="M403" s="59">
        <v>0</v>
      </c>
      <c r="N403" s="59">
        <v>0</v>
      </c>
      <c r="O403" s="59">
        <v>0</v>
      </c>
    </row>
    <row r="404" spans="1:15" ht="18.75" customHeight="1" x14ac:dyDescent="0.2">
      <c r="A404" s="141"/>
      <c r="B404" s="145"/>
      <c r="C404" s="79" t="s">
        <v>12</v>
      </c>
      <c r="D404" s="59">
        <f t="shared" si="157"/>
        <v>0</v>
      </c>
      <c r="E404" s="59">
        <v>0</v>
      </c>
      <c r="F404" s="59">
        <v>0</v>
      </c>
      <c r="G404" s="59">
        <v>0</v>
      </c>
      <c r="H404" s="59">
        <v>0</v>
      </c>
      <c r="I404" s="59">
        <v>0</v>
      </c>
      <c r="J404" s="59">
        <v>0</v>
      </c>
      <c r="K404" s="59">
        <v>0</v>
      </c>
      <c r="L404" s="59">
        <v>0</v>
      </c>
      <c r="M404" s="59">
        <v>0</v>
      </c>
      <c r="N404" s="59">
        <v>0</v>
      </c>
      <c r="O404" s="59">
        <v>0</v>
      </c>
    </row>
    <row r="405" spans="1:15" ht="18.75" customHeight="1" x14ac:dyDescent="0.2">
      <c r="A405" s="141"/>
      <c r="B405" s="145"/>
      <c r="C405" s="79" t="s">
        <v>13</v>
      </c>
      <c r="D405" s="59">
        <f t="shared" si="157"/>
        <v>0</v>
      </c>
      <c r="E405" s="59">
        <v>0</v>
      </c>
      <c r="F405" s="59">
        <v>0</v>
      </c>
      <c r="G405" s="59">
        <v>0</v>
      </c>
      <c r="H405" s="59">
        <v>0</v>
      </c>
      <c r="I405" s="59">
        <v>0</v>
      </c>
      <c r="J405" s="88">
        <v>0</v>
      </c>
      <c r="K405" s="88">
        <v>0</v>
      </c>
      <c r="L405" s="59">
        <v>0</v>
      </c>
      <c r="M405" s="59">
        <v>0</v>
      </c>
      <c r="N405" s="59">
        <v>0</v>
      </c>
      <c r="O405" s="59">
        <v>0</v>
      </c>
    </row>
    <row r="406" spans="1:15" ht="15.75" customHeight="1" x14ac:dyDescent="0.2">
      <c r="A406" s="141" t="s">
        <v>269</v>
      </c>
      <c r="B406" s="145" t="s">
        <v>22</v>
      </c>
      <c r="C406" s="77" t="s">
        <v>7</v>
      </c>
      <c r="D406" s="59">
        <f t="shared" si="157"/>
        <v>1696</v>
      </c>
      <c r="E406" s="59">
        <f t="shared" ref="E406:K406" si="167">E407+E408+E409+E410</f>
        <v>1696</v>
      </c>
      <c r="F406" s="59">
        <f t="shared" si="167"/>
        <v>0</v>
      </c>
      <c r="G406" s="59">
        <f t="shared" si="167"/>
        <v>0</v>
      </c>
      <c r="H406" s="59">
        <f t="shared" si="167"/>
        <v>0</v>
      </c>
      <c r="I406" s="59">
        <f t="shared" si="167"/>
        <v>0</v>
      </c>
      <c r="J406" s="59">
        <f t="shared" si="167"/>
        <v>0</v>
      </c>
      <c r="K406" s="59">
        <f t="shared" si="167"/>
        <v>0</v>
      </c>
      <c r="L406" s="59">
        <f>L407+L408+L409+L410</f>
        <v>0</v>
      </c>
      <c r="M406" s="59">
        <f>M407+M408+M409+M410</f>
        <v>0</v>
      </c>
      <c r="N406" s="59">
        <f>N407+N408+N409+N410</f>
        <v>0</v>
      </c>
      <c r="O406" s="59">
        <f>O407+O408+O409+O410</f>
        <v>0</v>
      </c>
    </row>
    <row r="407" spans="1:15" ht="15.75" customHeight="1" x14ac:dyDescent="0.2">
      <c r="A407" s="141"/>
      <c r="B407" s="145"/>
      <c r="C407" s="77" t="s">
        <v>10</v>
      </c>
      <c r="D407" s="59">
        <f t="shared" si="157"/>
        <v>0</v>
      </c>
      <c r="E407" s="59">
        <v>0</v>
      </c>
      <c r="F407" s="59">
        <v>0</v>
      </c>
      <c r="G407" s="59">
        <v>0</v>
      </c>
      <c r="H407" s="59">
        <v>0</v>
      </c>
      <c r="I407" s="59">
        <v>0</v>
      </c>
      <c r="J407" s="59">
        <v>0</v>
      </c>
      <c r="K407" s="59">
        <v>0</v>
      </c>
      <c r="L407" s="59">
        <v>0</v>
      </c>
      <c r="M407" s="59">
        <v>0</v>
      </c>
      <c r="N407" s="59">
        <v>0</v>
      </c>
      <c r="O407" s="59">
        <v>0</v>
      </c>
    </row>
    <row r="408" spans="1:15" ht="15.75" customHeight="1" x14ac:dyDescent="0.2">
      <c r="A408" s="141"/>
      <c r="B408" s="145"/>
      <c r="C408" s="77" t="s">
        <v>11</v>
      </c>
      <c r="D408" s="59">
        <f t="shared" si="157"/>
        <v>0</v>
      </c>
      <c r="E408" s="59">
        <v>0</v>
      </c>
      <c r="F408" s="59">
        <v>0</v>
      </c>
      <c r="G408" s="59">
        <v>0</v>
      </c>
      <c r="H408" s="59">
        <v>0</v>
      </c>
      <c r="I408" s="59">
        <v>0</v>
      </c>
      <c r="J408" s="59">
        <v>0</v>
      </c>
      <c r="K408" s="59">
        <v>0</v>
      </c>
      <c r="L408" s="59">
        <v>0</v>
      </c>
      <c r="M408" s="59">
        <v>0</v>
      </c>
      <c r="N408" s="59">
        <v>0</v>
      </c>
      <c r="O408" s="59">
        <v>0</v>
      </c>
    </row>
    <row r="409" spans="1:15" ht="15.75" customHeight="1" x14ac:dyDescent="0.2">
      <c r="A409" s="141"/>
      <c r="B409" s="145"/>
      <c r="C409" s="77" t="s">
        <v>12</v>
      </c>
      <c r="D409" s="59">
        <f t="shared" si="157"/>
        <v>1696</v>
      </c>
      <c r="E409" s="59">
        <v>1696</v>
      </c>
      <c r="F409" s="59">
        <v>0</v>
      </c>
      <c r="G409" s="59">
        <v>0</v>
      </c>
      <c r="H409" s="59">
        <v>0</v>
      </c>
      <c r="I409" s="59">
        <v>0</v>
      </c>
      <c r="J409" s="59">
        <v>0</v>
      </c>
      <c r="K409" s="59">
        <v>0</v>
      </c>
      <c r="L409" s="59">
        <v>0</v>
      </c>
      <c r="M409" s="59">
        <v>0</v>
      </c>
      <c r="N409" s="59">
        <v>0</v>
      </c>
      <c r="O409" s="59">
        <v>0</v>
      </c>
    </row>
    <row r="410" spans="1:15" ht="18" customHeight="1" x14ac:dyDescent="0.2">
      <c r="A410" s="141"/>
      <c r="B410" s="145"/>
      <c r="C410" s="79" t="s">
        <v>13</v>
      </c>
      <c r="D410" s="59">
        <f t="shared" si="157"/>
        <v>0</v>
      </c>
      <c r="E410" s="59">
        <v>0</v>
      </c>
      <c r="F410" s="59">
        <v>0</v>
      </c>
      <c r="G410" s="59">
        <v>0</v>
      </c>
      <c r="H410" s="59">
        <v>0</v>
      </c>
      <c r="I410" s="59">
        <v>0</v>
      </c>
      <c r="J410" s="59">
        <v>0</v>
      </c>
      <c r="K410" s="59">
        <v>0</v>
      </c>
      <c r="L410" s="59">
        <v>0</v>
      </c>
      <c r="M410" s="59">
        <v>0</v>
      </c>
      <c r="N410" s="59">
        <v>0</v>
      </c>
      <c r="O410" s="59">
        <v>0</v>
      </c>
    </row>
    <row r="411" spans="1:15" ht="15.75" x14ac:dyDescent="0.2">
      <c r="A411" s="141" t="s">
        <v>270</v>
      </c>
      <c r="B411" s="141" t="s">
        <v>237</v>
      </c>
      <c r="C411" s="77" t="s">
        <v>7</v>
      </c>
      <c r="D411" s="59">
        <f t="shared" si="157"/>
        <v>3290</v>
      </c>
      <c r="E411" s="59">
        <f>E412+E413+E414+E415</f>
        <v>0</v>
      </c>
      <c r="F411" s="59">
        <f t="shared" ref="F411:K411" si="168">F412+F413+F414+F415</f>
        <v>0</v>
      </c>
      <c r="G411" s="59">
        <f t="shared" si="168"/>
        <v>3290</v>
      </c>
      <c r="H411" s="59">
        <f t="shared" si="168"/>
        <v>0</v>
      </c>
      <c r="I411" s="59">
        <f t="shared" si="168"/>
        <v>0</v>
      </c>
      <c r="J411" s="59">
        <f t="shared" si="168"/>
        <v>0</v>
      </c>
      <c r="K411" s="59">
        <f t="shared" si="168"/>
        <v>0</v>
      </c>
      <c r="L411" s="59">
        <f>L412+L413+L414+L415</f>
        <v>0</v>
      </c>
      <c r="M411" s="59">
        <f>M412+M413+M414+M415</f>
        <v>0</v>
      </c>
      <c r="N411" s="59">
        <f>N412+N413+N414+N415</f>
        <v>0</v>
      </c>
      <c r="O411" s="59">
        <f>O412+O413+O414+O415</f>
        <v>0</v>
      </c>
    </row>
    <row r="412" spans="1:15" ht="15.75" x14ac:dyDescent="0.2">
      <c r="A412" s="141"/>
      <c r="B412" s="141"/>
      <c r="C412" s="77" t="s">
        <v>10</v>
      </c>
      <c r="D412" s="59">
        <f t="shared" si="157"/>
        <v>0</v>
      </c>
      <c r="E412" s="59">
        <v>0</v>
      </c>
      <c r="F412" s="59">
        <v>0</v>
      </c>
      <c r="G412" s="59">
        <v>0</v>
      </c>
      <c r="H412" s="59">
        <v>0</v>
      </c>
      <c r="I412" s="59">
        <v>0</v>
      </c>
      <c r="J412" s="59">
        <v>0</v>
      </c>
      <c r="K412" s="59">
        <v>0</v>
      </c>
      <c r="L412" s="59">
        <v>0</v>
      </c>
      <c r="M412" s="59">
        <v>0</v>
      </c>
      <c r="N412" s="59">
        <v>0</v>
      </c>
      <c r="O412" s="59">
        <v>0</v>
      </c>
    </row>
    <row r="413" spans="1:15" ht="15.75" x14ac:dyDescent="0.2">
      <c r="A413" s="141"/>
      <c r="B413" s="141"/>
      <c r="C413" s="77" t="s">
        <v>11</v>
      </c>
      <c r="D413" s="59">
        <f t="shared" si="157"/>
        <v>0</v>
      </c>
      <c r="E413" s="59">
        <v>0</v>
      </c>
      <c r="F413" s="59">
        <v>0</v>
      </c>
      <c r="G413" s="59">
        <v>0</v>
      </c>
      <c r="H413" s="59">
        <v>0</v>
      </c>
      <c r="I413" s="59">
        <v>0</v>
      </c>
      <c r="J413" s="59">
        <v>0</v>
      </c>
      <c r="K413" s="59">
        <v>0</v>
      </c>
      <c r="L413" s="59">
        <v>0</v>
      </c>
      <c r="M413" s="59">
        <v>0</v>
      </c>
      <c r="N413" s="59">
        <v>0</v>
      </c>
      <c r="O413" s="59">
        <v>0</v>
      </c>
    </row>
    <row r="414" spans="1:15" ht="15.75" x14ac:dyDescent="0.2">
      <c r="A414" s="141"/>
      <c r="B414" s="141"/>
      <c r="C414" s="77" t="s">
        <v>12</v>
      </c>
      <c r="D414" s="59">
        <f t="shared" si="157"/>
        <v>3290</v>
      </c>
      <c r="E414" s="59">
        <v>0</v>
      </c>
      <c r="F414" s="59">
        <v>0</v>
      </c>
      <c r="G414" s="59">
        <v>3290</v>
      </c>
      <c r="H414" s="59">
        <v>0</v>
      </c>
      <c r="I414" s="59">
        <v>0</v>
      </c>
      <c r="J414" s="59">
        <v>0</v>
      </c>
      <c r="K414" s="59">
        <v>0</v>
      </c>
      <c r="L414" s="59">
        <v>0</v>
      </c>
      <c r="M414" s="59">
        <v>0</v>
      </c>
      <c r="N414" s="59">
        <v>0</v>
      </c>
      <c r="O414" s="59">
        <v>0</v>
      </c>
    </row>
    <row r="415" spans="1:15" ht="23.25" customHeight="1" x14ac:dyDescent="0.2">
      <c r="A415" s="141"/>
      <c r="B415" s="141"/>
      <c r="C415" s="79" t="s">
        <v>13</v>
      </c>
      <c r="D415" s="59">
        <f t="shared" si="157"/>
        <v>0</v>
      </c>
      <c r="E415" s="59">
        <v>0</v>
      </c>
      <c r="F415" s="59">
        <v>0</v>
      </c>
      <c r="G415" s="59">
        <v>0</v>
      </c>
      <c r="H415" s="59">
        <v>0</v>
      </c>
      <c r="I415" s="59">
        <v>0</v>
      </c>
      <c r="J415" s="59">
        <v>0</v>
      </c>
      <c r="K415" s="59">
        <v>0</v>
      </c>
      <c r="L415" s="59">
        <v>0</v>
      </c>
      <c r="M415" s="59">
        <v>0</v>
      </c>
      <c r="N415" s="59">
        <v>0</v>
      </c>
      <c r="O415" s="59">
        <v>0</v>
      </c>
    </row>
    <row r="416" spans="1:15" ht="23.25" customHeight="1" x14ac:dyDescent="0.2">
      <c r="A416" s="141" t="s">
        <v>388</v>
      </c>
      <c r="B416" s="141" t="s">
        <v>398</v>
      </c>
      <c r="C416" s="77" t="s">
        <v>7</v>
      </c>
      <c r="D416" s="59">
        <f>E416+F416+G416+H416+I416+J416+K416+L416+M416+N416+O416</f>
        <v>57.699999999999996</v>
      </c>
      <c r="E416" s="59">
        <f>SUM(E417:E420)</f>
        <v>0</v>
      </c>
      <c r="F416" s="59">
        <f t="shared" ref="F416:O416" si="169">SUM(F417:F420)</f>
        <v>0</v>
      </c>
      <c r="G416" s="59">
        <f t="shared" si="169"/>
        <v>0</v>
      </c>
      <c r="H416" s="59">
        <f t="shared" si="169"/>
        <v>0</v>
      </c>
      <c r="I416" s="59">
        <f t="shared" si="169"/>
        <v>0</v>
      </c>
      <c r="J416" s="59">
        <f t="shared" si="169"/>
        <v>0</v>
      </c>
      <c r="K416" s="59">
        <f t="shared" si="169"/>
        <v>0</v>
      </c>
      <c r="L416" s="59">
        <f t="shared" si="169"/>
        <v>20</v>
      </c>
      <c r="M416" s="59">
        <f t="shared" si="169"/>
        <v>11.299999999999999</v>
      </c>
      <c r="N416" s="59">
        <f t="shared" si="169"/>
        <v>13.3</v>
      </c>
      <c r="O416" s="59">
        <f t="shared" si="169"/>
        <v>13.1</v>
      </c>
    </row>
    <row r="417" spans="1:15" ht="23.25" customHeight="1" x14ac:dyDescent="0.2">
      <c r="A417" s="141"/>
      <c r="B417" s="141"/>
      <c r="C417" s="77" t="s">
        <v>10</v>
      </c>
      <c r="D417" s="59">
        <f t="shared" ref="D417:D420" si="170">E417+F417+G417+H417+I417+J417+K417+L417+M417+N417+O417</f>
        <v>0</v>
      </c>
      <c r="E417" s="59">
        <v>0</v>
      </c>
      <c r="F417" s="59">
        <v>0</v>
      </c>
      <c r="G417" s="59">
        <v>0</v>
      </c>
      <c r="H417" s="59">
        <v>0</v>
      </c>
      <c r="I417" s="59">
        <v>0</v>
      </c>
      <c r="J417" s="59">
        <v>0</v>
      </c>
      <c r="K417" s="59">
        <v>0</v>
      </c>
      <c r="L417" s="59">
        <v>0</v>
      </c>
      <c r="M417" s="59">
        <v>0</v>
      </c>
      <c r="N417" s="59">
        <v>0</v>
      </c>
      <c r="O417" s="59">
        <v>0</v>
      </c>
    </row>
    <row r="418" spans="1:15" ht="23.25" customHeight="1" x14ac:dyDescent="0.2">
      <c r="A418" s="141"/>
      <c r="B418" s="141"/>
      <c r="C418" s="77" t="s">
        <v>11</v>
      </c>
      <c r="D418" s="59">
        <f t="shared" si="170"/>
        <v>0</v>
      </c>
      <c r="E418" s="59">
        <v>0</v>
      </c>
      <c r="F418" s="59">
        <v>0</v>
      </c>
      <c r="G418" s="59">
        <v>0</v>
      </c>
      <c r="H418" s="59">
        <v>0</v>
      </c>
      <c r="I418" s="59">
        <v>0</v>
      </c>
      <c r="J418" s="59">
        <v>0</v>
      </c>
      <c r="K418" s="59">
        <v>0</v>
      </c>
      <c r="L418" s="59">
        <v>0</v>
      </c>
      <c r="M418" s="59">
        <v>0</v>
      </c>
      <c r="N418" s="59">
        <v>0</v>
      </c>
      <c r="O418" s="59">
        <v>0</v>
      </c>
    </row>
    <row r="419" spans="1:15" ht="23.25" customHeight="1" x14ac:dyDescent="0.2">
      <c r="A419" s="141"/>
      <c r="B419" s="141"/>
      <c r="C419" s="77" t="s">
        <v>12</v>
      </c>
      <c r="D419" s="59">
        <f t="shared" si="170"/>
        <v>57.699999999999996</v>
      </c>
      <c r="E419" s="59">
        <v>0</v>
      </c>
      <c r="F419" s="59">
        <v>0</v>
      </c>
      <c r="G419" s="59">
        <v>0</v>
      </c>
      <c r="H419" s="59">
        <v>0</v>
      </c>
      <c r="I419" s="59">
        <v>0</v>
      </c>
      <c r="J419" s="59">
        <v>0</v>
      </c>
      <c r="K419" s="59">
        <f>550.5-550.5</f>
        <v>0</v>
      </c>
      <c r="L419" s="59">
        <f>20</f>
        <v>20</v>
      </c>
      <c r="M419" s="59">
        <f>21.2-9.9</f>
        <v>11.299999999999999</v>
      </c>
      <c r="N419" s="59">
        <f>21.3-8</f>
        <v>13.3</v>
      </c>
      <c r="O419" s="59">
        <v>13.1</v>
      </c>
    </row>
    <row r="420" spans="1:15" ht="23.25" customHeight="1" x14ac:dyDescent="0.2">
      <c r="A420" s="141"/>
      <c r="B420" s="141"/>
      <c r="C420" s="79" t="s">
        <v>13</v>
      </c>
      <c r="D420" s="59">
        <f t="shared" si="170"/>
        <v>0</v>
      </c>
      <c r="E420" s="59">
        <v>0</v>
      </c>
      <c r="F420" s="59">
        <v>0</v>
      </c>
      <c r="G420" s="59">
        <v>0</v>
      </c>
      <c r="H420" s="59">
        <v>0</v>
      </c>
      <c r="I420" s="59">
        <v>0</v>
      </c>
      <c r="J420" s="59">
        <v>0</v>
      </c>
      <c r="K420" s="59">
        <v>0</v>
      </c>
      <c r="L420" s="59">
        <v>0</v>
      </c>
      <c r="M420" s="59">
        <v>0</v>
      </c>
      <c r="N420" s="59">
        <v>0</v>
      </c>
      <c r="O420" s="59">
        <v>0</v>
      </c>
    </row>
    <row r="421" spans="1:15" ht="15.75" x14ac:dyDescent="0.2">
      <c r="A421" s="141" t="s">
        <v>149</v>
      </c>
      <c r="B421" s="145" t="s">
        <v>381</v>
      </c>
      <c r="C421" s="77" t="s">
        <v>7</v>
      </c>
      <c r="D421" s="59">
        <f>E421+F421+G421+H421+I421+J421+K421+L421+M421+N421+O421</f>
        <v>40536.19999999999</v>
      </c>
      <c r="E421" s="59">
        <f>E422+E423+E424+E426</f>
        <v>3741.9</v>
      </c>
      <c r="F421" s="59">
        <f t="shared" ref="F421:O421" si="171">F422+F423+F424+F426</f>
        <v>2450</v>
      </c>
      <c r="G421" s="59">
        <f t="shared" si="171"/>
        <v>2262.1</v>
      </c>
      <c r="H421" s="59">
        <f t="shared" si="171"/>
        <v>1999</v>
      </c>
      <c r="I421" s="59">
        <f t="shared" si="171"/>
        <v>13558.599999999999</v>
      </c>
      <c r="J421" s="59">
        <f>J422+J423+J424+J426</f>
        <v>8475.2999999999993</v>
      </c>
      <c r="K421" s="59">
        <f t="shared" si="171"/>
        <v>5424.9</v>
      </c>
      <c r="L421" s="59">
        <f t="shared" si="171"/>
        <v>2421.2000000000003</v>
      </c>
      <c r="M421" s="59">
        <f t="shared" si="171"/>
        <v>70.8</v>
      </c>
      <c r="N421" s="59">
        <f t="shared" si="171"/>
        <v>66.7</v>
      </c>
      <c r="O421" s="59">
        <f t="shared" si="171"/>
        <v>65.699999999999989</v>
      </c>
    </row>
    <row r="422" spans="1:15" ht="15.75" x14ac:dyDescent="0.2">
      <c r="A422" s="141"/>
      <c r="B422" s="145"/>
      <c r="C422" s="77" t="s">
        <v>10</v>
      </c>
      <c r="D422" s="59">
        <f t="shared" si="157"/>
        <v>0</v>
      </c>
      <c r="E422" s="59">
        <f>E428+E435+E440</f>
        <v>0</v>
      </c>
      <c r="F422" s="59">
        <f t="shared" ref="F422:O422" si="172">F428+F435+F440</f>
        <v>0</v>
      </c>
      <c r="G422" s="59">
        <f t="shared" si="172"/>
        <v>0</v>
      </c>
      <c r="H422" s="59">
        <f t="shared" si="172"/>
        <v>0</v>
      </c>
      <c r="I422" s="59">
        <f t="shared" si="172"/>
        <v>0</v>
      </c>
      <c r="J422" s="59">
        <f t="shared" si="172"/>
        <v>0</v>
      </c>
      <c r="K422" s="59">
        <f t="shared" si="172"/>
        <v>0</v>
      </c>
      <c r="L422" s="59">
        <f t="shared" si="172"/>
        <v>0</v>
      </c>
      <c r="M422" s="59">
        <f t="shared" si="172"/>
        <v>0</v>
      </c>
      <c r="N422" s="59">
        <f t="shared" si="172"/>
        <v>0</v>
      </c>
      <c r="O422" s="59">
        <f t="shared" si="172"/>
        <v>0</v>
      </c>
    </row>
    <row r="423" spans="1:15" ht="15.75" x14ac:dyDescent="0.2">
      <c r="A423" s="141"/>
      <c r="B423" s="145"/>
      <c r="C423" s="77" t="s">
        <v>11</v>
      </c>
      <c r="D423" s="59">
        <f t="shared" si="157"/>
        <v>22235.8</v>
      </c>
      <c r="E423" s="59">
        <f t="shared" ref="E423:O423" si="173">E429+E436+E441</f>
        <v>0</v>
      </c>
      <c r="F423" s="59">
        <f t="shared" si="173"/>
        <v>0</v>
      </c>
      <c r="G423" s="59">
        <f t="shared" si="173"/>
        <v>0</v>
      </c>
      <c r="H423" s="59">
        <f t="shared" si="173"/>
        <v>0</v>
      </c>
      <c r="I423" s="59">
        <f>I429+I436+I441</f>
        <v>11234.3</v>
      </c>
      <c r="J423" s="59">
        <f>J429+J436+J441+J446</f>
        <v>7403.7</v>
      </c>
      <c r="K423" s="59">
        <f t="shared" si="173"/>
        <v>3597.8</v>
      </c>
      <c r="L423" s="59">
        <f t="shared" si="173"/>
        <v>0</v>
      </c>
      <c r="M423" s="59">
        <f t="shared" si="173"/>
        <v>0</v>
      </c>
      <c r="N423" s="59">
        <f t="shared" si="173"/>
        <v>0</v>
      </c>
      <c r="O423" s="59">
        <f t="shared" si="173"/>
        <v>0</v>
      </c>
    </row>
    <row r="424" spans="1:15" ht="31.5" x14ac:dyDescent="0.2">
      <c r="A424" s="141"/>
      <c r="B424" s="145"/>
      <c r="C424" s="77" t="s">
        <v>65</v>
      </c>
      <c r="D424" s="59">
        <f t="shared" si="157"/>
        <v>18300.400000000001</v>
      </c>
      <c r="E424" s="59">
        <f>E430+E437+E442+E447</f>
        <v>3741.9</v>
      </c>
      <c r="F424" s="59">
        <f t="shared" ref="F424:J424" si="174">F430+F437+F442+F447</f>
        <v>2450</v>
      </c>
      <c r="G424" s="59">
        <f t="shared" si="174"/>
        <v>2262.1</v>
      </c>
      <c r="H424" s="59">
        <f t="shared" si="174"/>
        <v>1999</v>
      </c>
      <c r="I424" s="59">
        <f>I430+I437+I442+I447</f>
        <v>2324.3000000000002</v>
      </c>
      <c r="J424" s="59">
        <f t="shared" si="174"/>
        <v>1071.5999999999999</v>
      </c>
      <c r="K424" s="59">
        <f>K430+K437+K442+K447+K452</f>
        <v>1827.1</v>
      </c>
      <c r="L424" s="59">
        <f>L430+L437+L442+L447+L452+L457</f>
        <v>2421.2000000000003</v>
      </c>
      <c r="M424" s="59">
        <f t="shared" ref="M424:O424" si="175">M430+M437+M442+M447+M452</f>
        <v>70.8</v>
      </c>
      <c r="N424" s="59">
        <f t="shared" si="175"/>
        <v>66.7</v>
      </c>
      <c r="O424" s="59">
        <f t="shared" si="175"/>
        <v>65.699999999999989</v>
      </c>
    </row>
    <row r="425" spans="1:15" ht="31.5" x14ac:dyDescent="0.2">
      <c r="A425" s="141"/>
      <c r="B425" s="145"/>
      <c r="C425" s="78" t="s">
        <v>79</v>
      </c>
      <c r="D425" s="59">
        <f t="shared" si="157"/>
        <v>3631.3</v>
      </c>
      <c r="E425" s="59">
        <f t="shared" ref="E425:K425" si="176">E431+E438+E443</f>
        <v>2932.6</v>
      </c>
      <c r="F425" s="59">
        <f t="shared" si="176"/>
        <v>0</v>
      </c>
      <c r="G425" s="59">
        <f t="shared" si="176"/>
        <v>0</v>
      </c>
      <c r="H425" s="59">
        <f t="shared" si="176"/>
        <v>0</v>
      </c>
      <c r="I425" s="59">
        <f>I431+I438+I443</f>
        <v>698.7</v>
      </c>
      <c r="J425" s="59">
        <f t="shared" si="176"/>
        <v>0</v>
      </c>
      <c r="K425" s="59">
        <f t="shared" si="176"/>
        <v>0</v>
      </c>
      <c r="L425" s="59">
        <f>L431+L438+L443</f>
        <v>0</v>
      </c>
      <c r="M425" s="59">
        <f>M431+M438+M443</f>
        <v>0</v>
      </c>
      <c r="N425" s="59">
        <f>N431+N438+N443</f>
        <v>0</v>
      </c>
      <c r="O425" s="59">
        <f>O431+O438+O443</f>
        <v>0</v>
      </c>
    </row>
    <row r="426" spans="1:15" ht="24" customHeight="1" x14ac:dyDescent="0.2">
      <c r="A426" s="141"/>
      <c r="B426" s="145"/>
      <c r="C426" s="77" t="s">
        <v>13</v>
      </c>
      <c r="D426" s="59">
        <f t="shared" si="157"/>
        <v>0</v>
      </c>
      <c r="E426" s="59">
        <v>0</v>
      </c>
      <c r="F426" s="59">
        <v>0</v>
      </c>
      <c r="G426" s="59">
        <v>0</v>
      </c>
      <c r="H426" s="59">
        <v>0</v>
      </c>
      <c r="I426" s="59">
        <v>0</v>
      </c>
      <c r="J426" s="59">
        <v>0</v>
      </c>
      <c r="K426" s="59">
        <v>0</v>
      </c>
      <c r="L426" s="59">
        <v>0</v>
      </c>
      <c r="M426" s="59">
        <v>0</v>
      </c>
      <c r="N426" s="59">
        <v>0</v>
      </c>
      <c r="O426" s="59">
        <v>0</v>
      </c>
    </row>
    <row r="427" spans="1:15" ht="15.75" x14ac:dyDescent="0.2">
      <c r="A427" s="141" t="s">
        <v>150</v>
      </c>
      <c r="B427" s="145" t="s">
        <v>45</v>
      </c>
      <c r="C427" s="77" t="s">
        <v>7</v>
      </c>
      <c r="D427" s="59">
        <f t="shared" si="157"/>
        <v>11185.6</v>
      </c>
      <c r="E427" s="59">
        <f t="shared" ref="E427:O427" si="177">E428+E429+E430+E433</f>
        <v>3437.4</v>
      </c>
      <c r="F427" s="59">
        <f t="shared" si="177"/>
        <v>2000</v>
      </c>
      <c r="G427" s="59">
        <f t="shared" si="177"/>
        <v>2000</v>
      </c>
      <c r="H427" s="59">
        <f t="shared" si="177"/>
        <v>1905.6</v>
      </c>
      <c r="I427" s="59">
        <f t="shared" si="177"/>
        <v>698.69999999999993</v>
      </c>
      <c r="J427" s="59">
        <f t="shared" si="177"/>
        <v>599</v>
      </c>
      <c r="K427" s="59">
        <f t="shared" si="177"/>
        <v>544.9</v>
      </c>
      <c r="L427" s="59">
        <f t="shared" si="177"/>
        <v>0</v>
      </c>
      <c r="M427" s="59">
        <f t="shared" si="177"/>
        <v>0</v>
      </c>
      <c r="N427" s="59">
        <f t="shared" si="177"/>
        <v>0</v>
      </c>
      <c r="O427" s="59">
        <f t="shared" si="177"/>
        <v>0</v>
      </c>
    </row>
    <row r="428" spans="1:15" ht="15.75" customHeight="1" x14ac:dyDescent="0.2">
      <c r="A428" s="141"/>
      <c r="B428" s="145"/>
      <c r="C428" s="77" t="s">
        <v>10</v>
      </c>
      <c r="D428" s="59">
        <f t="shared" ref="D428:D433" si="178">E428+F428+G428+H428+I428+J428+K428+L428+M428+N428+O428</f>
        <v>0</v>
      </c>
      <c r="E428" s="59">
        <v>0</v>
      </c>
      <c r="F428" s="59">
        <v>0</v>
      </c>
      <c r="G428" s="59">
        <v>0</v>
      </c>
      <c r="H428" s="59">
        <v>0</v>
      </c>
      <c r="I428" s="59">
        <v>0</v>
      </c>
      <c r="J428" s="59">
        <v>0</v>
      </c>
      <c r="K428" s="59">
        <v>0</v>
      </c>
      <c r="L428" s="59">
        <v>0</v>
      </c>
      <c r="M428" s="59">
        <v>0</v>
      </c>
      <c r="N428" s="59">
        <v>0</v>
      </c>
      <c r="O428" s="59">
        <v>0</v>
      </c>
    </row>
    <row r="429" spans="1:15" ht="15.75" customHeight="1" x14ac:dyDescent="0.2">
      <c r="A429" s="141"/>
      <c r="B429" s="145"/>
      <c r="C429" s="77" t="s">
        <v>11</v>
      </c>
      <c r="D429" s="59">
        <f t="shared" si="178"/>
        <v>0</v>
      </c>
      <c r="E429" s="59">
        <v>0</v>
      </c>
      <c r="F429" s="59">
        <v>0</v>
      </c>
      <c r="G429" s="59">
        <v>0</v>
      </c>
      <c r="H429" s="59">
        <v>0</v>
      </c>
      <c r="I429" s="59">
        <v>0</v>
      </c>
      <c r="J429" s="59">
        <v>0</v>
      </c>
      <c r="K429" s="59">
        <v>0</v>
      </c>
      <c r="L429" s="59">
        <v>0</v>
      </c>
      <c r="M429" s="59">
        <v>0</v>
      </c>
      <c r="N429" s="59">
        <v>0</v>
      </c>
      <c r="O429" s="59">
        <v>0</v>
      </c>
    </row>
    <row r="430" spans="1:15" ht="31.5" x14ac:dyDescent="0.2">
      <c r="A430" s="141"/>
      <c r="B430" s="145"/>
      <c r="C430" s="77" t="s">
        <v>65</v>
      </c>
      <c r="D430" s="59">
        <f t="shared" si="178"/>
        <v>11185.6</v>
      </c>
      <c r="E430" s="59">
        <v>3437.4</v>
      </c>
      <c r="F430" s="59">
        <v>2000</v>
      </c>
      <c r="G430" s="59">
        <v>2000</v>
      </c>
      <c r="H430" s="59">
        <v>1905.6</v>
      </c>
      <c r="I430" s="59">
        <f>734.4-35.7</f>
        <v>698.69999999999993</v>
      </c>
      <c r="J430" s="59">
        <f>1907.8-800-508.8</f>
        <v>599</v>
      </c>
      <c r="K430" s="59">
        <f>775.5-230.6</f>
        <v>544.9</v>
      </c>
      <c r="L430" s="59">
        <f>181.4-181.4+181.4-181.4</f>
        <v>0</v>
      </c>
      <c r="M430" s="59">
        <f>192.3-192.3</f>
        <v>0</v>
      </c>
      <c r="N430" s="59">
        <f>193.3-193.3</f>
        <v>0</v>
      </c>
      <c r="O430" s="59">
        <f>866.6-866.6</f>
        <v>0</v>
      </c>
    </row>
    <row r="431" spans="1:15" ht="31.5" x14ac:dyDescent="0.2">
      <c r="A431" s="141"/>
      <c r="B431" s="145"/>
      <c r="C431" s="78" t="s">
        <v>79</v>
      </c>
      <c r="D431" s="59">
        <f t="shared" si="178"/>
        <v>3631.3</v>
      </c>
      <c r="E431" s="75">
        <v>2932.6</v>
      </c>
      <c r="F431" s="75">
        <v>0</v>
      </c>
      <c r="G431" s="75">
        <v>0</v>
      </c>
      <c r="H431" s="75">
        <v>0</v>
      </c>
      <c r="I431" s="75">
        <v>698.7</v>
      </c>
      <c r="J431" s="75">
        <v>0</v>
      </c>
      <c r="K431" s="75">
        <v>0</v>
      </c>
      <c r="L431" s="75">
        <v>0</v>
      </c>
      <c r="M431" s="75">
        <v>0</v>
      </c>
      <c r="N431" s="75">
        <v>0</v>
      </c>
      <c r="O431" s="75">
        <v>0</v>
      </c>
    </row>
    <row r="432" spans="1:15" ht="31.5" x14ac:dyDescent="0.2">
      <c r="A432" s="141"/>
      <c r="B432" s="145"/>
      <c r="C432" s="78" t="s">
        <v>81</v>
      </c>
      <c r="D432" s="59">
        <f t="shared" si="178"/>
        <v>475.5</v>
      </c>
      <c r="E432" s="59">
        <v>0</v>
      </c>
      <c r="F432" s="59">
        <v>0</v>
      </c>
      <c r="G432" s="59">
        <v>0</v>
      </c>
      <c r="H432" s="59">
        <v>475.5</v>
      </c>
      <c r="I432" s="59">
        <v>0</v>
      </c>
      <c r="J432" s="59">
        <v>0</v>
      </c>
      <c r="K432" s="59">
        <v>0</v>
      </c>
      <c r="L432" s="59">
        <v>0</v>
      </c>
      <c r="M432" s="59">
        <v>0</v>
      </c>
      <c r="N432" s="59">
        <v>0</v>
      </c>
      <c r="O432" s="59">
        <v>0</v>
      </c>
    </row>
    <row r="433" spans="1:15" ht="18.75" customHeight="1" x14ac:dyDescent="0.2">
      <c r="A433" s="141"/>
      <c r="B433" s="145"/>
      <c r="C433" s="77" t="s">
        <v>13</v>
      </c>
      <c r="D433" s="59">
        <f t="shared" si="178"/>
        <v>0</v>
      </c>
      <c r="E433" s="59">
        <v>0</v>
      </c>
      <c r="F433" s="59">
        <v>0</v>
      </c>
      <c r="G433" s="59">
        <v>0</v>
      </c>
      <c r="H433" s="59">
        <v>0</v>
      </c>
      <c r="I433" s="59">
        <v>0</v>
      </c>
      <c r="J433" s="59">
        <v>0</v>
      </c>
      <c r="K433" s="59">
        <v>0</v>
      </c>
      <c r="L433" s="59">
        <v>0</v>
      </c>
      <c r="M433" s="59">
        <v>0</v>
      </c>
      <c r="N433" s="59">
        <v>0</v>
      </c>
      <c r="O433" s="59">
        <v>0</v>
      </c>
    </row>
    <row r="434" spans="1:15" ht="21" customHeight="1" x14ac:dyDescent="0.2">
      <c r="A434" s="141" t="s">
        <v>151</v>
      </c>
      <c r="B434" s="145" t="s">
        <v>50</v>
      </c>
      <c r="C434" s="77" t="s">
        <v>7</v>
      </c>
      <c r="D434" s="59">
        <f t="shared" ref="D434:D485" si="179">E434+F434+G434+H434+I434+J434+K434+L434+M434+N434+O434</f>
        <v>1659.6000000000001</v>
      </c>
      <c r="E434" s="59">
        <f t="shared" ref="E434:O434" si="180">E435+E436+E437+E438</f>
        <v>304.5</v>
      </c>
      <c r="F434" s="59">
        <f t="shared" si="180"/>
        <v>450</v>
      </c>
      <c r="G434" s="59">
        <f t="shared" si="180"/>
        <v>262.10000000000002</v>
      </c>
      <c r="H434" s="59">
        <f t="shared" si="180"/>
        <v>93.4</v>
      </c>
      <c r="I434" s="59">
        <f t="shared" si="180"/>
        <v>346.4</v>
      </c>
      <c r="J434" s="59">
        <f t="shared" si="180"/>
        <v>0</v>
      </c>
      <c r="K434" s="59">
        <f t="shared" si="180"/>
        <v>0</v>
      </c>
      <c r="L434" s="59">
        <f t="shared" si="180"/>
        <v>0</v>
      </c>
      <c r="M434" s="59">
        <f t="shared" si="180"/>
        <v>70.8</v>
      </c>
      <c r="N434" s="59">
        <f t="shared" si="180"/>
        <v>66.7</v>
      </c>
      <c r="O434" s="59">
        <f t="shared" si="180"/>
        <v>65.699999999999989</v>
      </c>
    </row>
    <row r="435" spans="1:15" ht="17.25" customHeight="1" x14ac:dyDescent="0.2">
      <c r="A435" s="141"/>
      <c r="B435" s="145"/>
      <c r="C435" s="77" t="s">
        <v>10</v>
      </c>
      <c r="D435" s="59">
        <f t="shared" si="179"/>
        <v>0</v>
      </c>
      <c r="E435" s="59">
        <v>0</v>
      </c>
      <c r="F435" s="59">
        <v>0</v>
      </c>
      <c r="G435" s="59">
        <v>0</v>
      </c>
      <c r="H435" s="59">
        <v>0</v>
      </c>
      <c r="I435" s="59">
        <v>0</v>
      </c>
      <c r="J435" s="59">
        <v>0</v>
      </c>
      <c r="K435" s="59">
        <v>0</v>
      </c>
      <c r="L435" s="59">
        <v>0</v>
      </c>
      <c r="M435" s="59">
        <v>0</v>
      </c>
      <c r="N435" s="59">
        <v>0</v>
      </c>
      <c r="O435" s="59">
        <v>0</v>
      </c>
    </row>
    <row r="436" spans="1:15" ht="17.25" customHeight="1" x14ac:dyDescent="0.2">
      <c r="A436" s="141"/>
      <c r="B436" s="145"/>
      <c r="C436" s="77" t="s">
        <v>11</v>
      </c>
      <c r="D436" s="59">
        <f t="shared" si="179"/>
        <v>0</v>
      </c>
      <c r="E436" s="59">
        <v>0</v>
      </c>
      <c r="F436" s="59">
        <v>0</v>
      </c>
      <c r="G436" s="59">
        <v>0</v>
      </c>
      <c r="H436" s="59">
        <v>0</v>
      </c>
      <c r="I436" s="59">
        <v>0</v>
      </c>
      <c r="J436" s="59">
        <v>0</v>
      </c>
      <c r="K436" s="59">
        <v>0</v>
      </c>
      <c r="L436" s="59">
        <v>0</v>
      </c>
      <c r="M436" s="59">
        <v>0</v>
      </c>
      <c r="N436" s="59">
        <v>0</v>
      </c>
      <c r="O436" s="59">
        <v>0</v>
      </c>
    </row>
    <row r="437" spans="1:15" ht="21" customHeight="1" x14ac:dyDescent="0.2">
      <c r="A437" s="141"/>
      <c r="B437" s="145"/>
      <c r="C437" s="77" t="s">
        <v>12</v>
      </c>
      <c r="D437" s="59">
        <f t="shared" si="179"/>
        <v>1659.6000000000001</v>
      </c>
      <c r="E437" s="59">
        <v>304.5</v>
      </c>
      <c r="F437" s="59">
        <v>450</v>
      </c>
      <c r="G437" s="59">
        <v>262.10000000000002</v>
      </c>
      <c r="H437" s="59">
        <v>93.4</v>
      </c>
      <c r="I437" s="59">
        <f>504.9-158.5</f>
        <v>346.4</v>
      </c>
      <c r="J437" s="59">
        <f>227.7-227.7</f>
        <v>0</v>
      </c>
      <c r="K437" s="59">
        <f>420-320-100</f>
        <v>0</v>
      </c>
      <c r="L437" s="59">
        <f>56.6-56.6+56.6-56.6</f>
        <v>0</v>
      </c>
      <c r="M437" s="59">
        <f>75-4.2</f>
        <v>70.8</v>
      </c>
      <c r="N437" s="59">
        <f>60.3+6.4</f>
        <v>66.7</v>
      </c>
      <c r="O437" s="59">
        <f>139.2-73.5</f>
        <v>65.699999999999989</v>
      </c>
    </row>
    <row r="438" spans="1:15" ht="24" customHeight="1" x14ac:dyDescent="0.2">
      <c r="A438" s="141"/>
      <c r="B438" s="145"/>
      <c r="C438" s="77" t="s">
        <v>13</v>
      </c>
      <c r="D438" s="59">
        <f t="shared" si="179"/>
        <v>0</v>
      </c>
      <c r="E438" s="59">
        <v>0</v>
      </c>
      <c r="F438" s="59">
        <v>0</v>
      </c>
      <c r="G438" s="59">
        <v>0</v>
      </c>
      <c r="H438" s="59">
        <v>0</v>
      </c>
      <c r="I438" s="59">
        <v>0</v>
      </c>
      <c r="J438" s="59">
        <v>0</v>
      </c>
      <c r="K438" s="59">
        <v>0</v>
      </c>
      <c r="L438" s="59">
        <v>0</v>
      </c>
      <c r="M438" s="59">
        <v>0</v>
      </c>
      <c r="N438" s="59">
        <v>0</v>
      </c>
      <c r="O438" s="59">
        <v>0</v>
      </c>
    </row>
    <row r="439" spans="1:15" ht="15.75" x14ac:dyDescent="0.2">
      <c r="A439" s="141" t="s">
        <v>276</v>
      </c>
      <c r="B439" s="145" t="s">
        <v>274</v>
      </c>
      <c r="C439" s="89" t="s">
        <v>7</v>
      </c>
      <c r="D439" s="88">
        <f t="shared" si="179"/>
        <v>24217.200000000001</v>
      </c>
      <c r="E439" s="88">
        <f>E440+E441+E442+E443</f>
        <v>0</v>
      </c>
      <c r="F439" s="88">
        <f t="shared" ref="F439:O439" si="181">F440+F441+F442+F443</f>
        <v>0</v>
      </c>
      <c r="G439" s="88">
        <f t="shared" si="181"/>
        <v>0</v>
      </c>
      <c r="H439" s="88">
        <f t="shared" si="181"/>
        <v>0</v>
      </c>
      <c r="I439" s="88">
        <f t="shared" si="181"/>
        <v>12513.5</v>
      </c>
      <c r="J439" s="88">
        <f t="shared" si="181"/>
        <v>7876.2999999999993</v>
      </c>
      <c r="K439" s="88">
        <f t="shared" si="181"/>
        <v>3827.4</v>
      </c>
      <c r="L439" s="88">
        <f t="shared" si="181"/>
        <v>0</v>
      </c>
      <c r="M439" s="88">
        <f t="shared" si="181"/>
        <v>0</v>
      </c>
      <c r="N439" s="88">
        <f t="shared" si="181"/>
        <v>0</v>
      </c>
      <c r="O439" s="88">
        <f t="shared" si="181"/>
        <v>0</v>
      </c>
    </row>
    <row r="440" spans="1:15" ht="15.75" x14ac:dyDescent="0.2">
      <c r="A440" s="141"/>
      <c r="B440" s="146"/>
      <c r="C440" s="79" t="s">
        <v>10</v>
      </c>
      <c r="D440" s="88">
        <f t="shared" si="179"/>
        <v>0</v>
      </c>
      <c r="E440" s="88">
        <v>0</v>
      </c>
      <c r="F440" s="88">
        <v>0</v>
      </c>
      <c r="G440" s="88">
        <v>0</v>
      </c>
      <c r="H440" s="88">
        <v>0</v>
      </c>
      <c r="I440" s="88">
        <v>0</v>
      </c>
      <c r="J440" s="88">
        <v>0</v>
      </c>
      <c r="K440" s="88">
        <v>0</v>
      </c>
      <c r="L440" s="88">
        <v>0</v>
      </c>
      <c r="M440" s="88">
        <v>0</v>
      </c>
      <c r="N440" s="88">
        <v>0</v>
      </c>
      <c r="O440" s="88">
        <v>0</v>
      </c>
    </row>
    <row r="441" spans="1:15" ht="15.75" x14ac:dyDescent="0.2">
      <c r="A441" s="141"/>
      <c r="B441" s="146"/>
      <c r="C441" s="79" t="s">
        <v>11</v>
      </c>
      <c r="D441" s="88">
        <f t="shared" si="179"/>
        <v>22235.8</v>
      </c>
      <c r="E441" s="88">
        <v>0</v>
      </c>
      <c r="F441" s="88">
        <v>0</v>
      </c>
      <c r="G441" s="88">
        <v>0</v>
      </c>
      <c r="H441" s="88">
        <v>0</v>
      </c>
      <c r="I441" s="88">
        <v>11234.3</v>
      </c>
      <c r="J441" s="88">
        <v>7403.7</v>
      </c>
      <c r="K441" s="88">
        <v>3597.8</v>
      </c>
      <c r="L441" s="88">
        <v>0</v>
      </c>
      <c r="M441" s="88">
        <v>0</v>
      </c>
      <c r="N441" s="88">
        <v>0</v>
      </c>
      <c r="O441" s="88">
        <v>0</v>
      </c>
    </row>
    <row r="442" spans="1:15" ht="15.75" x14ac:dyDescent="0.2">
      <c r="A442" s="141"/>
      <c r="B442" s="146"/>
      <c r="C442" s="79" t="s">
        <v>12</v>
      </c>
      <c r="D442" s="88">
        <f t="shared" si="179"/>
        <v>1981.3999999999999</v>
      </c>
      <c r="E442" s="88">
        <v>0</v>
      </c>
      <c r="F442" s="88">
        <v>0</v>
      </c>
      <c r="G442" s="88">
        <v>0</v>
      </c>
      <c r="H442" s="88">
        <v>0</v>
      </c>
      <c r="I442" s="88">
        <f>1850-570.8</f>
        <v>1279.2</v>
      </c>
      <c r="J442" s="88">
        <f>3000-545.9-1981.5</f>
        <v>472.59999999999991</v>
      </c>
      <c r="K442" s="88">
        <v>229.6</v>
      </c>
      <c r="L442" s="88">
        <f>61.2-61.2</f>
        <v>0</v>
      </c>
      <c r="M442" s="88">
        <v>0</v>
      </c>
      <c r="N442" s="88">
        <v>0</v>
      </c>
      <c r="O442" s="88">
        <v>0</v>
      </c>
    </row>
    <row r="443" spans="1:15" ht="15" customHeight="1" x14ac:dyDescent="0.2">
      <c r="A443" s="141"/>
      <c r="B443" s="146"/>
      <c r="C443" s="79" t="s">
        <v>13</v>
      </c>
      <c r="D443" s="88">
        <f t="shared" si="179"/>
        <v>0</v>
      </c>
      <c r="E443" s="88">
        <v>0</v>
      </c>
      <c r="F443" s="88">
        <v>0</v>
      </c>
      <c r="G443" s="88">
        <v>0</v>
      </c>
      <c r="H443" s="88">
        <v>0</v>
      </c>
      <c r="I443" s="88">
        <v>0</v>
      </c>
      <c r="J443" s="88">
        <v>0</v>
      </c>
      <c r="K443" s="88">
        <v>0</v>
      </c>
      <c r="L443" s="88">
        <v>0</v>
      </c>
      <c r="M443" s="88">
        <v>0</v>
      </c>
      <c r="N443" s="88">
        <v>0</v>
      </c>
      <c r="O443" s="88">
        <v>0</v>
      </c>
    </row>
    <row r="444" spans="1:15" ht="15.75" hidden="1" x14ac:dyDescent="0.2">
      <c r="A444" s="141"/>
      <c r="B444" s="145" t="s">
        <v>289</v>
      </c>
      <c r="C444" s="89" t="s">
        <v>7</v>
      </c>
      <c r="D444" s="88">
        <f t="shared" si="179"/>
        <v>0</v>
      </c>
      <c r="E444" s="88">
        <f>E445+E446+E447+E448</f>
        <v>0</v>
      </c>
      <c r="F444" s="88">
        <f t="shared" ref="F444:O444" si="182">F445+F446+F447+F448</f>
        <v>0</v>
      </c>
      <c r="G444" s="88">
        <f t="shared" si="182"/>
        <v>0</v>
      </c>
      <c r="H444" s="88">
        <f t="shared" si="182"/>
        <v>0</v>
      </c>
      <c r="I444" s="88">
        <f t="shared" si="182"/>
        <v>0</v>
      </c>
      <c r="J444" s="88">
        <f t="shared" si="182"/>
        <v>0</v>
      </c>
      <c r="K444" s="88">
        <f t="shared" si="182"/>
        <v>0</v>
      </c>
      <c r="L444" s="88">
        <f t="shared" si="182"/>
        <v>0</v>
      </c>
      <c r="M444" s="88">
        <f t="shared" si="182"/>
        <v>0</v>
      </c>
      <c r="N444" s="88">
        <f t="shared" si="182"/>
        <v>0</v>
      </c>
      <c r="O444" s="88">
        <f t="shared" si="182"/>
        <v>0</v>
      </c>
    </row>
    <row r="445" spans="1:15" ht="15.75" hidden="1" x14ac:dyDescent="0.2">
      <c r="A445" s="141"/>
      <c r="B445" s="146"/>
      <c r="C445" s="79" t="s">
        <v>10</v>
      </c>
      <c r="D445" s="88">
        <f t="shared" si="179"/>
        <v>0</v>
      </c>
      <c r="E445" s="88">
        <v>0</v>
      </c>
      <c r="F445" s="88">
        <v>0</v>
      </c>
      <c r="G445" s="88">
        <v>0</v>
      </c>
      <c r="H445" s="88">
        <v>0</v>
      </c>
      <c r="I445" s="88">
        <v>0</v>
      </c>
      <c r="J445" s="88">
        <v>0</v>
      </c>
      <c r="K445" s="88">
        <v>0</v>
      </c>
      <c r="L445" s="88">
        <v>0</v>
      </c>
      <c r="M445" s="88">
        <v>0</v>
      </c>
      <c r="N445" s="88">
        <v>0</v>
      </c>
      <c r="O445" s="88">
        <v>0</v>
      </c>
    </row>
    <row r="446" spans="1:15" ht="15.75" hidden="1" x14ac:dyDescent="0.2">
      <c r="A446" s="141"/>
      <c r="B446" s="146"/>
      <c r="C446" s="79" t="s">
        <v>11</v>
      </c>
      <c r="D446" s="88">
        <f t="shared" si="179"/>
        <v>0</v>
      </c>
      <c r="E446" s="88">
        <v>0</v>
      </c>
      <c r="F446" s="88">
        <v>0</v>
      </c>
      <c r="G446" s="88">
        <v>0</v>
      </c>
      <c r="H446" s="88">
        <v>0</v>
      </c>
      <c r="I446" s="88">
        <v>0</v>
      </c>
      <c r="J446" s="88">
        <v>0</v>
      </c>
      <c r="K446" s="88">
        <v>0</v>
      </c>
      <c r="L446" s="88">
        <v>0</v>
      </c>
      <c r="M446" s="88">
        <v>0</v>
      </c>
      <c r="N446" s="88">
        <v>0</v>
      </c>
      <c r="O446" s="88">
        <v>0</v>
      </c>
    </row>
    <row r="447" spans="1:15" ht="15.75" hidden="1" x14ac:dyDescent="0.2">
      <c r="A447" s="141"/>
      <c r="B447" s="146"/>
      <c r="C447" s="79" t="s">
        <v>12</v>
      </c>
      <c r="D447" s="88">
        <f t="shared" si="179"/>
        <v>0</v>
      </c>
      <c r="E447" s="88">
        <v>0</v>
      </c>
      <c r="F447" s="88">
        <v>0</v>
      </c>
      <c r="G447" s="88">
        <v>0</v>
      </c>
      <c r="H447" s="88">
        <v>0</v>
      </c>
      <c r="I447" s="88">
        <v>0</v>
      </c>
      <c r="J447" s="88">
        <v>0</v>
      </c>
      <c r="K447" s="88">
        <v>0</v>
      </c>
      <c r="L447" s="88">
        <v>0</v>
      </c>
      <c r="M447" s="88">
        <v>0</v>
      </c>
      <c r="N447" s="88">
        <v>0</v>
      </c>
      <c r="O447" s="88">
        <f>N447*104%</f>
        <v>0</v>
      </c>
    </row>
    <row r="448" spans="1:15" ht="18" hidden="1" customHeight="1" x14ac:dyDescent="0.2">
      <c r="A448" s="141"/>
      <c r="B448" s="146"/>
      <c r="C448" s="79" t="s">
        <v>13</v>
      </c>
      <c r="D448" s="88">
        <f t="shared" si="179"/>
        <v>0</v>
      </c>
      <c r="E448" s="88">
        <v>0</v>
      </c>
      <c r="F448" s="88">
        <v>0</v>
      </c>
      <c r="G448" s="88">
        <v>0</v>
      </c>
      <c r="H448" s="88">
        <v>0</v>
      </c>
      <c r="I448" s="88">
        <v>0</v>
      </c>
      <c r="J448" s="88">
        <v>0</v>
      </c>
      <c r="K448" s="88">
        <v>0</v>
      </c>
      <c r="L448" s="88">
        <v>0</v>
      </c>
      <c r="M448" s="88">
        <v>0</v>
      </c>
      <c r="N448" s="88">
        <v>0</v>
      </c>
      <c r="O448" s="88">
        <v>0</v>
      </c>
    </row>
    <row r="449" spans="1:15" ht="18" customHeight="1" x14ac:dyDescent="0.2">
      <c r="A449" s="141" t="s">
        <v>291</v>
      </c>
      <c r="B449" s="153" t="s">
        <v>406</v>
      </c>
      <c r="C449" s="89" t="s">
        <v>7</v>
      </c>
      <c r="D449" s="88">
        <f t="shared" si="179"/>
        <v>1052.5999999999999</v>
      </c>
      <c r="E449" s="88">
        <f>E450+E451+E452+E453</f>
        <v>0</v>
      </c>
      <c r="F449" s="88">
        <f t="shared" ref="F449:O449" si="183">F450+F451+F452+F453</f>
        <v>0</v>
      </c>
      <c r="G449" s="88">
        <f t="shared" si="183"/>
        <v>0</v>
      </c>
      <c r="H449" s="88">
        <f t="shared" si="183"/>
        <v>0</v>
      </c>
      <c r="I449" s="88">
        <f t="shared" si="183"/>
        <v>0</v>
      </c>
      <c r="J449" s="88">
        <f t="shared" si="183"/>
        <v>0</v>
      </c>
      <c r="K449" s="88">
        <f t="shared" si="183"/>
        <v>1052.5999999999999</v>
      </c>
      <c r="L449" s="88">
        <f t="shared" si="183"/>
        <v>0</v>
      </c>
      <c r="M449" s="88">
        <f t="shared" si="183"/>
        <v>0</v>
      </c>
      <c r="N449" s="88">
        <f t="shared" si="183"/>
        <v>0</v>
      </c>
      <c r="O449" s="88">
        <f t="shared" si="183"/>
        <v>0</v>
      </c>
    </row>
    <row r="450" spans="1:15" ht="18" customHeight="1" x14ac:dyDescent="0.2">
      <c r="A450" s="141"/>
      <c r="B450" s="154"/>
      <c r="C450" s="79" t="s">
        <v>10</v>
      </c>
      <c r="D450" s="88">
        <f t="shared" si="179"/>
        <v>0</v>
      </c>
      <c r="E450" s="88">
        <v>0</v>
      </c>
      <c r="F450" s="88">
        <v>0</v>
      </c>
      <c r="G450" s="88">
        <v>0</v>
      </c>
      <c r="H450" s="88">
        <v>0</v>
      </c>
      <c r="I450" s="88">
        <v>0</v>
      </c>
      <c r="J450" s="88">
        <v>0</v>
      </c>
      <c r="K450" s="88">
        <v>0</v>
      </c>
      <c r="L450" s="88">
        <v>0</v>
      </c>
      <c r="M450" s="88">
        <v>0</v>
      </c>
      <c r="N450" s="88">
        <v>0</v>
      </c>
      <c r="O450" s="88">
        <v>0</v>
      </c>
    </row>
    <row r="451" spans="1:15" ht="18" customHeight="1" x14ac:dyDescent="0.2">
      <c r="A451" s="141"/>
      <c r="B451" s="154"/>
      <c r="C451" s="79" t="s">
        <v>11</v>
      </c>
      <c r="D451" s="88">
        <f t="shared" si="179"/>
        <v>0</v>
      </c>
      <c r="E451" s="88">
        <v>0</v>
      </c>
      <c r="F451" s="88">
        <v>0</v>
      </c>
      <c r="G451" s="88">
        <v>0</v>
      </c>
      <c r="H451" s="88">
        <v>0</v>
      </c>
      <c r="I451" s="88">
        <v>0</v>
      </c>
      <c r="J451" s="88">
        <v>0</v>
      </c>
      <c r="K451" s="88">
        <v>0</v>
      </c>
      <c r="L451" s="88">
        <v>0</v>
      </c>
      <c r="M451" s="88">
        <v>0</v>
      </c>
      <c r="N451" s="88">
        <v>0</v>
      </c>
      <c r="O451" s="88">
        <v>0</v>
      </c>
    </row>
    <row r="452" spans="1:15" ht="18" customHeight="1" x14ac:dyDescent="0.2">
      <c r="A452" s="141"/>
      <c r="B452" s="154"/>
      <c r="C452" s="79" t="s">
        <v>12</v>
      </c>
      <c r="D452" s="88">
        <f t="shared" si="179"/>
        <v>1052.5999999999999</v>
      </c>
      <c r="E452" s="88">
        <v>0</v>
      </c>
      <c r="F452" s="88">
        <v>0</v>
      </c>
      <c r="G452" s="88">
        <v>0</v>
      </c>
      <c r="H452" s="88">
        <v>0</v>
      </c>
      <c r="I452" s="88">
        <v>0</v>
      </c>
      <c r="J452" s="88">
        <v>0</v>
      </c>
      <c r="K452" s="88">
        <v>1052.5999999999999</v>
      </c>
      <c r="L452" s="88">
        <v>0</v>
      </c>
      <c r="M452" s="88">
        <v>0</v>
      </c>
      <c r="N452" s="88">
        <v>0</v>
      </c>
      <c r="O452" s="88">
        <v>0</v>
      </c>
    </row>
    <row r="453" spans="1:15" ht="18" customHeight="1" x14ac:dyDescent="0.2">
      <c r="A453" s="141"/>
      <c r="B453" s="155"/>
      <c r="C453" s="79" t="s">
        <v>13</v>
      </c>
      <c r="D453" s="88">
        <f t="shared" si="179"/>
        <v>0</v>
      </c>
      <c r="E453" s="88">
        <v>0</v>
      </c>
      <c r="F453" s="88">
        <v>0</v>
      </c>
      <c r="G453" s="88">
        <v>0</v>
      </c>
      <c r="H453" s="88">
        <v>0</v>
      </c>
      <c r="I453" s="88">
        <v>0</v>
      </c>
      <c r="J453" s="88">
        <v>0</v>
      </c>
      <c r="K453" s="88">
        <v>0</v>
      </c>
      <c r="L453" s="88">
        <v>0</v>
      </c>
      <c r="M453" s="88">
        <v>0</v>
      </c>
      <c r="N453" s="88">
        <v>0</v>
      </c>
      <c r="O453" s="88">
        <v>0</v>
      </c>
    </row>
    <row r="454" spans="1:15" ht="18" customHeight="1" x14ac:dyDescent="0.2">
      <c r="A454" s="141" t="s">
        <v>438</v>
      </c>
      <c r="B454" s="138" t="s">
        <v>437</v>
      </c>
      <c r="C454" s="89" t="s">
        <v>7</v>
      </c>
      <c r="D454" s="59">
        <f t="shared" si="179"/>
        <v>2421.2000000000003</v>
      </c>
      <c r="E454" s="88">
        <f>E455+E456+E457+E458</f>
        <v>0</v>
      </c>
      <c r="F454" s="88">
        <f t="shared" ref="F454:H454" si="184">F455+F456+F457+F458</f>
        <v>0</v>
      </c>
      <c r="G454" s="88">
        <f t="shared" si="184"/>
        <v>0</v>
      </c>
      <c r="H454" s="88">
        <f t="shared" si="184"/>
        <v>0</v>
      </c>
      <c r="I454" s="88">
        <f>I455+I456+I457+I458</f>
        <v>0</v>
      </c>
      <c r="J454" s="88">
        <f t="shared" ref="J454:O454" si="185">J455+J456+J457+J458</f>
        <v>0</v>
      </c>
      <c r="K454" s="88">
        <f t="shared" si="185"/>
        <v>0</v>
      </c>
      <c r="L454" s="88">
        <f t="shared" si="185"/>
        <v>2421.2000000000003</v>
      </c>
      <c r="M454" s="88">
        <f t="shared" si="185"/>
        <v>0</v>
      </c>
      <c r="N454" s="88">
        <f t="shared" si="185"/>
        <v>0</v>
      </c>
      <c r="O454" s="88">
        <f t="shared" si="185"/>
        <v>0</v>
      </c>
    </row>
    <row r="455" spans="1:15" ht="18" customHeight="1" x14ac:dyDescent="0.2">
      <c r="A455" s="141"/>
      <c r="B455" s="139"/>
      <c r="C455" s="79" t="s">
        <v>10</v>
      </c>
      <c r="D455" s="59">
        <f t="shared" si="179"/>
        <v>0</v>
      </c>
      <c r="E455" s="88">
        <v>0</v>
      </c>
      <c r="F455" s="88">
        <v>0</v>
      </c>
      <c r="G455" s="88">
        <v>0</v>
      </c>
      <c r="H455" s="88">
        <v>0</v>
      </c>
      <c r="I455" s="88">
        <v>0</v>
      </c>
      <c r="J455" s="88">
        <v>0</v>
      </c>
      <c r="K455" s="88">
        <v>0</v>
      </c>
      <c r="L455" s="88">
        <v>0</v>
      </c>
      <c r="M455" s="88">
        <v>0</v>
      </c>
      <c r="N455" s="88">
        <v>0</v>
      </c>
      <c r="O455" s="88">
        <v>0</v>
      </c>
    </row>
    <row r="456" spans="1:15" ht="18" customHeight="1" x14ac:dyDescent="0.2">
      <c r="A456" s="141"/>
      <c r="B456" s="139"/>
      <c r="C456" s="79" t="s">
        <v>11</v>
      </c>
      <c r="D456" s="59">
        <f>E456+F456+G456+H456+I456+J456+K456+L456+M456+N456+O456</f>
        <v>0</v>
      </c>
      <c r="E456" s="88">
        <v>0</v>
      </c>
      <c r="F456" s="88">
        <v>0</v>
      </c>
      <c r="G456" s="88">
        <v>0</v>
      </c>
      <c r="H456" s="88">
        <v>0</v>
      </c>
      <c r="I456" s="88">
        <v>0</v>
      </c>
      <c r="J456" s="88">
        <v>0</v>
      </c>
      <c r="K456" s="88">
        <v>0</v>
      </c>
      <c r="L456" s="88">
        <v>0</v>
      </c>
      <c r="M456" s="88">
        <v>0</v>
      </c>
      <c r="N456" s="88">
        <v>0</v>
      </c>
      <c r="O456" s="88">
        <v>0</v>
      </c>
    </row>
    <row r="457" spans="1:15" ht="18" customHeight="1" x14ac:dyDescent="0.2">
      <c r="A457" s="141"/>
      <c r="B457" s="139"/>
      <c r="C457" s="79" t="s">
        <v>12</v>
      </c>
      <c r="D457" s="59">
        <f t="shared" ref="D457:D458" si="186">E457+F457+G457+H457+I457+J457+K457+L457+M457+N457+O457</f>
        <v>2421.2000000000003</v>
      </c>
      <c r="E457" s="88">
        <v>0</v>
      </c>
      <c r="F457" s="88">
        <v>0</v>
      </c>
      <c r="G457" s="88">
        <v>0</v>
      </c>
      <c r="H457" s="88">
        <v>0</v>
      </c>
      <c r="I457" s="88">
        <v>0</v>
      </c>
      <c r="J457" s="88">
        <v>0</v>
      </c>
      <c r="K457" s="88">
        <v>0</v>
      </c>
      <c r="L457" s="88">
        <f>2677.9-256.7</f>
        <v>2421.2000000000003</v>
      </c>
      <c r="M457" s="88">
        <v>0</v>
      </c>
      <c r="N457" s="88">
        <v>0</v>
      </c>
      <c r="O457" s="88">
        <v>0</v>
      </c>
    </row>
    <row r="458" spans="1:15" ht="38.25" customHeight="1" x14ac:dyDescent="0.2">
      <c r="A458" s="141"/>
      <c r="B458" s="140"/>
      <c r="C458" s="79" t="s">
        <v>13</v>
      </c>
      <c r="D458" s="59">
        <f t="shared" si="186"/>
        <v>0</v>
      </c>
      <c r="E458" s="88">
        <v>0</v>
      </c>
      <c r="F458" s="88">
        <v>0</v>
      </c>
      <c r="G458" s="88">
        <v>0</v>
      </c>
      <c r="H458" s="88">
        <v>0</v>
      </c>
      <c r="I458" s="88">
        <v>0</v>
      </c>
      <c r="J458" s="88">
        <v>0</v>
      </c>
      <c r="K458" s="88">
        <v>0</v>
      </c>
      <c r="L458" s="88">
        <v>0</v>
      </c>
      <c r="M458" s="88">
        <v>0</v>
      </c>
      <c r="N458" s="88">
        <v>0</v>
      </c>
      <c r="O458" s="88">
        <v>0</v>
      </c>
    </row>
    <row r="459" spans="1:15" ht="15.75" x14ac:dyDescent="0.2">
      <c r="A459" s="141" t="s">
        <v>312</v>
      </c>
      <c r="B459" s="145" t="s">
        <v>369</v>
      </c>
      <c r="C459" s="89" t="s">
        <v>7</v>
      </c>
      <c r="D459" s="88">
        <f t="shared" si="179"/>
        <v>424805.23</v>
      </c>
      <c r="E459" s="88">
        <f>E460+E461+E462+E463</f>
        <v>0</v>
      </c>
      <c r="F459" s="88">
        <f t="shared" ref="F459:O459" si="187">F460+F461+F462+F463</f>
        <v>0</v>
      </c>
      <c r="G459" s="88">
        <f t="shared" si="187"/>
        <v>0</v>
      </c>
      <c r="H459" s="88">
        <f t="shared" si="187"/>
        <v>0</v>
      </c>
      <c r="I459" s="88">
        <f t="shared" si="187"/>
        <v>0</v>
      </c>
      <c r="J459" s="88">
        <f t="shared" si="187"/>
        <v>208238.7</v>
      </c>
      <c r="K459" s="88">
        <f>K460+K461+K462+K463</f>
        <v>216566.53</v>
      </c>
      <c r="L459" s="88">
        <f t="shared" si="187"/>
        <v>0</v>
      </c>
      <c r="M459" s="88">
        <f t="shared" si="187"/>
        <v>0</v>
      </c>
      <c r="N459" s="88">
        <f t="shared" si="187"/>
        <v>0</v>
      </c>
      <c r="O459" s="88">
        <f t="shared" si="187"/>
        <v>0</v>
      </c>
    </row>
    <row r="460" spans="1:15" ht="15.75" x14ac:dyDescent="0.2">
      <c r="A460" s="141"/>
      <c r="B460" s="146"/>
      <c r="C460" s="79" t="s">
        <v>10</v>
      </c>
      <c r="D460" s="88">
        <f t="shared" si="179"/>
        <v>115023.2</v>
      </c>
      <c r="E460" s="88">
        <f t="shared" ref="E460:O460" si="188">E465+E470</f>
        <v>0</v>
      </c>
      <c r="F460" s="88">
        <f t="shared" si="188"/>
        <v>0</v>
      </c>
      <c r="G460" s="88">
        <f t="shared" si="188"/>
        <v>0</v>
      </c>
      <c r="H460" s="88">
        <f t="shared" si="188"/>
        <v>0</v>
      </c>
      <c r="I460" s="88">
        <f t="shared" si="188"/>
        <v>0</v>
      </c>
      <c r="J460" s="88">
        <f t="shared" si="188"/>
        <v>0</v>
      </c>
      <c r="K460" s="88">
        <f t="shared" si="188"/>
        <v>115023.2</v>
      </c>
      <c r="L460" s="88">
        <f t="shared" si="188"/>
        <v>0</v>
      </c>
      <c r="M460" s="88">
        <f t="shared" si="188"/>
        <v>0</v>
      </c>
      <c r="N460" s="88">
        <f t="shared" si="188"/>
        <v>0</v>
      </c>
      <c r="O460" s="88">
        <f t="shared" si="188"/>
        <v>0</v>
      </c>
    </row>
    <row r="461" spans="1:15" ht="15.75" x14ac:dyDescent="0.2">
      <c r="A461" s="141"/>
      <c r="B461" s="146"/>
      <c r="C461" s="79" t="s">
        <v>11</v>
      </c>
      <c r="D461" s="88">
        <f t="shared" si="179"/>
        <v>287838.81</v>
      </c>
      <c r="E461" s="88">
        <f>E466+E471</f>
        <v>0</v>
      </c>
      <c r="F461" s="88">
        <f t="shared" ref="F461:O461" si="189">F466+F471</f>
        <v>0</v>
      </c>
      <c r="G461" s="88">
        <f t="shared" si="189"/>
        <v>0</v>
      </c>
      <c r="H461" s="88">
        <f t="shared" si="189"/>
        <v>0</v>
      </c>
      <c r="I461" s="88">
        <f t="shared" si="189"/>
        <v>0</v>
      </c>
      <c r="J461" s="88">
        <f t="shared" si="189"/>
        <v>193000</v>
      </c>
      <c r="K461" s="88">
        <f t="shared" si="189"/>
        <v>94838.81</v>
      </c>
      <c r="L461" s="88">
        <f t="shared" si="189"/>
        <v>0</v>
      </c>
      <c r="M461" s="88">
        <f t="shared" si="189"/>
        <v>0</v>
      </c>
      <c r="N461" s="88">
        <f t="shared" si="189"/>
        <v>0</v>
      </c>
      <c r="O461" s="88">
        <f t="shared" si="189"/>
        <v>0</v>
      </c>
    </row>
    <row r="462" spans="1:15" ht="15.75" x14ac:dyDescent="0.2">
      <c r="A462" s="141"/>
      <c r="B462" s="146"/>
      <c r="C462" s="79" t="s">
        <v>12</v>
      </c>
      <c r="D462" s="88">
        <f t="shared" si="179"/>
        <v>21943.22</v>
      </c>
      <c r="E462" s="88">
        <f>E467+E472</f>
        <v>0</v>
      </c>
      <c r="F462" s="88">
        <f t="shared" ref="F462:O462" si="190">F467+F472</f>
        <v>0</v>
      </c>
      <c r="G462" s="88">
        <f t="shared" si="190"/>
        <v>0</v>
      </c>
      <c r="H462" s="88">
        <f t="shared" si="190"/>
        <v>0</v>
      </c>
      <c r="I462" s="88">
        <f t="shared" si="190"/>
        <v>0</v>
      </c>
      <c r="J462" s="88">
        <f t="shared" si="190"/>
        <v>15238.7</v>
      </c>
      <c r="K462" s="88">
        <f>K467+K472+K477</f>
        <v>6704.52</v>
      </c>
      <c r="L462" s="88">
        <f t="shared" si="190"/>
        <v>0</v>
      </c>
      <c r="M462" s="88">
        <f t="shared" si="190"/>
        <v>0</v>
      </c>
      <c r="N462" s="88">
        <f t="shared" si="190"/>
        <v>0</v>
      </c>
      <c r="O462" s="88">
        <f t="shared" si="190"/>
        <v>0</v>
      </c>
    </row>
    <row r="463" spans="1:15" ht="15.75" x14ac:dyDescent="0.2">
      <c r="A463" s="141"/>
      <c r="B463" s="146"/>
      <c r="C463" s="79" t="s">
        <v>13</v>
      </c>
      <c r="D463" s="88">
        <f t="shared" si="179"/>
        <v>0</v>
      </c>
      <c r="E463" s="88">
        <f>E468+E473</f>
        <v>0</v>
      </c>
      <c r="F463" s="88">
        <f t="shared" ref="F463:O463" si="191">F468+F473</f>
        <v>0</v>
      </c>
      <c r="G463" s="88">
        <f t="shared" si="191"/>
        <v>0</v>
      </c>
      <c r="H463" s="88">
        <f t="shared" si="191"/>
        <v>0</v>
      </c>
      <c r="I463" s="88">
        <f t="shared" si="191"/>
        <v>0</v>
      </c>
      <c r="J463" s="88">
        <f t="shared" si="191"/>
        <v>0</v>
      </c>
      <c r="K463" s="88">
        <f t="shared" si="191"/>
        <v>0</v>
      </c>
      <c r="L463" s="88">
        <f t="shared" si="191"/>
        <v>0</v>
      </c>
      <c r="M463" s="88">
        <f t="shared" si="191"/>
        <v>0</v>
      </c>
      <c r="N463" s="88">
        <f t="shared" si="191"/>
        <v>0</v>
      </c>
      <c r="O463" s="88">
        <f t="shared" si="191"/>
        <v>0</v>
      </c>
    </row>
    <row r="464" spans="1:15" ht="29.25" customHeight="1" x14ac:dyDescent="0.2">
      <c r="A464" s="141" t="s">
        <v>332</v>
      </c>
      <c r="B464" s="145" t="s">
        <v>401</v>
      </c>
      <c r="C464" s="89" t="s">
        <v>7</v>
      </c>
      <c r="D464" s="59">
        <f t="shared" si="179"/>
        <v>420220.53</v>
      </c>
      <c r="E464" s="59">
        <f>E465+E466+E467+E468</f>
        <v>0</v>
      </c>
      <c r="F464" s="59">
        <f t="shared" ref="F464:O464" si="192">F465+F466+F467+F468</f>
        <v>0</v>
      </c>
      <c r="G464" s="59">
        <f t="shared" si="192"/>
        <v>0</v>
      </c>
      <c r="H464" s="59">
        <f t="shared" si="192"/>
        <v>0</v>
      </c>
      <c r="I464" s="59">
        <f t="shared" si="192"/>
        <v>0</v>
      </c>
      <c r="J464" s="59">
        <f t="shared" si="192"/>
        <v>208238.7</v>
      </c>
      <c r="K464" s="59">
        <f t="shared" si="192"/>
        <v>211981.83000000002</v>
      </c>
      <c r="L464" s="59">
        <f t="shared" si="192"/>
        <v>0</v>
      </c>
      <c r="M464" s="59">
        <f t="shared" si="192"/>
        <v>0</v>
      </c>
      <c r="N464" s="59">
        <f t="shared" si="192"/>
        <v>0</v>
      </c>
      <c r="O464" s="59">
        <f t="shared" si="192"/>
        <v>0</v>
      </c>
    </row>
    <row r="465" spans="1:15" ht="24" customHeight="1" x14ac:dyDescent="0.2">
      <c r="A465" s="141"/>
      <c r="B465" s="146"/>
      <c r="C465" s="79" t="s">
        <v>10</v>
      </c>
      <c r="D465" s="59">
        <f t="shared" si="179"/>
        <v>115023.2</v>
      </c>
      <c r="E465" s="59">
        <v>0</v>
      </c>
      <c r="F465" s="59">
        <v>0</v>
      </c>
      <c r="G465" s="59">
        <v>0</v>
      </c>
      <c r="H465" s="59">
        <v>0</v>
      </c>
      <c r="I465" s="59">
        <v>0</v>
      </c>
      <c r="J465" s="59">
        <v>0</v>
      </c>
      <c r="K465" s="59">
        <v>115023.2</v>
      </c>
      <c r="L465" s="59">
        <v>0</v>
      </c>
      <c r="M465" s="59">
        <v>0</v>
      </c>
      <c r="N465" s="59">
        <v>0</v>
      </c>
      <c r="O465" s="59">
        <v>0</v>
      </c>
    </row>
    <row r="466" spans="1:15" ht="24" customHeight="1" x14ac:dyDescent="0.2">
      <c r="A466" s="141"/>
      <c r="B466" s="146"/>
      <c r="C466" s="79" t="s">
        <v>11</v>
      </c>
      <c r="D466" s="59">
        <f t="shared" si="179"/>
        <v>287838.81</v>
      </c>
      <c r="E466" s="59">
        <v>0</v>
      </c>
      <c r="F466" s="59">
        <v>0</v>
      </c>
      <c r="G466" s="59">
        <v>0</v>
      </c>
      <c r="H466" s="59">
        <v>0</v>
      </c>
      <c r="I466" s="59">
        <v>0</v>
      </c>
      <c r="J466" s="59">
        <v>193000</v>
      </c>
      <c r="K466" s="59">
        <v>94838.81</v>
      </c>
      <c r="L466" s="59">
        <v>0</v>
      </c>
      <c r="M466" s="59">
        <v>0</v>
      </c>
      <c r="N466" s="59">
        <v>0</v>
      </c>
      <c r="O466" s="59">
        <v>0</v>
      </c>
    </row>
    <row r="467" spans="1:15" ht="20.25" customHeight="1" x14ac:dyDescent="0.2">
      <c r="A467" s="141"/>
      <c r="B467" s="146"/>
      <c r="C467" s="79" t="s">
        <v>12</v>
      </c>
      <c r="D467" s="59">
        <f t="shared" si="179"/>
        <v>17358.52</v>
      </c>
      <c r="E467" s="59">
        <v>0</v>
      </c>
      <c r="F467" s="59">
        <v>0</v>
      </c>
      <c r="G467" s="59">
        <v>0</v>
      </c>
      <c r="H467" s="59">
        <v>0</v>
      </c>
      <c r="I467" s="59">
        <v>0</v>
      </c>
      <c r="J467" s="59">
        <f>12319.1+2918+1.6</f>
        <v>15238.7</v>
      </c>
      <c r="K467" s="59">
        <v>2119.8200000000002</v>
      </c>
      <c r="L467" s="59">
        <v>0</v>
      </c>
      <c r="M467" s="59">
        <v>0</v>
      </c>
      <c r="N467" s="59">
        <v>0</v>
      </c>
      <c r="O467" s="59">
        <v>0</v>
      </c>
    </row>
    <row r="468" spans="1:15" ht="30.75" customHeight="1" x14ac:dyDescent="0.2">
      <c r="A468" s="141"/>
      <c r="B468" s="146"/>
      <c r="C468" s="79" t="s">
        <v>13</v>
      </c>
      <c r="D468" s="59">
        <f t="shared" si="179"/>
        <v>0</v>
      </c>
      <c r="E468" s="59">
        <v>0</v>
      </c>
      <c r="F468" s="59">
        <v>0</v>
      </c>
      <c r="G468" s="59">
        <v>0</v>
      </c>
      <c r="H468" s="59">
        <v>0</v>
      </c>
      <c r="I468" s="59">
        <v>0</v>
      </c>
      <c r="J468" s="59">
        <v>0</v>
      </c>
      <c r="K468" s="59">
        <v>0</v>
      </c>
      <c r="L468" s="59">
        <v>0</v>
      </c>
      <c r="M468" s="59">
        <v>0</v>
      </c>
      <c r="N468" s="59">
        <v>0</v>
      </c>
      <c r="O468" s="59">
        <v>0</v>
      </c>
    </row>
    <row r="469" spans="1:15" ht="25.5" customHeight="1" x14ac:dyDescent="0.2">
      <c r="A469" s="138" t="s">
        <v>378</v>
      </c>
      <c r="B469" s="145" t="s">
        <v>424</v>
      </c>
      <c r="C469" s="89" t="s">
        <v>7</v>
      </c>
      <c r="D469" s="59">
        <f>E469+F469+G469+H469+I469+J469+K469+L469+M469+N469+O469</f>
        <v>4584.7</v>
      </c>
      <c r="E469" s="59">
        <f>E470+E471+E472+E473</f>
        <v>0</v>
      </c>
      <c r="F469" s="59">
        <f t="shared" ref="F469:O469" si="193">F470+F471+F472+F473</f>
        <v>0</v>
      </c>
      <c r="G469" s="59">
        <f t="shared" si="193"/>
        <v>0</v>
      </c>
      <c r="H469" s="59">
        <f t="shared" si="193"/>
        <v>0</v>
      </c>
      <c r="I469" s="59">
        <f t="shared" si="193"/>
        <v>0</v>
      </c>
      <c r="J469" s="59">
        <f t="shared" si="193"/>
        <v>0</v>
      </c>
      <c r="K469" s="59">
        <f t="shared" si="193"/>
        <v>4584.7</v>
      </c>
      <c r="L469" s="59">
        <f t="shared" si="193"/>
        <v>0</v>
      </c>
      <c r="M469" s="59">
        <f t="shared" si="193"/>
        <v>0</v>
      </c>
      <c r="N469" s="59">
        <f t="shared" si="193"/>
        <v>0</v>
      </c>
      <c r="O469" s="59">
        <f t="shared" si="193"/>
        <v>0</v>
      </c>
    </row>
    <row r="470" spans="1:15" ht="25.5" customHeight="1" x14ac:dyDescent="0.2">
      <c r="A470" s="139"/>
      <c r="B470" s="146"/>
      <c r="C470" s="79" t="s">
        <v>10</v>
      </c>
      <c r="D470" s="59">
        <f t="shared" ref="D470:D478" si="194">E470+F470+G470+H470+I470+J470+K470+L470+M470+N470+O470</f>
        <v>0</v>
      </c>
      <c r="E470" s="59">
        <v>0</v>
      </c>
      <c r="F470" s="59">
        <v>0</v>
      </c>
      <c r="G470" s="59">
        <v>0</v>
      </c>
      <c r="H470" s="59">
        <v>0</v>
      </c>
      <c r="I470" s="59">
        <v>0</v>
      </c>
      <c r="J470" s="59">
        <v>0</v>
      </c>
      <c r="K470" s="59">
        <v>0</v>
      </c>
      <c r="L470" s="59">
        <v>0</v>
      </c>
      <c r="M470" s="59">
        <v>0</v>
      </c>
      <c r="N470" s="59">
        <v>0</v>
      </c>
      <c r="O470" s="59">
        <v>0</v>
      </c>
    </row>
    <row r="471" spans="1:15" ht="25.5" customHeight="1" x14ac:dyDescent="0.2">
      <c r="A471" s="139"/>
      <c r="B471" s="146"/>
      <c r="C471" s="79" t="s">
        <v>11</v>
      </c>
      <c r="D471" s="59">
        <f t="shared" si="194"/>
        <v>0</v>
      </c>
      <c r="E471" s="59">
        <v>0</v>
      </c>
      <c r="F471" s="59">
        <v>0</v>
      </c>
      <c r="G471" s="59">
        <v>0</v>
      </c>
      <c r="H471" s="59">
        <v>0</v>
      </c>
      <c r="I471" s="59">
        <v>0</v>
      </c>
      <c r="J471" s="59">
        <v>0</v>
      </c>
      <c r="K471" s="59">
        <v>0</v>
      </c>
      <c r="L471" s="59">
        <v>0</v>
      </c>
      <c r="M471" s="59">
        <v>0</v>
      </c>
      <c r="N471" s="59">
        <v>0</v>
      </c>
      <c r="O471" s="59">
        <v>0</v>
      </c>
    </row>
    <row r="472" spans="1:15" ht="25.5" customHeight="1" x14ac:dyDescent="0.2">
      <c r="A472" s="139"/>
      <c r="B472" s="146"/>
      <c r="C472" s="79" t="s">
        <v>12</v>
      </c>
      <c r="D472" s="59">
        <f t="shared" si="194"/>
        <v>4584.7</v>
      </c>
      <c r="E472" s="59">
        <v>0</v>
      </c>
      <c r="F472" s="59">
        <v>0</v>
      </c>
      <c r="G472" s="59">
        <v>0</v>
      </c>
      <c r="H472" s="59">
        <v>0</v>
      </c>
      <c r="I472" s="59">
        <v>0</v>
      </c>
      <c r="J472" s="59">
        <v>0</v>
      </c>
      <c r="K472" s="59">
        <f>4584.7</f>
        <v>4584.7</v>
      </c>
      <c r="L472" s="59">
        <v>0</v>
      </c>
      <c r="M472" s="59">
        <v>0</v>
      </c>
      <c r="N472" s="59">
        <v>0</v>
      </c>
      <c r="O472" s="59">
        <v>0</v>
      </c>
    </row>
    <row r="473" spans="1:15" ht="25.5" customHeight="1" x14ac:dyDescent="0.2">
      <c r="A473" s="140"/>
      <c r="B473" s="146"/>
      <c r="C473" s="79" t="s">
        <v>13</v>
      </c>
      <c r="D473" s="59">
        <f t="shared" si="194"/>
        <v>0</v>
      </c>
      <c r="E473" s="59">
        <v>0</v>
      </c>
      <c r="F473" s="59">
        <v>0</v>
      </c>
      <c r="G473" s="59">
        <v>0</v>
      </c>
      <c r="H473" s="59">
        <v>0</v>
      </c>
      <c r="I473" s="59">
        <v>0</v>
      </c>
      <c r="J473" s="59">
        <v>0</v>
      </c>
      <c r="K473" s="59">
        <v>0</v>
      </c>
      <c r="L473" s="59">
        <v>0</v>
      </c>
      <c r="M473" s="59">
        <v>0</v>
      </c>
      <c r="N473" s="59">
        <v>0</v>
      </c>
      <c r="O473" s="59">
        <v>0</v>
      </c>
    </row>
    <row r="474" spans="1:15" ht="25.5" hidden="1" customHeight="1" x14ac:dyDescent="0.2">
      <c r="A474" s="138"/>
      <c r="B474" s="145" t="s">
        <v>402</v>
      </c>
      <c r="C474" s="89" t="s">
        <v>7</v>
      </c>
      <c r="D474" s="59">
        <f>E474+F474+G474+H474+I474+J474+K474+L474+M474+N474+O474</f>
        <v>0</v>
      </c>
      <c r="E474" s="59">
        <f>E475+E476+E477+E478</f>
        <v>0</v>
      </c>
      <c r="F474" s="59">
        <f t="shared" ref="F474:O474" si="195">F475+F476+F477+F478</f>
        <v>0</v>
      </c>
      <c r="G474" s="59">
        <f t="shared" si="195"/>
        <v>0</v>
      </c>
      <c r="H474" s="59">
        <f t="shared" si="195"/>
        <v>0</v>
      </c>
      <c r="I474" s="59">
        <f t="shared" si="195"/>
        <v>0</v>
      </c>
      <c r="J474" s="59">
        <f t="shared" si="195"/>
        <v>0</v>
      </c>
      <c r="K474" s="59">
        <f t="shared" si="195"/>
        <v>0</v>
      </c>
      <c r="L474" s="59">
        <f t="shared" si="195"/>
        <v>0</v>
      </c>
      <c r="M474" s="59">
        <f t="shared" si="195"/>
        <v>0</v>
      </c>
      <c r="N474" s="59">
        <f t="shared" si="195"/>
        <v>0</v>
      </c>
      <c r="O474" s="59">
        <f t="shared" si="195"/>
        <v>0</v>
      </c>
    </row>
    <row r="475" spans="1:15" ht="25.5" hidden="1" customHeight="1" x14ac:dyDescent="0.2">
      <c r="A475" s="139"/>
      <c r="B475" s="146"/>
      <c r="C475" s="79" t="s">
        <v>10</v>
      </c>
      <c r="D475" s="59">
        <f t="shared" si="194"/>
        <v>0</v>
      </c>
      <c r="E475" s="59">
        <v>0</v>
      </c>
      <c r="F475" s="59">
        <v>0</v>
      </c>
      <c r="G475" s="59">
        <v>0</v>
      </c>
      <c r="H475" s="59">
        <v>0</v>
      </c>
      <c r="I475" s="59">
        <v>0</v>
      </c>
      <c r="J475" s="59">
        <v>0</v>
      </c>
      <c r="K475" s="59">
        <v>0</v>
      </c>
      <c r="L475" s="59">
        <v>0</v>
      </c>
      <c r="M475" s="59">
        <v>0</v>
      </c>
      <c r="N475" s="59">
        <v>0</v>
      </c>
      <c r="O475" s="59">
        <v>0</v>
      </c>
    </row>
    <row r="476" spans="1:15" ht="25.5" hidden="1" customHeight="1" x14ac:dyDescent="0.2">
      <c r="A476" s="139"/>
      <c r="B476" s="146"/>
      <c r="C476" s="79" t="s">
        <v>11</v>
      </c>
      <c r="D476" s="59">
        <f t="shared" si="194"/>
        <v>0</v>
      </c>
      <c r="E476" s="59">
        <v>0</v>
      </c>
      <c r="F476" s="59">
        <v>0</v>
      </c>
      <c r="G476" s="59">
        <v>0</v>
      </c>
      <c r="H476" s="59">
        <v>0</v>
      </c>
      <c r="I476" s="59">
        <v>0</v>
      </c>
      <c r="J476" s="59">
        <v>0</v>
      </c>
      <c r="K476" s="59">
        <v>0</v>
      </c>
      <c r="L476" s="59">
        <v>0</v>
      </c>
      <c r="M476" s="59">
        <v>0</v>
      </c>
      <c r="N476" s="59">
        <v>0</v>
      </c>
      <c r="O476" s="59">
        <v>0</v>
      </c>
    </row>
    <row r="477" spans="1:15" ht="25.5" hidden="1" customHeight="1" x14ac:dyDescent="0.2">
      <c r="A477" s="139"/>
      <c r="B477" s="146"/>
      <c r="C477" s="79" t="s">
        <v>12</v>
      </c>
      <c r="D477" s="59">
        <f t="shared" si="194"/>
        <v>0</v>
      </c>
      <c r="E477" s="59">
        <v>0</v>
      </c>
      <c r="F477" s="59">
        <v>0</v>
      </c>
      <c r="G477" s="59">
        <v>0</v>
      </c>
      <c r="H477" s="59">
        <v>0</v>
      </c>
      <c r="I477" s="59">
        <v>0</v>
      </c>
      <c r="J477" s="59">
        <v>0</v>
      </c>
      <c r="K477" s="59">
        <f>1800-1800</f>
        <v>0</v>
      </c>
      <c r="L477" s="59">
        <v>0</v>
      </c>
      <c r="M477" s="59">
        <v>0</v>
      </c>
      <c r="N477" s="59">
        <v>0</v>
      </c>
      <c r="O477" s="59">
        <v>0</v>
      </c>
    </row>
    <row r="478" spans="1:15" ht="23.25" hidden="1" customHeight="1" x14ac:dyDescent="0.2">
      <c r="A478" s="140"/>
      <c r="B478" s="146"/>
      <c r="C478" s="79" t="s">
        <v>13</v>
      </c>
      <c r="D478" s="59">
        <f t="shared" si="194"/>
        <v>0</v>
      </c>
      <c r="E478" s="59">
        <v>0</v>
      </c>
      <c r="F478" s="59">
        <v>0</v>
      </c>
      <c r="G478" s="59">
        <v>0</v>
      </c>
      <c r="H478" s="59">
        <v>0</v>
      </c>
      <c r="I478" s="59">
        <v>0</v>
      </c>
      <c r="J478" s="59">
        <v>0</v>
      </c>
      <c r="K478" s="59">
        <v>0</v>
      </c>
      <c r="L478" s="59">
        <v>0</v>
      </c>
      <c r="M478" s="59">
        <v>0</v>
      </c>
      <c r="N478" s="59">
        <v>0</v>
      </c>
      <c r="O478" s="59">
        <v>0</v>
      </c>
    </row>
    <row r="479" spans="1:15" ht="15.75" x14ac:dyDescent="0.2">
      <c r="A479" s="141" t="s">
        <v>317</v>
      </c>
      <c r="B479" s="145" t="s">
        <v>370</v>
      </c>
      <c r="C479" s="89" t="s">
        <v>7</v>
      </c>
      <c r="D479" s="88">
        <f t="shared" si="179"/>
        <v>48756.5</v>
      </c>
      <c r="E479" s="88">
        <f>E480+E481+E482+E483</f>
        <v>0</v>
      </c>
      <c r="F479" s="88">
        <f t="shared" ref="F479:O479" si="196">F480+F481+F482+F483</f>
        <v>0</v>
      </c>
      <c r="G479" s="88">
        <f t="shared" si="196"/>
        <v>0</v>
      </c>
      <c r="H479" s="88">
        <f t="shared" si="196"/>
        <v>0</v>
      </c>
      <c r="I479" s="88">
        <f t="shared" si="196"/>
        <v>0</v>
      </c>
      <c r="J479" s="88">
        <f t="shared" si="196"/>
        <v>0</v>
      </c>
      <c r="K479" s="88">
        <f t="shared" si="196"/>
        <v>25529.200000000001</v>
      </c>
      <c r="L479" s="88">
        <f t="shared" si="196"/>
        <v>23227.3</v>
      </c>
      <c r="M479" s="88">
        <f t="shared" si="196"/>
        <v>0</v>
      </c>
      <c r="N479" s="88">
        <f t="shared" si="196"/>
        <v>0</v>
      </c>
      <c r="O479" s="88">
        <f t="shared" si="196"/>
        <v>0</v>
      </c>
    </row>
    <row r="480" spans="1:15" ht="15.75" x14ac:dyDescent="0.2">
      <c r="A480" s="141"/>
      <c r="B480" s="146"/>
      <c r="C480" s="79" t="s">
        <v>10</v>
      </c>
      <c r="D480" s="88">
        <f t="shared" si="179"/>
        <v>0</v>
      </c>
      <c r="E480" s="88">
        <f>E485+E490</f>
        <v>0</v>
      </c>
      <c r="F480" s="88">
        <f t="shared" ref="F480:O480" si="197">F485+F490</f>
        <v>0</v>
      </c>
      <c r="G480" s="88">
        <f t="shared" si="197"/>
        <v>0</v>
      </c>
      <c r="H480" s="88">
        <f t="shared" si="197"/>
        <v>0</v>
      </c>
      <c r="I480" s="88">
        <f t="shared" si="197"/>
        <v>0</v>
      </c>
      <c r="J480" s="88">
        <f t="shared" si="197"/>
        <v>0</v>
      </c>
      <c r="K480" s="88">
        <f t="shared" si="197"/>
        <v>0</v>
      </c>
      <c r="L480" s="88">
        <f t="shared" si="197"/>
        <v>0</v>
      </c>
      <c r="M480" s="88">
        <f t="shared" si="197"/>
        <v>0</v>
      </c>
      <c r="N480" s="88">
        <f t="shared" si="197"/>
        <v>0</v>
      </c>
      <c r="O480" s="88">
        <f t="shared" si="197"/>
        <v>0</v>
      </c>
    </row>
    <row r="481" spans="1:23" ht="15.75" x14ac:dyDescent="0.2">
      <c r="A481" s="141"/>
      <c r="B481" s="146"/>
      <c r="C481" s="79" t="s">
        <v>11</v>
      </c>
      <c r="D481" s="88">
        <f t="shared" si="179"/>
        <v>45805.4</v>
      </c>
      <c r="E481" s="88">
        <f>E486+E491</f>
        <v>0</v>
      </c>
      <c r="F481" s="88">
        <f t="shared" ref="F481:O481" si="198">F486+F491</f>
        <v>0</v>
      </c>
      <c r="G481" s="88">
        <f t="shared" si="198"/>
        <v>0</v>
      </c>
      <c r="H481" s="88">
        <f t="shared" si="198"/>
        <v>0</v>
      </c>
      <c r="I481" s="88">
        <f t="shared" si="198"/>
        <v>0</v>
      </c>
      <c r="J481" s="88">
        <f t="shared" si="198"/>
        <v>0</v>
      </c>
      <c r="K481" s="88">
        <f t="shared" si="198"/>
        <v>23997.4</v>
      </c>
      <c r="L481" s="88">
        <f t="shared" si="198"/>
        <v>21808</v>
      </c>
      <c r="M481" s="88">
        <f t="shared" si="198"/>
        <v>0</v>
      </c>
      <c r="N481" s="88">
        <f t="shared" si="198"/>
        <v>0</v>
      </c>
      <c r="O481" s="88">
        <f t="shared" si="198"/>
        <v>0</v>
      </c>
    </row>
    <row r="482" spans="1:23" ht="15.75" x14ac:dyDescent="0.2">
      <c r="A482" s="141"/>
      <c r="B482" s="146"/>
      <c r="C482" s="79" t="s">
        <v>12</v>
      </c>
      <c r="D482" s="88">
        <f t="shared" si="179"/>
        <v>2951.1</v>
      </c>
      <c r="E482" s="88">
        <f>E487+E492</f>
        <v>0</v>
      </c>
      <c r="F482" s="88">
        <f t="shared" ref="F482:O482" si="199">F487+F492</f>
        <v>0</v>
      </c>
      <c r="G482" s="88">
        <f t="shared" si="199"/>
        <v>0</v>
      </c>
      <c r="H482" s="88">
        <f t="shared" si="199"/>
        <v>0</v>
      </c>
      <c r="I482" s="88">
        <f t="shared" si="199"/>
        <v>0</v>
      </c>
      <c r="J482" s="88">
        <f t="shared" si="199"/>
        <v>0</v>
      </c>
      <c r="K482" s="88">
        <f t="shared" si="199"/>
        <v>1531.8</v>
      </c>
      <c r="L482" s="88">
        <f t="shared" si="199"/>
        <v>1419.3</v>
      </c>
      <c r="M482" s="88">
        <f t="shared" si="199"/>
        <v>0</v>
      </c>
      <c r="N482" s="88">
        <f t="shared" si="199"/>
        <v>0</v>
      </c>
      <c r="O482" s="88">
        <f t="shared" si="199"/>
        <v>0</v>
      </c>
    </row>
    <row r="483" spans="1:23" ht="18.75" customHeight="1" x14ac:dyDescent="0.2">
      <c r="A483" s="141"/>
      <c r="B483" s="146"/>
      <c r="C483" s="79" t="s">
        <v>13</v>
      </c>
      <c r="D483" s="88">
        <f t="shared" si="179"/>
        <v>0</v>
      </c>
      <c r="E483" s="88">
        <f>E488+E493</f>
        <v>0</v>
      </c>
      <c r="F483" s="88">
        <f t="shared" ref="F483:O483" si="200">F488+F493</f>
        <v>0</v>
      </c>
      <c r="G483" s="88">
        <f t="shared" si="200"/>
        <v>0</v>
      </c>
      <c r="H483" s="88">
        <f t="shared" si="200"/>
        <v>0</v>
      </c>
      <c r="I483" s="88">
        <f t="shared" si="200"/>
        <v>0</v>
      </c>
      <c r="J483" s="88">
        <f t="shared" si="200"/>
        <v>0</v>
      </c>
      <c r="K483" s="88">
        <f t="shared" si="200"/>
        <v>0</v>
      </c>
      <c r="L483" s="88">
        <f t="shared" si="200"/>
        <v>0</v>
      </c>
      <c r="M483" s="88">
        <f t="shared" si="200"/>
        <v>0</v>
      </c>
      <c r="N483" s="88">
        <f t="shared" si="200"/>
        <v>0</v>
      </c>
      <c r="O483" s="88">
        <f t="shared" si="200"/>
        <v>0</v>
      </c>
    </row>
    <row r="484" spans="1:23" ht="15.75" x14ac:dyDescent="0.2">
      <c r="A484" s="141" t="s">
        <v>333</v>
      </c>
      <c r="B484" s="145" t="s">
        <v>318</v>
      </c>
      <c r="C484" s="89" t="s">
        <v>7</v>
      </c>
      <c r="D484" s="59">
        <f t="shared" si="179"/>
        <v>27.300000000000004</v>
      </c>
      <c r="E484" s="59">
        <f t="shared" ref="E484:J484" si="201">E485+E486+E487+E488</f>
        <v>0</v>
      </c>
      <c r="F484" s="59">
        <f t="shared" si="201"/>
        <v>0</v>
      </c>
      <c r="G484" s="59">
        <f t="shared" si="201"/>
        <v>0</v>
      </c>
      <c r="H484" s="59">
        <f t="shared" si="201"/>
        <v>0</v>
      </c>
      <c r="I484" s="59">
        <f t="shared" si="201"/>
        <v>0</v>
      </c>
      <c r="J484" s="59">
        <f t="shared" si="201"/>
        <v>0</v>
      </c>
      <c r="K484" s="59">
        <f>K485+K486+K487+K488</f>
        <v>0</v>
      </c>
      <c r="L484" s="59">
        <f>L485+L486+L487+L488</f>
        <v>27.300000000000004</v>
      </c>
      <c r="M484" s="59">
        <f>M485+M486+M487+M488</f>
        <v>0</v>
      </c>
      <c r="N484" s="59">
        <f>N485+N486+N487+N488</f>
        <v>0</v>
      </c>
      <c r="O484" s="59">
        <f>O485+O486+O487+O488</f>
        <v>0</v>
      </c>
      <c r="W484" s="90"/>
    </row>
    <row r="485" spans="1:23" ht="15.75" x14ac:dyDescent="0.2">
      <c r="A485" s="141"/>
      <c r="B485" s="146"/>
      <c r="C485" s="79" t="s">
        <v>10</v>
      </c>
      <c r="D485" s="59">
        <f t="shared" si="179"/>
        <v>0</v>
      </c>
      <c r="E485" s="59">
        <v>0</v>
      </c>
      <c r="F485" s="59">
        <v>0</v>
      </c>
      <c r="G485" s="59">
        <v>0</v>
      </c>
      <c r="H485" s="59">
        <v>0</v>
      </c>
      <c r="I485" s="59">
        <v>0</v>
      </c>
      <c r="J485" s="59">
        <v>0</v>
      </c>
      <c r="K485" s="59">
        <v>0</v>
      </c>
      <c r="L485" s="59">
        <v>0</v>
      </c>
      <c r="M485" s="59">
        <v>0</v>
      </c>
      <c r="N485" s="59">
        <v>0</v>
      </c>
      <c r="O485" s="59">
        <v>0</v>
      </c>
      <c r="W485" s="90"/>
    </row>
    <row r="486" spans="1:23" ht="15.75" x14ac:dyDescent="0.2">
      <c r="A486" s="141"/>
      <c r="B486" s="146"/>
      <c r="C486" s="79" t="s">
        <v>11</v>
      </c>
      <c r="D486" s="59">
        <f t="shared" ref="D486:D519" si="202">E486+F486+G486+H486+I486+J486+K486+L486+M486+N486+O486</f>
        <v>0</v>
      </c>
      <c r="E486" s="59">
        <v>0</v>
      </c>
      <c r="F486" s="59">
        <v>0</v>
      </c>
      <c r="G486" s="59">
        <v>0</v>
      </c>
      <c r="H486" s="59">
        <v>0</v>
      </c>
      <c r="I486" s="59">
        <v>0</v>
      </c>
      <c r="J486" s="59">
        <v>0</v>
      </c>
      <c r="K486" s="59">
        <v>0</v>
      </c>
      <c r="L486" s="59">
        <v>0</v>
      </c>
      <c r="M486" s="59">
        <v>0</v>
      </c>
      <c r="N486" s="59">
        <v>0</v>
      </c>
      <c r="O486" s="59">
        <v>0</v>
      </c>
      <c r="W486" s="90"/>
    </row>
    <row r="487" spans="1:23" ht="15.75" x14ac:dyDescent="0.2">
      <c r="A487" s="141"/>
      <c r="B487" s="146"/>
      <c r="C487" s="79" t="s">
        <v>12</v>
      </c>
      <c r="D487" s="59">
        <f t="shared" si="202"/>
        <v>27.300000000000004</v>
      </c>
      <c r="E487" s="59">
        <v>0</v>
      </c>
      <c r="F487" s="59">
        <v>0</v>
      </c>
      <c r="G487" s="59">
        <v>0</v>
      </c>
      <c r="H487" s="59">
        <v>0</v>
      </c>
      <c r="I487" s="59">
        <v>0</v>
      </c>
      <c r="J487" s="59">
        <v>0</v>
      </c>
      <c r="K487" s="59">
        <v>0</v>
      </c>
      <c r="L487" s="57">
        <f>98.2-11-2.5-57.4</f>
        <v>27.300000000000004</v>
      </c>
      <c r="M487" s="59">
        <f>416.2-416.2</f>
        <v>0</v>
      </c>
      <c r="N487" s="59">
        <v>0</v>
      </c>
      <c r="O487" s="59">
        <v>0</v>
      </c>
      <c r="W487" s="90"/>
    </row>
    <row r="488" spans="1:23" ht="17.25" customHeight="1" x14ac:dyDescent="0.2">
      <c r="A488" s="141"/>
      <c r="B488" s="146"/>
      <c r="C488" s="79" t="s">
        <v>13</v>
      </c>
      <c r="D488" s="59">
        <f t="shared" si="202"/>
        <v>0</v>
      </c>
      <c r="E488" s="59">
        <v>0</v>
      </c>
      <c r="F488" s="59">
        <v>0</v>
      </c>
      <c r="G488" s="59">
        <v>0</v>
      </c>
      <c r="H488" s="59">
        <v>0</v>
      </c>
      <c r="I488" s="59">
        <v>0</v>
      </c>
      <c r="J488" s="59">
        <v>0</v>
      </c>
      <c r="K488" s="59">
        <v>0</v>
      </c>
      <c r="L488" s="59">
        <v>0</v>
      </c>
      <c r="M488" s="59">
        <v>0</v>
      </c>
      <c r="N488" s="59">
        <v>0</v>
      </c>
      <c r="O488" s="59">
        <v>0</v>
      </c>
      <c r="W488" s="90"/>
    </row>
    <row r="489" spans="1:23" ht="17.25" customHeight="1" x14ac:dyDescent="0.2">
      <c r="A489" s="138" t="s">
        <v>376</v>
      </c>
      <c r="B489" s="138" t="s">
        <v>377</v>
      </c>
      <c r="C489" s="89" t="s">
        <v>7</v>
      </c>
      <c r="D489" s="59">
        <f>E489+F489+G489+H489+I489+J489+K489+L489+M489+N489+O489</f>
        <v>48729.2</v>
      </c>
      <c r="E489" s="59">
        <f>E490+E491+E492+E493</f>
        <v>0</v>
      </c>
      <c r="F489" s="59">
        <f t="shared" ref="F489:O489" si="203">F490+F491+F492+F493</f>
        <v>0</v>
      </c>
      <c r="G489" s="59">
        <f t="shared" si="203"/>
        <v>0</v>
      </c>
      <c r="H489" s="59">
        <f t="shared" si="203"/>
        <v>0</v>
      </c>
      <c r="I489" s="59">
        <f t="shared" si="203"/>
        <v>0</v>
      </c>
      <c r="J489" s="59">
        <f t="shared" si="203"/>
        <v>0</v>
      </c>
      <c r="K489" s="59">
        <f>K490+K491+K492+K493</f>
        <v>25529.200000000001</v>
      </c>
      <c r="L489" s="59">
        <f t="shared" si="203"/>
        <v>23200</v>
      </c>
      <c r="M489" s="59">
        <f t="shared" si="203"/>
        <v>0</v>
      </c>
      <c r="N489" s="59">
        <f t="shared" si="203"/>
        <v>0</v>
      </c>
      <c r="O489" s="59">
        <f t="shared" si="203"/>
        <v>0</v>
      </c>
      <c r="W489" s="90"/>
    </row>
    <row r="490" spans="1:23" ht="17.25" customHeight="1" x14ac:dyDescent="0.2">
      <c r="A490" s="139"/>
      <c r="B490" s="139"/>
      <c r="C490" s="79" t="s">
        <v>10</v>
      </c>
      <c r="D490" s="59">
        <f t="shared" ref="D490:D493" si="204">E490+F490+G490+H490+I490+J490+K490+L490+M490+N490+O490</f>
        <v>0</v>
      </c>
      <c r="E490" s="59">
        <v>0</v>
      </c>
      <c r="F490" s="59">
        <v>0</v>
      </c>
      <c r="G490" s="59">
        <v>0</v>
      </c>
      <c r="H490" s="59">
        <v>0</v>
      </c>
      <c r="I490" s="59">
        <v>0</v>
      </c>
      <c r="J490" s="59">
        <v>0</v>
      </c>
      <c r="K490" s="59">
        <v>0</v>
      </c>
      <c r="L490" s="59">
        <v>0</v>
      </c>
      <c r="M490" s="59">
        <v>0</v>
      </c>
      <c r="N490" s="59">
        <v>0</v>
      </c>
      <c r="O490" s="59">
        <v>0</v>
      </c>
      <c r="W490" s="90"/>
    </row>
    <row r="491" spans="1:23" ht="17.25" customHeight="1" x14ac:dyDescent="0.2">
      <c r="A491" s="139"/>
      <c r="B491" s="139"/>
      <c r="C491" s="79" t="s">
        <v>11</v>
      </c>
      <c r="D491" s="59">
        <f t="shared" si="204"/>
        <v>45805.4</v>
      </c>
      <c r="E491" s="59">
        <v>0</v>
      </c>
      <c r="F491" s="59">
        <v>0</v>
      </c>
      <c r="G491" s="59">
        <v>0</v>
      </c>
      <c r="H491" s="59">
        <v>0</v>
      </c>
      <c r="I491" s="59">
        <v>0</v>
      </c>
      <c r="J491" s="59">
        <v>0</v>
      </c>
      <c r="K491" s="59">
        <v>23997.4</v>
      </c>
      <c r="L491" s="59">
        <v>21808</v>
      </c>
      <c r="M491" s="59">
        <v>0</v>
      </c>
      <c r="N491" s="59">
        <v>0</v>
      </c>
      <c r="O491" s="59">
        <v>0</v>
      </c>
      <c r="W491" s="90"/>
    </row>
    <row r="492" spans="1:23" ht="17.25" customHeight="1" x14ac:dyDescent="0.2">
      <c r="A492" s="139"/>
      <c r="B492" s="139"/>
      <c r="C492" s="79" t="s">
        <v>12</v>
      </c>
      <c r="D492" s="59">
        <f t="shared" si="204"/>
        <v>2923.8</v>
      </c>
      <c r="E492" s="59">
        <v>0</v>
      </c>
      <c r="F492" s="59">
        <v>0</v>
      </c>
      <c r="G492" s="59">
        <v>0</v>
      </c>
      <c r="H492" s="59">
        <v>0</v>
      </c>
      <c r="I492" s="59">
        <v>0</v>
      </c>
      <c r="J492" s="59">
        <v>0</v>
      </c>
      <c r="K492" s="59">
        <f>1531.8</f>
        <v>1531.8</v>
      </c>
      <c r="L492" s="59">
        <v>1392</v>
      </c>
      <c r="M492" s="59">
        <v>0</v>
      </c>
      <c r="N492" s="59">
        <v>0</v>
      </c>
      <c r="O492" s="59">
        <v>0</v>
      </c>
      <c r="W492" s="90"/>
    </row>
    <row r="493" spans="1:23" ht="17.25" customHeight="1" x14ac:dyDescent="0.2">
      <c r="A493" s="140"/>
      <c r="B493" s="140"/>
      <c r="C493" s="79" t="s">
        <v>13</v>
      </c>
      <c r="D493" s="59">
        <f t="shared" si="204"/>
        <v>0</v>
      </c>
      <c r="E493" s="59">
        <v>0</v>
      </c>
      <c r="F493" s="59">
        <v>0</v>
      </c>
      <c r="G493" s="59">
        <v>0</v>
      </c>
      <c r="H493" s="59">
        <v>0</v>
      </c>
      <c r="I493" s="59">
        <v>0</v>
      </c>
      <c r="J493" s="59">
        <v>0</v>
      </c>
      <c r="K493" s="59">
        <v>0</v>
      </c>
      <c r="L493" s="59">
        <v>0</v>
      </c>
      <c r="M493" s="59">
        <v>0</v>
      </c>
      <c r="N493" s="59">
        <v>0</v>
      </c>
      <c r="O493" s="59">
        <v>0</v>
      </c>
      <c r="W493" s="90"/>
    </row>
    <row r="494" spans="1:23" ht="15.75" customHeight="1" x14ac:dyDescent="0.2">
      <c r="A494" s="147" t="s">
        <v>33</v>
      </c>
      <c r="B494" s="156" t="s">
        <v>46</v>
      </c>
      <c r="C494" s="77" t="s">
        <v>7</v>
      </c>
      <c r="D494" s="71">
        <f t="shared" si="202"/>
        <v>33326.1</v>
      </c>
      <c r="E494" s="71">
        <f>E495+E496+E497+E498</f>
        <v>20400</v>
      </c>
      <c r="F494" s="71">
        <f t="shared" ref="F494:O494" si="205">F495+F496+F497+F498</f>
        <v>3430</v>
      </c>
      <c r="G494" s="71">
        <f t="shared" si="205"/>
        <v>2049.1999999999998</v>
      </c>
      <c r="H494" s="71">
        <f t="shared" si="205"/>
        <v>3688.6</v>
      </c>
      <c r="I494" s="71">
        <f t="shared" si="205"/>
        <v>2475</v>
      </c>
      <c r="J494" s="71">
        <f>J495+J496+J497+J498</f>
        <v>227.4</v>
      </c>
      <c r="K494" s="71">
        <f t="shared" si="205"/>
        <v>251</v>
      </c>
      <c r="L494" s="71">
        <f t="shared" si="205"/>
        <v>278.5</v>
      </c>
      <c r="M494" s="71">
        <f>M495+M496+M497+M498</f>
        <v>157.6</v>
      </c>
      <c r="N494" s="71">
        <f t="shared" si="205"/>
        <v>185.8</v>
      </c>
      <c r="O494" s="71">
        <f t="shared" si="205"/>
        <v>183</v>
      </c>
      <c r="P494" s="62"/>
      <c r="Q494" s="62"/>
      <c r="W494" s="90"/>
    </row>
    <row r="495" spans="1:23" ht="15.75" customHeight="1" x14ac:dyDescent="0.2">
      <c r="A495" s="147"/>
      <c r="B495" s="145"/>
      <c r="C495" s="77" t="s">
        <v>10</v>
      </c>
      <c r="D495" s="59">
        <f t="shared" si="202"/>
        <v>0</v>
      </c>
      <c r="E495" s="59">
        <f>E500</f>
        <v>0</v>
      </c>
      <c r="F495" s="59">
        <f t="shared" ref="F495:O495" si="206">F500</f>
        <v>0</v>
      </c>
      <c r="G495" s="59">
        <f t="shared" si="206"/>
        <v>0</v>
      </c>
      <c r="H495" s="59">
        <f t="shared" si="206"/>
        <v>0</v>
      </c>
      <c r="I495" s="59">
        <f t="shared" si="206"/>
        <v>0</v>
      </c>
      <c r="J495" s="59">
        <f t="shared" si="206"/>
        <v>0</v>
      </c>
      <c r="K495" s="59">
        <f t="shared" si="206"/>
        <v>0</v>
      </c>
      <c r="L495" s="59">
        <f t="shared" si="206"/>
        <v>0</v>
      </c>
      <c r="M495" s="59">
        <f t="shared" si="206"/>
        <v>0</v>
      </c>
      <c r="N495" s="59">
        <f t="shared" si="206"/>
        <v>0</v>
      </c>
      <c r="O495" s="59">
        <f t="shared" si="206"/>
        <v>0</v>
      </c>
      <c r="W495" s="90"/>
    </row>
    <row r="496" spans="1:23" ht="15.75" customHeight="1" x14ac:dyDescent="0.2">
      <c r="A496" s="147"/>
      <c r="B496" s="145"/>
      <c r="C496" s="77" t="s">
        <v>11</v>
      </c>
      <c r="D496" s="59">
        <f t="shared" si="202"/>
        <v>0</v>
      </c>
      <c r="E496" s="59">
        <f>E501</f>
        <v>0</v>
      </c>
      <c r="F496" s="59">
        <f t="shared" ref="F496:O496" si="207">F510</f>
        <v>0</v>
      </c>
      <c r="G496" s="59">
        <f t="shared" si="207"/>
        <v>0</v>
      </c>
      <c r="H496" s="59">
        <f t="shared" si="207"/>
        <v>0</v>
      </c>
      <c r="I496" s="59">
        <f t="shared" si="207"/>
        <v>0</v>
      </c>
      <c r="J496" s="59">
        <f t="shared" si="207"/>
        <v>0</v>
      </c>
      <c r="K496" s="59">
        <f t="shared" si="207"/>
        <v>0</v>
      </c>
      <c r="L496" s="59">
        <f t="shared" si="207"/>
        <v>0</v>
      </c>
      <c r="M496" s="59">
        <f t="shared" si="207"/>
        <v>0</v>
      </c>
      <c r="N496" s="59">
        <f t="shared" si="207"/>
        <v>0</v>
      </c>
      <c r="O496" s="59">
        <f t="shared" si="207"/>
        <v>0</v>
      </c>
    </row>
    <row r="497" spans="1:15" ht="15.75" customHeight="1" x14ac:dyDescent="0.2">
      <c r="A497" s="147"/>
      <c r="B497" s="145"/>
      <c r="C497" s="77" t="s">
        <v>12</v>
      </c>
      <c r="D497" s="59">
        <f t="shared" si="202"/>
        <v>3061.1000000000004</v>
      </c>
      <c r="E497" s="59">
        <f>E502</f>
        <v>400</v>
      </c>
      <c r="F497" s="59">
        <f>F502</f>
        <v>430</v>
      </c>
      <c r="G497" s="59">
        <f t="shared" ref="G497:O497" si="208">G502</f>
        <v>449.2</v>
      </c>
      <c r="H497" s="59">
        <f t="shared" si="208"/>
        <v>235</v>
      </c>
      <c r="I497" s="59">
        <f t="shared" si="208"/>
        <v>263.60000000000002</v>
      </c>
      <c r="J497" s="59">
        <f t="shared" si="208"/>
        <v>227.4</v>
      </c>
      <c r="K497" s="59">
        <f t="shared" si="208"/>
        <v>251</v>
      </c>
      <c r="L497" s="59">
        <f t="shared" si="208"/>
        <v>278.5</v>
      </c>
      <c r="M497" s="59">
        <f t="shared" si="208"/>
        <v>157.6</v>
      </c>
      <c r="N497" s="59">
        <f t="shared" si="208"/>
        <v>185.8</v>
      </c>
      <c r="O497" s="59">
        <f t="shared" si="208"/>
        <v>183</v>
      </c>
    </row>
    <row r="498" spans="1:15" ht="15.75" x14ac:dyDescent="0.2">
      <c r="A498" s="147"/>
      <c r="B498" s="145"/>
      <c r="C498" s="77" t="s">
        <v>13</v>
      </c>
      <c r="D498" s="59">
        <f t="shared" si="202"/>
        <v>30265</v>
      </c>
      <c r="E498" s="59">
        <f>E503</f>
        <v>20000</v>
      </c>
      <c r="F498" s="59">
        <f t="shared" ref="F498:O498" si="209">F503</f>
        <v>3000</v>
      </c>
      <c r="G498" s="59">
        <f t="shared" si="209"/>
        <v>1600</v>
      </c>
      <c r="H498" s="59">
        <f t="shared" si="209"/>
        <v>3453.6</v>
      </c>
      <c r="I498" s="59">
        <f t="shared" si="209"/>
        <v>2211.4</v>
      </c>
      <c r="J498" s="59">
        <f t="shared" si="209"/>
        <v>0</v>
      </c>
      <c r="K498" s="59">
        <f t="shared" si="209"/>
        <v>0</v>
      </c>
      <c r="L498" s="59">
        <f t="shared" si="209"/>
        <v>0</v>
      </c>
      <c r="M498" s="59">
        <f t="shared" si="209"/>
        <v>0</v>
      </c>
      <c r="N498" s="59">
        <f t="shared" si="209"/>
        <v>0</v>
      </c>
      <c r="O498" s="59">
        <f t="shared" si="209"/>
        <v>0</v>
      </c>
    </row>
    <row r="499" spans="1:15" ht="19.5" customHeight="1" x14ac:dyDescent="0.2">
      <c r="A499" s="141" t="s">
        <v>132</v>
      </c>
      <c r="B499" s="145" t="s">
        <v>119</v>
      </c>
      <c r="C499" s="77" t="s">
        <v>7</v>
      </c>
      <c r="D499" s="59">
        <f t="shared" si="202"/>
        <v>33326.1</v>
      </c>
      <c r="E499" s="59">
        <f t="shared" ref="E499:O499" si="210">E500+E501+E502+E503</f>
        <v>20400</v>
      </c>
      <c r="F499" s="59">
        <f t="shared" si="210"/>
        <v>3430</v>
      </c>
      <c r="G499" s="59">
        <f t="shared" si="210"/>
        <v>2049.1999999999998</v>
      </c>
      <c r="H499" s="59">
        <f t="shared" si="210"/>
        <v>3688.6</v>
      </c>
      <c r="I499" s="59">
        <f t="shared" si="210"/>
        <v>2475</v>
      </c>
      <c r="J499" s="59">
        <f t="shared" si="210"/>
        <v>227.4</v>
      </c>
      <c r="K499" s="59">
        <f t="shared" si="210"/>
        <v>251</v>
      </c>
      <c r="L499" s="59">
        <f t="shared" si="210"/>
        <v>278.5</v>
      </c>
      <c r="M499" s="59">
        <f t="shared" si="210"/>
        <v>157.6</v>
      </c>
      <c r="N499" s="59">
        <f t="shared" si="210"/>
        <v>185.8</v>
      </c>
      <c r="O499" s="59">
        <f t="shared" si="210"/>
        <v>183</v>
      </c>
    </row>
    <row r="500" spans="1:15" ht="23.25" customHeight="1" x14ac:dyDescent="0.2">
      <c r="A500" s="141"/>
      <c r="B500" s="145"/>
      <c r="C500" s="77" t="s">
        <v>10</v>
      </c>
      <c r="D500" s="59">
        <f t="shared" si="202"/>
        <v>0</v>
      </c>
      <c r="E500" s="59">
        <f t="shared" ref="E500:O500" si="211">E505+E510+E515</f>
        <v>0</v>
      </c>
      <c r="F500" s="59">
        <f t="shared" si="211"/>
        <v>0</v>
      </c>
      <c r="G500" s="59">
        <f t="shared" si="211"/>
        <v>0</v>
      </c>
      <c r="H500" s="59">
        <f t="shared" si="211"/>
        <v>0</v>
      </c>
      <c r="I500" s="59">
        <f t="shared" si="211"/>
        <v>0</v>
      </c>
      <c r="J500" s="59">
        <f t="shared" si="211"/>
        <v>0</v>
      </c>
      <c r="K500" s="59">
        <f t="shared" si="211"/>
        <v>0</v>
      </c>
      <c r="L500" s="59">
        <f t="shared" si="211"/>
        <v>0</v>
      </c>
      <c r="M500" s="59">
        <f t="shared" si="211"/>
        <v>0</v>
      </c>
      <c r="N500" s="59">
        <f t="shared" si="211"/>
        <v>0</v>
      </c>
      <c r="O500" s="59">
        <f t="shared" si="211"/>
        <v>0</v>
      </c>
    </row>
    <row r="501" spans="1:15" ht="23.25" customHeight="1" x14ac:dyDescent="0.2">
      <c r="A501" s="141"/>
      <c r="B501" s="145"/>
      <c r="C501" s="77" t="s">
        <v>11</v>
      </c>
      <c r="D501" s="59">
        <f t="shared" si="202"/>
        <v>0</v>
      </c>
      <c r="E501" s="59">
        <f t="shared" ref="E501:O501" si="212">E506+E511+E516</f>
        <v>0</v>
      </c>
      <c r="F501" s="59">
        <f t="shared" si="212"/>
        <v>0</v>
      </c>
      <c r="G501" s="59">
        <f t="shared" si="212"/>
        <v>0</v>
      </c>
      <c r="H501" s="59">
        <f t="shared" si="212"/>
        <v>0</v>
      </c>
      <c r="I501" s="59">
        <f t="shared" si="212"/>
        <v>0</v>
      </c>
      <c r="J501" s="59">
        <f t="shared" si="212"/>
        <v>0</v>
      </c>
      <c r="K501" s="59">
        <f t="shared" si="212"/>
        <v>0</v>
      </c>
      <c r="L501" s="59">
        <f t="shared" si="212"/>
        <v>0</v>
      </c>
      <c r="M501" s="59">
        <f t="shared" si="212"/>
        <v>0</v>
      </c>
      <c r="N501" s="59">
        <f t="shared" si="212"/>
        <v>0</v>
      </c>
      <c r="O501" s="59">
        <f t="shared" si="212"/>
        <v>0</v>
      </c>
    </row>
    <row r="502" spans="1:15" ht="23.25" customHeight="1" x14ac:dyDescent="0.2">
      <c r="A502" s="141"/>
      <c r="B502" s="145"/>
      <c r="C502" s="77" t="s">
        <v>12</v>
      </c>
      <c r="D502" s="59">
        <f t="shared" si="202"/>
        <v>3061.1000000000004</v>
      </c>
      <c r="E502" s="59">
        <f t="shared" ref="E502:O502" si="213">E507+E512+E517</f>
        <v>400</v>
      </c>
      <c r="F502" s="59">
        <f t="shared" si="213"/>
        <v>430</v>
      </c>
      <c r="G502" s="59">
        <f t="shared" si="213"/>
        <v>449.2</v>
      </c>
      <c r="H502" s="59">
        <f t="shared" si="213"/>
        <v>235</v>
      </c>
      <c r="I502" s="59">
        <f>I507+I512+I517</f>
        <v>263.60000000000002</v>
      </c>
      <c r="J502" s="59">
        <f t="shared" si="213"/>
        <v>227.4</v>
      </c>
      <c r="K502" s="59">
        <f t="shared" si="213"/>
        <v>251</v>
      </c>
      <c r="L502" s="59">
        <f t="shared" si="213"/>
        <v>278.5</v>
      </c>
      <c r="M502" s="59">
        <f t="shared" si="213"/>
        <v>157.6</v>
      </c>
      <c r="N502" s="59">
        <f t="shared" si="213"/>
        <v>185.8</v>
      </c>
      <c r="O502" s="59">
        <f t="shared" si="213"/>
        <v>183</v>
      </c>
    </row>
    <row r="503" spans="1:15" ht="23.25" customHeight="1" x14ac:dyDescent="0.2">
      <c r="A503" s="141"/>
      <c r="B503" s="145"/>
      <c r="C503" s="77" t="s">
        <v>13</v>
      </c>
      <c r="D503" s="59">
        <f t="shared" si="202"/>
        <v>30265</v>
      </c>
      <c r="E503" s="59">
        <f t="shared" ref="E503:O503" si="214">E508+E513+E518</f>
        <v>20000</v>
      </c>
      <c r="F503" s="59">
        <f t="shared" si="214"/>
        <v>3000</v>
      </c>
      <c r="G503" s="59">
        <f t="shared" si="214"/>
        <v>1600</v>
      </c>
      <c r="H503" s="59">
        <f t="shared" si="214"/>
        <v>3453.6</v>
      </c>
      <c r="I503" s="59">
        <f t="shared" si="214"/>
        <v>2211.4</v>
      </c>
      <c r="J503" s="59">
        <f t="shared" si="214"/>
        <v>0</v>
      </c>
      <c r="K503" s="59">
        <f t="shared" si="214"/>
        <v>0</v>
      </c>
      <c r="L503" s="59">
        <f t="shared" si="214"/>
        <v>0</v>
      </c>
      <c r="M503" s="59">
        <f t="shared" si="214"/>
        <v>0</v>
      </c>
      <c r="N503" s="59">
        <f t="shared" si="214"/>
        <v>0</v>
      </c>
      <c r="O503" s="59">
        <f t="shared" si="214"/>
        <v>0</v>
      </c>
    </row>
    <row r="504" spans="1:15" ht="15.75" x14ac:dyDescent="0.2">
      <c r="A504" s="141" t="s">
        <v>120</v>
      </c>
      <c r="B504" s="145" t="s">
        <v>85</v>
      </c>
      <c r="C504" s="79" t="s">
        <v>7</v>
      </c>
      <c r="D504" s="59">
        <f t="shared" si="202"/>
        <v>3933.4</v>
      </c>
      <c r="E504" s="59">
        <f t="shared" ref="E504:J504" si="215">E505+E506+E507+E508</f>
        <v>0</v>
      </c>
      <c r="F504" s="59">
        <f t="shared" si="215"/>
        <v>0</v>
      </c>
      <c r="G504" s="59">
        <f t="shared" si="215"/>
        <v>0</v>
      </c>
      <c r="H504" s="59">
        <f t="shared" si="215"/>
        <v>2662</v>
      </c>
      <c r="I504" s="59">
        <f t="shared" si="215"/>
        <v>1271.4000000000001</v>
      </c>
      <c r="J504" s="59">
        <f t="shared" si="215"/>
        <v>0</v>
      </c>
      <c r="K504" s="59">
        <f>K505+K506+K507+K508</f>
        <v>0</v>
      </c>
      <c r="L504" s="59">
        <f>L505+L506+L507+L508</f>
        <v>0</v>
      </c>
      <c r="M504" s="59">
        <f>M505+M506+M507+M508</f>
        <v>0</v>
      </c>
      <c r="N504" s="59">
        <f>N505+N506+N507+N508</f>
        <v>0</v>
      </c>
      <c r="O504" s="59">
        <f>O505+O506+O507+O508</f>
        <v>0</v>
      </c>
    </row>
    <row r="505" spans="1:15" ht="15.75" customHeight="1" x14ac:dyDescent="0.2">
      <c r="A505" s="141"/>
      <c r="B505" s="145"/>
      <c r="C505" s="79" t="s">
        <v>10</v>
      </c>
      <c r="D505" s="59">
        <f t="shared" si="202"/>
        <v>0</v>
      </c>
      <c r="E505" s="59">
        <v>0</v>
      </c>
      <c r="F505" s="59">
        <v>0</v>
      </c>
      <c r="G505" s="59">
        <v>0</v>
      </c>
      <c r="H505" s="59">
        <v>0</v>
      </c>
      <c r="I505" s="59">
        <v>0</v>
      </c>
      <c r="J505" s="59">
        <v>0</v>
      </c>
      <c r="K505" s="59">
        <v>0</v>
      </c>
      <c r="L505" s="59">
        <v>0</v>
      </c>
      <c r="M505" s="59">
        <v>0</v>
      </c>
      <c r="N505" s="59">
        <v>0</v>
      </c>
      <c r="O505" s="59">
        <v>0</v>
      </c>
    </row>
    <row r="506" spans="1:15" ht="15.75" customHeight="1" x14ac:dyDescent="0.2">
      <c r="A506" s="141"/>
      <c r="B506" s="145"/>
      <c r="C506" s="79" t="s">
        <v>11</v>
      </c>
      <c r="D506" s="59">
        <f t="shared" si="202"/>
        <v>0</v>
      </c>
      <c r="E506" s="59">
        <v>0</v>
      </c>
      <c r="F506" s="59">
        <v>0</v>
      </c>
      <c r="G506" s="59">
        <v>0</v>
      </c>
      <c r="H506" s="59">
        <v>0</v>
      </c>
      <c r="I506" s="59">
        <v>0</v>
      </c>
      <c r="J506" s="59">
        <v>0</v>
      </c>
      <c r="K506" s="59">
        <v>0</v>
      </c>
      <c r="L506" s="59">
        <v>0</v>
      </c>
      <c r="M506" s="59">
        <v>0</v>
      </c>
      <c r="N506" s="59">
        <v>0</v>
      </c>
      <c r="O506" s="59">
        <v>0</v>
      </c>
    </row>
    <row r="507" spans="1:15" ht="15.75" customHeight="1" x14ac:dyDescent="0.2">
      <c r="A507" s="141"/>
      <c r="B507" s="145"/>
      <c r="C507" s="79" t="s">
        <v>12</v>
      </c>
      <c r="D507" s="59">
        <f t="shared" si="202"/>
        <v>0</v>
      </c>
      <c r="E507" s="59">
        <v>0</v>
      </c>
      <c r="F507" s="59">
        <v>0</v>
      </c>
      <c r="G507" s="59">
        <v>0</v>
      </c>
      <c r="H507" s="59">
        <v>0</v>
      </c>
      <c r="I507" s="59">
        <v>0</v>
      </c>
      <c r="J507" s="59">
        <v>0</v>
      </c>
      <c r="K507" s="59">
        <v>0</v>
      </c>
      <c r="L507" s="59">
        <v>0</v>
      </c>
      <c r="M507" s="59">
        <v>0</v>
      </c>
      <c r="N507" s="59">
        <v>0</v>
      </c>
      <c r="O507" s="59">
        <v>0</v>
      </c>
    </row>
    <row r="508" spans="1:15" ht="15.75" x14ac:dyDescent="0.2">
      <c r="A508" s="141"/>
      <c r="B508" s="145"/>
      <c r="C508" s="79" t="s">
        <v>13</v>
      </c>
      <c r="D508" s="59">
        <f t="shared" si="202"/>
        <v>3933.4</v>
      </c>
      <c r="E508" s="59">
        <v>0</v>
      </c>
      <c r="F508" s="59">
        <v>0</v>
      </c>
      <c r="G508" s="59">
        <v>0</v>
      </c>
      <c r="H508" s="59">
        <v>2662</v>
      </c>
      <c r="I508" s="59">
        <f>837+48.7+385.7</f>
        <v>1271.4000000000001</v>
      </c>
      <c r="J508" s="59">
        <v>0</v>
      </c>
      <c r="K508" s="59">
        <v>0</v>
      </c>
      <c r="L508" s="59">
        <v>0</v>
      </c>
      <c r="M508" s="59">
        <v>0</v>
      </c>
      <c r="N508" s="59">
        <v>0</v>
      </c>
      <c r="O508" s="59">
        <v>0</v>
      </c>
    </row>
    <row r="509" spans="1:15" ht="15.75" x14ac:dyDescent="0.2">
      <c r="A509" s="141" t="s">
        <v>121</v>
      </c>
      <c r="B509" s="145" t="s">
        <v>32</v>
      </c>
      <c r="C509" s="79" t="s">
        <v>7</v>
      </c>
      <c r="D509" s="59">
        <f t="shared" si="202"/>
        <v>3061.1000000000004</v>
      </c>
      <c r="E509" s="59">
        <f t="shared" ref="E509:J509" si="216">E510+E511+E512+E513</f>
        <v>400</v>
      </c>
      <c r="F509" s="59">
        <f t="shared" si="216"/>
        <v>430</v>
      </c>
      <c r="G509" s="59">
        <f t="shared" si="216"/>
        <v>449.2</v>
      </c>
      <c r="H509" s="59">
        <f t="shared" si="216"/>
        <v>235</v>
      </c>
      <c r="I509" s="59">
        <f t="shared" si="216"/>
        <v>263.60000000000002</v>
      </c>
      <c r="J509" s="59">
        <f t="shared" si="216"/>
        <v>227.4</v>
      </c>
      <c r="K509" s="59">
        <f>K510+K511+K512+K513</f>
        <v>251</v>
      </c>
      <c r="L509" s="59">
        <f>L510+L511+L512+L513</f>
        <v>278.5</v>
      </c>
      <c r="M509" s="59">
        <f>M510+M511+M512+M513</f>
        <v>157.6</v>
      </c>
      <c r="N509" s="59">
        <f>N510+N511+N512+N513</f>
        <v>185.8</v>
      </c>
      <c r="O509" s="59">
        <f>O510+O511+O512+O513</f>
        <v>183</v>
      </c>
    </row>
    <row r="510" spans="1:15" ht="15.75" x14ac:dyDescent="0.2">
      <c r="A510" s="141"/>
      <c r="B510" s="145"/>
      <c r="C510" s="77" t="s">
        <v>10</v>
      </c>
      <c r="D510" s="59">
        <f t="shared" si="202"/>
        <v>0</v>
      </c>
      <c r="E510" s="59">
        <v>0</v>
      </c>
      <c r="F510" s="59">
        <v>0</v>
      </c>
      <c r="G510" s="59">
        <v>0</v>
      </c>
      <c r="H510" s="59">
        <v>0</v>
      </c>
      <c r="I510" s="59">
        <v>0</v>
      </c>
      <c r="J510" s="59">
        <v>0</v>
      </c>
      <c r="K510" s="59">
        <v>0</v>
      </c>
      <c r="L510" s="59">
        <v>0</v>
      </c>
      <c r="M510" s="59">
        <v>0</v>
      </c>
      <c r="N510" s="59">
        <v>0</v>
      </c>
      <c r="O510" s="59">
        <v>0</v>
      </c>
    </row>
    <row r="511" spans="1:15" ht="15.75" x14ac:dyDescent="0.2">
      <c r="A511" s="141"/>
      <c r="B511" s="145"/>
      <c r="C511" s="77" t="s">
        <v>11</v>
      </c>
      <c r="D511" s="59">
        <f t="shared" si="202"/>
        <v>0</v>
      </c>
      <c r="E511" s="59">
        <v>0</v>
      </c>
      <c r="F511" s="59">
        <v>0</v>
      </c>
      <c r="G511" s="59">
        <v>0</v>
      </c>
      <c r="H511" s="59">
        <v>0</v>
      </c>
      <c r="I511" s="59">
        <v>0</v>
      </c>
      <c r="J511" s="59">
        <v>0</v>
      </c>
      <c r="K511" s="59">
        <v>0</v>
      </c>
      <c r="L511" s="59">
        <v>0</v>
      </c>
      <c r="M511" s="59">
        <v>0</v>
      </c>
      <c r="N511" s="59">
        <v>0</v>
      </c>
      <c r="O511" s="59">
        <v>0</v>
      </c>
    </row>
    <row r="512" spans="1:15" ht="15.75" x14ac:dyDescent="0.2">
      <c r="A512" s="141"/>
      <c r="B512" s="145"/>
      <c r="C512" s="77" t="s">
        <v>12</v>
      </c>
      <c r="D512" s="59">
        <f t="shared" si="202"/>
        <v>3061.1000000000004</v>
      </c>
      <c r="E512" s="59">
        <v>400</v>
      </c>
      <c r="F512" s="59">
        <v>430</v>
      </c>
      <c r="G512" s="59">
        <v>449.2</v>
      </c>
      <c r="H512" s="59">
        <v>235</v>
      </c>
      <c r="I512" s="59">
        <f>251.9+11.7</f>
        <v>263.60000000000002</v>
      </c>
      <c r="J512" s="88">
        <f>278.5-51.1</f>
        <v>227.4</v>
      </c>
      <c r="K512" s="88">
        <f>278.5-27.5</f>
        <v>251</v>
      </c>
      <c r="L512" s="88">
        <f>157.5+121</f>
        <v>278.5</v>
      </c>
      <c r="M512" s="88">
        <f>167-9.4</f>
        <v>157.6</v>
      </c>
      <c r="N512" s="59">
        <f>167.8+18</f>
        <v>185.8</v>
      </c>
      <c r="O512" s="59">
        <f>170.3+12.7</f>
        <v>183</v>
      </c>
    </row>
    <row r="513" spans="1:17" ht="15.75" x14ac:dyDescent="0.2">
      <c r="A513" s="141"/>
      <c r="B513" s="145"/>
      <c r="C513" s="77" t="s">
        <v>13</v>
      </c>
      <c r="D513" s="59">
        <f t="shared" si="202"/>
        <v>0</v>
      </c>
      <c r="E513" s="59">
        <v>0</v>
      </c>
      <c r="F513" s="59">
        <v>0</v>
      </c>
      <c r="G513" s="59">
        <v>0</v>
      </c>
      <c r="H513" s="59">
        <v>0</v>
      </c>
      <c r="I513" s="59">
        <v>0</v>
      </c>
      <c r="J513" s="59">
        <v>0</v>
      </c>
      <c r="K513" s="59">
        <v>0</v>
      </c>
      <c r="L513" s="59">
        <v>0</v>
      </c>
      <c r="M513" s="59">
        <v>0</v>
      </c>
      <c r="N513" s="59">
        <v>0</v>
      </c>
      <c r="O513" s="59">
        <v>0</v>
      </c>
    </row>
    <row r="514" spans="1:17" ht="15.75" x14ac:dyDescent="0.25">
      <c r="A514" s="141" t="s">
        <v>246</v>
      </c>
      <c r="B514" s="145" t="s">
        <v>57</v>
      </c>
      <c r="C514" s="91" t="s">
        <v>7</v>
      </c>
      <c r="D514" s="59">
        <f t="shared" si="202"/>
        <v>26331.599999999999</v>
      </c>
      <c r="E514" s="59">
        <f>E518+E517+E516</f>
        <v>20000</v>
      </c>
      <c r="F514" s="59">
        <f t="shared" ref="F514:O514" si="217">F515+F516+F517+F518</f>
        <v>3000</v>
      </c>
      <c r="G514" s="59">
        <f t="shared" si="217"/>
        <v>1600</v>
      </c>
      <c r="H514" s="59">
        <f t="shared" si="217"/>
        <v>791.6</v>
      </c>
      <c r="I514" s="59">
        <f t="shared" si="217"/>
        <v>940</v>
      </c>
      <c r="J514" s="59">
        <f t="shared" si="217"/>
        <v>0</v>
      </c>
      <c r="K514" s="59">
        <f t="shared" si="217"/>
        <v>0</v>
      </c>
      <c r="L514" s="59">
        <f t="shared" si="217"/>
        <v>0</v>
      </c>
      <c r="M514" s="59">
        <f t="shared" si="217"/>
        <v>0</v>
      </c>
      <c r="N514" s="59">
        <f t="shared" si="217"/>
        <v>0</v>
      </c>
      <c r="O514" s="59">
        <f t="shared" si="217"/>
        <v>0</v>
      </c>
    </row>
    <row r="515" spans="1:17" ht="15.75" x14ac:dyDescent="0.2">
      <c r="A515" s="141"/>
      <c r="B515" s="145"/>
      <c r="C515" s="77" t="s">
        <v>10</v>
      </c>
      <c r="D515" s="59">
        <f t="shared" si="202"/>
        <v>0</v>
      </c>
      <c r="E515" s="59">
        <v>0</v>
      </c>
      <c r="F515" s="59">
        <v>0</v>
      </c>
      <c r="G515" s="59">
        <v>0</v>
      </c>
      <c r="H515" s="59">
        <v>0</v>
      </c>
      <c r="I515" s="59">
        <v>0</v>
      </c>
      <c r="J515" s="59">
        <v>0</v>
      </c>
      <c r="K515" s="59">
        <v>0</v>
      </c>
      <c r="L515" s="59">
        <v>0</v>
      </c>
      <c r="M515" s="59">
        <v>0</v>
      </c>
      <c r="N515" s="59">
        <v>0</v>
      </c>
      <c r="O515" s="59">
        <v>0</v>
      </c>
    </row>
    <row r="516" spans="1:17" ht="15.75" x14ac:dyDescent="0.2">
      <c r="A516" s="141"/>
      <c r="B516" s="145"/>
      <c r="C516" s="77" t="s">
        <v>11</v>
      </c>
      <c r="D516" s="59">
        <f t="shared" si="202"/>
        <v>0</v>
      </c>
      <c r="E516" s="59">
        <v>0</v>
      </c>
      <c r="F516" s="59">
        <v>0</v>
      </c>
      <c r="G516" s="59">
        <v>0</v>
      </c>
      <c r="H516" s="59">
        <v>0</v>
      </c>
      <c r="I516" s="59">
        <v>0</v>
      </c>
      <c r="J516" s="59">
        <v>0</v>
      </c>
      <c r="K516" s="59">
        <v>0</v>
      </c>
      <c r="L516" s="59">
        <v>0</v>
      </c>
      <c r="M516" s="59">
        <v>0</v>
      </c>
      <c r="N516" s="59">
        <v>0</v>
      </c>
      <c r="O516" s="59">
        <v>0</v>
      </c>
    </row>
    <row r="517" spans="1:17" ht="15.75" x14ac:dyDescent="0.2">
      <c r="A517" s="141"/>
      <c r="B517" s="145"/>
      <c r="C517" s="77" t="s">
        <v>12</v>
      </c>
      <c r="D517" s="59">
        <f t="shared" si="202"/>
        <v>0</v>
      </c>
      <c r="E517" s="59">
        <v>0</v>
      </c>
      <c r="F517" s="59">
        <v>0</v>
      </c>
      <c r="G517" s="59">
        <v>0</v>
      </c>
      <c r="H517" s="59">
        <v>0</v>
      </c>
      <c r="I517" s="59">
        <v>0</v>
      </c>
      <c r="J517" s="88">
        <v>0</v>
      </c>
      <c r="K517" s="88">
        <v>0</v>
      </c>
      <c r="L517" s="88">
        <v>0</v>
      </c>
      <c r="M517" s="88">
        <v>0</v>
      </c>
      <c r="N517" s="88">
        <v>0</v>
      </c>
      <c r="O517" s="88">
        <v>0</v>
      </c>
    </row>
    <row r="518" spans="1:17" ht="15.75" x14ac:dyDescent="0.2">
      <c r="A518" s="141"/>
      <c r="B518" s="145"/>
      <c r="C518" s="77" t="s">
        <v>13</v>
      </c>
      <c r="D518" s="59">
        <f t="shared" si="202"/>
        <v>26331.599999999999</v>
      </c>
      <c r="E518" s="59">
        <v>20000</v>
      </c>
      <c r="F518" s="59">
        <v>3000</v>
      </c>
      <c r="G518" s="59">
        <v>1600</v>
      </c>
      <c r="H518" s="59">
        <v>791.6</v>
      </c>
      <c r="I518" s="59">
        <v>940</v>
      </c>
      <c r="J518" s="59">
        <v>0</v>
      </c>
      <c r="K518" s="59">
        <v>0</v>
      </c>
      <c r="L518" s="59">
        <v>0</v>
      </c>
      <c r="M518" s="59">
        <v>0</v>
      </c>
      <c r="N518" s="59">
        <v>0</v>
      </c>
      <c r="O518" s="59">
        <v>0</v>
      </c>
    </row>
    <row r="519" spans="1:17" ht="15.75" x14ac:dyDescent="0.2">
      <c r="A519" s="147" t="s">
        <v>39</v>
      </c>
      <c r="B519" s="150" t="s">
        <v>331</v>
      </c>
      <c r="C519" s="76" t="s">
        <v>7</v>
      </c>
      <c r="D519" s="71">
        <f t="shared" si="202"/>
        <v>157853.40000000002</v>
      </c>
      <c r="E519" s="71">
        <f t="shared" ref="E519:O519" si="218">E521+E522+E523+E525</f>
        <v>13860</v>
      </c>
      <c r="F519" s="71">
        <f t="shared" si="218"/>
        <v>15421.9</v>
      </c>
      <c r="G519" s="71">
        <f t="shared" si="218"/>
        <v>19594</v>
      </c>
      <c r="H519" s="71">
        <f t="shared" si="218"/>
        <v>13152.1</v>
      </c>
      <c r="I519" s="71">
        <f t="shared" si="218"/>
        <v>23011</v>
      </c>
      <c r="J519" s="71">
        <f t="shared" si="218"/>
        <v>14576.6</v>
      </c>
      <c r="K519" s="71">
        <f t="shared" si="218"/>
        <v>18850.3</v>
      </c>
      <c r="L519" s="71">
        <f t="shared" si="218"/>
        <v>16325.5</v>
      </c>
      <c r="M519" s="71">
        <f t="shared" si="218"/>
        <v>6905.9</v>
      </c>
      <c r="N519" s="71">
        <f>N521+N522+N523+N525</f>
        <v>8138.1</v>
      </c>
      <c r="O519" s="71">
        <f t="shared" si="218"/>
        <v>8018</v>
      </c>
      <c r="P519" s="62"/>
      <c r="Q519" s="62"/>
    </row>
    <row r="520" spans="1:17" ht="50.25" customHeight="1" x14ac:dyDescent="0.2">
      <c r="A520" s="147"/>
      <c r="B520" s="151"/>
      <c r="C520" s="78" t="s">
        <v>64</v>
      </c>
      <c r="D520" s="75">
        <f t="shared" ref="D520:D525" si="219">E520+F520+G520+H520+I520+J520+K520+L520+M520+N520+O520</f>
        <v>1971.3999999999999</v>
      </c>
      <c r="E520" s="75">
        <f>E530</f>
        <v>752.3</v>
      </c>
      <c r="F520" s="75">
        <f t="shared" ref="F520:O520" si="220">F530</f>
        <v>0</v>
      </c>
      <c r="G520" s="75">
        <f t="shared" si="220"/>
        <v>1219.0999999999999</v>
      </c>
      <c r="H520" s="75">
        <f t="shared" si="220"/>
        <v>0</v>
      </c>
      <c r="I520" s="75">
        <f t="shared" si="220"/>
        <v>0</v>
      </c>
      <c r="J520" s="75">
        <f t="shared" si="220"/>
        <v>0</v>
      </c>
      <c r="K520" s="75">
        <f t="shared" si="220"/>
        <v>0</v>
      </c>
      <c r="L520" s="75">
        <f t="shared" si="220"/>
        <v>0</v>
      </c>
      <c r="M520" s="75">
        <f t="shared" si="220"/>
        <v>0</v>
      </c>
      <c r="N520" s="75">
        <f t="shared" si="220"/>
        <v>0</v>
      </c>
      <c r="O520" s="75">
        <f t="shared" si="220"/>
        <v>0</v>
      </c>
    </row>
    <row r="521" spans="1:17" ht="18.75" customHeight="1" x14ac:dyDescent="0.2">
      <c r="A521" s="147"/>
      <c r="B521" s="151"/>
      <c r="C521" s="77" t="s">
        <v>10</v>
      </c>
      <c r="D521" s="59">
        <f t="shared" si="219"/>
        <v>0</v>
      </c>
      <c r="E521" s="59">
        <f>E527+E544</f>
        <v>0</v>
      </c>
      <c r="F521" s="59">
        <f t="shared" ref="F521:O521" si="221">F527+F544</f>
        <v>0</v>
      </c>
      <c r="G521" s="59">
        <f t="shared" si="221"/>
        <v>0</v>
      </c>
      <c r="H521" s="59">
        <f t="shared" si="221"/>
        <v>0</v>
      </c>
      <c r="I521" s="59">
        <f t="shared" si="221"/>
        <v>0</v>
      </c>
      <c r="J521" s="59">
        <v>0</v>
      </c>
      <c r="K521" s="59">
        <f t="shared" si="221"/>
        <v>0</v>
      </c>
      <c r="L521" s="59">
        <f t="shared" si="221"/>
        <v>0</v>
      </c>
      <c r="M521" s="59">
        <f t="shared" si="221"/>
        <v>0</v>
      </c>
      <c r="N521" s="59">
        <f t="shared" si="221"/>
        <v>0</v>
      </c>
      <c r="O521" s="59">
        <f t="shared" si="221"/>
        <v>0</v>
      </c>
    </row>
    <row r="522" spans="1:17" ht="16.5" customHeight="1" x14ac:dyDescent="0.2">
      <c r="A522" s="147"/>
      <c r="B522" s="151"/>
      <c r="C522" s="77" t="s">
        <v>11</v>
      </c>
      <c r="D522" s="59">
        <f t="shared" si="219"/>
        <v>708.6</v>
      </c>
      <c r="E522" s="59">
        <f t="shared" ref="E522:O522" si="222">E528+E545</f>
        <v>0</v>
      </c>
      <c r="F522" s="59">
        <f t="shared" si="222"/>
        <v>0</v>
      </c>
      <c r="G522" s="59">
        <f t="shared" si="222"/>
        <v>0</v>
      </c>
      <c r="H522" s="59">
        <f t="shared" si="222"/>
        <v>0</v>
      </c>
      <c r="I522" s="59">
        <f t="shared" si="222"/>
        <v>0</v>
      </c>
      <c r="J522" s="59">
        <v>708.6</v>
      </c>
      <c r="K522" s="59">
        <f t="shared" si="222"/>
        <v>0</v>
      </c>
      <c r="L522" s="59">
        <f t="shared" si="222"/>
        <v>0</v>
      </c>
      <c r="M522" s="59">
        <f t="shared" si="222"/>
        <v>0</v>
      </c>
      <c r="N522" s="59">
        <f t="shared" si="222"/>
        <v>0</v>
      </c>
      <c r="O522" s="59">
        <f t="shared" si="222"/>
        <v>0</v>
      </c>
    </row>
    <row r="523" spans="1:17" ht="32.25" customHeight="1" x14ac:dyDescent="0.2">
      <c r="A523" s="147"/>
      <c r="B523" s="151"/>
      <c r="C523" s="77" t="s">
        <v>65</v>
      </c>
      <c r="D523" s="59">
        <f t="shared" si="219"/>
        <v>157144.79999999999</v>
      </c>
      <c r="E523" s="59">
        <f t="shared" ref="E523:O523" si="223">E529+E546</f>
        <v>13860</v>
      </c>
      <c r="F523" s="59">
        <f t="shared" si="223"/>
        <v>15421.9</v>
      </c>
      <c r="G523" s="59">
        <f t="shared" si="223"/>
        <v>19594</v>
      </c>
      <c r="H523" s="59">
        <f t="shared" si="223"/>
        <v>13152.1</v>
      </c>
      <c r="I523" s="59">
        <f t="shared" si="223"/>
        <v>23011</v>
      </c>
      <c r="J523" s="59">
        <f t="shared" si="223"/>
        <v>13868</v>
      </c>
      <c r="K523" s="59">
        <f t="shared" si="223"/>
        <v>18850.3</v>
      </c>
      <c r="L523" s="59">
        <f t="shared" si="223"/>
        <v>16325.5</v>
      </c>
      <c r="M523" s="59">
        <f t="shared" si="223"/>
        <v>6905.9</v>
      </c>
      <c r="N523" s="59">
        <f t="shared" si="223"/>
        <v>8138.1</v>
      </c>
      <c r="O523" s="59">
        <f t="shared" si="223"/>
        <v>8018</v>
      </c>
    </row>
    <row r="524" spans="1:17" ht="32.25" customHeight="1" x14ac:dyDescent="0.2">
      <c r="A524" s="147"/>
      <c r="B524" s="151"/>
      <c r="C524" s="78" t="s">
        <v>79</v>
      </c>
      <c r="D524" s="75">
        <f t="shared" si="219"/>
        <v>1971.3999999999999</v>
      </c>
      <c r="E524" s="75">
        <f>E530</f>
        <v>752.3</v>
      </c>
      <c r="F524" s="75">
        <f t="shared" ref="F524:O524" si="224">F530</f>
        <v>0</v>
      </c>
      <c r="G524" s="75">
        <f t="shared" si="224"/>
        <v>1219.0999999999999</v>
      </c>
      <c r="H524" s="75">
        <f t="shared" si="224"/>
        <v>0</v>
      </c>
      <c r="I524" s="75">
        <f t="shared" si="224"/>
        <v>0</v>
      </c>
      <c r="J524" s="75">
        <f t="shared" si="224"/>
        <v>0</v>
      </c>
      <c r="K524" s="75">
        <f t="shared" si="224"/>
        <v>0</v>
      </c>
      <c r="L524" s="75">
        <f t="shared" si="224"/>
        <v>0</v>
      </c>
      <c r="M524" s="75">
        <f t="shared" si="224"/>
        <v>0</v>
      </c>
      <c r="N524" s="75">
        <f t="shared" si="224"/>
        <v>0</v>
      </c>
      <c r="O524" s="75">
        <f t="shared" si="224"/>
        <v>0</v>
      </c>
    </row>
    <row r="525" spans="1:17" ht="15.75" x14ac:dyDescent="0.2">
      <c r="A525" s="147"/>
      <c r="B525" s="152"/>
      <c r="C525" s="77" t="s">
        <v>13</v>
      </c>
      <c r="D525" s="59">
        <f t="shared" si="219"/>
        <v>0</v>
      </c>
      <c r="E525" s="59">
        <f>E531+E543</f>
        <v>0</v>
      </c>
      <c r="F525" s="59">
        <f t="shared" ref="F525:O525" si="225">F531</f>
        <v>0</v>
      </c>
      <c r="G525" s="59">
        <f t="shared" si="225"/>
        <v>0</v>
      </c>
      <c r="H525" s="59">
        <f t="shared" si="225"/>
        <v>0</v>
      </c>
      <c r="I525" s="59">
        <f t="shared" si="225"/>
        <v>0</v>
      </c>
      <c r="J525" s="59">
        <f t="shared" si="225"/>
        <v>0</v>
      </c>
      <c r="K525" s="59">
        <f t="shared" si="225"/>
        <v>0</v>
      </c>
      <c r="L525" s="59">
        <f t="shared" si="225"/>
        <v>0</v>
      </c>
      <c r="M525" s="59">
        <f t="shared" si="225"/>
        <v>0</v>
      </c>
      <c r="N525" s="59">
        <f t="shared" si="225"/>
        <v>0</v>
      </c>
      <c r="O525" s="59">
        <f t="shared" si="225"/>
        <v>0</v>
      </c>
    </row>
    <row r="526" spans="1:17" ht="15.75" x14ac:dyDescent="0.2">
      <c r="A526" s="138" t="s">
        <v>353</v>
      </c>
      <c r="B526" s="141" t="s">
        <v>91</v>
      </c>
      <c r="C526" s="77" t="s">
        <v>7</v>
      </c>
      <c r="D526" s="59">
        <f t="shared" ref="D526:D564" si="226">E526+F526+G526+H526+I526+J526+K526+L526+M526+N526+O526</f>
        <v>157144.79999999999</v>
      </c>
      <c r="E526" s="59">
        <f t="shared" ref="E526:O526" si="227">E529+E527+E528+E531</f>
        <v>13860</v>
      </c>
      <c r="F526" s="59">
        <f t="shared" si="227"/>
        <v>15421.9</v>
      </c>
      <c r="G526" s="59">
        <f t="shared" si="227"/>
        <v>19594</v>
      </c>
      <c r="H526" s="59">
        <f t="shared" si="227"/>
        <v>13152.1</v>
      </c>
      <c r="I526" s="59">
        <f t="shared" si="227"/>
        <v>23011</v>
      </c>
      <c r="J526" s="59">
        <f t="shared" si="227"/>
        <v>13868</v>
      </c>
      <c r="K526" s="59">
        <f t="shared" si="227"/>
        <v>18850.3</v>
      </c>
      <c r="L526" s="59">
        <f t="shared" si="227"/>
        <v>16325.5</v>
      </c>
      <c r="M526" s="59">
        <f t="shared" si="227"/>
        <v>6905.9</v>
      </c>
      <c r="N526" s="59">
        <f t="shared" si="227"/>
        <v>8138.1</v>
      </c>
      <c r="O526" s="59">
        <f t="shared" si="227"/>
        <v>8018</v>
      </c>
    </row>
    <row r="527" spans="1:17" ht="15.75" x14ac:dyDescent="0.2">
      <c r="A527" s="143"/>
      <c r="B527" s="141"/>
      <c r="C527" s="77" t="s">
        <v>10</v>
      </c>
      <c r="D527" s="59">
        <f t="shared" si="226"/>
        <v>0</v>
      </c>
      <c r="E527" s="59">
        <f>E533+E539</f>
        <v>0</v>
      </c>
      <c r="F527" s="59">
        <f t="shared" ref="F527:O527" si="228">F533+F539</f>
        <v>0</v>
      </c>
      <c r="G527" s="59">
        <f t="shared" si="228"/>
        <v>0</v>
      </c>
      <c r="H527" s="59">
        <f t="shared" si="228"/>
        <v>0</v>
      </c>
      <c r="I527" s="59">
        <f t="shared" si="228"/>
        <v>0</v>
      </c>
      <c r="J527" s="59">
        <f t="shared" si="228"/>
        <v>0</v>
      </c>
      <c r="K527" s="59">
        <f t="shared" si="228"/>
        <v>0</v>
      </c>
      <c r="L527" s="59">
        <f t="shared" si="228"/>
        <v>0</v>
      </c>
      <c r="M527" s="59">
        <f t="shared" si="228"/>
        <v>0</v>
      </c>
      <c r="N527" s="59">
        <f t="shared" si="228"/>
        <v>0</v>
      </c>
      <c r="O527" s="59">
        <f t="shared" si="228"/>
        <v>0</v>
      </c>
    </row>
    <row r="528" spans="1:17" ht="15.75" x14ac:dyDescent="0.2">
      <c r="A528" s="143"/>
      <c r="B528" s="141"/>
      <c r="C528" s="77" t="s">
        <v>11</v>
      </c>
      <c r="D528" s="59">
        <f t="shared" si="226"/>
        <v>0</v>
      </c>
      <c r="E528" s="59">
        <f t="shared" ref="E528:O528" si="229">E534+E540</f>
        <v>0</v>
      </c>
      <c r="F528" s="59">
        <f t="shared" si="229"/>
        <v>0</v>
      </c>
      <c r="G528" s="59">
        <f t="shared" si="229"/>
        <v>0</v>
      </c>
      <c r="H528" s="59">
        <f t="shared" si="229"/>
        <v>0</v>
      </c>
      <c r="I528" s="59">
        <f t="shared" si="229"/>
        <v>0</v>
      </c>
      <c r="J528" s="59">
        <f t="shared" si="229"/>
        <v>0</v>
      </c>
      <c r="K528" s="59">
        <f t="shared" si="229"/>
        <v>0</v>
      </c>
      <c r="L528" s="59">
        <f t="shared" si="229"/>
        <v>0</v>
      </c>
      <c r="M528" s="59">
        <f t="shared" si="229"/>
        <v>0</v>
      </c>
      <c r="N528" s="59">
        <f t="shared" si="229"/>
        <v>0</v>
      </c>
      <c r="O528" s="59">
        <f t="shared" si="229"/>
        <v>0</v>
      </c>
    </row>
    <row r="529" spans="1:24" ht="31.5" customHeight="1" x14ac:dyDescent="0.2">
      <c r="A529" s="143"/>
      <c r="B529" s="141"/>
      <c r="C529" s="77" t="s">
        <v>65</v>
      </c>
      <c r="D529" s="59">
        <f t="shared" si="226"/>
        <v>157144.79999999999</v>
      </c>
      <c r="E529" s="59">
        <f>E535+E541</f>
        <v>13860</v>
      </c>
      <c r="F529" s="59">
        <f t="shared" ref="F529:O529" si="230">F535+F541</f>
        <v>15421.9</v>
      </c>
      <c r="G529" s="59">
        <f t="shared" si="230"/>
        <v>19594</v>
      </c>
      <c r="H529" s="59">
        <f t="shared" si="230"/>
        <v>13152.1</v>
      </c>
      <c r="I529" s="59">
        <f t="shared" si="230"/>
        <v>23011</v>
      </c>
      <c r="J529" s="59">
        <f>J535+J541</f>
        <v>13868</v>
      </c>
      <c r="K529" s="59">
        <f t="shared" si="230"/>
        <v>18850.3</v>
      </c>
      <c r="L529" s="59">
        <f t="shared" si="230"/>
        <v>16325.5</v>
      </c>
      <c r="M529" s="59">
        <f t="shared" si="230"/>
        <v>6905.9</v>
      </c>
      <c r="N529" s="59">
        <f t="shared" si="230"/>
        <v>8138.1</v>
      </c>
      <c r="O529" s="59">
        <f t="shared" si="230"/>
        <v>8018</v>
      </c>
    </row>
    <row r="530" spans="1:24" ht="33" customHeight="1" x14ac:dyDescent="0.2">
      <c r="A530" s="143"/>
      <c r="B530" s="141"/>
      <c r="C530" s="78" t="s">
        <v>79</v>
      </c>
      <c r="D530" s="59">
        <f t="shared" si="226"/>
        <v>1971.3999999999999</v>
      </c>
      <c r="E530" s="75">
        <f>E536</f>
        <v>752.3</v>
      </c>
      <c r="F530" s="75">
        <f t="shared" ref="F530:O530" si="231">F536</f>
        <v>0</v>
      </c>
      <c r="G530" s="75">
        <f t="shared" si="231"/>
        <v>1219.0999999999999</v>
      </c>
      <c r="H530" s="75">
        <f t="shared" si="231"/>
        <v>0</v>
      </c>
      <c r="I530" s="75">
        <f t="shared" si="231"/>
        <v>0</v>
      </c>
      <c r="J530" s="75">
        <f t="shared" si="231"/>
        <v>0</v>
      </c>
      <c r="K530" s="75">
        <f t="shared" si="231"/>
        <v>0</v>
      </c>
      <c r="L530" s="75">
        <f t="shared" si="231"/>
        <v>0</v>
      </c>
      <c r="M530" s="75">
        <f t="shared" si="231"/>
        <v>0</v>
      </c>
      <c r="N530" s="75">
        <f t="shared" si="231"/>
        <v>0</v>
      </c>
      <c r="O530" s="75">
        <f t="shared" si="231"/>
        <v>0</v>
      </c>
    </row>
    <row r="531" spans="1:24" ht="17.25" customHeight="1" x14ac:dyDescent="0.2">
      <c r="A531" s="144"/>
      <c r="B531" s="141"/>
      <c r="C531" s="77" t="s">
        <v>13</v>
      </c>
      <c r="D531" s="59">
        <f t="shared" si="226"/>
        <v>0</v>
      </c>
      <c r="E531" s="59">
        <f t="shared" ref="E531:O531" si="232">E537+E542</f>
        <v>0</v>
      </c>
      <c r="F531" s="59">
        <f t="shared" si="232"/>
        <v>0</v>
      </c>
      <c r="G531" s="59">
        <f t="shared" si="232"/>
        <v>0</v>
      </c>
      <c r="H531" s="59">
        <f t="shared" si="232"/>
        <v>0</v>
      </c>
      <c r="I531" s="59">
        <f t="shared" si="232"/>
        <v>0</v>
      </c>
      <c r="J531" s="59">
        <f t="shared" si="232"/>
        <v>0</v>
      </c>
      <c r="K531" s="59">
        <f t="shared" si="232"/>
        <v>0</v>
      </c>
      <c r="L531" s="59">
        <f t="shared" si="232"/>
        <v>0</v>
      </c>
      <c r="M531" s="59">
        <f t="shared" si="232"/>
        <v>0</v>
      </c>
      <c r="N531" s="59">
        <f t="shared" si="232"/>
        <v>0</v>
      </c>
      <c r="O531" s="59">
        <f t="shared" si="232"/>
        <v>0</v>
      </c>
    </row>
    <row r="532" spans="1:24" ht="17.25" customHeight="1" x14ac:dyDescent="0.2">
      <c r="A532" s="148" t="s">
        <v>133</v>
      </c>
      <c r="B532" s="145" t="s">
        <v>137</v>
      </c>
      <c r="C532" s="77" t="s">
        <v>7</v>
      </c>
      <c r="D532" s="59">
        <f t="shared" si="226"/>
        <v>35168.199999999997</v>
      </c>
      <c r="E532" s="59">
        <f t="shared" ref="E532:O532" si="233">E533+E534+E535+E537</f>
        <v>6610.3</v>
      </c>
      <c r="F532" s="59">
        <f t="shared" si="233"/>
        <v>5421.9</v>
      </c>
      <c r="G532" s="59">
        <f t="shared" si="233"/>
        <v>1966.9</v>
      </c>
      <c r="H532" s="59">
        <f t="shared" si="233"/>
        <v>945.9</v>
      </c>
      <c r="I532" s="59">
        <f t="shared" si="233"/>
        <v>11181</v>
      </c>
      <c r="J532" s="59">
        <f t="shared" si="233"/>
        <v>2488.6000000000004</v>
      </c>
      <c r="K532" s="59">
        <f t="shared" si="233"/>
        <v>1158.3</v>
      </c>
      <c r="L532" s="59">
        <f t="shared" si="233"/>
        <v>5395.3</v>
      </c>
      <c r="M532" s="59">
        <f t="shared" si="233"/>
        <v>0</v>
      </c>
      <c r="N532" s="59">
        <f t="shared" si="233"/>
        <v>0</v>
      </c>
      <c r="O532" s="59">
        <f t="shared" si="233"/>
        <v>0</v>
      </c>
    </row>
    <row r="533" spans="1:24" ht="15.75" x14ac:dyDescent="0.2">
      <c r="A533" s="148"/>
      <c r="B533" s="145"/>
      <c r="C533" s="77" t="s">
        <v>10</v>
      </c>
      <c r="D533" s="59">
        <f t="shared" si="226"/>
        <v>0</v>
      </c>
      <c r="E533" s="59">
        <v>0</v>
      </c>
      <c r="F533" s="59">
        <v>0</v>
      </c>
      <c r="G533" s="59">
        <v>0</v>
      </c>
      <c r="H533" s="59">
        <v>0</v>
      </c>
      <c r="I533" s="59">
        <v>0</v>
      </c>
      <c r="J533" s="59">
        <v>0</v>
      </c>
      <c r="K533" s="59">
        <v>0</v>
      </c>
      <c r="L533" s="59">
        <v>0</v>
      </c>
      <c r="M533" s="59">
        <v>0</v>
      </c>
      <c r="N533" s="59">
        <v>0</v>
      </c>
      <c r="O533" s="59">
        <v>0</v>
      </c>
    </row>
    <row r="534" spans="1:24" ht="15.75" x14ac:dyDescent="0.2">
      <c r="A534" s="148"/>
      <c r="B534" s="145"/>
      <c r="C534" s="77" t="s">
        <v>11</v>
      </c>
      <c r="D534" s="59">
        <f t="shared" si="226"/>
        <v>0</v>
      </c>
      <c r="E534" s="59">
        <v>0</v>
      </c>
      <c r="F534" s="59">
        <v>0</v>
      </c>
      <c r="G534" s="59">
        <v>0</v>
      </c>
      <c r="H534" s="59">
        <v>0</v>
      </c>
      <c r="I534" s="59">
        <v>0</v>
      </c>
      <c r="J534" s="59">
        <v>0</v>
      </c>
      <c r="K534" s="59">
        <v>0</v>
      </c>
      <c r="L534" s="59">
        <v>0</v>
      </c>
      <c r="M534" s="59">
        <v>0</v>
      </c>
      <c r="N534" s="59">
        <v>0</v>
      </c>
      <c r="O534" s="59">
        <v>0</v>
      </c>
    </row>
    <row r="535" spans="1:24" ht="31.5" x14ac:dyDescent="0.2">
      <c r="A535" s="148"/>
      <c r="B535" s="145"/>
      <c r="C535" s="77" t="s">
        <v>65</v>
      </c>
      <c r="D535" s="59">
        <f t="shared" si="226"/>
        <v>35168.199999999997</v>
      </c>
      <c r="E535" s="59">
        <v>6610.3</v>
      </c>
      <c r="F535" s="59">
        <v>5421.9</v>
      </c>
      <c r="G535" s="59">
        <v>1966.9</v>
      </c>
      <c r="H535" s="59">
        <v>945.9</v>
      </c>
      <c r="I535" s="59">
        <v>11181</v>
      </c>
      <c r="J535" s="59">
        <f>1513.4+227.7+600+147.5</f>
        <v>2488.6000000000004</v>
      </c>
      <c r="K535" s="59">
        <f>1059.4+633.1+454-1078.2+90</f>
        <v>1158.3</v>
      </c>
      <c r="L535" s="59">
        <f>523.5+4871.8</f>
        <v>5395.3</v>
      </c>
      <c r="M535" s="59">
        <f>555.1-555.1</f>
        <v>0</v>
      </c>
      <c r="N535" s="59">
        <f>557.8-557.8</f>
        <v>0</v>
      </c>
      <c r="O535" s="59">
        <v>0</v>
      </c>
      <c r="X535" s="62"/>
    </row>
    <row r="536" spans="1:24" ht="31.5" x14ac:dyDescent="0.2">
      <c r="A536" s="148"/>
      <c r="B536" s="145"/>
      <c r="C536" s="78" t="s">
        <v>79</v>
      </c>
      <c r="D536" s="75">
        <f t="shared" si="226"/>
        <v>1971.3999999999999</v>
      </c>
      <c r="E536" s="75">
        <v>752.3</v>
      </c>
      <c r="F536" s="75">
        <v>0</v>
      </c>
      <c r="G536" s="75">
        <v>1219.0999999999999</v>
      </c>
      <c r="H536" s="75">
        <v>0</v>
      </c>
      <c r="I536" s="75">
        <v>0</v>
      </c>
      <c r="J536" s="75">
        <v>0</v>
      </c>
      <c r="K536" s="75">
        <v>0</v>
      </c>
      <c r="L536" s="75">
        <v>0</v>
      </c>
      <c r="M536" s="75">
        <v>0</v>
      </c>
      <c r="N536" s="75">
        <v>0</v>
      </c>
      <c r="O536" s="75">
        <v>0</v>
      </c>
    </row>
    <row r="537" spans="1:24" ht="19.5" customHeight="1" x14ac:dyDescent="0.2">
      <c r="A537" s="148"/>
      <c r="B537" s="145"/>
      <c r="C537" s="77" t="s">
        <v>13</v>
      </c>
      <c r="D537" s="59">
        <f t="shared" si="226"/>
        <v>0</v>
      </c>
      <c r="E537" s="59">
        <v>0</v>
      </c>
      <c r="F537" s="59">
        <v>0</v>
      </c>
      <c r="G537" s="59">
        <v>0</v>
      </c>
      <c r="H537" s="59">
        <v>0</v>
      </c>
      <c r="I537" s="59">
        <v>0</v>
      </c>
      <c r="J537" s="59">
        <v>0</v>
      </c>
      <c r="K537" s="59">
        <v>0</v>
      </c>
      <c r="L537" s="59">
        <v>0</v>
      </c>
      <c r="M537" s="59">
        <v>0</v>
      </c>
      <c r="N537" s="59">
        <v>0</v>
      </c>
      <c r="O537" s="59">
        <v>0</v>
      </c>
    </row>
    <row r="538" spans="1:24" ht="15.75" x14ac:dyDescent="0.2">
      <c r="A538" s="148" t="s">
        <v>83</v>
      </c>
      <c r="B538" s="145" t="s">
        <v>59</v>
      </c>
      <c r="C538" s="77" t="s">
        <v>7</v>
      </c>
      <c r="D538" s="59">
        <f t="shared" si="226"/>
        <v>121976.59999999999</v>
      </c>
      <c r="E538" s="59">
        <f t="shared" ref="E538:O538" si="234">E539+E540+E541+E542</f>
        <v>7249.7</v>
      </c>
      <c r="F538" s="59">
        <f t="shared" si="234"/>
        <v>10000</v>
      </c>
      <c r="G538" s="59">
        <f t="shared" si="234"/>
        <v>17627.099999999999</v>
      </c>
      <c r="H538" s="59">
        <f t="shared" si="234"/>
        <v>12206.2</v>
      </c>
      <c r="I538" s="59">
        <f t="shared" si="234"/>
        <v>11830</v>
      </c>
      <c r="J538" s="59">
        <f t="shared" si="234"/>
        <v>11379.4</v>
      </c>
      <c r="K538" s="59">
        <f t="shared" si="234"/>
        <v>17692</v>
      </c>
      <c r="L538" s="59">
        <f t="shared" si="234"/>
        <v>10930.2</v>
      </c>
      <c r="M538" s="59">
        <f t="shared" si="234"/>
        <v>6905.9</v>
      </c>
      <c r="N538" s="59">
        <f t="shared" si="234"/>
        <v>8138.1</v>
      </c>
      <c r="O538" s="59">
        <f t="shared" si="234"/>
        <v>8018</v>
      </c>
    </row>
    <row r="539" spans="1:24" ht="15.75" x14ac:dyDescent="0.2">
      <c r="A539" s="148"/>
      <c r="B539" s="145"/>
      <c r="C539" s="77" t="s">
        <v>10</v>
      </c>
      <c r="D539" s="59">
        <f t="shared" si="226"/>
        <v>0</v>
      </c>
      <c r="E539" s="59">
        <v>0</v>
      </c>
      <c r="F539" s="59">
        <v>0</v>
      </c>
      <c r="G539" s="59">
        <v>0</v>
      </c>
      <c r="H539" s="59">
        <v>0</v>
      </c>
      <c r="I539" s="59">
        <v>0</v>
      </c>
      <c r="J539" s="59">
        <v>0</v>
      </c>
      <c r="K539" s="59">
        <v>0</v>
      </c>
      <c r="L539" s="59">
        <v>0</v>
      </c>
      <c r="M539" s="59">
        <v>0</v>
      </c>
      <c r="N539" s="59">
        <v>0</v>
      </c>
      <c r="O539" s="59">
        <v>0</v>
      </c>
    </row>
    <row r="540" spans="1:24" ht="15.75" x14ac:dyDescent="0.2">
      <c r="A540" s="148"/>
      <c r="B540" s="145"/>
      <c r="C540" s="77" t="s">
        <v>11</v>
      </c>
      <c r="D540" s="59">
        <f t="shared" si="226"/>
        <v>0</v>
      </c>
      <c r="E540" s="59">
        <v>0</v>
      </c>
      <c r="F540" s="59">
        <v>0</v>
      </c>
      <c r="G540" s="59">
        <v>0</v>
      </c>
      <c r="H540" s="59">
        <v>0</v>
      </c>
      <c r="I540" s="59">
        <v>0</v>
      </c>
      <c r="J540" s="59">
        <v>0</v>
      </c>
      <c r="K540" s="59">
        <v>0</v>
      </c>
      <c r="L540" s="59">
        <v>0</v>
      </c>
      <c r="M540" s="59">
        <v>0</v>
      </c>
      <c r="N540" s="59">
        <v>0</v>
      </c>
      <c r="O540" s="59">
        <v>0</v>
      </c>
    </row>
    <row r="541" spans="1:24" ht="15.75" x14ac:dyDescent="0.2">
      <c r="A541" s="148"/>
      <c r="B541" s="145"/>
      <c r="C541" s="77" t="s">
        <v>12</v>
      </c>
      <c r="D541" s="59">
        <f t="shared" si="226"/>
        <v>121976.59999999999</v>
      </c>
      <c r="E541" s="59">
        <v>7249.7</v>
      </c>
      <c r="F541" s="59">
        <v>10000</v>
      </c>
      <c r="G541" s="59">
        <v>17627.099999999999</v>
      </c>
      <c r="H541" s="59">
        <v>12206.2</v>
      </c>
      <c r="I541" s="59">
        <v>11830</v>
      </c>
      <c r="J541" s="59">
        <f>11444.4-65</f>
        <v>11379.4</v>
      </c>
      <c r="K541" s="59">
        <f>8540+1940+2150+143.2+4918.8</f>
        <v>17692</v>
      </c>
      <c r="L541" s="59">
        <f>6900.2+4030</f>
        <v>10930.2</v>
      </c>
      <c r="M541" s="59">
        <f>7316.7-410.8</f>
        <v>6905.9</v>
      </c>
      <c r="N541" s="59">
        <f>7352.5+785.6</f>
        <v>8138.1</v>
      </c>
      <c r="O541" s="59">
        <f>12200-4182</f>
        <v>8018</v>
      </c>
    </row>
    <row r="542" spans="1:24" ht="26.25" customHeight="1" x14ac:dyDescent="0.2">
      <c r="A542" s="148"/>
      <c r="B542" s="145"/>
      <c r="C542" s="79" t="s">
        <v>13</v>
      </c>
      <c r="D542" s="59">
        <f t="shared" si="226"/>
        <v>0</v>
      </c>
      <c r="E542" s="59">
        <v>0</v>
      </c>
      <c r="F542" s="59">
        <v>0</v>
      </c>
      <c r="G542" s="59">
        <v>0</v>
      </c>
      <c r="H542" s="59">
        <v>0</v>
      </c>
      <c r="I542" s="59">
        <v>0</v>
      </c>
      <c r="J542" s="59">
        <v>0</v>
      </c>
      <c r="K542" s="59">
        <v>0</v>
      </c>
      <c r="L542" s="59">
        <v>0</v>
      </c>
      <c r="M542" s="59">
        <v>0</v>
      </c>
      <c r="N542" s="59">
        <v>0</v>
      </c>
      <c r="O542" s="59">
        <v>0</v>
      </c>
    </row>
    <row r="543" spans="1:24" ht="15.75" x14ac:dyDescent="0.2">
      <c r="A543" s="138" t="s">
        <v>355</v>
      </c>
      <c r="B543" s="141" t="s">
        <v>362</v>
      </c>
      <c r="C543" s="77" t="s">
        <v>7</v>
      </c>
      <c r="D543" s="59">
        <f t="shared" si="226"/>
        <v>708.6</v>
      </c>
      <c r="E543" s="59">
        <f t="shared" ref="E543:O543" si="235">E546+E544+E545+E547</f>
        <v>0</v>
      </c>
      <c r="F543" s="59">
        <f t="shared" si="235"/>
        <v>0</v>
      </c>
      <c r="G543" s="59">
        <f t="shared" si="235"/>
        <v>0</v>
      </c>
      <c r="H543" s="59">
        <f t="shared" si="235"/>
        <v>0</v>
      </c>
      <c r="I543" s="59">
        <f t="shared" si="235"/>
        <v>0</v>
      </c>
      <c r="J543" s="59">
        <f t="shared" si="235"/>
        <v>708.6</v>
      </c>
      <c r="K543" s="59">
        <f t="shared" si="235"/>
        <v>0</v>
      </c>
      <c r="L543" s="59">
        <f t="shared" si="235"/>
        <v>0</v>
      </c>
      <c r="M543" s="59">
        <f t="shared" si="235"/>
        <v>0</v>
      </c>
      <c r="N543" s="59">
        <f t="shared" si="235"/>
        <v>0</v>
      </c>
      <c r="O543" s="59">
        <f t="shared" si="235"/>
        <v>0</v>
      </c>
    </row>
    <row r="544" spans="1:24" ht="15.75" x14ac:dyDescent="0.2">
      <c r="A544" s="143"/>
      <c r="B544" s="141"/>
      <c r="C544" s="77" t="s">
        <v>10</v>
      </c>
      <c r="D544" s="59">
        <f t="shared" si="226"/>
        <v>0</v>
      </c>
      <c r="E544" s="59">
        <f>E549</f>
        <v>0</v>
      </c>
      <c r="F544" s="59">
        <f t="shared" ref="F544:O544" si="236">F549</f>
        <v>0</v>
      </c>
      <c r="G544" s="59">
        <f t="shared" si="236"/>
        <v>0</v>
      </c>
      <c r="H544" s="59">
        <f t="shared" si="236"/>
        <v>0</v>
      </c>
      <c r="I544" s="59">
        <f t="shared" si="236"/>
        <v>0</v>
      </c>
      <c r="J544" s="59">
        <f t="shared" si="236"/>
        <v>0</v>
      </c>
      <c r="K544" s="59">
        <f t="shared" si="236"/>
        <v>0</v>
      </c>
      <c r="L544" s="59">
        <f t="shared" si="236"/>
        <v>0</v>
      </c>
      <c r="M544" s="59">
        <f t="shared" si="236"/>
        <v>0</v>
      </c>
      <c r="N544" s="59">
        <f t="shared" si="236"/>
        <v>0</v>
      </c>
      <c r="O544" s="59">
        <f t="shared" si="236"/>
        <v>0</v>
      </c>
    </row>
    <row r="545" spans="1:17" ht="15.75" x14ac:dyDescent="0.2">
      <c r="A545" s="143"/>
      <c r="B545" s="141"/>
      <c r="C545" s="77" t="s">
        <v>11</v>
      </c>
      <c r="D545" s="59">
        <f t="shared" si="226"/>
        <v>708.6</v>
      </c>
      <c r="E545" s="59">
        <f>E550</f>
        <v>0</v>
      </c>
      <c r="F545" s="59">
        <f t="shared" ref="F545:O545" si="237">F550</f>
        <v>0</v>
      </c>
      <c r="G545" s="59">
        <f t="shared" si="237"/>
        <v>0</v>
      </c>
      <c r="H545" s="59">
        <f t="shared" si="237"/>
        <v>0</v>
      </c>
      <c r="I545" s="59">
        <f t="shared" si="237"/>
        <v>0</v>
      </c>
      <c r="J545" s="59">
        <f t="shared" si="237"/>
        <v>708.6</v>
      </c>
      <c r="K545" s="59">
        <f t="shared" si="237"/>
        <v>0</v>
      </c>
      <c r="L545" s="59">
        <f t="shared" si="237"/>
        <v>0</v>
      </c>
      <c r="M545" s="59">
        <f t="shared" si="237"/>
        <v>0</v>
      </c>
      <c r="N545" s="59">
        <f t="shared" si="237"/>
        <v>0</v>
      </c>
      <c r="O545" s="59">
        <f t="shared" si="237"/>
        <v>0</v>
      </c>
    </row>
    <row r="546" spans="1:17" ht="31.5" customHeight="1" x14ac:dyDescent="0.2">
      <c r="A546" s="143"/>
      <c r="B546" s="141"/>
      <c r="C546" s="77" t="s">
        <v>65</v>
      </c>
      <c r="D546" s="59">
        <f t="shared" si="226"/>
        <v>0</v>
      </c>
      <c r="E546" s="59">
        <f>E551</f>
        <v>0</v>
      </c>
      <c r="F546" s="59">
        <f t="shared" ref="F546:O546" si="238">F551</f>
        <v>0</v>
      </c>
      <c r="G546" s="59">
        <f t="shared" si="238"/>
        <v>0</v>
      </c>
      <c r="H546" s="59">
        <f t="shared" si="238"/>
        <v>0</v>
      </c>
      <c r="I546" s="59">
        <f t="shared" si="238"/>
        <v>0</v>
      </c>
      <c r="J546" s="59">
        <f t="shared" si="238"/>
        <v>0</v>
      </c>
      <c r="K546" s="59">
        <f t="shared" si="238"/>
        <v>0</v>
      </c>
      <c r="L546" s="59">
        <f t="shared" si="238"/>
        <v>0</v>
      </c>
      <c r="M546" s="59">
        <f t="shared" si="238"/>
        <v>0</v>
      </c>
      <c r="N546" s="59">
        <f t="shared" si="238"/>
        <v>0</v>
      </c>
      <c r="O546" s="59">
        <f t="shared" si="238"/>
        <v>0</v>
      </c>
    </row>
    <row r="547" spans="1:17" ht="17.25" customHeight="1" x14ac:dyDescent="0.2">
      <c r="A547" s="144"/>
      <c r="B547" s="141"/>
      <c r="C547" s="77" t="s">
        <v>13</v>
      </c>
      <c r="D547" s="59">
        <f t="shared" si="226"/>
        <v>0</v>
      </c>
      <c r="E547" s="59">
        <f>E552</f>
        <v>0</v>
      </c>
      <c r="F547" s="59">
        <f t="shared" ref="F547:O547" si="239">F552</f>
        <v>0</v>
      </c>
      <c r="G547" s="59">
        <f t="shared" si="239"/>
        <v>0</v>
      </c>
      <c r="H547" s="59">
        <f t="shared" si="239"/>
        <v>0</v>
      </c>
      <c r="I547" s="59">
        <f t="shared" si="239"/>
        <v>0</v>
      </c>
      <c r="J547" s="59">
        <f t="shared" si="239"/>
        <v>0</v>
      </c>
      <c r="K547" s="59">
        <f t="shared" si="239"/>
        <v>0</v>
      </c>
      <c r="L547" s="59">
        <f t="shared" si="239"/>
        <v>0</v>
      </c>
      <c r="M547" s="59">
        <f t="shared" si="239"/>
        <v>0</v>
      </c>
      <c r="N547" s="59">
        <f t="shared" si="239"/>
        <v>0</v>
      </c>
      <c r="O547" s="59">
        <f t="shared" si="239"/>
        <v>0</v>
      </c>
    </row>
    <row r="548" spans="1:17" ht="15.75" x14ac:dyDescent="0.2">
      <c r="A548" s="148" t="s">
        <v>356</v>
      </c>
      <c r="B548" s="145" t="s">
        <v>363</v>
      </c>
      <c r="C548" s="77" t="s">
        <v>7</v>
      </c>
      <c r="D548" s="59">
        <f t="shared" si="226"/>
        <v>708.6</v>
      </c>
      <c r="E548" s="59">
        <f t="shared" ref="E548:O548" si="240">E549+E550+E551+E552</f>
        <v>0</v>
      </c>
      <c r="F548" s="59">
        <f t="shared" si="240"/>
        <v>0</v>
      </c>
      <c r="G548" s="59">
        <f t="shared" si="240"/>
        <v>0</v>
      </c>
      <c r="H548" s="59">
        <f t="shared" si="240"/>
        <v>0</v>
      </c>
      <c r="I548" s="59">
        <f t="shared" si="240"/>
        <v>0</v>
      </c>
      <c r="J548" s="59">
        <f t="shared" si="240"/>
        <v>708.6</v>
      </c>
      <c r="K548" s="59">
        <f t="shared" si="240"/>
        <v>0</v>
      </c>
      <c r="L548" s="59">
        <f t="shared" si="240"/>
        <v>0</v>
      </c>
      <c r="M548" s="59">
        <f t="shared" si="240"/>
        <v>0</v>
      </c>
      <c r="N548" s="59">
        <f t="shared" si="240"/>
        <v>0</v>
      </c>
      <c r="O548" s="59">
        <f t="shared" si="240"/>
        <v>0</v>
      </c>
    </row>
    <row r="549" spans="1:17" ht="15.75" x14ac:dyDescent="0.2">
      <c r="A549" s="148"/>
      <c r="B549" s="145"/>
      <c r="C549" s="77" t="s">
        <v>10</v>
      </c>
      <c r="D549" s="59">
        <f t="shared" si="226"/>
        <v>0</v>
      </c>
      <c r="E549" s="59">
        <v>0</v>
      </c>
      <c r="F549" s="59">
        <v>0</v>
      </c>
      <c r="G549" s="59">
        <v>0</v>
      </c>
      <c r="H549" s="59">
        <v>0</v>
      </c>
      <c r="I549" s="59">
        <v>0</v>
      </c>
      <c r="J549" s="59">
        <v>0</v>
      </c>
      <c r="K549" s="59">
        <v>0</v>
      </c>
      <c r="L549" s="59">
        <v>0</v>
      </c>
      <c r="M549" s="59">
        <v>0</v>
      </c>
      <c r="N549" s="59">
        <v>0</v>
      </c>
      <c r="O549" s="59">
        <v>0</v>
      </c>
    </row>
    <row r="550" spans="1:17" ht="15.75" x14ac:dyDescent="0.2">
      <c r="A550" s="148"/>
      <c r="B550" s="145"/>
      <c r="C550" s="77" t="s">
        <v>11</v>
      </c>
      <c r="D550" s="59">
        <f t="shared" si="226"/>
        <v>708.6</v>
      </c>
      <c r="E550" s="59">
        <v>0</v>
      </c>
      <c r="F550" s="59">
        <v>0</v>
      </c>
      <c r="G550" s="59">
        <v>0</v>
      </c>
      <c r="H550" s="59">
        <v>0</v>
      </c>
      <c r="I550" s="59">
        <v>0</v>
      </c>
      <c r="J550" s="59">
        <v>708.6</v>
      </c>
      <c r="K550" s="59">
        <v>0</v>
      </c>
      <c r="L550" s="59">
        <v>0</v>
      </c>
      <c r="M550" s="59">
        <v>0</v>
      </c>
      <c r="N550" s="59">
        <v>0</v>
      </c>
      <c r="O550" s="59">
        <v>0</v>
      </c>
    </row>
    <row r="551" spans="1:17" ht="23.25" customHeight="1" x14ac:dyDescent="0.2">
      <c r="A551" s="148"/>
      <c r="B551" s="145"/>
      <c r="C551" s="77" t="s">
        <v>12</v>
      </c>
      <c r="D551" s="59">
        <f t="shared" si="226"/>
        <v>0</v>
      </c>
      <c r="E551" s="59">
        <v>0</v>
      </c>
      <c r="F551" s="59">
        <v>0</v>
      </c>
      <c r="G551" s="59">
        <v>0</v>
      </c>
      <c r="H551" s="59">
        <v>0</v>
      </c>
      <c r="I551" s="59">
        <v>0</v>
      </c>
      <c r="J551" s="59">
        <v>0</v>
      </c>
      <c r="K551" s="59">
        <v>0</v>
      </c>
      <c r="L551" s="59">
        <v>0</v>
      </c>
      <c r="M551" s="59">
        <v>0</v>
      </c>
      <c r="N551" s="59">
        <v>0</v>
      </c>
      <c r="O551" s="59">
        <v>0</v>
      </c>
    </row>
    <row r="552" spans="1:17" ht="24.75" customHeight="1" x14ac:dyDescent="0.2">
      <c r="A552" s="148"/>
      <c r="B552" s="145"/>
      <c r="C552" s="79" t="s">
        <v>13</v>
      </c>
      <c r="D552" s="59">
        <f t="shared" si="226"/>
        <v>0</v>
      </c>
      <c r="E552" s="59">
        <v>0</v>
      </c>
      <c r="F552" s="59">
        <v>0</v>
      </c>
      <c r="G552" s="59">
        <v>0</v>
      </c>
      <c r="H552" s="59">
        <v>0</v>
      </c>
      <c r="I552" s="59">
        <v>0</v>
      </c>
      <c r="J552" s="59">
        <v>0</v>
      </c>
      <c r="K552" s="59">
        <v>0</v>
      </c>
      <c r="L552" s="59">
        <v>0</v>
      </c>
      <c r="M552" s="59">
        <v>0</v>
      </c>
      <c r="N552" s="59">
        <v>0</v>
      </c>
      <c r="O552" s="59">
        <v>0</v>
      </c>
    </row>
    <row r="553" spans="1:17" ht="15.75" customHeight="1" x14ac:dyDescent="0.2">
      <c r="A553" s="147" t="s">
        <v>31</v>
      </c>
      <c r="B553" s="156" t="s">
        <v>330</v>
      </c>
      <c r="C553" s="92" t="s">
        <v>7</v>
      </c>
      <c r="D553" s="71">
        <f t="shared" si="226"/>
        <v>3860825.9619999994</v>
      </c>
      <c r="E553" s="71">
        <f>E554+E555+E556+E558</f>
        <v>228156.69999999998</v>
      </c>
      <c r="F553" s="71">
        <f>F554+F555+F556+F558</f>
        <v>279787.8</v>
      </c>
      <c r="G553" s="71">
        <f t="shared" ref="G553:O553" si="241">SUM(G554:G558)</f>
        <v>257795.10000000003</v>
      </c>
      <c r="H553" s="71">
        <f t="shared" si="241"/>
        <v>267713.5</v>
      </c>
      <c r="I553" s="71">
        <f t="shared" si="241"/>
        <v>352068.4</v>
      </c>
      <c r="J553" s="71">
        <f t="shared" si="241"/>
        <v>478026.3</v>
      </c>
      <c r="K553" s="71">
        <f t="shared" si="241"/>
        <v>781436.36200000008</v>
      </c>
      <c r="L553" s="71">
        <f t="shared" si="241"/>
        <v>552142.19999999995</v>
      </c>
      <c r="M553" s="71">
        <f t="shared" si="241"/>
        <v>192980.8</v>
      </c>
      <c r="N553" s="71">
        <f t="shared" si="241"/>
        <v>236069.8</v>
      </c>
      <c r="O553" s="71">
        <f t="shared" si="241"/>
        <v>234648.99999999997</v>
      </c>
      <c r="P553" s="60"/>
      <c r="Q553" s="72"/>
    </row>
    <row r="554" spans="1:17" ht="15.75" x14ac:dyDescent="0.2">
      <c r="A554" s="147"/>
      <c r="B554" s="156"/>
      <c r="C554" s="79" t="s">
        <v>10</v>
      </c>
      <c r="D554" s="59">
        <f t="shared" si="226"/>
        <v>0</v>
      </c>
      <c r="E554" s="59">
        <f>E571+E581+E591+E606+E616+E622</f>
        <v>0</v>
      </c>
      <c r="F554" s="59">
        <f t="shared" ref="F554:O554" si="242">F571+F581+F591+F606+F616+F622</f>
        <v>0</v>
      </c>
      <c r="G554" s="59">
        <f t="shared" si="242"/>
        <v>0</v>
      </c>
      <c r="H554" s="59">
        <f t="shared" si="242"/>
        <v>0</v>
      </c>
      <c r="I554" s="59">
        <f>I571+I581+I591+I606+I616+I622</f>
        <v>0</v>
      </c>
      <c r="J554" s="59">
        <f t="shared" si="242"/>
        <v>0</v>
      </c>
      <c r="K554" s="59">
        <f t="shared" si="242"/>
        <v>0</v>
      </c>
      <c r="L554" s="59">
        <f t="shared" si="242"/>
        <v>0</v>
      </c>
      <c r="M554" s="59">
        <f t="shared" si="242"/>
        <v>0</v>
      </c>
      <c r="N554" s="59">
        <f t="shared" si="242"/>
        <v>0</v>
      </c>
      <c r="O554" s="59">
        <f t="shared" si="242"/>
        <v>0</v>
      </c>
      <c r="P554" s="62"/>
      <c r="Q554" s="62"/>
    </row>
    <row r="555" spans="1:17" ht="15.75" x14ac:dyDescent="0.2">
      <c r="A555" s="147"/>
      <c r="B555" s="156"/>
      <c r="C555" s="79" t="s">
        <v>11</v>
      </c>
      <c r="D555" s="59">
        <f t="shared" si="226"/>
        <v>1007279.7</v>
      </c>
      <c r="E555" s="59">
        <f t="shared" ref="E555:H556" si="243">E561+E669</f>
        <v>0</v>
      </c>
      <c r="F555" s="59">
        <f t="shared" si="243"/>
        <v>0</v>
      </c>
      <c r="G555" s="59">
        <f t="shared" si="243"/>
        <v>0</v>
      </c>
      <c r="H555" s="59">
        <f t="shared" si="243"/>
        <v>0</v>
      </c>
      <c r="I555" s="59">
        <f>I561+I669+I679</f>
        <v>159753.70000000001</v>
      </c>
      <c r="J555" s="59">
        <f>J561+J669+J679</f>
        <v>282920.3</v>
      </c>
      <c r="K555" s="59">
        <f>K561+K669</f>
        <v>368985.2</v>
      </c>
      <c r="L555" s="59">
        <f>L561+L669</f>
        <v>195620.5</v>
      </c>
      <c r="M555" s="59">
        <f>M561+M669</f>
        <v>0</v>
      </c>
      <c r="N555" s="59">
        <f>N561+N669</f>
        <v>0</v>
      </c>
      <c r="O555" s="59">
        <f>O561+O669</f>
        <v>0</v>
      </c>
    </row>
    <row r="556" spans="1:17" ht="31.5" customHeight="1" x14ac:dyDescent="0.2">
      <c r="A556" s="147"/>
      <c r="B556" s="156"/>
      <c r="C556" s="79" t="s">
        <v>65</v>
      </c>
      <c r="D556" s="59">
        <f t="shared" si="226"/>
        <v>2853546.2619999996</v>
      </c>
      <c r="E556" s="59">
        <f t="shared" si="243"/>
        <v>228156.69999999998</v>
      </c>
      <c r="F556" s="59">
        <f t="shared" si="243"/>
        <v>279787.8</v>
      </c>
      <c r="G556" s="59">
        <f t="shared" si="243"/>
        <v>257795.10000000003</v>
      </c>
      <c r="H556" s="59">
        <f t="shared" si="243"/>
        <v>267713.5</v>
      </c>
      <c r="I556" s="59">
        <f>I562+I670+I680</f>
        <v>192314.7</v>
      </c>
      <c r="J556" s="59">
        <f>J562+J670+J680</f>
        <v>195106</v>
      </c>
      <c r="K556" s="59">
        <f>K562+K670+K690</f>
        <v>412451.16200000007</v>
      </c>
      <c r="L556" s="59">
        <f>L562+L670+L690</f>
        <v>356521.7</v>
      </c>
      <c r="M556" s="59">
        <f>M562+M670+M690</f>
        <v>192980.8</v>
      </c>
      <c r="N556" s="59">
        <f>N562+N670+N690</f>
        <v>236069.8</v>
      </c>
      <c r="O556" s="59">
        <f>O562+O670+O690</f>
        <v>234648.99999999997</v>
      </c>
    </row>
    <row r="557" spans="1:17" ht="31.5" x14ac:dyDescent="0.2">
      <c r="A557" s="147"/>
      <c r="B557" s="156"/>
      <c r="C557" s="78" t="s">
        <v>79</v>
      </c>
      <c r="D557" s="75">
        <f t="shared" si="226"/>
        <v>59050</v>
      </c>
      <c r="E557" s="75">
        <f>E563</f>
        <v>30550</v>
      </c>
      <c r="F557" s="75">
        <f>F625</f>
        <v>28500</v>
      </c>
      <c r="G557" s="75">
        <f>G625</f>
        <v>0</v>
      </c>
      <c r="H557" s="75">
        <f>H625</f>
        <v>0</v>
      </c>
      <c r="I557" s="75">
        <f>I625</f>
        <v>0</v>
      </c>
      <c r="J557" s="59">
        <f t="shared" ref="J557:O557" si="244">J574+J584+J594+J609+J619+J625</f>
        <v>0</v>
      </c>
      <c r="K557" s="59">
        <f t="shared" si="244"/>
        <v>0</v>
      </c>
      <c r="L557" s="59">
        <f t="shared" si="244"/>
        <v>0</v>
      </c>
      <c r="M557" s="59">
        <f t="shared" si="244"/>
        <v>0</v>
      </c>
      <c r="N557" s="59">
        <f t="shared" si="244"/>
        <v>0</v>
      </c>
      <c r="O557" s="59">
        <f t="shared" si="244"/>
        <v>0</v>
      </c>
    </row>
    <row r="558" spans="1:17" ht="19.5" customHeight="1" x14ac:dyDescent="0.2">
      <c r="A558" s="147"/>
      <c r="B558" s="156"/>
      <c r="C558" s="79" t="s">
        <v>13</v>
      </c>
      <c r="D558" s="59">
        <f t="shared" si="226"/>
        <v>0</v>
      </c>
      <c r="E558" s="59">
        <f>E574+E584+E594+E609+E620+E626</f>
        <v>0</v>
      </c>
      <c r="F558" s="59">
        <f>F574+F584+F594+F609+F620+F626</f>
        <v>0</v>
      </c>
      <c r="G558" s="59">
        <f>G574+G584+G594+G609+G620+G626</f>
        <v>0</v>
      </c>
      <c r="H558" s="59">
        <v>0</v>
      </c>
      <c r="I558" s="59">
        <f t="shared" ref="I558:O558" si="245">I574+I584+I594+I609+I620+I626</f>
        <v>0</v>
      </c>
      <c r="J558" s="59">
        <f t="shared" si="245"/>
        <v>0</v>
      </c>
      <c r="K558" s="59">
        <f t="shared" si="245"/>
        <v>0</v>
      </c>
      <c r="L558" s="59">
        <f t="shared" si="245"/>
        <v>0</v>
      </c>
      <c r="M558" s="59">
        <f t="shared" si="245"/>
        <v>0</v>
      </c>
      <c r="N558" s="59">
        <f t="shared" si="245"/>
        <v>0</v>
      </c>
      <c r="O558" s="59">
        <f t="shared" si="245"/>
        <v>0</v>
      </c>
    </row>
    <row r="559" spans="1:17" ht="15.75" x14ac:dyDescent="0.2">
      <c r="A559" s="141" t="s">
        <v>34</v>
      </c>
      <c r="B559" s="141" t="s">
        <v>122</v>
      </c>
      <c r="C559" s="79" t="s">
        <v>7</v>
      </c>
      <c r="D559" s="59">
        <f t="shared" si="226"/>
        <v>2954958.8619999997</v>
      </c>
      <c r="E559" s="59">
        <f>E560+E561+E562+E564</f>
        <v>228156.69999999998</v>
      </c>
      <c r="F559" s="59">
        <f t="shared" ref="F559:O559" si="246">F560+F561+F562+F564</f>
        <v>279787.8</v>
      </c>
      <c r="G559" s="59">
        <f t="shared" si="246"/>
        <v>257795.10000000003</v>
      </c>
      <c r="H559" s="59">
        <f t="shared" si="246"/>
        <v>267713.5</v>
      </c>
      <c r="I559" s="59">
        <f t="shared" si="246"/>
        <v>299568.40000000002</v>
      </c>
      <c r="J559" s="59">
        <f>J560+J561+J562+J564</f>
        <v>249909.09999999998</v>
      </c>
      <c r="K559" s="59">
        <f>K560+K561+K562+K564</f>
        <v>373970.76200000005</v>
      </c>
      <c r="L559" s="59">
        <f t="shared" si="246"/>
        <v>338320.3</v>
      </c>
      <c r="M559" s="59">
        <f t="shared" si="246"/>
        <v>189018.4</v>
      </c>
      <c r="N559" s="59">
        <f t="shared" si="246"/>
        <v>236069.8</v>
      </c>
      <c r="O559" s="59">
        <f t="shared" si="246"/>
        <v>234648.99999999997</v>
      </c>
      <c r="P559" s="60"/>
      <c r="Q559" s="72"/>
    </row>
    <row r="560" spans="1:17" ht="18" customHeight="1" x14ac:dyDescent="0.2">
      <c r="A560" s="142"/>
      <c r="B560" s="149"/>
      <c r="C560" s="79" t="s">
        <v>10</v>
      </c>
      <c r="D560" s="59">
        <f t="shared" si="226"/>
        <v>0</v>
      </c>
      <c r="E560" s="59">
        <f t="shared" ref="E560:O560" si="247">E571+E581+E591+E606+E616+E622</f>
        <v>0</v>
      </c>
      <c r="F560" s="59">
        <f t="shared" si="247"/>
        <v>0</v>
      </c>
      <c r="G560" s="59">
        <f t="shared" si="247"/>
        <v>0</v>
      </c>
      <c r="H560" s="59">
        <f t="shared" si="247"/>
        <v>0</v>
      </c>
      <c r="I560" s="59">
        <f t="shared" si="247"/>
        <v>0</v>
      </c>
      <c r="J560" s="59">
        <f t="shared" si="247"/>
        <v>0</v>
      </c>
      <c r="K560" s="59">
        <f t="shared" si="247"/>
        <v>0</v>
      </c>
      <c r="L560" s="59">
        <f t="shared" si="247"/>
        <v>0</v>
      </c>
      <c r="M560" s="59">
        <f t="shared" si="247"/>
        <v>0</v>
      </c>
      <c r="N560" s="59">
        <f t="shared" si="247"/>
        <v>0</v>
      </c>
      <c r="O560" s="59">
        <f t="shared" si="247"/>
        <v>0</v>
      </c>
    </row>
    <row r="561" spans="1:15" ht="16.5" customHeight="1" x14ac:dyDescent="0.2">
      <c r="A561" s="142"/>
      <c r="B561" s="149"/>
      <c r="C561" s="79" t="s">
        <v>11</v>
      </c>
      <c r="D561" s="59">
        <f t="shared" si="226"/>
        <v>178807.9</v>
      </c>
      <c r="E561" s="59">
        <f>E572+E582+E592+E607+E617+E623+E577+E587+E597+E602+E612+E629+E669</f>
        <v>0</v>
      </c>
      <c r="F561" s="59">
        <f>F572+F582+F592+F607+F617+F623+F577+F587+F597+F602+F612+F629+F669</f>
        <v>0</v>
      </c>
      <c r="G561" s="59">
        <f>G572+G582+G592+G607+G617+G623+G577+G587+G597+G602+G612+G629+G669</f>
        <v>0</v>
      </c>
      <c r="H561" s="59">
        <f>H572+H582+H592+H607+H617+H623+H577+H587+H597+H602+H612+H629+H669</f>
        <v>0</v>
      </c>
      <c r="I561" s="59">
        <f t="shared" ref="I561:O561" si="248">I572+I582+I592+I607+I617+I623+I577+I587+I597+I602+I612+I629</f>
        <v>109753.7</v>
      </c>
      <c r="J561" s="59">
        <f t="shared" si="248"/>
        <v>69054.2</v>
      </c>
      <c r="K561" s="59">
        <f t="shared" si="248"/>
        <v>0</v>
      </c>
      <c r="L561" s="59">
        <f t="shared" si="248"/>
        <v>0</v>
      </c>
      <c r="M561" s="59">
        <f t="shared" si="248"/>
        <v>0</v>
      </c>
      <c r="N561" s="59">
        <f t="shared" si="248"/>
        <v>0</v>
      </c>
      <c r="O561" s="59">
        <f t="shared" si="248"/>
        <v>0</v>
      </c>
    </row>
    <row r="562" spans="1:15" ht="31.5" x14ac:dyDescent="0.2">
      <c r="A562" s="142"/>
      <c r="B562" s="149"/>
      <c r="C562" s="79" t="s">
        <v>65</v>
      </c>
      <c r="D562" s="59">
        <f t="shared" si="226"/>
        <v>2776150.9619999998</v>
      </c>
      <c r="E562" s="59">
        <f>E568+E573+E583+E588+E593+E603+E608+E618+E624+E630++E613+E670+E635</f>
        <v>228156.69999999998</v>
      </c>
      <c r="F562" s="59">
        <f>F568+F573+F583+F588+F593+F603+F608+F618+F624+F630++F613+F670+F635</f>
        <v>279787.8</v>
      </c>
      <c r="G562" s="59">
        <f>G568+G573+G583+G588+G593+G603+G608+G618+G624+G630++G613+G670+G635</f>
        <v>257795.10000000003</v>
      </c>
      <c r="H562" s="59">
        <f>H568+H573+H583+H588+H593+H603+H608+H618+H624+H630++H613+H670+H635</f>
        <v>267713.5</v>
      </c>
      <c r="I562" s="59">
        <f>I568+I573+I583+I588+I593+I603+I608+I618+I624+I630++I613+I635</f>
        <v>189814.7</v>
      </c>
      <c r="J562" s="59">
        <f>J568+J573+J583+J588+J593+J603+J608+J618+J624+J630++J613+J635</f>
        <v>180854.9</v>
      </c>
      <c r="K562" s="59">
        <f>K568+K573+K583+K588+K593+K603+K608+K618+K624+K630++K613+K635+K640+K645+K650+K655+K660</f>
        <v>373970.76200000005</v>
      </c>
      <c r="L562" s="59">
        <f>L568+L573+L583+L588+L593+L603+L608+L618+L624+L630++L613+L635+L640+L645+L650+L655+L660+L665</f>
        <v>338320.3</v>
      </c>
      <c r="M562" s="59">
        <f t="shared" ref="M562:O562" si="249">M568+M573+M583+M588+M593+M603+M608+M618+M624+M630++M613+M635+M640+M645+M650+M655+M660+M665</f>
        <v>189018.4</v>
      </c>
      <c r="N562" s="59">
        <f t="shared" si="249"/>
        <v>236069.8</v>
      </c>
      <c r="O562" s="59">
        <f t="shared" si="249"/>
        <v>234648.99999999997</v>
      </c>
    </row>
    <row r="563" spans="1:15" ht="31.5" x14ac:dyDescent="0.2">
      <c r="A563" s="142"/>
      <c r="B563" s="149"/>
      <c r="C563" s="78" t="s">
        <v>79</v>
      </c>
      <c r="D563" s="75">
        <f t="shared" si="226"/>
        <v>59050</v>
      </c>
      <c r="E563" s="75">
        <f>E625+E619</f>
        <v>30550</v>
      </c>
      <c r="F563" s="75">
        <f>F625+F619</f>
        <v>28500</v>
      </c>
      <c r="G563" s="75">
        <f>G625+G619</f>
        <v>0</v>
      </c>
      <c r="H563" s="75">
        <f>H625+H619</f>
        <v>0</v>
      </c>
      <c r="I563" s="75">
        <f>I625+I619</f>
        <v>0</v>
      </c>
      <c r="J563" s="59">
        <f t="shared" ref="J563:O563" si="250">J574+J584+J594+J609+J619+J625</f>
        <v>0</v>
      </c>
      <c r="K563" s="59">
        <f t="shared" si="250"/>
        <v>0</v>
      </c>
      <c r="L563" s="59">
        <f t="shared" si="250"/>
        <v>0</v>
      </c>
      <c r="M563" s="59">
        <f t="shared" si="250"/>
        <v>0</v>
      </c>
      <c r="N563" s="59">
        <f t="shared" si="250"/>
        <v>0</v>
      </c>
      <c r="O563" s="59">
        <f t="shared" si="250"/>
        <v>0</v>
      </c>
    </row>
    <row r="564" spans="1:15" ht="17.25" customHeight="1" x14ac:dyDescent="0.2">
      <c r="A564" s="142"/>
      <c r="B564" s="149"/>
      <c r="C564" s="79" t="s">
        <v>13</v>
      </c>
      <c r="D564" s="59">
        <f t="shared" si="226"/>
        <v>0</v>
      </c>
      <c r="E564" s="59">
        <f>E584+E594+E609+E620+E626</f>
        <v>0</v>
      </c>
      <c r="F564" s="59">
        <f>F584+F594+F609+F620+F626</f>
        <v>0</v>
      </c>
      <c r="G564" s="59">
        <f>G584+G594+G609+G620+G626</f>
        <v>0</v>
      </c>
      <c r="H564" s="59">
        <f>H584+H594+H609+H620+H626</f>
        <v>0</v>
      </c>
      <c r="I564" s="59">
        <f>I584+I594+I609+I620+I626</f>
        <v>0</v>
      </c>
      <c r="J564" s="59">
        <v>0</v>
      </c>
      <c r="K564" s="59">
        <v>0</v>
      </c>
      <c r="L564" s="59">
        <v>0</v>
      </c>
      <c r="M564" s="59">
        <v>0</v>
      </c>
      <c r="N564" s="59">
        <v>0</v>
      </c>
      <c r="O564" s="59">
        <v>0</v>
      </c>
    </row>
    <row r="565" spans="1:15" ht="15.75" x14ac:dyDescent="0.2">
      <c r="A565" s="141" t="s">
        <v>123</v>
      </c>
      <c r="B565" s="145" t="s">
        <v>152</v>
      </c>
      <c r="C565" s="79" t="s">
        <v>7</v>
      </c>
      <c r="D565" s="59">
        <f>SUM(D566:D569)</f>
        <v>42071.3</v>
      </c>
      <c r="E565" s="59">
        <f t="shared" ref="E565:J565" si="251">SUM(E566:E569)</f>
        <v>42071.3</v>
      </c>
      <c r="F565" s="59">
        <f t="shared" si="251"/>
        <v>0</v>
      </c>
      <c r="G565" s="59">
        <f t="shared" si="251"/>
        <v>0</v>
      </c>
      <c r="H565" s="59">
        <f t="shared" si="251"/>
        <v>0</v>
      </c>
      <c r="I565" s="59">
        <f t="shared" si="251"/>
        <v>0</v>
      </c>
      <c r="J565" s="59">
        <f t="shared" si="251"/>
        <v>0</v>
      </c>
      <c r="K565" s="59">
        <v>0</v>
      </c>
      <c r="L565" s="59">
        <f>SUM(L566:L569)</f>
        <v>0</v>
      </c>
      <c r="M565" s="59">
        <f>SUM(M566:M569)</f>
        <v>0</v>
      </c>
      <c r="N565" s="59">
        <f>SUM(N566:N569)</f>
        <v>0</v>
      </c>
      <c r="O565" s="59">
        <v>0</v>
      </c>
    </row>
    <row r="566" spans="1:15" ht="18.75" customHeight="1" x14ac:dyDescent="0.2">
      <c r="A566" s="142"/>
      <c r="B566" s="145"/>
      <c r="C566" s="79" t="s">
        <v>10</v>
      </c>
      <c r="D566" s="59">
        <v>0</v>
      </c>
      <c r="E566" s="59">
        <v>0</v>
      </c>
      <c r="F566" s="59">
        <v>0</v>
      </c>
      <c r="G566" s="59">
        <v>0</v>
      </c>
      <c r="H566" s="59">
        <v>0</v>
      </c>
      <c r="I566" s="59">
        <v>0</v>
      </c>
      <c r="J566" s="59">
        <v>0</v>
      </c>
      <c r="K566" s="59">
        <v>0</v>
      </c>
      <c r="L566" s="59">
        <v>0</v>
      </c>
      <c r="M566" s="59">
        <v>0</v>
      </c>
      <c r="N566" s="59">
        <v>0</v>
      </c>
      <c r="O566" s="59">
        <v>0</v>
      </c>
    </row>
    <row r="567" spans="1:15" ht="17.25" customHeight="1" x14ac:dyDescent="0.2">
      <c r="A567" s="142"/>
      <c r="B567" s="145"/>
      <c r="C567" s="79" t="s">
        <v>11</v>
      </c>
      <c r="D567" s="88">
        <v>0</v>
      </c>
      <c r="E567" s="88">
        <v>0</v>
      </c>
      <c r="F567" s="88">
        <v>0</v>
      </c>
      <c r="G567" s="88">
        <v>0</v>
      </c>
      <c r="H567" s="88">
        <v>0</v>
      </c>
      <c r="I567" s="88">
        <v>0</v>
      </c>
      <c r="J567" s="88">
        <v>0</v>
      </c>
      <c r="K567" s="88">
        <v>0</v>
      </c>
      <c r="L567" s="88">
        <v>0</v>
      </c>
      <c r="M567" s="88">
        <v>0</v>
      </c>
      <c r="N567" s="88">
        <v>0</v>
      </c>
      <c r="O567" s="88">
        <v>0</v>
      </c>
    </row>
    <row r="568" spans="1:15" ht="17.25" customHeight="1" x14ac:dyDescent="0.2">
      <c r="A568" s="142"/>
      <c r="B568" s="145"/>
      <c r="C568" s="79" t="s">
        <v>12</v>
      </c>
      <c r="D568" s="59">
        <f>SUM(E568:J568)</f>
        <v>42071.3</v>
      </c>
      <c r="E568" s="59">
        <v>42071.3</v>
      </c>
      <c r="F568" s="59">
        <v>0</v>
      </c>
      <c r="G568" s="59">
        <v>0</v>
      </c>
      <c r="H568" s="59">
        <v>0</v>
      </c>
      <c r="I568" s="59">
        <v>0</v>
      </c>
      <c r="J568" s="59">
        <v>0</v>
      </c>
      <c r="K568" s="59">
        <v>0</v>
      </c>
      <c r="L568" s="59">
        <v>0</v>
      </c>
      <c r="M568" s="59">
        <v>0</v>
      </c>
      <c r="N568" s="59">
        <v>0</v>
      </c>
      <c r="O568" s="59">
        <v>0</v>
      </c>
    </row>
    <row r="569" spans="1:15" ht="25.5" customHeight="1" x14ac:dyDescent="0.2">
      <c r="A569" s="142"/>
      <c r="B569" s="145"/>
      <c r="C569" s="79" t="s">
        <v>13</v>
      </c>
      <c r="D569" s="59">
        <f>E569+F569+G569+H569+I569+J569</f>
        <v>0</v>
      </c>
      <c r="E569" s="59">
        <v>0</v>
      </c>
      <c r="F569" s="59">
        <v>0</v>
      </c>
      <c r="G569" s="59">
        <v>0</v>
      </c>
      <c r="H569" s="59">
        <v>0</v>
      </c>
      <c r="I569" s="59">
        <v>0</v>
      </c>
      <c r="J569" s="59">
        <v>0</v>
      </c>
      <c r="K569" s="59">
        <v>0</v>
      </c>
      <c r="L569" s="59">
        <v>0</v>
      </c>
      <c r="M569" s="59">
        <v>0</v>
      </c>
      <c r="N569" s="59">
        <v>0</v>
      </c>
      <c r="O569" s="59">
        <v>0</v>
      </c>
    </row>
    <row r="570" spans="1:15" ht="15.75" customHeight="1" x14ac:dyDescent="0.2">
      <c r="A570" s="141" t="s">
        <v>124</v>
      </c>
      <c r="B570" s="145" t="s">
        <v>135</v>
      </c>
      <c r="C570" s="79" t="s">
        <v>7</v>
      </c>
      <c r="D570" s="59">
        <f>E570+F570+G570+H570+I570+J570+K570+L570+M570+N570+O570</f>
        <v>224030.40000000002</v>
      </c>
      <c r="E570" s="59">
        <f t="shared" ref="E570:O570" si="252">SUM(E571:E574)</f>
        <v>0</v>
      </c>
      <c r="F570" s="59">
        <f t="shared" si="252"/>
        <v>52211</v>
      </c>
      <c r="G570" s="59">
        <f t="shared" si="252"/>
        <v>40056.800000000003</v>
      </c>
      <c r="H570" s="59">
        <f t="shared" si="252"/>
        <v>54812.9</v>
      </c>
      <c r="I570" s="59">
        <f t="shared" si="252"/>
        <v>33448.6</v>
      </c>
      <c r="J570" s="59">
        <f t="shared" si="252"/>
        <v>10688.6</v>
      </c>
      <c r="K570" s="59">
        <f t="shared" si="252"/>
        <v>32812.5</v>
      </c>
      <c r="L570" s="59">
        <f t="shared" si="252"/>
        <v>0</v>
      </c>
      <c r="M570" s="59">
        <f t="shared" si="252"/>
        <v>0</v>
      </c>
      <c r="N570" s="59">
        <f t="shared" si="252"/>
        <v>0</v>
      </c>
      <c r="O570" s="59">
        <f t="shared" si="252"/>
        <v>0</v>
      </c>
    </row>
    <row r="571" spans="1:15" ht="15.75" customHeight="1" x14ac:dyDescent="0.2">
      <c r="A571" s="142"/>
      <c r="B571" s="145"/>
      <c r="C571" s="79" t="s">
        <v>10</v>
      </c>
      <c r="D571" s="59">
        <f t="shared" ref="D571:D669" si="253">E571+F571+G571+H571+I571+J571+K571+L571+M571+N571+O571</f>
        <v>0</v>
      </c>
      <c r="E571" s="59">
        <v>0</v>
      </c>
      <c r="F571" s="59">
        <v>0</v>
      </c>
      <c r="G571" s="59">
        <v>0</v>
      </c>
      <c r="H571" s="59">
        <v>0</v>
      </c>
      <c r="I571" s="59">
        <v>0</v>
      </c>
      <c r="J571" s="59">
        <v>0</v>
      </c>
      <c r="K571" s="59">
        <v>0</v>
      </c>
      <c r="L571" s="59">
        <v>0</v>
      </c>
      <c r="M571" s="59">
        <v>0</v>
      </c>
      <c r="N571" s="59">
        <v>0</v>
      </c>
      <c r="O571" s="59">
        <v>0</v>
      </c>
    </row>
    <row r="572" spans="1:15" ht="15.75" customHeight="1" x14ac:dyDescent="0.2">
      <c r="A572" s="142"/>
      <c r="B572" s="145"/>
      <c r="C572" s="79" t="s">
        <v>11</v>
      </c>
      <c r="D572" s="59">
        <f t="shared" si="253"/>
        <v>0</v>
      </c>
      <c r="E572" s="88">
        <v>0</v>
      </c>
      <c r="F572" s="88">
        <v>0</v>
      </c>
      <c r="G572" s="88">
        <v>0</v>
      </c>
      <c r="H572" s="88">
        <v>0</v>
      </c>
      <c r="I572" s="88">
        <v>0</v>
      </c>
      <c r="J572" s="88">
        <v>0</v>
      </c>
      <c r="K572" s="88">
        <v>0</v>
      </c>
      <c r="L572" s="88">
        <v>0</v>
      </c>
      <c r="M572" s="88">
        <v>0</v>
      </c>
      <c r="N572" s="88">
        <v>0</v>
      </c>
      <c r="O572" s="88">
        <v>0</v>
      </c>
    </row>
    <row r="573" spans="1:15" ht="15.75" customHeight="1" x14ac:dyDescent="0.2">
      <c r="A573" s="142"/>
      <c r="B573" s="145"/>
      <c r="C573" s="79" t="s">
        <v>12</v>
      </c>
      <c r="D573" s="59">
        <f t="shared" si="253"/>
        <v>224030.40000000002</v>
      </c>
      <c r="E573" s="59">
        <v>0</v>
      </c>
      <c r="F573" s="59">
        <v>52211</v>
      </c>
      <c r="G573" s="59">
        <v>40056.800000000003</v>
      </c>
      <c r="H573" s="59">
        <v>54812.9</v>
      </c>
      <c r="I573" s="59">
        <f>33108.6+340</f>
        <v>33448.6</v>
      </c>
      <c r="J573" s="59">
        <f>10688.6-0.1+0.1</f>
        <v>10688.6</v>
      </c>
      <c r="K573" s="59">
        <f>33518.8-706.3</f>
        <v>32812.5</v>
      </c>
      <c r="L573" s="59">
        <v>0</v>
      </c>
      <c r="M573" s="59">
        <v>0</v>
      </c>
      <c r="N573" s="59">
        <v>0</v>
      </c>
      <c r="O573" s="59">
        <v>0</v>
      </c>
    </row>
    <row r="574" spans="1:15" ht="25.5" customHeight="1" x14ac:dyDescent="0.2">
      <c r="A574" s="142"/>
      <c r="B574" s="145"/>
      <c r="C574" s="79" t="s">
        <v>13</v>
      </c>
      <c r="D574" s="59">
        <f t="shared" si="253"/>
        <v>0</v>
      </c>
      <c r="E574" s="59">
        <v>0</v>
      </c>
      <c r="F574" s="59">
        <v>0</v>
      </c>
      <c r="G574" s="59">
        <v>0</v>
      </c>
      <c r="H574" s="59">
        <v>0</v>
      </c>
      <c r="I574" s="59">
        <v>0</v>
      </c>
      <c r="J574" s="59">
        <v>0</v>
      </c>
      <c r="K574" s="59">
        <v>0</v>
      </c>
      <c r="L574" s="59">
        <v>0</v>
      </c>
      <c r="M574" s="59">
        <v>0</v>
      </c>
      <c r="N574" s="59">
        <v>0</v>
      </c>
      <c r="O574" s="59">
        <v>0</v>
      </c>
    </row>
    <row r="575" spans="1:15" ht="24" customHeight="1" x14ac:dyDescent="0.2">
      <c r="A575" s="141" t="s">
        <v>125</v>
      </c>
      <c r="B575" s="145" t="s">
        <v>265</v>
      </c>
      <c r="C575" s="79" t="s">
        <v>7</v>
      </c>
      <c r="D575" s="59">
        <f t="shared" si="253"/>
        <v>54854.5</v>
      </c>
      <c r="E575" s="59">
        <f t="shared" ref="E575:O575" si="254">SUM(E576:E579)</f>
        <v>0</v>
      </c>
      <c r="F575" s="59">
        <f t="shared" si="254"/>
        <v>0</v>
      </c>
      <c r="G575" s="59">
        <f t="shared" si="254"/>
        <v>0</v>
      </c>
      <c r="H575" s="59">
        <f t="shared" si="254"/>
        <v>0</v>
      </c>
      <c r="I575" s="59">
        <f t="shared" si="254"/>
        <v>26485.599999999999</v>
      </c>
      <c r="J575" s="59">
        <f t="shared" si="254"/>
        <v>28368.9</v>
      </c>
      <c r="K575" s="59">
        <f t="shared" si="254"/>
        <v>0</v>
      </c>
      <c r="L575" s="59">
        <f t="shared" si="254"/>
        <v>0</v>
      </c>
      <c r="M575" s="59">
        <f t="shared" si="254"/>
        <v>0</v>
      </c>
      <c r="N575" s="59">
        <f t="shared" si="254"/>
        <v>0</v>
      </c>
      <c r="O575" s="59">
        <f t="shared" si="254"/>
        <v>0</v>
      </c>
    </row>
    <row r="576" spans="1:15" ht="24" customHeight="1" x14ac:dyDescent="0.2">
      <c r="A576" s="142"/>
      <c r="B576" s="145"/>
      <c r="C576" s="79" t="s">
        <v>10</v>
      </c>
      <c r="D576" s="59">
        <f t="shared" si="253"/>
        <v>0</v>
      </c>
      <c r="E576" s="59">
        <v>0</v>
      </c>
      <c r="F576" s="59">
        <v>0</v>
      </c>
      <c r="G576" s="59">
        <v>0</v>
      </c>
      <c r="H576" s="59">
        <v>0</v>
      </c>
      <c r="I576" s="59">
        <v>0</v>
      </c>
      <c r="J576" s="59">
        <v>0</v>
      </c>
      <c r="K576" s="59">
        <v>0</v>
      </c>
      <c r="L576" s="59">
        <v>0</v>
      </c>
      <c r="M576" s="59">
        <v>0</v>
      </c>
      <c r="N576" s="59">
        <v>0</v>
      </c>
      <c r="O576" s="59">
        <v>0</v>
      </c>
    </row>
    <row r="577" spans="1:15" ht="24" customHeight="1" x14ac:dyDescent="0.2">
      <c r="A577" s="142"/>
      <c r="B577" s="145"/>
      <c r="C577" s="79" t="s">
        <v>11</v>
      </c>
      <c r="D577" s="59">
        <f t="shared" si="253"/>
        <v>54854.5</v>
      </c>
      <c r="E577" s="88">
        <v>0</v>
      </c>
      <c r="F577" s="88">
        <v>0</v>
      </c>
      <c r="G577" s="88">
        <v>0</v>
      </c>
      <c r="H577" s="88">
        <v>0</v>
      </c>
      <c r="I577" s="88">
        <v>26485.599999999999</v>
      </c>
      <c r="J577" s="88">
        <f>39057.5-10688.6</f>
        <v>28368.9</v>
      </c>
      <c r="K577" s="88">
        <v>0</v>
      </c>
      <c r="L577" s="88">
        <v>0</v>
      </c>
      <c r="M577" s="88">
        <v>0</v>
      </c>
      <c r="N577" s="88">
        <v>0</v>
      </c>
      <c r="O577" s="88">
        <v>0</v>
      </c>
    </row>
    <row r="578" spans="1:15" ht="24" customHeight="1" x14ac:dyDescent="0.2">
      <c r="A578" s="142"/>
      <c r="B578" s="145"/>
      <c r="C578" s="79" t="s">
        <v>12</v>
      </c>
      <c r="D578" s="59">
        <f t="shared" si="253"/>
        <v>0</v>
      </c>
      <c r="E578" s="59">
        <v>0</v>
      </c>
      <c r="F578" s="59">
        <v>0</v>
      </c>
      <c r="G578" s="59">
        <v>0</v>
      </c>
      <c r="H578" s="59">
        <v>0</v>
      </c>
      <c r="I578" s="59">
        <v>0</v>
      </c>
      <c r="J578" s="59">
        <v>0</v>
      </c>
      <c r="K578" s="59">
        <v>0</v>
      </c>
      <c r="L578" s="59">
        <v>0</v>
      </c>
      <c r="M578" s="59">
        <v>0</v>
      </c>
      <c r="N578" s="59">
        <v>0</v>
      </c>
      <c r="O578" s="59">
        <v>0</v>
      </c>
    </row>
    <row r="579" spans="1:15" ht="24" customHeight="1" x14ac:dyDescent="0.2">
      <c r="A579" s="142"/>
      <c r="B579" s="145"/>
      <c r="C579" s="79" t="s">
        <v>13</v>
      </c>
      <c r="D579" s="59">
        <f t="shared" si="253"/>
        <v>0</v>
      </c>
      <c r="E579" s="59">
        <v>0</v>
      </c>
      <c r="F579" s="59">
        <v>0</v>
      </c>
      <c r="G579" s="59">
        <v>0</v>
      </c>
      <c r="H579" s="59">
        <v>0</v>
      </c>
      <c r="I579" s="59">
        <v>0</v>
      </c>
      <c r="J579" s="59">
        <v>0</v>
      </c>
      <c r="K579" s="59">
        <v>0</v>
      </c>
      <c r="L579" s="59">
        <v>0</v>
      </c>
      <c r="M579" s="59">
        <v>0</v>
      </c>
      <c r="N579" s="59">
        <v>0</v>
      </c>
      <c r="O579" s="59">
        <v>0</v>
      </c>
    </row>
    <row r="580" spans="1:15" ht="15.75" customHeight="1" x14ac:dyDescent="0.25">
      <c r="A580" s="141" t="s">
        <v>126</v>
      </c>
      <c r="B580" s="145" t="s">
        <v>44</v>
      </c>
      <c r="C580" s="93" t="s">
        <v>7</v>
      </c>
      <c r="D580" s="59">
        <f t="shared" si="253"/>
        <v>456799.19999999995</v>
      </c>
      <c r="E580" s="88">
        <f t="shared" ref="E580:O580" si="255">E581+E582+E583+E584</f>
        <v>47997.7</v>
      </c>
      <c r="F580" s="88">
        <f t="shared" si="255"/>
        <v>54818</v>
      </c>
      <c r="G580" s="88">
        <f>G581+G582+G583+G584</f>
        <v>75015.600000000006</v>
      </c>
      <c r="H580" s="88">
        <f t="shared" si="255"/>
        <v>70853</v>
      </c>
      <c r="I580" s="88">
        <f t="shared" si="255"/>
        <v>74592.900000000009</v>
      </c>
      <c r="J580" s="88">
        <f t="shared" si="255"/>
        <v>77207.3</v>
      </c>
      <c r="K580" s="88">
        <f t="shared" si="255"/>
        <v>53504.3</v>
      </c>
      <c r="L580" s="88">
        <f t="shared" si="255"/>
        <v>1605.8</v>
      </c>
      <c r="M580" s="88">
        <f t="shared" si="255"/>
        <v>389.59999999999991</v>
      </c>
      <c r="N580" s="88">
        <f t="shared" si="255"/>
        <v>407.5</v>
      </c>
      <c r="O580" s="88">
        <f t="shared" si="255"/>
        <v>407.5</v>
      </c>
    </row>
    <row r="581" spans="1:15" ht="15.75" customHeight="1" x14ac:dyDescent="0.2">
      <c r="A581" s="142"/>
      <c r="B581" s="149"/>
      <c r="C581" s="79" t="s">
        <v>10</v>
      </c>
      <c r="D581" s="59">
        <f t="shared" si="253"/>
        <v>0</v>
      </c>
      <c r="E581" s="88">
        <v>0</v>
      </c>
      <c r="F581" s="88">
        <v>0</v>
      </c>
      <c r="G581" s="88">
        <v>0</v>
      </c>
      <c r="H581" s="88">
        <v>0</v>
      </c>
      <c r="I581" s="88">
        <v>0</v>
      </c>
      <c r="J581" s="88">
        <v>0</v>
      </c>
      <c r="K581" s="88">
        <v>0</v>
      </c>
      <c r="L581" s="88">
        <v>0</v>
      </c>
      <c r="M581" s="88">
        <v>0</v>
      </c>
      <c r="N581" s="88">
        <v>0</v>
      </c>
      <c r="O581" s="88">
        <v>0</v>
      </c>
    </row>
    <row r="582" spans="1:15" ht="15.75" customHeight="1" x14ac:dyDescent="0.2">
      <c r="A582" s="142"/>
      <c r="B582" s="149"/>
      <c r="C582" s="79" t="s">
        <v>11</v>
      </c>
      <c r="D582" s="59">
        <f t="shared" si="253"/>
        <v>0</v>
      </c>
      <c r="E582" s="88">
        <v>0</v>
      </c>
      <c r="F582" s="88">
        <v>0</v>
      </c>
      <c r="G582" s="88">
        <v>0</v>
      </c>
      <c r="H582" s="88">
        <v>0</v>
      </c>
      <c r="I582" s="88">
        <v>0</v>
      </c>
      <c r="J582" s="88">
        <v>0</v>
      </c>
      <c r="K582" s="88">
        <v>0</v>
      </c>
      <c r="L582" s="88">
        <v>0</v>
      </c>
      <c r="M582" s="88">
        <v>0</v>
      </c>
      <c r="N582" s="88">
        <v>0</v>
      </c>
      <c r="O582" s="88">
        <v>0</v>
      </c>
    </row>
    <row r="583" spans="1:15" ht="15.75" customHeight="1" x14ac:dyDescent="0.2">
      <c r="A583" s="142"/>
      <c r="B583" s="149"/>
      <c r="C583" s="79" t="s">
        <v>12</v>
      </c>
      <c r="D583" s="59">
        <f t="shared" si="253"/>
        <v>456799.19999999995</v>
      </c>
      <c r="E583" s="88">
        <v>47997.7</v>
      </c>
      <c r="F583" s="88">
        <v>54818</v>
      </c>
      <c r="G583" s="88">
        <v>75015.600000000006</v>
      </c>
      <c r="H583" s="88">
        <v>70853</v>
      </c>
      <c r="I583" s="88">
        <f>74919.3-326.4</f>
        <v>74592.900000000009</v>
      </c>
      <c r="J583" s="88">
        <f>78197.5-990.2</f>
        <v>77207.3</v>
      </c>
      <c r="K583" s="88">
        <f>83504.3-30000</f>
        <v>53504.3</v>
      </c>
      <c r="L583" s="88">
        <f>1664.8-59</f>
        <v>1605.8</v>
      </c>
      <c r="M583" s="88">
        <f>1835.8-1446.2</f>
        <v>389.59999999999991</v>
      </c>
      <c r="N583" s="88">
        <f>1918.6-1511.1</f>
        <v>407.5</v>
      </c>
      <c r="O583" s="88">
        <f>1918.6-1511.1</f>
        <v>407.5</v>
      </c>
    </row>
    <row r="584" spans="1:15" ht="15.75" customHeight="1" x14ac:dyDescent="0.2">
      <c r="A584" s="142"/>
      <c r="B584" s="149"/>
      <c r="C584" s="79" t="s">
        <v>13</v>
      </c>
      <c r="D584" s="59">
        <f t="shared" si="253"/>
        <v>0</v>
      </c>
      <c r="E584" s="88">
        <v>0</v>
      </c>
      <c r="F584" s="88">
        <v>0</v>
      </c>
      <c r="G584" s="88">
        <v>0</v>
      </c>
      <c r="H584" s="88">
        <v>0</v>
      </c>
      <c r="I584" s="88">
        <v>0</v>
      </c>
      <c r="J584" s="88">
        <v>0</v>
      </c>
      <c r="K584" s="88">
        <v>0</v>
      </c>
      <c r="L584" s="88">
        <v>0</v>
      </c>
      <c r="M584" s="88">
        <v>0</v>
      </c>
      <c r="N584" s="88">
        <v>0</v>
      </c>
      <c r="O584" s="88">
        <v>0</v>
      </c>
    </row>
    <row r="585" spans="1:15" ht="17.25" customHeight="1" x14ac:dyDescent="0.25">
      <c r="A585" s="138" t="s">
        <v>127</v>
      </c>
      <c r="B585" s="141" t="s">
        <v>153</v>
      </c>
      <c r="C585" s="93" t="s">
        <v>7</v>
      </c>
      <c r="D585" s="59">
        <f t="shared" si="253"/>
        <v>25746.6</v>
      </c>
      <c r="E585" s="88">
        <f t="shared" ref="E585:K585" si="256">E586+E587+E588+E589</f>
        <v>25746.6</v>
      </c>
      <c r="F585" s="88">
        <f t="shared" si="256"/>
        <v>0</v>
      </c>
      <c r="G585" s="88">
        <f t="shared" si="256"/>
        <v>0</v>
      </c>
      <c r="H585" s="88">
        <f t="shared" si="256"/>
        <v>0</v>
      </c>
      <c r="I585" s="88">
        <f t="shared" si="256"/>
        <v>0</v>
      </c>
      <c r="J585" s="88">
        <f t="shared" si="256"/>
        <v>0</v>
      </c>
      <c r="K585" s="88">
        <f t="shared" si="256"/>
        <v>0</v>
      </c>
      <c r="L585" s="88">
        <f>L586+L587+L588+L589</f>
        <v>0</v>
      </c>
      <c r="M585" s="88">
        <f>M586+M587+M588+M589</f>
        <v>0</v>
      </c>
      <c r="N585" s="88">
        <f>N586+N587+N588+N589</f>
        <v>0</v>
      </c>
      <c r="O585" s="88">
        <f>O586+O587+O588+O589</f>
        <v>0</v>
      </c>
    </row>
    <row r="586" spans="1:15" ht="17.25" customHeight="1" x14ac:dyDescent="0.2">
      <c r="A586" s="143"/>
      <c r="B586" s="149"/>
      <c r="C586" s="79" t="s">
        <v>10</v>
      </c>
      <c r="D586" s="59">
        <f t="shared" si="253"/>
        <v>0</v>
      </c>
      <c r="E586" s="88">
        <v>0</v>
      </c>
      <c r="F586" s="88">
        <v>0</v>
      </c>
      <c r="G586" s="88">
        <v>0</v>
      </c>
      <c r="H586" s="88">
        <v>0</v>
      </c>
      <c r="I586" s="88">
        <v>0</v>
      </c>
      <c r="J586" s="88">
        <v>0</v>
      </c>
      <c r="K586" s="88">
        <v>0</v>
      </c>
      <c r="L586" s="88">
        <v>0</v>
      </c>
      <c r="M586" s="88">
        <v>0</v>
      </c>
      <c r="N586" s="88">
        <v>0</v>
      </c>
      <c r="O586" s="88">
        <v>0</v>
      </c>
    </row>
    <row r="587" spans="1:15" ht="18" customHeight="1" x14ac:dyDescent="0.2">
      <c r="A587" s="143"/>
      <c r="B587" s="149"/>
      <c r="C587" s="79" t="s">
        <v>11</v>
      </c>
      <c r="D587" s="59">
        <f t="shared" si="253"/>
        <v>0</v>
      </c>
      <c r="E587" s="88">
        <v>0</v>
      </c>
      <c r="F587" s="88">
        <v>0</v>
      </c>
      <c r="G587" s="88">
        <v>0</v>
      </c>
      <c r="H587" s="88">
        <v>0</v>
      </c>
      <c r="I587" s="88">
        <v>0</v>
      </c>
      <c r="J587" s="88">
        <v>0</v>
      </c>
      <c r="K587" s="88">
        <v>0</v>
      </c>
      <c r="L587" s="88">
        <v>0</v>
      </c>
      <c r="M587" s="88">
        <v>0</v>
      </c>
      <c r="N587" s="88">
        <v>0</v>
      </c>
      <c r="O587" s="88">
        <v>0</v>
      </c>
    </row>
    <row r="588" spans="1:15" ht="15.75" customHeight="1" x14ac:dyDescent="0.2">
      <c r="A588" s="143"/>
      <c r="B588" s="149"/>
      <c r="C588" s="79" t="s">
        <v>12</v>
      </c>
      <c r="D588" s="59">
        <f t="shared" si="253"/>
        <v>25746.6</v>
      </c>
      <c r="E588" s="88">
        <v>25746.6</v>
      </c>
      <c r="F588" s="88">
        <v>0</v>
      </c>
      <c r="G588" s="88">
        <v>0</v>
      </c>
      <c r="H588" s="88">
        <v>0</v>
      </c>
      <c r="I588" s="88">
        <v>0</v>
      </c>
      <c r="J588" s="88">
        <v>0</v>
      </c>
      <c r="K588" s="88">
        <v>0</v>
      </c>
      <c r="L588" s="88">
        <v>0</v>
      </c>
      <c r="M588" s="88">
        <v>0</v>
      </c>
      <c r="N588" s="88">
        <v>0</v>
      </c>
      <c r="O588" s="88">
        <v>0</v>
      </c>
    </row>
    <row r="589" spans="1:15" ht="33.75" customHeight="1" x14ac:dyDescent="0.2">
      <c r="A589" s="144"/>
      <c r="B589" s="149"/>
      <c r="C589" s="79" t="s">
        <v>13</v>
      </c>
      <c r="D589" s="59">
        <f t="shared" si="253"/>
        <v>0</v>
      </c>
      <c r="E589" s="88">
        <v>0</v>
      </c>
      <c r="F589" s="88">
        <v>0</v>
      </c>
      <c r="G589" s="88">
        <v>0</v>
      </c>
      <c r="H589" s="88">
        <v>0</v>
      </c>
      <c r="I589" s="88">
        <v>0</v>
      </c>
      <c r="J589" s="88">
        <v>0</v>
      </c>
      <c r="K589" s="88">
        <v>0</v>
      </c>
      <c r="L589" s="88">
        <v>0</v>
      </c>
      <c r="M589" s="88">
        <v>0</v>
      </c>
      <c r="N589" s="88">
        <v>0</v>
      </c>
      <c r="O589" s="88">
        <v>0</v>
      </c>
    </row>
    <row r="590" spans="1:15" ht="15.75" x14ac:dyDescent="0.2">
      <c r="A590" s="141" t="s">
        <v>128</v>
      </c>
      <c r="B590" s="145" t="s">
        <v>136</v>
      </c>
      <c r="C590" s="89" t="s">
        <v>7</v>
      </c>
      <c r="D590" s="59">
        <f>E590+F590+G590+H590+I590+J590+K590+L590+M590+N590+O590</f>
        <v>335441.40000000002</v>
      </c>
      <c r="E590" s="88">
        <f t="shared" ref="E590:J590" si="257">SUM(E591:E594)</f>
        <v>0</v>
      </c>
      <c r="F590" s="88">
        <f t="shared" si="257"/>
        <v>36667.5</v>
      </c>
      <c r="G590" s="88">
        <f t="shared" si="257"/>
        <v>33267.5</v>
      </c>
      <c r="H590" s="88">
        <f t="shared" si="257"/>
        <v>35169.599999999999</v>
      </c>
      <c r="I590" s="88">
        <f t="shared" si="257"/>
        <v>22060.600000000002</v>
      </c>
      <c r="J590" s="88">
        <f t="shared" si="257"/>
        <v>19768.5</v>
      </c>
      <c r="K590" s="88">
        <f>SUM(K591:K594)</f>
        <v>46323.700000000004</v>
      </c>
      <c r="L590" s="88">
        <f>SUM(L591:L594)</f>
        <v>49231.600000000006</v>
      </c>
      <c r="M590" s="88">
        <f>SUM(M591:M594)</f>
        <v>27834.700000000004</v>
      </c>
      <c r="N590" s="88">
        <f>SUM(N591:N594)</f>
        <v>32800.9</v>
      </c>
      <c r="O590" s="88">
        <f>SUM(O591:O594)</f>
        <v>32316.800000000003</v>
      </c>
    </row>
    <row r="591" spans="1:15" ht="15.75" customHeight="1" x14ac:dyDescent="0.2">
      <c r="A591" s="142"/>
      <c r="B591" s="146"/>
      <c r="C591" s="79" t="s">
        <v>10</v>
      </c>
      <c r="D591" s="59">
        <f t="shared" si="253"/>
        <v>0</v>
      </c>
      <c r="E591" s="88">
        <v>0</v>
      </c>
      <c r="F591" s="88">
        <v>0</v>
      </c>
      <c r="G591" s="88">
        <v>0</v>
      </c>
      <c r="H591" s="88">
        <v>0</v>
      </c>
      <c r="I591" s="88">
        <v>0</v>
      </c>
      <c r="J591" s="88">
        <v>0</v>
      </c>
      <c r="K591" s="88">
        <v>0</v>
      </c>
      <c r="L591" s="88">
        <v>0</v>
      </c>
      <c r="M591" s="88">
        <v>0</v>
      </c>
      <c r="N591" s="88">
        <v>0</v>
      </c>
      <c r="O591" s="88">
        <v>0</v>
      </c>
    </row>
    <row r="592" spans="1:15" ht="15.75" customHeight="1" x14ac:dyDescent="0.2">
      <c r="A592" s="142"/>
      <c r="B592" s="146"/>
      <c r="C592" s="79" t="s">
        <v>11</v>
      </c>
      <c r="D592" s="59">
        <f t="shared" si="253"/>
        <v>0</v>
      </c>
      <c r="E592" s="88">
        <v>0</v>
      </c>
      <c r="F592" s="88">
        <v>0</v>
      </c>
      <c r="G592" s="88">
        <v>0</v>
      </c>
      <c r="H592" s="88">
        <v>0</v>
      </c>
      <c r="I592" s="88">
        <v>0</v>
      </c>
      <c r="J592" s="88">
        <v>0</v>
      </c>
      <c r="K592" s="88">
        <v>0</v>
      </c>
      <c r="L592" s="88">
        <v>0</v>
      </c>
      <c r="M592" s="88">
        <v>0</v>
      </c>
      <c r="N592" s="88">
        <v>0</v>
      </c>
      <c r="O592" s="88">
        <v>0</v>
      </c>
    </row>
    <row r="593" spans="1:17" ht="15.75" customHeight="1" x14ac:dyDescent="0.2">
      <c r="A593" s="142"/>
      <c r="B593" s="146"/>
      <c r="C593" s="79" t="s">
        <v>12</v>
      </c>
      <c r="D593" s="59">
        <f t="shared" si="253"/>
        <v>335441.40000000002</v>
      </c>
      <c r="E593" s="88">
        <v>0</v>
      </c>
      <c r="F593" s="88">
        <v>36667.5</v>
      </c>
      <c r="G593" s="88">
        <v>33267.5</v>
      </c>
      <c r="H593" s="88">
        <v>35169.599999999999</v>
      </c>
      <c r="I593" s="88">
        <f>23852.9-1792.3</f>
        <v>22060.600000000002</v>
      </c>
      <c r="J593" s="88">
        <f>28768.5-9000</f>
        <v>19768.5</v>
      </c>
      <c r="K593" s="88">
        <f>29083+5516.8+7690+4019.9+14</f>
        <v>46323.700000000004</v>
      </c>
      <c r="L593" s="88">
        <f>34599.8+8000+6572.8+59</f>
        <v>49231.600000000006</v>
      </c>
      <c r="M593" s="88">
        <f>35983.8-8149.1</f>
        <v>27834.700000000004</v>
      </c>
      <c r="N593" s="88">
        <f>37423.1-4622.2</f>
        <v>32800.9</v>
      </c>
      <c r="O593" s="88">
        <f>87586.3-55269.5</f>
        <v>32316.800000000003</v>
      </c>
    </row>
    <row r="594" spans="1:17" ht="21.75" customHeight="1" x14ac:dyDescent="0.2">
      <c r="A594" s="142"/>
      <c r="B594" s="146"/>
      <c r="C594" s="79" t="s">
        <v>13</v>
      </c>
      <c r="D594" s="59">
        <f t="shared" si="253"/>
        <v>0</v>
      </c>
      <c r="E594" s="88">
        <v>0</v>
      </c>
      <c r="F594" s="88">
        <v>0</v>
      </c>
      <c r="G594" s="88">
        <v>0</v>
      </c>
      <c r="H594" s="88">
        <v>0</v>
      </c>
      <c r="I594" s="88">
        <v>0</v>
      </c>
      <c r="J594" s="88">
        <v>0</v>
      </c>
      <c r="K594" s="88">
        <v>0</v>
      </c>
      <c r="L594" s="88">
        <v>0</v>
      </c>
      <c r="M594" s="88">
        <v>0</v>
      </c>
      <c r="N594" s="88">
        <v>0</v>
      </c>
      <c r="O594" s="88">
        <v>0</v>
      </c>
    </row>
    <row r="595" spans="1:17" ht="22.5" customHeight="1" x14ac:dyDescent="0.25">
      <c r="A595" s="141" t="s">
        <v>205</v>
      </c>
      <c r="B595" s="145" t="s">
        <v>364</v>
      </c>
      <c r="C595" s="93" t="s">
        <v>7</v>
      </c>
      <c r="D595" s="59">
        <f>E595+F595+G595+H595+I595+J595+K595+L595+M595+N595+O595</f>
        <v>32005.9</v>
      </c>
      <c r="E595" s="88">
        <f t="shared" ref="E595:K595" si="258">SUM(E596:E599)</f>
        <v>0</v>
      </c>
      <c r="F595" s="88">
        <f t="shared" si="258"/>
        <v>0</v>
      </c>
      <c r="G595" s="88">
        <f t="shared" si="258"/>
        <v>0</v>
      </c>
      <c r="H595" s="88">
        <f t="shared" si="258"/>
        <v>0</v>
      </c>
      <c r="I595" s="88">
        <f t="shared" si="258"/>
        <v>22691.4</v>
      </c>
      <c r="J595" s="88">
        <f t="shared" si="258"/>
        <v>9314.5</v>
      </c>
      <c r="K595" s="88">
        <f t="shared" si="258"/>
        <v>0</v>
      </c>
      <c r="L595" s="88">
        <f>SUM(L596:L599)</f>
        <v>0</v>
      </c>
      <c r="M595" s="88">
        <f>SUM(M596:M599)</f>
        <v>0</v>
      </c>
      <c r="N595" s="88">
        <f>SUM(N596:N599)</f>
        <v>0</v>
      </c>
      <c r="O595" s="88">
        <f>SUM(O596:O599)</f>
        <v>0</v>
      </c>
      <c r="P595" s="62">
        <f>I593+I597</f>
        <v>44752</v>
      </c>
      <c r="Q595" s="62"/>
    </row>
    <row r="596" spans="1:17" ht="22.5" customHeight="1" x14ac:dyDescent="0.2">
      <c r="A596" s="142"/>
      <c r="B596" s="146"/>
      <c r="C596" s="79" t="s">
        <v>10</v>
      </c>
      <c r="D596" s="59">
        <f t="shared" si="253"/>
        <v>0</v>
      </c>
      <c r="E596" s="88">
        <v>0</v>
      </c>
      <c r="F596" s="88">
        <v>0</v>
      </c>
      <c r="G596" s="88">
        <v>0</v>
      </c>
      <c r="H596" s="88">
        <v>0</v>
      </c>
      <c r="I596" s="88">
        <v>0</v>
      </c>
      <c r="J596" s="88">
        <v>0</v>
      </c>
      <c r="K596" s="88">
        <v>0</v>
      </c>
      <c r="L596" s="88">
        <v>0</v>
      </c>
      <c r="M596" s="88">
        <v>0</v>
      </c>
      <c r="N596" s="88">
        <v>0</v>
      </c>
      <c r="O596" s="88">
        <v>0</v>
      </c>
    </row>
    <row r="597" spans="1:17" ht="22.5" customHeight="1" x14ac:dyDescent="0.2">
      <c r="A597" s="142"/>
      <c r="B597" s="146"/>
      <c r="C597" s="79" t="s">
        <v>11</v>
      </c>
      <c r="D597" s="59">
        <f t="shared" si="253"/>
        <v>32005.9</v>
      </c>
      <c r="E597" s="88">
        <v>0</v>
      </c>
      <c r="F597" s="88">
        <v>0</v>
      </c>
      <c r="G597" s="88">
        <v>0</v>
      </c>
      <c r="H597" s="88">
        <v>0</v>
      </c>
      <c r="I597" s="88">
        <v>22691.4</v>
      </c>
      <c r="J597" s="88">
        <f>38083-28768.5</f>
        <v>9314.5</v>
      </c>
      <c r="K597" s="88">
        <v>0</v>
      </c>
      <c r="L597" s="88">
        <v>0</v>
      </c>
      <c r="M597" s="88">
        <v>0</v>
      </c>
      <c r="N597" s="88">
        <v>0</v>
      </c>
      <c r="O597" s="88">
        <v>0</v>
      </c>
    </row>
    <row r="598" spans="1:17" ht="22.5" customHeight="1" x14ac:dyDescent="0.2">
      <c r="A598" s="142"/>
      <c r="B598" s="146"/>
      <c r="C598" s="79" t="s">
        <v>12</v>
      </c>
      <c r="D598" s="59">
        <f t="shared" si="253"/>
        <v>0</v>
      </c>
      <c r="E598" s="88">
        <v>0</v>
      </c>
      <c r="F598" s="88">
        <v>0</v>
      </c>
      <c r="G598" s="88">
        <v>0</v>
      </c>
      <c r="H598" s="88">
        <v>0</v>
      </c>
      <c r="I598" s="88">
        <v>0</v>
      </c>
      <c r="J598" s="88">
        <v>0</v>
      </c>
      <c r="K598" s="88">
        <v>0</v>
      </c>
      <c r="L598" s="88">
        <v>0</v>
      </c>
      <c r="M598" s="88">
        <v>0</v>
      </c>
      <c r="N598" s="88">
        <v>0</v>
      </c>
      <c r="O598" s="88">
        <v>0</v>
      </c>
    </row>
    <row r="599" spans="1:17" ht="22.5" customHeight="1" x14ac:dyDescent="0.2">
      <c r="A599" s="142"/>
      <c r="B599" s="146"/>
      <c r="C599" s="79" t="s">
        <v>13</v>
      </c>
      <c r="D599" s="59">
        <f t="shared" si="253"/>
        <v>0</v>
      </c>
      <c r="E599" s="88">
        <v>0</v>
      </c>
      <c r="F599" s="88">
        <v>0</v>
      </c>
      <c r="G599" s="88">
        <v>0</v>
      </c>
      <c r="H599" s="88">
        <v>0</v>
      </c>
      <c r="I599" s="88">
        <v>0</v>
      </c>
      <c r="J599" s="88">
        <v>0</v>
      </c>
      <c r="K599" s="88">
        <v>0</v>
      </c>
      <c r="L599" s="88">
        <v>0</v>
      </c>
      <c r="M599" s="88">
        <v>0</v>
      </c>
      <c r="N599" s="88">
        <v>0</v>
      </c>
      <c r="O599" s="88">
        <v>0</v>
      </c>
    </row>
    <row r="600" spans="1:17" ht="23.25" customHeight="1" x14ac:dyDescent="0.2">
      <c r="A600" s="141" t="s">
        <v>206</v>
      </c>
      <c r="B600" s="145" t="s">
        <v>228</v>
      </c>
      <c r="C600" s="79" t="s">
        <v>7</v>
      </c>
      <c r="D600" s="59">
        <f t="shared" si="253"/>
        <v>62441</v>
      </c>
      <c r="E600" s="88">
        <f t="shared" ref="E600:K600" si="259">SUM(E601:E604)</f>
        <v>62441</v>
      </c>
      <c r="F600" s="88">
        <f t="shared" si="259"/>
        <v>0</v>
      </c>
      <c r="G600" s="88">
        <f t="shared" si="259"/>
        <v>0</v>
      </c>
      <c r="H600" s="88">
        <f t="shared" si="259"/>
        <v>0</v>
      </c>
      <c r="I600" s="88">
        <f t="shared" si="259"/>
        <v>0</v>
      </c>
      <c r="J600" s="88">
        <f t="shared" si="259"/>
        <v>0</v>
      </c>
      <c r="K600" s="88">
        <f t="shared" si="259"/>
        <v>0</v>
      </c>
      <c r="L600" s="88">
        <f>SUM(L601:L604)</f>
        <v>0</v>
      </c>
      <c r="M600" s="88">
        <f>SUM(M601:M604)</f>
        <v>0</v>
      </c>
      <c r="N600" s="88">
        <f>SUM(N601:N604)</f>
        <v>0</v>
      </c>
      <c r="O600" s="88">
        <f>SUM(O601:O604)</f>
        <v>0</v>
      </c>
    </row>
    <row r="601" spans="1:17" ht="23.25" customHeight="1" x14ac:dyDescent="0.2">
      <c r="A601" s="142"/>
      <c r="B601" s="145"/>
      <c r="C601" s="79" t="s">
        <v>10</v>
      </c>
      <c r="D601" s="59">
        <f t="shared" si="253"/>
        <v>0</v>
      </c>
      <c r="E601" s="88">
        <v>0</v>
      </c>
      <c r="F601" s="88">
        <v>0</v>
      </c>
      <c r="G601" s="88">
        <v>0</v>
      </c>
      <c r="H601" s="88">
        <v>0</v>
      </c>
      <c r="I601" s="88">
        <v>0</v>
      </c>
      <c r="J601" s="88">
        <v>0</v>
      </c>
      <c r="K601" s="88">
        <v>0</v>
      </c>
      <c r="L601" s="88">
        <v>0</v>
      </c>
      <c r="M601" s="88">
        <v>0</v>
      </c>
      <c r="N601" s="88">
        <v>0</v>
      </c>
      <c r="O601" s="88">
        <v>0</v>
      </c>
    </row>
    <row r="602" spans="1:17" ht="23.25" customHeight="1" x14ac:dyDescent="0.2">
      <c r="A602" s="142"/>
      <c r="B602" s="145"/>
      <c r="C602" s="79" t="s">
        <v>11</v>
      </c>
      <c r="D602" s="59">
        <f t="shared" si="253"/>
        <v>0</v>
      </c>
      <c r="E602" s="88">
        <v>0</v>
      </c>
      <c r="F602" s="88">
        <v>0</v>
      </c>
      <c r="G602" s="88">
        <v>0</v>
      </c>
      <c r="H602" s="88">
        <v>0</v>
      </c>
      <c r="I602" s="88">
        <v>0</v>
      </c>
      <c r="J602" s="88">
        <v>0</v>
      </c>
      <c r="K602" s="88">
        <v>0</v>
      </c>
      <c r="L602" s="88">
        <v>0</v>
      </c>
      <c r="M602" s="88">
        <v>0</v>
      </c>
      <c r="N602" s="88">
        <v>0</v>
      </c>
      <c r="O602" s="88">
        <v>0</v>
      </c>
    </row>
    <row r="603" spans="1:17" ht="23.25" customHeight="1" x14ac:dyDescent="0.2">
      <c r="A603" s="142"/>
      <c r="B603" s="145"/>
      <c r="C603" s="79" t="s">
        <v>12</v>
      </c>
      <c r="D603" s="59">
        <f t="shared" si="253"/>
        <v>62441</v>
      </c>
      <c r="E603" s="88">
        <v>62441</v>
      </c>
      <c r="F603" s="88">
        <v>0</v>
      </c>
      <c r="G603" s="88">
        <v>0</v>
      </c>
      <c r="H603" s="88">
        <v>0</v>
      </c>
      <c r="I603" s="88">
        <v>0</v>
      </c>
      <c r="J603" s="88">
        <v>0</v>
      </c>
      <c r="K603" s="88">
        <v>0</v>
      </c>
      <c r="L603" s="88">
        <v>0</v>
      </c>
      <c r="M603" s="88">
        <v>0</v>
      </c>
      <c r="N603" s="88">
        <v>0</v>
      </c>
      <c r="O603" s="88">
        <v>0</v>
      </c>
    </row>
    <row r="604" spans="1:17" ht="23.25" customHeight="1" x14ac:dyDescent="0.2">
      <c r="A604" s="142"/>
      <c r="B604" s="145"/>
      <c r="C604" s="79" t="s">
        <v>13</v>
      </c>
      <c r="D604" s="59">
        <f t="shared" si="253"/>
        <v>0</v>
      </c>
      <c r="E604" s="88">
        <v>0</v>
      </c>
      <c r="F604" s="88">
        <v>0</v>
      </c>
      <c r="G604" s="88">
        <v>0</v>
      </c>
      <c r="H604" s="88">
        <v>0</v>
      </c>
      <c r="I604" s="88">
        <v>0</v>
      </c>
      <c r="J604" s="88">
        <v>0</v>
      </c>
      <c r="K604" s="88">
        <v>0</v>
      </c>
      <c r="L604" s="88">
        <v>0</v>
      </c>
      <c r="M604" s="88">
        <v>0</v>
      </c>
      <c r="N604" s="88">
        <v>0</v>
      </c>
      <c r="O604" s="88">
        <v>0</v>
      </c>
    </row>
    <row r="605" spans="1:17" ht="24.75" customHeight="1" x14ac:dyDescent="0.2">
      <c r="A605" s="141" t="s">
        <v>207</v>
      </c>
      <c r="B605" s="145" t="s">
        <v>374</v>
      </c>
      <c r="C605" s="79" t="s">
        <v>7</v>
      </c>
      <c r="D605" s="59">
        <f>E605+F605+G605+H605+I605+J605+K605+L605+M605+N605+O605</f>
        <v>635950.19999999995</v>
      </c>
      <c r="E605" s="88">
        <f t="shared" ref="E605:O605" si="260">SUM(E606:E609)</f>
        <v>1932.4</v>
      </c>
      <c r="F605" s="88">
        <f t="shared" si="260"/>
        <v>76373.399999999994</v>
      </c>
      <c r="G605" s="88">
        <f t="shared" si="260"/>
        <v>73973.399999999994</v>
      </c>
      <c r="H605" s="88">
        <f t="shared" si="260"/>
        <v>75506</v>
      </c>
      <c r="I605" s="88">
        <f t="shared" si="260"/>
        <v>14907.4</v>
      </c>
      <c r="J605" s="88">
        <f t="shared" si="260"/>
        <v>34818.300000000003</v>
      </c>
      <c r="K605" s="88">
        <f t="shared" si="260"/>
        <v>103745.79999999999</v>
      </c>
      <c r="L605" s="88">
        <f t="shared" si="260"/>
        <v>88159.2</v>
      </c>
      <c r="M605" s="88">
        <f t="shared" si="260"/>
        <v>49868.899999999987</v>
      </c>
      <c r="N605" s="88">
        <f t="shared" si="260"/>
        <v>58766.399999999994</v>
      </c>
      <c r="O605" s="88">
        <f t="shared" si="260"/>
        <v>57898.999999999985</v>
      </c>
    </row>
    <row r="606" spans="1:17" ht="24.75" customHeight="1" x14ac:dyDescent="0.2">
      <c r="A606" s="142"/>
      <c r="B606" s="145"/>
      <c r="C606" s="79" t="s">
        <v>10</v>
      </c>
      <c r="D606" s="59">
        <f t="shared" si="253"/>
        <v>0</v>
      </c>
      <c r="E606" s="88">
        <v>0</v>
      </c>
      <c r="F606" s="88">
        <v>0</v>
      </c>
      <c r="G606" s="88">
        <v>0</v>
      </c>
      <c r="H606" s="88">
        <v>0</v>
      </c>
      <c r="I606" s="88">
        <v>0</v>
      </c>
      <c r="J606" s="88">
        <v>0</v>
      </c>
      <c r="K606" s="88">
        <v>0</v>
      </c>
      <c r="L606" s="88">
        <v>0</v>
      </c>
      <c r="M606" s="88">
        <v>0</v>
      </c>
      <c r="N606" s="88">
        <v>0</v>
      </c>
      <c r="O606" s="88">
        <v>0</v>
      </c>
    </row>
    <row r="607" spans="1:17" ht="24.75" customHeight="1" x14ac:dyDescent="0.2">
      <c r="A607" s="142"/>
      <c r="B607" s="145"/>
      <c r="C607" s="79" t="s">
        <v>11</v>
      </c>
      <c r="D607" s="59">
        <f t="shared" si="253"/>
        <v>0</v>
      </c>
      <c r="E607" s="88">
        <v>0</v>
      </c>
      <c r="F607" s="88">
        <v>0</v>
      </c>
      <c r="G607" s="88">
        <v>0</v>
      </c>
      <c r="H607" s="88">
        <v>0</v>
      </c>
      <c r="I607" s="88">
        <v>0</v>
      </c>
      <c r="J607" s="88">
        <v>0</v>
      </c>
      <c r="K607" s="88">
        <v>0</v>
      </c>
      <c r="L607" s="88">
        <v>0</v>
      </c>
      <c r="M607" s="88">
        <v>0</v>
      </c>
      <c r="N607" s="88">
        <v>0</v>
      </c>
      <c r="O607" s="88">
        <v>0</v>
      </c>
    </row>
    <row r="608" spans="1:17" ht="24.75" customHeight="1" x14ac:dyDescent="0.2">
      <c r="A608" s="142"/>
      <c r="B608" s="145"/>
      <c r="C608" s="79" t="s">
        <v>12</v>
      </c>
      <c r="D608" s="59">
        <f t="shared" si="253"/>
        <v>635950.19999999995</v>
      </c>
      <c r="E608" s="88">
        <v>1932.4</v>
      </c>
      <c r="F608" s="88">
        <v>76373.399999999994</v>
      </c>
      <c r="G608" s="88">
        <v>73973.399999999994</v>
      </c>
      <c r="H608" s="88">
        <v>75506</v>
      </c>
      <c r="I608" s="88">
        <f>21398.5-6491.1</f>
        <v>14907.4</v>
      </c>
      <c r="J608" s="88">
        <f>42143.1-20000+4043.7+8631.5</f>
        <v>34818.300000000003</v>
      </c>
      <c r="K608" s="88">
        <f>62603+5000+2210.9+4495+16930+12506.9</f>
        <v>103745.79999999999</v>
      </c>
      <c r="L608" s="88">
        <f>72098+61.2+16000</f>
        <v>88159.2</v>
      </c>
      <c r="M608" s="88">
        <f>74981.9-6930.1-9269.9-8913</f>
        <v>49868.899999999987</v>
      </c>
      <c r="N608" s="88">
        <f>77981.2-7311.3-11903.5</f>
        <v>58766.399999999994</v>
      </c>
      <c r="O608" s="88">
        <f>141380.3-83481.3</f>
        <v>57898.999999999985</v>
      </c>
    </row>
    <row r="609" spans="1:26" ht="44.25" customHeight="1" x14ac:dyDescent="0.2">
      <c r="A609" s="142"/>
      <c r="B609" s="145"/>
      <c r="C609" s="79" t="s">
        <v>13</v>
      </c>
      <c r="D609" s="59">
        <f t="shared" si="253"/>
        <v>0</v>
      </c>
      <c r="E609" s="88">
        <v>0</v>
      </c>
      <c r="F609" s="88">
        <v>0</v>
      </c>
      <c r="G609" s="88">
        <v>0</v>
      </c>
      <c r="H609" s="88">
        <v>0</v>
      </c>
      <c r="I609" s="88">
        <v>0</v>
      </c>
      <c r="J609" s="88">
        <v>0</v>
      </c>
      <c r="K609" s="88">
        <v>0</v>
      </c>
      <c r="L609" s="88">
        <v>0</v>
      </c>
      <c r="M609" s="88">
        <v>0</v>
      </c>
      <c r="N609" s="88">
        <v>0</v>
      </c>
      <c r="O609" s="88">
        <v>0</v>
      </c>
    </row>
    <row r="610" spans="1:26" ht="33" customHeight="1" x14ac:dyDescent="0.2">
      <c r="A610" s="141" t="s">
        <v>231</v>
      </c>
      <c r="B610" s="145" t="s">
        <v>361</v>
      </c>
      <c r="C610" s="79" t="s">
        <v>7</v>
      </c>
      <c r="D610" s="59">
        <f>E610+F610+G610+H610+I610+J610+K610+L610+M610+N610+O610</f>
        <v>91947.5</v>
      </c>
      <c r="E610" s="88">
        <f t="shared" ref="E610:O610" si="261">SUM(E611:E614)</f>
        <v>0</v>
      </c>
      <c r="F610" s="88">
        <f t="shared" si="261"/>
        <v>0</v>
      </c>
      <c r="G610" s="88">
        <f t="shared" si="261"/>
        <v>0</v>
      </c>
      <c r="H610" s="88">
        <f t="shared" si="261"/>
        <v>0</v>
      </c>
      <c r="I610" s="88">
        <f>SUM(I611:I614)</f>
        <v>60576.7</v>
      </c>
      <c r="J610" s="88">
        <f t="shared" si="261"/>
        <v>31370.799999999996</v>
      </c>
      <c r="K610" s="88">
        <f t="shared" si="261"/>
        <v>0</v>
      </c>
      <c r="L610" s="88">
        <f t="shared" si="261"/>
        <v>0</v>
      </c>
      <c r="M610" s="88">
        <f t="shared" si="261"/>
        <v>0</v>
      </c>
      <c r="N610" s="88">
        <f t="shared" si="261"/>
        <v>0</v>
      </c>
      <c r="O610" s="88">
        <f t="shared" si="261"/>
        <v>0</v>
      </c>
    </row>
    <row r="611" spans="1:26" ht="33" customHeight="1" x14ac:dyDescent="0.2">
      <c r="A611" s="142"/>
      <c r="B611" s="145"/>
      <c r="C611" s="79" t="s">
        <v>10</v>
      </c>
      <c r="D611" s="59">
        <f t="shared" si="253"/>
        <v>0</v>
      </c>
      <c r="E611" s="88">
        <v>0</v>
      </c>
      <c r="F611" s="88">
        <v>0</v>
      </c>
      <c r="G611" s="88">
        <v>0</v>
      </c>
      <c r="H611" s="88">
        <v>0</v>
      </c>
      <c r="I611" s="88">
        <v>0</v>
      </c>
      <c r="J611" s="88">
        <v>0</v>
      </c>
      <c r="K611" s="88">
        <v>0</v>
      </c>
      <c r="L611" s="88">
        <v>0</v>
      </c>
      <c r="M611" s="88">
        <v>0</v>
      </c>
      <c r="N611" s="88">
        <v>0</v>
      </c>
      <c r="O611" s="88">
        <v>0</v>
      </c>
    </row>
    <row r="612" spans="1:26" ht="33" customHeight="1" x14ac:dyDescent="0.2">
      <c r="A612" s="142"/>
      <c r="B612" s="145"/>
      <c r="C612" s="79" t="s">
        <v>11</v>
      </c>
      <c r="D612" s="59">
        <f t="shared" si="253"/>
        <v>91947.5</v>
      </c>
      <c r="E612" s="88">
        <v>0</v>
      </c>
      <c r="F612" s="88">
        <v>0</v>
      </c>
      <c r="G612" s="88">
        <v>0</v>
      </c>
      <c r="H612" s="88">
        <v>0</v>
      </c>
      <c r="I612" s="88">
        <v>60576.7</v>
      </c>
      <c r="J612" s="88">
        <f>73513.9-42143.1</f>
        <v>31370.799999999996</v>
      </c>
      <c r="K612" s="88">
        <v>0</v>
      </c>
      <c r="L612" s="88">
        <v>0</v>
      </c>
      <c r="M612" s="88">
        <v>0</v>
      </c>
      <c r="N612" s="88">
        <v>0</v>
      </c>
      <c r="O612" s="88">
        <v>0</v>
      </c>
    </row>
    <row r="613" spans="1:26" ht="33" customHeight="1" x14ac:dyDescent="0.2">
      <c r="A613" s="142"/>
      <c r="B613" s="145"/>
      <c r="C613" s="79" t="s">
        <v>12</v>
      </c>
      <c r="D613" s="59">
        <f t="shared" si="253"/>
        <v>0</v>
      </c>
      <c r="E613" s="88">
        <v>0</v>
      </c>
      <c r="F613" s="88">
        <v>0</v>
      </c>
      <c r="G613" s="88">
        <v>0</v>
      </c>
      <c r="H613" s="88">
        <v>0</v>
      </c>
      <c r="I613" s="88">
        <v>0</v>
      </c>
      <c r="J613" s="88">
        <v>0</v>
      </c>
      <c r="K613" s="88">
        <v>0</v>
      </c>
      <c r="L613" s="88">
        <v>0</v>
      </c>
      <c r="M613" s="88">
        <v>0</v>
      </c>
      <c r="N613" s="88">
        <v>0</v>
      </c>
      <c r="O613" s="88">
        <v>0</v>
      </c>
    </row>
    <row r="614" spans="1:26" ht="33" customHeight="1" x14ac:dyDescent="0.2">
      <c r="A614" s="142"/>
      <c r="B614" s="145"/>
      <c r="C614" s="79" t="s">
        <v>13</v>
      </c>
      <c r="D614" s="59">
        <f t="shared" si="253"/>
        <v>0</v>
      </c>
      <c r="E614" s="88">
        <v>0</v>
      </c>
      <c r="F614" s="88">
        <v>0</v>
      </c>
      <c r="G614" s="88">
        <v>0</v>
      </c>
      <c r="H614" s="88">
        <v>0</v>
      </c>
      <c r="I614" s="88">
        <v>0</v>
      </c>
      <c r="J614" s="88">
        <v>0</v>
      </c>
      <c r="K614" s="88">
        <v>0</v>
      </c>
      <c r="L614" s="88">
        <v>0</v>
      </c>
      <c r="M614" s="88">
        <v>0</v>
      </c>
      <c r="N614" s="88">
        <v>0</v>
      </c>
      <c r="O614" s="88">
        <v>0</v>
      </c>
    </row>
    <row r="615" spans="1:26" ht="17.25" customHeight="1" x14ac:dyDescent="0.2">
      <c r="A615" s="141" t="s">
        <v>266</v>
      </c>
      <c r="B615" s="153" t="s">
        <v>53</v>
      </c>
      <c r="C615" s="79" t="s">
        <v>7</v>
      </c>
      <c r="D615" s="59">
        <f t="shared" si="253"/>
        <v>255190.76199999999</v>
      </c>
      <c r="E615" s="88">
        <f>E618+E617+E616+E620</f>
        <v>19291.8</v>
      </c>
      <c r="F615" s="88">
        <f t="shared" ref="F615:K615" si="262">SUM(F616:F620)</f>
        <v>23807.200000000001</v>
      </c>
      <c r="G615" s="88">
        <f t="shared" si="262"/>
        <v>28234.6</v>
      </c>
      <c r="H615" s="88">
        <f t="shared" si="262"/>
        <v>22369.4</v>
      </c>
      <c r="I615" s="88">
        <f t="shared" si="262"/>
        <v>22792.7</v>
      </c>
      <c r="J615" s="88">
        <f t="shared" si="262"/>
        <v>25918.3</v>
      </c>
      <c r="K615" s="88">
        <f t="shared" si="262"/>
        <v>42433.862000000001</v>
      </c>
      <c r="L615" s="88">
        <f>SUM(L616:L620)</f>
        <v>41243</v>
      </c>
      <c r="M615" s="88">
        <f>SUM(M616:M620)</f>
        <v>8176.4999999999991</v>
      </c>
      <c r="N615" s="88">
        <f>SUM(N616:N620)</f>
        <v>10539.5</v>
      </c>
      <c r="O615" s="88">
        <f>SUM(O616:O620)</f>
        <v>10383.900000000001</v>
      </c>
    </row>
    <row r="616" spans="1:26" ht="15.75" x14ac:dyDescent="0.2">
      <c r="A616" s="141"/>
      <c r="B616" s="176"/>
      <c r="C616" s="79" t="s">
        <v>10</v>
      </c>
      <c r="D616" s="59">
        <f t="shared" si="253"/>
        <v>0</v>
      </c>
      <c r="E616" s="88">
        <v>0</v>
      </c>
      <c r="F616" s="88">
        <v>0</v>
      </c>
      <c r="G616" s="88">
        <v>0</v>
      </c>
      <c r="H616" s="88">
        <v>0</v>
      </c>
      <c r="I616" s="88">
        <v>0</v>
      </c>
      <c r="J616" s="88">
        <v>0</v>
      </c>
      <c r="K616" s="88">
        <v>0</v>
      </c>
      <c r="L616" s="88">
        <v>0</v>
      </c>
      <c r="M616" s="88">
        <v>0</v>
      </c>
      <c r="N616" s="88">
        <v>0</v>
      </c>
      <c r="O616" s="88">
        <v>0</v>
      </c>
    </row>
    <row r="617" spans="1:26" ht="15.75" x14ac:dyDescent="0.2">
      <c r="A617" s="141"/>
      <c r="B617" s="176"/>
      <c r="C617" s="79" t="s">
        <v>11</v>
      </c>
      <c r="D617" s="59">
        <f t="shared" si="253"/>
        <v>0</v>
      </c>
      <c r="E617" s="88">
        <v>0</v>
      </c>
      <c r="F617" s="88">
        <v>0</v>
      </c>
      <c r="G617" s="88">
        <v>0</v>
      </c>
      <c r="H617" s="88">
        <v>0</v>
      </c>
      <c r="I617" s="88">
        <v>0</v>
      </c>
      <c r="J617" s="88">
        <v>0</v>
      </c>
      <c r="K617" s="88">
        <v>0</v>
      </c>
      <c r="L617" s="88">
        <v>0</v>
      </c>
      <c r="M617" s="88">
        <v>0</v>
      </c>
      <c r="N617" s="88">
        <v>0</v>
      </c>
      <c r="O617" s="88">
        <v>0</v>
      </c>
    </row>
    <row r="618" spans="1:26" ht="15.75" x14ac:dyDescent="0.2">
      <c r="A618" s="141"/>
      <c r="B618" s="176"/>
      <c r="C618" s="79" t="s">
        <v>12</v>
      </c>
      <c r="D618" s="59">
        <f t="shared" si="253"/>
        <v>255190.76199999999</v>
      </c>
      <c r="E618" s="88">
        <v>19291.8</v>
      </c>
      <c r="F618" s="88">
        <v>23807.200000000001</v>
      </c>
      <c r="G618" s="88">
        <v>28234.6</v>
      </c>
      <c r="H618" s="88">
        <v>22369.4</v>
      </c>
      <c r="I618" s="88">
        <v>22792.7</v>
      </c>
      <c r="J618" s="88">
        <f>18632.6-10699.7+10699.7+882.9+4000+4000-1000-597.2</f>
        <v>25918.3</v>
      </c>
      <c r="K618" s="88">
        <f>11060+1000+77+720.212+320+757+1740.4+2283.7+17440.1-2283.7-17440.1+5201.8-555.089+0.089+15000+9149.5+77-1950-71.45-90-74+71.4</f>
        <v>42433.862000000001</v>
      </c>
      <c r="L618" s="58">
        <f>12252.7+7988.6-400+40.6+400+1380.6+2120.3+11056+181.4+56.6+7239+266.5+51.2-1300-90.5</f>
        <v>41243</v>
      </c>
      <c r="M618" s="88">
        <f>9475.8-9269.9+9269.9-1299.3</f>
        <v>8176.4999999999991</v>
      </c>
      <c r="N618" s="88">
        <f>9522.1+1017.4</f>
        <v>10539.5</v>
      </c>
      <c r="O618" s="88">
        <f>28657.9-18274</f>
        <v>10383.900000000001</v>
      </c>
      <c r="X618" s="62"/>
      <c r="Z618" s="62"/>
    </row>
    <row r="619" spans="1:26" ht="31.5" customHeight="1" x14ac:dyDescent="0.2">
      <c r="A619" s="141"/>
      <c r="B619" s="176"/>
      <c r="C619" s="80" t="s">
        <v>79</v>
      </c>
      <c r="D619" s="75">
        <f t="shared" si="253"/>
        <v>1874.1</v>
      </c>
      <c r="E619" s="94">
        <v>1874.1</v>
      </c>
      <c r="F619" s="94">
        <v>0</v>
      </c>
      <c r="G619" s="94">
        <v>0</v>
      </c>
      <c r="H619" s="94">
        <v>0</v>
      </c>
      <c r="I619" s="94">
        <v>0</v>
      </c>
      <c r="J619" s="94">
        <v>0</v>
      </c>
      <c r="K619" s="94">
        <v>0</v>
      </c>
      <c r="L619" s="94">
        <v>0</v>
      </c>
      <c r="M619" s="94">
        <v>0</v>
      </c>
      <c r="N619" s="94">
        <v>0</v>
      </c>
      <c r="O619" s="94">
        <v>0</v>
      </c>
    </row>
    <row r="620" spans="1:26" ht="15.75" x14ac:dyDescent="0.2">
      <c r="A620" s="141"/>
      <c r="B620" s="177"/>
      <c r="C620" s="79" t="s">
        <v>13</v>
      </c>
      <c r="D620" s="59">
        <f t="shared" si="253"/>
        <v>0</v>
      </c>
      <c r="E620" s="88">
        <v>0</v>
      </c>
      <c r="F620" s="88">
        <v>0</v>
      </c>
      <c r="G620" s="88">
        <v>0</v>
      </c>
      <c r="H620" s="88">
        <v>0</v>
      </c>
      <c r="I620" s="88">
        <v>0</v>
      </c>
      <c r="J620" s="88">
        <v>0</v>
      </c>
      <c r="K620" s="88">
        <v>0</v>
      </c>
      <c r="L620" s="88">
        <v>0</v>
      </c>
      <c r="M620" s="88">
        <v>0</v>
      </c>
      <c r="N620" s="88">
        <v>0</v>
      </c>
      <c r="O620" s="88">
        <v>0</v>
      </c>
    </row>
    <row r="621" spans="1:26" ht="21" customHeight="1" x14ac:dyDescent="0.2">
      <c r="A621" s="141" t="s">
        <v>267</v>
      </c>
      <c r="B621" s="145" t="s">
        <v>250</v>
      </c>
      <c r="C621" s="79" t="s">
        <v>7</v>
      </c>
      <c r="D621" s="59">
        <f t="shared" si="253"/>
        <v>144488.4</v>
      </c>
      <c r="E621" s="88">
        <f t="shared" ref="E621:O621" si="263">E622+E623+E624+E626</f>
        <v>28675.9</v>
      </c>
      <c r="F621" s="88">
        <f t="shared" si="263"/>
        <v>35910.699999999997</v>
      </c>
      <c r="G621" s="88">
        <f t="shared" si="263"/>
        <v>6899.6</v>
      </c>
      <c r="H621" s="88">
        <f t="shared" si="263"/>
        <v>8413.2000000000007</v>
      </c>
      <c r="I621" s="88">
        <f t="shared" si="263"/>
        <v>18601.100000000002</v>
      </c>
      <c r="J621" s="88">
        <f t="shared" si="263"/>
        <v>9981.3000000000011</v>
      </c>
      <c r="K621" s="88">
        <f t="shared" si="263"/>
        <v>18751</v>
      </c>
      <c r="L621" s="88">
        <f t="shared" si="263"/>
        <v>17255.599999999999</v>
      </c>
      <c r="M621" s="88">
        <f t="shared" si="263"/>
        <v>0</v>
      </c>
      <c r="N621" s="88">
        <f t="shared" si="263"/>
        <v>0</v>
      </c>
      <c r="O621" s="88">
        <f t="shared" si="263"/>
        <v>0</v>
      </c>
    </row>
    <row r="622" spans="1:26" ht="21" customHeight="1" x14ac:dyDescent="0.2">
      <c r="A622" s="141"/>
      <c r="B622" s="146"/>
      <c r="C622" s="79" t="s">
        <v>10</v>
      </c>
      <c r="D622" s="59">
        <f t="shared" si="253"/>
        <v>0</v>
      </c>
      <c r="E622" s="88">
        <v>0</v>
      </c>
      <c r="F622" s="88">
        <v>0</v>
      </c>
      <c r="G622" s="88">
        <v>0</v>
      </c>
      <c r="H622" s="88">
        <v>0</v>
      </c>
      <c r="I622" s="88">
        <v>0</v>
      </c>
      <c r="J622" s="88">
        <v>0</v>
      </c>
      <c r="K622" s="88">
        <v>0</v>
      </c>
      <c r="L622" s="88">
        <v>0</v>
      </c>
      <c r="M622" s="88">
        <v>0</v>
      </c>
      <c r="N622" s="88">
        <v>0</v>
      </c>
      <c r="O622" s="88">
        <v>0</v>
      </c>
    </row>
    <row r="623" spans="1:26" ht="21" customHeight="1" x14ac:dyDescent="0.2">
      <c r="A623" s="141"/>
      <c r="B623" s="146"/>
      <c r="C623" s="79" t="s">
        <v>11</v>
      </c>
      <c r="D623" s="59">
        <f t="shared" si="253"/>
        <v>0</v>
      </c>
      <c r="E623" s="88">
        <v>0</v>
      </c>
      <c r="F623" s="88">
        <v>0</v>
      </c>
      <c r="G623" s="88">
        <v>0</v>
      </c>
      <c r="H623" s="88">
        <v>0</v>
      </c>
      <c r="I623" s="88">
        <v>0</v>
      </c>
      <c r="J623" s="88">
        <v>0</v>
      </c>
      <c r="K623" s="88">
        <v>0</v>
      </c>
      <c r="L623" s="88">
        <v>0</v>
      </c>
      <c r="M623" s="88">
        <v>0</v>
      </c>
      <c r="N623" s="88">
        <v>0</v>
      </c>
      <c r="O623" s="88">
        <v>0</v>
      </c>
    </row>
    <row r="624" spans="1:26" ht="33" customHeight="1" x14ac:dyDescent="0.2">
      <c r="A624" s="141"/>
      <c r="B624" s="146"/>
      <c r="C624" s="79" t="s">
        <v>65</v>
      </c>
      <c r="D624" s="59">
        <f t="shared" si="253"/>
        <v>144488.4</v>
      </c>
      <c r="E624" s="88">
        <f>E625</f>
        <v>28675.9</v>
      </c>
      <c r="F624" s="88">
        <v>35910.699999999997</v>
      </c>
      <c r="G624" s="88">
        <v>6899.6</v>
      </c>
      <c r="H624" s="88">
        <v>8413.2000000000007</v>
      </c>
      <c r="I624" s="88">
        <f>20814-605.6-1607.3</f>
        <v>18601.100000000002</v>
      </c>
      <c r="J624" s="88">
        <f>15000+5950-3250+1905.9-9574.5+50-100.2+0.1</f>
        <v>9981.3000000000011</v>
      </c>
      <c r="K624" s="88">
        <f>20300-1400-149+18659.2-6396.3-12262.8-0.1</f>
        <v>18751</v>
      </c>
      <c r="L624" s="88">
        <f>21000-700*4-700+700-248.4-200-160-270-66</f>
        <v>17255.599999999999</v>
      </c>
      <c r="M624" s="88">
        <f>12594.4-12594.4</f>
        <v>0</v>
      </c>
      <c r="N624" s="88">
        <f>12655.9-12655.9</f>
        <v>0</v>
      </c>
      <c r="O624" s="88">
        <f>15000-15000</f>
        <v>0</v>
      </c>
    </row>
    <row r="625" spans="1:19" ht="30.75" customHeight="1" x14ac:dyDescent="0.2">
      <c r="A625" s="141"/>
      <c r="B625" s="146"/>
      <c r="C625" s="78" t="s">
        <v>79</v>
      </c>
      <c r="D625" s="75">
        <f t="shared" si="253"/>
        <v>57175.9</v>
      </c>
      <c r="E625" s="94">
        <v>28675.9</v>
      </c>
      <c r="F625" s="94">
        <v>28500</v>
      </c>
      <c r="G625" s="94">
        <v>0</v>
      </c>
      <c r="H625" s="94">
        <v>0</v>
      </c>
      <c r="I625" s="94">
        <v>0</v>
      </c>
      <c r="J625" s="94">
        <v>0</v>
      </c>
      <c r="K625" s="94">
        <v>0</v>
      </c>
      <c r="L625" s="94">
        <v>0</v>
      </c>
      <c r="M625" s="94">
        <v>0</v>
      </c>
      <c r="N625" s="94">
        <v>0</v>
      </c>
      <c r="O625" s="94">
        <v>0</v>
      </c>
    </row>
    <row r="626" spans="1:19" ht="21" customHeight="1" x14ac:dyDescent="0.2">
      <c r="A626" s="141"/>
      <c r="B626" s="146"/>
      <c r="C626" s="79" t="s">
        <v>13</v>
      </c>
      <c r="D626" s="59">
        <f t="shared" si="253"/>
        <v>0</v>
      </c>
      <c r="E626" s="88">
        <v>0</v>
      </c>
      <c r="F626" s="88">
        <v>0</v>
      </c>
      <c r="G626" s="88">
        <v>0</v>
      </c>
      <c r="H626" s="88">
        <v>0</v>
      </c>
      <c r="I626" s="88">
        <v>0</v>
      </c>
      <c r="J626" s="88">
        <v>0</v>
      </c>
      <c r="K626" s="88">
        <v>0</v>
      </c>
      <c r="L626" s="88">
        <v>0</v>
      </c>
      <c r="M626" s="88">
        <v>0</v>
      </c>
      <c r="N626" s="88">
        <v>0</v>
      </c>
      <c r="O626" s="88">
        <v>0</v>
      </c>
    </row>
    <row r="627" spans="1:19" ht="15.75" x14ac:dyDescent="0.2">
      <c r="A627" s="141" t="s">
        <v>268</v>
      </c>
      <c r="B627" s="141" t="s">
        <v>242</v>
      </c>
      <c r="C627" s="89" t="s">
        <v>7</v>
      </c>
      <c r="D627" s="59">
        <f t="shared" si="253"/>
        <v>951</v>
      </c>
      <c r="E627" s="88">
        <f>E628+E629+E630+E631</f>
        <v>0</v>
      </c>
      <c r="F627" s="88">
        <f t="shared" ref="F627:K627" si="264">F628+F629+F630+F631</f>
        <v>0</v>
      </c>
      <c r="G627" s="88">
        <f t="shared" si="264"/>
        <v>347.6</v>
      </c>
      <c r="H627" s="88">
        <f t="shared" si="264"/>
        <v>589.4</v>
      </c>
      <c r="I627" s="88">
        <f t="shared" si="264"/>
        <v>14</v>
      </c>
      <c r="J627" s="88">
        <f t="shared" si="264"/>
        <v>0</v>
      </c>
      <c r="K627" s="88">
        <f t="shared" si="264"/>
        <v>0</v>
      </c>
      <c r="L627" s="88">
        <f>L628+L629+L630+L631</f>
        <v>0</v>
      </c>
      <c r="M627" s="88">
        <f>M628+M629+M630+M631</f>
        <v>0</v>
      </c>
      <c r="N627" s="88">
        <f>N628+N629+N630+N631</f>
        <v>0</v>
      </c>
      <c r="O627" s="88">
        <f>O628+O629+O630+O631</f>
        <v>0</v>
      </c>
    </row>
    <row r="628" spans="1:19" ht="15.75" x14ac:dyDescent="0.2">
      <c r="A628" s="141"/>
      <c r="B628" s="141"/>
      <c r="C628" s="79" t="s">
        <v>10</v>
      </c>
      <c r="D628" s="59">
        <f t="shared" si="253"/>
        <v>0</v>
      </c>
      <c r="E628" s="88">
        <v>0</v>
      </c>
      <c r="F628" s="88">
        <v>0</v>
      </c>
      <c r="G628" s="88">
        <v>0</v>
      </c>
      <c r="H628" s="88">
        <v>0</v>
      </c>
      <c r="I628" s="88">
        <v>0</v>
      </c>
      <c r="J628" s="88">
        <v>0</v>
      </c>
      <c r="K628" s="88">
        <v>0</v>
      </c>
      <c r="L628" s="88">
        <v>0</v>
      </c>
      <c r="M628" s="88">
        <v>0</v>
      </c>
      <c r="N628" s="88">
        <v>0</v>
      </c>
      <c r="O628" s="88">
        <v>0</v>
      </c>
    </row>
    <row r="629" spans="1:19" ht="15.75" x14ac:dyDescent="0.2">
      <c r="A629" s="141"/>
      <c r="B629" s="141"/>
      <c r="C629" s="79" t="s">
        <v>11</v>
      </c>
      <c r="D629" s="59">
        <f t="shared" si="253"/>
        <v>0</v>
      </c>
      <c r="E629" s="88">
        <v>0</v>
      </c>
      <c r="F629" s="88">
        <v>0</v>
      </c>
      <c r="G629" s="88">
        <v>0</v>
      </c>
      <c r="H629" s="88">
        <v>0</v>
      </c>
      <c r="I629" s="88">
        <v>0</v>
      </c>
      <c r="J629" s="88">
        <v>0</v>
      </c>
      <c r="K629" s="88">
        <v>0</v>
      </c>
      <c r="L629" s="88">
        <v>0</v>
      </c>
      <c r="M629" s="88">
        <v>0</v>
      </c>
      <c r="N629" s="88">
        <v>0</v>
      </c>
      <c r="O629" s="88">
        <v>0</v>
      </c>
    </row>
    <row r="630" spans="1:19" ht="15.75" x14ac:dyDescent="0.2">
      <c r="A630" s="141"/>
      <c r="B630" s="141"/>
      <c r="C630" s="79" t="s">
        <v>12</v>
      </c>
      <c r="D630" s="59">
        <f t="shared" si="253"/>
        <v>951</v>
      </c>
      <c r="E630" s="88">
        <v>0</v>
      </c>
      <c r="F630" s="88">
        <v>0</v>
      </c>
      <c r="G630" s="88">
        <v>347.6</v>
      </c>
      <c r="H630" s="88">
        <v>589.4</v>
      </c>
      <c r="I630" s="88">
        <v>14</v>
      </c>
      <c r="J630" s="88">
        <v>0</v>
      </c>
      <c r="K630" s="88">
        <v>0</v>
      </c>
      <c r="L630" s="88">
        <v>0</v>
      </c>
      <c r="M630" s="88">
        <v>0</v>
      </c>
      <c r="N630" s="88">
        <v>0</v>
      </c>
      <c r="O630" s="88">
        <v>0</v>
      </c>
    </row>
    <row r="631" spans="1:19" ht="18" customHeight="1" x14ac:dyDescent="0.2">
      <c r="A631" s="141"/>
      <c r="B631" s="141"/>
      <c r="C631" s="79" t="s">
        <v>13</v>
      </c>
      <c r="D631" s="59">
        <f t="shared" si="253"/>
        <v>0</v>
      </c>
      <c r="E631" s="88">
        <v>0</v>
      </c>
      <c r="F631" s="88">
        <v>0</v>
      </c>
      <c r="G631" s="88">
        <v>0</v>
      </c>
      <c r="H631" s="88">
        <v>0</v>
      </c>
      <c r="I631" s="88">
        <v>0</v>
      </c>
      <c r="J631" s="88">
        <v>0</v>
      </c>
      <c r="K631" s="88">
        <v>0</v>
      </c>
      <c r="L631" s="88">
        <v>0</v>
      </c>
      <c r="M631" s="88">
        <v>0</v>
      </c>
      <c r="N631" s="88">
        <v>0</v>
      </c>
      <c r="O631" s="88">
        <v>0</v>
      </c>
    </row>
    <row r="632" spans="1:19" ht="15.75" x14ac:dyDescent="0.2">
      <c r="A632" s="141" t="s">
        <v>307</v>
      </c>
      <c r="B632" s="141" t="s">
        <v>308</v>
      </c>
      <c r="C632" s="89" t="s">
        <v>7</v>
      </c>
      <c r="D632" s="59">
        <f t="shared" ref="D632:D662" si="265">E632+F632+G632+H632+I632+J632+K632+L632+M632+N632+O632</f>
        <v>5870</v>
      </c>
      <c r="E632" s="88">
        <f>E633+E634+E635+E636</f>
        <v>0</v>
      </c>
      <c r="F632" s="88">
        <f t="shared" ref="F632:O632" si="266">F633+F634+F635+F636</f>
        <v>0</v>
      </c>
      <c r="G632" s="88">
        <f t="shared" si="266"/>
        <v>0</v>
      </c>
      <c r="H632" s="88">
        <f t="shared" si="266"/>
        <v>0</v>
      </c>
      <c r="I632" s="88">
        <f>I633+I634+I635+I636</f>
        <v>3397.4</v>
      </c>
      <c r="J632" s="88">
        <f t="shared" si="266"/>
        <v>2472.6</v>
      </c>
      <c r="K632" s="88">
        <f t="shared" si="266"/>
        <v>0</v>
      </c>
      <c r="L632" s="88">
        <f t="shared" si="266"/>
        <v>0</v>
      </c>
      <c r="M632" s="88">
        <f t="shared" si="266"/>
        <v>0</v>
      </c>
      <c r="N632" s="88">
        <f t="shared" si="266"/>
        <v>0</v>
      </c>
      <c r="O632" s="88">
        <f t="shared" si="266"/>
        <v>0</v>
      </c>
      <c r="P632" s="60">
        <v>3397.4</v>
      </c>
      <c r="Q632" s="72">
        <f>I632-P632</f>
        <v>0</v>
      </c>
      <c r="S632" s="84"/>
    </row>
    <row r="633" spans="1:19" ht="15.75" x14ac:dyDescent="0.2">
      <c r="A633" s="141"/>
      <c r="B633" s="141"/>
      <c r="C633" s="79" t="s">
        <v>10</v>
      </c>
      <c r="D633" s="59">
        <f t="shared" si="265"/>
        <v>0</v>
      </c>
      <c r="E633" s="88">
        <v>0</v>
      </c>
      <c r="F633" s="88">
        <v>0</v>
      </c>
      <c r="G633" s="88">
        <v>0</v>
      </c>
      <c r="H633" s="88">
        <v>0</v>
      </c>
      <c r="I633" s="88">
        <v>0</v>
      </c>
      <c r="J633" s="88">
        <v>0</v>
      </c>
      <c r="K633" s="88">
        <v>0</v>
      </c>
      <c r="L633" s="88">
        <v>0</v>
      </c>
      <c r="M633" s="88">
        <v>0</v>
      </c>
      <c r="N633" s="88">
        <v>0</v>
      </c>
      <c r="O633" s="88">
        <v>0</v>
      </c>
    </row>
    <row r="634" spans="1:19" ht="15.75" x14ac:dyDescent="0.2">
      <c r="A634" s="141"/>
      <c r="B634" s="141"/>
      <c r="C634" s="79" t="s">
        <v>11</v>
      </c>
      <c r="D634" s="59">
        <f t="shared" si="265"/>
        <v>0</v>
      </c>
      <c r="E634" s="88">
        <v>0</v>
      </c>
      <c r="F634" s="88">
        <v>0</v>
      </c>
      <c r="G634" s="88">
        <v>0</v>
      </c>
      <c r="H634" s="88">
        <v>0</v>
      </c>
      <c r="I634" s="88">
        <v>0</v>
      </c>
      <c r="J634" s="88">
        <v>0</v>
      </c>
      <c r="K634" s="88">
        <v>0</v>
      </c>
      <c r="L634" s="88">
        <v>0</v>
      </c>
      <c r="M634" s="88">
        <v>0</v>
      </c>
      <c r="N634" s="88">
        <v>0</v>
      </c>
      <c r="O634" s="88">
        <v>0</v>
      </c>
    </row>
    <row r="635" spans="1:19" ht="15.75" x14ac:dyDescent="0.2">
      <c r="A635" s="141"/>
      <c r="B635" s="141"/>
      <c r="C635" s="79" t="s">
        <v>12</v>
      </c>
      <c r="D635" s="59">
        <f t="shared" si="265"/>
        <v>5870</v>
      </c>
      <c r="E635" s="88">
        <v>0</v>
      </c>
      <c r="F635" s="88">
        <v>0</v>
      </c>
      <c r="G635" s="88">
        <v>0</v>
      </c>
      <c r="H635" s="88">
        <v>0</v>
      </c>
      <c r="I635" s="88">
        <v>3397.4</v>
      </c>
      <c r="J635" s="88">
        <f>3250-648.3-129.1</f>
        <v>2472.6</v>
      </c>
      <c r="K635" s="88">
        <f>5000-5000</f>
        <v>0</v>
      </c>
      <c r="L635" s="88">
        <v>0</v>
      </c>
      <c r="M635" s="88">
        <v>0</v>
      </c>
      <c r="N635" s="88">
        <v>0</v>
      </c>
      <c r="O635" s="88">
        <v>0</v>
      </c>
    </row>
    <row r="636" spans="1:19" ht="15.75" x14ac:dyDescent="0.2">
      <c r="A636" s="141"/>
      <c r="B636" s="141"/>
      <c r="C636" s="79" t="s">
        <v>13</v>
      </c>
      <c r="D636" s="59">
        <f t="shared" si="265"/>
        <v>0</v>
      </c>
      <c r="E636" s="88">
        <v>0</v>
      </c>
      <c r="F636" s="88">
        <v>0</v>
      </c>
      <c r="G636" s="88">
        <v>0</v>
      </c>
      <c r="H636" s="88">
        <v>0</v>
      </c>
      <c r="I636" s="88">
        <v>0</v>
      </c>
      <c r="J636" s="88">
        <v>0</v>
      </c>
      <c r="K636" s="88">
        <v>0</v>
      </c>
      <c r="L636" s="88">
        <v>0</v>
      </c>
      <c r="M636" s="88">
        <v>0</v>
      </c>
      <c r="N636" s="88">
        <v>0</v>
      </c>
      <c r="O636" s="88">
        <v>0</v>
      </c>
    </row>
    <row r="637" spans="1:19" ht="15.75" x14ac:dyDescent="0.2">
      <c r="A637" s="141" t="s">
        <v>386</v>
      </c>
      <c r="B637" s="141" t="s">
        <v>387</v>
      </c>
      <c r="C637" s="89" t="s">
        <v>7</v>
      </c>
      <c r="D637" s="59">
        <f t="shared" si="265"/>
        <v>1215.9000000000001</v>
      </c>
      <c r="E637" s="88">
        <f>E638+E639+E640+E641</f>
        <v>0</v>
      </c>
      <c r="F637" s="88">
        <f t="shared" ref="F637:O637" si="267">F638+F639+F640+F641</f>
        <v>0</v>
      </c>
      <c r="G637" s="88">
        <f t="shared" si="267"/>
        <v>0</v>
      </c>
      <c r="H637" s="88">
        <f t="shared" si="267"/>
        <v>0</v>
      </c>
      <c r="I637" s="88">
        <f>I638+I639+I640+I641</f>
        <v>0</v>
      </c>
      <c r="J637" s="88">
        <f t="shared" si="267"/>
        <v>0</v>
      </c>
      <c r="K637" s="88">
        <f t="shared" si="267"/>
        <v>1215.9000000000001</v>
      </c>
      <c r="L637" s="88">
        <f t="shared" si="267"/>
        <v>0</v>
      </c>
      <c r="M637" s="88">
        <f t="shared" si="267"/>
        <v>0</v>
      </c>
      <c r="N637" s="88">
        <f t="shared" si="267"/>
        <v>0</v>
      </c>
      <c r="O637" s="88">
        <f t="shared" si="267"/>
        <v>0</v>
      </c>
    </row>
    <row r="638" spans="1:19" ht="15.75" x14ac:dyDescent="0.2">
      <c r="A638" s="141"/>
      <c r="B638" s="141"/>
      <c r="C638" s="79" t="s">
        <v>10</v>
      </c>
      <c r="D638" s="59">
        <f t="shared" si="265"/>
        <v>0</v>
      </c>
      <c r="E638" s="88">
        <v>0</v>
      </c>
      <c r="F638" s="88">
        <v>0</v>
      </c>
      <c r="G638" s="88">
        <v>0</v>
      </c>
      <c r="H638" s="88">
        <v>0</v>
      </c>
      <c r="I638" s="88">
        <v>0</v>
      </c>
      <c r="J638" s="88">
        <v>0</v>
      </c>
      <c r="K638" s="88">
        <v>0</v>
      </c>
      <c r="L638" s="88">
        <v>0</v>
      </c>
      <c r="M638" s="88">
        <v>0</v>
      </c>
      <c r="N638" s="88">
        <v>0</v>
      </c>
      <c r="O638" s="88">
        <v>0</v>
      </c>
    </row>
    <row r="639" spans="1:19" ht="15.75" x14ac:dyDescent="0.2">
      <c r="A639" s="141"/>
      <c r="B639" s="141"/>
      <c r="C639" s="79" t="s">
        <v>11</v>
      </c>
      <c r="D639" s="59">
        <f t="shared" si="265"/>
        <v>0</v>
      </c>
      <c r="E639" s="88">
        <v>0</v>
      </c>
      <c r="F639" s="88">
        <v>0</v>
      </c>
      <c r="G639" s="88">
        <v>0</v>
      </c>
      <c r="H639" s="88">
        <v>0</v>
      </c>
      <c r="I639" s="88">
        <v>0</v>
      </c>
      <c r="J639" s="88">
        <v>0</v>
      </c>
      <c r="K639" s="88">
        <v>0</v>
      </c>
      <c r="L639" s="88">
        <v>0</v>
      </c>
      <c r="M639" s="88">
        <v>0</v>
      </c>
      <c r="N639" s="88">
        <v>0</v>
      </c>
      <c r="O639" s="88">
        <v>0</v>
      </c>
    </row>
    <row r="640" spans="1:19" ht="15.75" x14ac:dyDescent="0.2">
      <c r="A640" s="141"/>
      <c r="B640" s="141"/>
      <c r="C640" s="79" t="s">
        <v>12</v>
      </c>
      <c r="D640" s="59">
        <f t="shared" si="265"/>
        <v>1215.9000000000001</v>
      </c>
      <c r="E640" s="88">
        <v>0</v>
      </c>
      <c r="F640" s="88">
        <v>0</v>
      </c>
      <c r="G640" s="88">
        <v>0</v>
      </c>
      <c r="H640" s="88">
        <v>0</v>
      </c>
      <c r="I640" s="88">
        <v>0</v>
      </c>
      <c r="J640" s="88">
        <v>0</v>
      </c>
      <c r="K640" s="88">
        <v>1215.9000000000001</v>
      </c>
      <c r="L640" s="88">
        <f>1493.4-1493.4</f>
        <v>0</v>
      </c>
      <c r="M640" s="88">
        <v>0</v>
      </c>
      <c r="N640" s="88">
        <v>0</v>
      </c>
      <c r="O640" s="88">
        <v>0</v>
      </c>
    </row>
    <row r="641" spans="1:15" ht="15.75" x14ac:dyDescent="0.2">
      <c r="A641" s="141"/>
      <c r="B641" s="141"/>
      <c r="C641" s="79" t="s">
        <v>13</v>
      </c>
      <c r="D641" s="59">
        <f t="shared" si="265"/>
        <v>0</v>
      </c>
      <c r="E641" s="88">
        <v>0</v>
      </c>
      <c r="F641" s="88">
        <v>0</v>
      </c>
      <c r="G641" s="88">
        <v>0</v>
      </c>
      <c r="H641" s="88">
        <v>0</v>
      </c>
      <c r="I641" s="88">
        <v>0</v>
      </c>
      <c r="J641" s="88">
        <v>0</v>
      </c>
      <c r="K641" s="88">
        <v>0</v>
      </c>
      <c r="L641" s="88">
        <v>0</v>
      </c>
      <c r="M641" s="88">
        <v>0</v>
      </c>
      <c r="N641" s="88">
        <v>0</v>
      </c>
      <c r="O641" s="88">
        <v>0</v>
      </c>
    </row>
    <row r="642" spans="1:15" ht="15.75" x14ac:dyDescent="0.2">
      <c r="A642" s="141" t="s">
        <v>389</v>
      </c>
      <c r="B642" s="141" t="s">
        <v>407</v>
      </c>
      <c r="C642" s="89" t="s">
        <v>7</v>
      </c>
      <c r="D642" s="59">
        <f t="shared" si="265"/>
        <v>546666.19999999995</v>
      </c>
      <c r="E642" s="88">
        <f>E643+E644+E645+E646</f>
        <v>0</v>
      </c>
      <c r="F642" s="88">
        <f t="shared" ref="F642:O642" si="268">F643+F644+F645+F646</f>
        <v>0</v>
      </c>
      <c r="G642" s="88">
        <f t="shared" si="268"/>
        <v>0</v>
      </c>
      <c r="H642" s="88">
        <f t="shared" si="268"/>
        <v>0</v>
      </c>
      <c r="I642" s="88">
        <f>I643+I644+I645+I646</f>
        <v>0</v>
      </c>
      <c r="J642" s="88">
        <f t="shared" si="268"/>
        <v>0</v>
      </c>
      <c r="K642" s="88">
        <f t="shared" si="268"/>
        <v>52637.4</v>
      </c>
      <c r="L642" s="88">
        <f t="shared" si="268"/>
        <v>126936.5</v>
      </c>
      <c r="M642" s="88">
        <f t="shared" si="268"/>
        <v>101616.6</v>
      </c>
      <c r="N642" s="88">
        <f t="shared" si="268"/>
        <v>132688.29999999999</v>
      </c>
      <c r="O642" s="88">
        <f t="shared" si="268"/>
        <v>132787.4</v>
      </c>
    </row>
    <row r="643" spans="1:15" ht="15.75" x14ac:dyDescent="0.2">
      <c r="A643" s="141"/>
      <c r="B643" s="141"/>
      <c r="C643" s="79" t="s">
        <v>10</v>
      </c>
      <c r="D643" s="59">
        <f t="shared" si="265"/>
        <v>0</v>
      </c>
      <c r="E643" s="88">
        <v>0</v>
      </c>
      <c r="F643" s="88">
        <v>0</v>
      </c>
      <c r="G643" s="88">
        <v>0</v>
      </c>
      <c r="H643" s="88">
        <v>0</v>
      </c>
      <c r="I643" s="88">
        <v>0</v>
      </c>
      <c r="J643" s="88">
        <v>0</v>
      </c>
      <c r="K643" s="88">
        <v>0</v>
      </c>
      <c r="L643" s="88">
        <v>0</v>
      </c>
      <c r="M643" s="88">
        <v>0</v>
      </c>
      <c r="N643" s="88">
        <v>0</v>
      </c>
      <c r="O643" s="88">
        <v>0</v>
      </c>
    </row>
    <row r="644" spans="1:15" ht="15.75" x14ac:dyDescent="0.2">
      <c r="A644" s="141"/>
      <c r="B644" s="141"/>
      <c r="C644" s="79" t="s">
        <v>11</v>
      </c>
      <c r="D644" s="59">
        <f t="shared" si="265"/>
        <v>0</v>
      </c>
      <c r="E644" s="88">
        <v>0</v>
      </c>
      <c r="F644" s="88">
        <v>0</v>
      </c>
      <c r="G644" s="88">
        <v>0</v>
      </c>
      <c r="H644" s="88">
        <v>0</v>
      </c>
      <c r="I644" s="88">
        <v>0</v>
      </c>
      <c r="J644" s="88">
        <v>0</v>
      </c>
      <c r="K644" s="88">
        <v>0</v>
      </c>
      <c r="L644" s="88">
        <v>0</v>
      </c>
      <c r="M644" s="88">
        <v>0</v>
      </c>
      <c r="N644" s="88">
        <v>0</v>
      </c>
      <c r="O644" s="88">
        <v>0</v>
      </c>
    </row>
    <row r="645" spans="1:15" ht="15.75" x14ac:dyDescent="0.2">
      <c r="A645" s="141"/>
      <c r="B645" s="141"/>
      <c r="C645" s="79" t="s">
        <v>12</v>
      </c>
      <c r="D645" s="59">
        <f t="shared" si="265"/>
        <v>546666.19999999995</v>
      </c>
      <c r="E645" s="88">
        <v>0</v>
      </c>
      <c r="F645" s="88">
        <v>0</v>
      </c>
      <c r="G645" s="88">
        <v>0</v>
      </c>
      <c r="H645" s="88">
        <v>0</v>
      </c>
      <c r="I645" s="88">
        <v>0</v>
      </c>
      <c r="J645" s="88">
        <v>0</v>
      </c>
      <c r="K645" s="88">
        <f>30000+22637.4+2056-2056</f>
        <v>52637.4</v>
      </c>
      <c r="L645" s="88">
        <f>126936.5-12775.3+12775.3</f>
        <v>126936.5</v>
      </c>
      <c r="M645" s="88">
        <f>179515.2-77898.6</f>
        <v>101616.6</v>
      </c>
      <c r="N645" s="88">
        <f>198915.9-66227.6</f>
        <v>132688.29999999999</v>
      </c>
      <c r="O645" s="88">
        <f>0+132787.4</f>
        <v>132787.4</v>
      </c>
    </row>
    <row r="646" spans="1:15" ht="15.75" x14ac:dyDescent="0.2">
      <c r="A646" s="141"/>
      <c r="B646" s="141"/>
      <c r="C646" s="79" t="s">
        <v>13</v>
      </c>
      <c r="D646" s="59">
        <f t="shared" si="265"/>
        <v>0</v>
      </c>
      <c r="E646" s="88">
        <v>0</v>
      </c>
      <c r="F646" s="88">
        <v>0</v>
      </c>
      <c r="G646" s="88">
        <v>0</v>
      </c>
      <c r="H646" s="88">
        <v>0</v>
      </c>
      <c r="I646" s="88">
        <v>0</v>
      </c>
      <c r="J646" s="88">
        <v>0</v>
      </c>
      <c r="K646" s="88">
        <v>0</v>
      </c>
      <c r="L646" s="88">
        <v>0</v>
      </c>
      <c r="M646" s="88">
        <v>0</v>
      </c>
      <c r="N646" s="88">
        <v>0</v>
      </c>
      <c r="O646" s="88">
        <v>0</v>
      </c>
    </row>
    <row r="647" spans="1:15" ht="15.75" x14ac:dyDescent="0.2">
      <c r="A647" s="141" t="s">
        <v>392</v>
      </c>
      <c r="B647" s="141" t="s">
        <v>399</v>
      </c>
      <c r="C647" s="89" t="s">
        <v>7</v>
      </c>
      <c r="D647" s="59">
        <f t="shared" ref="D647" si="269">E647+F647+G647+H647+I647+J647+K647+L647+M647+N647+O647</f>
        <v>20707.8</v>
      </c>
      <c r="E647" s="88">
        <f>E648+E649+E650+E651</f>
        <v>0</v>
      </c>
      <c r="F647" s="88">
        <f t="shared" ref="F647:O647" si="270">F648+F649+F650+F651</f>
        <v>0</v>
      </c>
      <c r="G647" s="88">
        <f t="shared" si="270"/>
        <v>0</v>
      </c>
      <c r="H647" s="88">
        <f t="shared" si="270"/>
        <v>0</v>
      </c>
      <c r="I647" s="88">
        <f>I648+I649+I650+I651</f>
        <v>0</v>
      </c>
      <c r="J647" s="88">
        <f t="shared" si="270"/>
        <v>0</v>
      </c>
      <c r="K647" s="88">
        <f t="shared" si="270"/>
        <v>12262.8</v>
      </c>
      <c r="L647" s="88">
        <f t="shared" si="270"/>
        <v>8445</v>
      </c>
      <c r="M647" s="88">
        <f t="shared" si="270"/>
        <v>0</v>
      </c>
      <c r="N647" s="88">
        <f t="shared" si="270"/>
        <v>0</v>
      </c>
      <c r="O647" s="88">
        <f t="shared" si="270"/>
        <v>0</v>
      </c>
    </row>
    <row r="648" spans="1:15" ht="15.75" x14ac:dyDescent="0.2">
      <c r="A648" s="141"/>
      <c r="B648" s="141"/>
      <c r="C648" s="79" t="s">
        <v>10</v>
      </c>
      <c r="D648" s="59">
        <f t="shared" si="265"/>
        <v>0</v>
      </c>
      <c r="E648" s="88">
        <v>0</v>
      </c>
      <c r="F648" s="88">
        <v>0</v>
      </c>
      <c r="G648" s="88">
        <v>0</v>
      </c>
      <c r="H648" s="88">
        <v>0</v>
      </c>
      <c r="I648" s="88">
        <v>0</v>
      </c>
      <c r="J648" s="88">
        <v>0</v>
      </c>
      <c r="K648" s="88">
        <v>0</v>
      </c>
      <c r="L648" s="88">
        <v>0</v>
      </c>
      <c r="M648" s="88">
        <v>0</v>
      </c>
      <c r="N648" s="88">
        <v>0</v>
      </c>
      <c r="O648" s="88">
        <v>0</v>
      </c>
    </row>
    <row r="649" spans="1:15" ht="15.75" x14ac:dyDescent="0.2">
      <c r="A649" s="141"/>
      <c r="B649" s="141"/>
      <c r="C649" s="79" t="s">
        <v>11</v>
      </c>
      <c r="D649" s="59">
        <f>E649+F649+G649+H649+I649+J649+K649+L649+M649+N649+O649</f>
        <v>0</v>
      </c>
      <c r="E649" s="88">
        <v>0</v>
      </c>
      <c r="F649" s="88">
        <v>0</v>
      </c>
      <c r="G649" s="88">
        <v>0</v>
      </c>
      <c r="H649" s="88">
        <v>0</v>
      </c>
      <c r="I649" s="88">
        <v>0</v>
      </c>
      <c r="J649" s="88">
        <v>0</v>
      </c>
      <c r="K649" s="88">
        <v>0</v>
      </c>
      <c r="L649" s="88">
        <v>0</v>
      </c>
      <c r="M649" s="88">
        <v>0</v>
      </c>
      <c r="N649" s="88">
        <v>0</v>
      </c>
      <c r="O649" s="88">
        <v>0</v>
      </c>
    </row>
    <row r="650" spans="1:15" ht="15.75" x14ac:dyDescent="0.2">
      <c r="A650" s="141"/>
      <c r="B650" s="141"/>
      <c r="C650" s="79" t="s">
        <v>12</v>
      </c>
      <c r="D650" s="59">
        <f t="shared" si="265"/>
        <v>20707.8</v>
      </c>
      <c r="E650" s="88">
        <v>0</v>
      </c>
      <c r="F650" s="88">
        <v>0</v>
      </c>
      <c r="G650" s="88">
        <v>0</v>
      </c>
      <c r="H650" s="88">
        <v>0</v>
      </c>
      <c r="I650" s="88">
        <v>0</v>
      </c>
      <c r="J650" s="88">
        <v>0</v>
      </c>
      <c r="K650" s="88">
        <v>12262.8</v>
      </c>
      <c r="L650" s="88">
        <f>3955.5-0.1-1380.6+5870.2</f>
        <v>8445</v>
      </c>
      <c r="M650" s="88">
        <v>0</v>
      </c>
      <c r="N650" s="88">
        <v>0</v>
      </c>
      <c r="O650" s="88">
        <v>0</v>
      </c>
    </row>
    <row r="651" spans="1:15" ht="15.75" x14ac:dyDescent="0.2">
      <c r="A651" s="141"/>
      <c r="B651" s="141"/>
      <c r="C651" s="79" t="s">
        <v>13</v>
      </c>
      <c r="D651" s="59">
        <f t="shared" si="265"/>
        <v>0</v>
      </c>
      <c r="E651" s="88">
        <v>0</v>
      </c>
      <c r="F651" s="88">
        <v>0</v>
      </c>
      <c r="G651" s="88">
        <v>0</v>
      </c>
      <c r="H651" s="88">
        <v>0</v>
      </c>
      <c r="I651" s="88">
        <v>0</v>
      </c>
      <c r="J651" s="88">
        <v>0</v>
      </c>
      <c r="K651" s="88">
        <v>0</v>
      </c>
      <c r="L651" s="88">
        <v>0</v>
      </c>
      <c r="M651" s="88">
        <v>0</v>
      </c>
      <c r="N651" s="88">
        <v>0</v>
      </c>
      <c r="O651" s="88">
        <v>0</v>
      </c>
    </row>
    <row r="652" spans="1:15" ht="15.75" customHeight="1" x14ac:dyDescent="0.2">
      <c r="A652" s="141" t="s">
        <v>393</v>
      </c>
      <c r="B652" s="141" t="s">
        <v>427</v>
      </c>
      <c r="C652" s="89" t="s">
        <v>7</v>
      </c>
      <c r="D652" s="59">
        <f t="shared" si="265"/>
        <v>8227.4000000000015</v>
      </c>
      <c r="E652" s="88">
        <f>E653+E654+E655+E656</f>
        <v>0</v>
      </c>
      <c r="F652" s="88">
        <f t="shared" ref="F652:O652" si="271">F653+F654+F655+F656</f>
        <v>0</v>
      </c>
      <c r="G652" s="88">
        <f t="shared" si="271"/>
        <v>0</v>
      </c>
      <c r="H652" s="88">
        <f t="shared" si="271"/>
        <v>0</v>
      </c>
      <c r="I652" s="88">
        <f>I653+I654+I655+I656</f>
        <v>0</v>
      </c>
      <c r="J652" s="88">
        <f t="shared" si="271"/>
        <v>0</v>
      </c>
      <c r="K652" s="88">
        <f t="shared" si="271"/>
        <v>2738.4</v>
      </c>
      <c r="L652" s="88">
        <f t="shared" si="271"/>
        <v>2635.3</v>
      </c>
      <c r="M652" s="88">
        <f t="shared" si="271"/>
        <v>1132.0999999999999</v>
      </c>
      <c r="N652" s="88">
        <f t="shared" si="271"/>
        <v>867.2</v>
      </c>
      <c r="O652" s="88">
        <f t="shared" si="271"/>
        <v>854.4</v>
      </c>
    </row>
    <row r="653" spans="1:15" ht="15.75" x14ac:dyDescent="0.2">
      <c r="A653" s="141"/>
      <c r="B653" s="141"/>
      <c r="C653" s="79" t="s">
        <v>10</v>
      </c>
      <c r="D653" s="59">
        <f t="shared" si="265"/>
        <v>0</v>
      </c>
      <c r="E653" s="88">
        <v>0</v>
      </c>
      <c r="F653" s="88">
        <v>0</v>
      </c>
      <c r="G653" s="88">
        <v>0</v>
      </c>
      <c r="H653" s="88">
        <v>0</v>
      </c>
      <c r="I653" s="88">
        <v>0</v>
      </c>
      <c r="J653" s="88">
        <v>0</v>
      </c>
      <c r="K653" s="88">
        <v>0</v>
      </c>
      <c r="L653" s="88">
        <v>0</v>
      </c>
      <c r="M653" s="88">
        <v>0</v>
      </c>
      <c r="N653" s="88">
        <v>0</v>
      </c>
      <c r="O653" s="88">
        <v>0</v>
      </c>
    </row>
    <row r="654" spans="1:15" ht="15.75" x14ac:dyDescent="0.2">
      <c r="A654" s="141"/>
      <c r="B654" s="141"/>
      <c r="C654" s="79" t="s">
        <v>11</v>
      </c>
      <c r="D654" s="59">
        <f>E654+F654+G654+H654+I654+J654+K654+L654+M654+N654+O654</f>
        <v>0</v>
      </c>
      <c r="E654" s="88">
        <v>0</v>
      </c>
      <c r="F654" s="88">
        <v>0</v>
      </c>
      <c r="G654" s="88">
        <v>0</v>
      </c>
      <c r="H654" s="88">
        <v>0</v>
      </c>
      <c r="I654" s="88">
        <v>0</v>
      </c>
      <c r="J654" s="88">
        <v>0</v>
      </c>
      <c r="K654" s="88">
        <v>0</v>
      </c>
      <c r="L654" s="88">
        <v>0</v>
      </c>
      <c r="M654" s="88">
        <v>0</v>
      </c>
      <c r="N654" s="88">
        <v>0</v>
      </c>
      <c r="O654" s="88">
        <v>0</v>
      </c>
    </row>
    <row r="655" spans="1:15" ht="15.75" x14ac:dyDescent="0.2">
      <c r="A655" s="141"/>
      <c r="B655" s="141"/>
      <c r="C655" s="79" t="s">
        <v>12</v>
      </c>
      <c r="D655" s="59">
        <f t="shared" si="265"/>
        <v>8227.4000000000015</v>
      </c>
      <c r="E655" s="88">
        <v>0</v>
      </c>
      <c r="F655" s="88">
        <v>0</v>
      </c>
      <c r="G655" s="88">
        <v>0</v>
      </c>
      <c r="H655" s="88">
        <v>0</v>
      </c>
      <c r="I655" s="88">
        <v>0</v>
      </c>
      <c r="J655" s="88">
        <v>0</v>
      </c>
      <c r="K655" s="88">
        <f>5000-2261.6-2056+2056</f>
        <v>2738.4</v>
      </c>
      <c r="L655" s="88">
        <f>735.3+600+1300</f>
        <v>2635.3</v>
      </c>
      <c r="M655" s="88">
        <f>779.7+352.4</f>
        <v>1132.0999999999999</v>
      </c>
      <c r="N655" s="88">
        <f>783.5+83.7</f>
        <v>867.2</v>
      </c>
      <c r="O655" s="88">
        <f>0+854.4</f>
        <v>854.4</v>
      </c>
    </row>
    <row r="656" spans="1:15" ht="15.75" x14ac:dyDescent="0.2">
      <c r="A656" s="141"/>
      <c r="B656" s="141"/>
      <c r="C656" s="79" t="s">
        <v>13</v>
      </c>
      <c r="D656" s="59">
        <f t="shared" si="265"/>
        <v>0</v>
      </c>
      <c r="E656" s="88">
        <v>0</v>
      </c>
      <c r="F656" s="88">
        <v>0</v>
      </c>
      <c r="G656" s="88">
        <v>0</v>
      </c>
      <c r="H656" s="88">
        <v>0</v>
      </c>
      <c r="I656" s="88">
        <v>0</v>
      </c>
      <c r="J656" s="88">
        <v>0</v>
      </c>
      <c r="K656" s="88">
        <v>0</v>
      </c>
      <c r="L656" s="88">
        <v>0</v>
      </c>
      <c r="M656" s="88">
        <v>0</v>
      </c>
      <c r="N656" s="88">
        <v>0</v>
      </c>
      <c r="O656" s="88">
        <v>0</v>
      </c>
    </row>
    <row r="657" spans="1:15" ht="15.75" customHeight="1" x14ac:dyDescent="0.2">
      <c r="A657" s="141" t="s">
        <v>400</v>
      </c>
      <c r="B657" s="141" t="s">
        <v>404</v>
      </c>
      <c r="C657" s="89" t="s">
        <v>7</v>
      </c>
      <c r="D657" s="59">
        <f t="shared" ref="D657" si="272">E657+F657+G657+H657+I657+J657+K657+L657+M657+N657+O657</f>
        <v>7545.1</v>
      </c>
      <c r="E657" s="88">
        <f>E658+E659+E660+E661</f>
        <v>0</v>
      </c>
      <c r="F657" s="88">
        <f t="shared" ref="F657:O657" si="273">F658+F659+F660+F661</f>
        <v>0</v>
      </c>
      <c r="G657" s="88">
        <f t="shared" si="273"/>
        <v>0</v>
      </c>
      <c r="H657" s="88">
        <f t="shared" si="273"/>
        <v>0</v>
      </c>
      <c r="I657" s="88">
        <f>I658+I659+I660+I661</f>
        <v>0</v>
      </c>
      <c r="J657" s="88">
        <f t="shared" si="273"/>
        <v>0</v>
      </c>
      <c r="K657" s="88">
        <f t="shared" si="273"/>
        <v>7545.1</v>
      </c>
      <c r="L657" s="88">
        <f t="shared" si="273"/>
        <v>0</v>
      </c>
      <c r="M657" s="88">
        <f t="shared" si="273"/>
        <v>0</v>
      </c>
      <c r="N657" s="88">
        <f t="shared" si="273"/>
        <v>0</v>
      </c>
      <c r="O657" s="88">
        <f t="shared" si="273"/>
        <v>0</v>
      </c>
    </row>
    <row r="658" spans="1:15" ht="15.75" x14ac:dyDescent="0.2">
      <c r="A658" s="141"/>
      <c r="B658" s="141"/>
      <c r="C658" s="79" t="s">
        <v>10</v>
      </c>
      <c r="D658" s="59">
        <f t="shared" si="265"/>
        <v>0</v>
      </c>
      <c r="E658" s="88">
        <v>0</v>
      </c>
      <c r="F658" s="88">
        <v>0</v>
      </c>
      <c r="G658" s="88">
        <v>0</v>
      </c>
      <c r="H658" s="88">
        <v>0</v>
      </c>
      <c r="I658" s="88">
        <v>0</v>
      </c>
      <c r="J658" s="88">
        <v>0</v>
      </c>
      <c r="K658" s="88">
        <v>0</v>
      </c>
      <c r="L658" s="88">
        <v>0</v>
      </c>
      <c r="M658" s="88">
        <v>0</v>
      </c>
      <c r="N658" s="88">
        <v>0</v>
      </c>
      <c r="O658" s="88">
        <v>0</v>
      </c>
    </row>
    <row r="659" spans="1:15" ht="15.75" x14ac:dyDescent="0.2">
      <c r="A659" s="141"/>
      <c r="B659" s="141"/>
      <c r="C659" s="79" t="s">
        <v>11</v>
      </c>
      <c r="D659" s="59">
        <f>E659+F659+G659+H659+I659+J659+K659+L659+M659+N659+O659</f>
        <v>0</v>
      </c>
      <c r="E659" s="88">
        <v>0</v>
      </c>
      <c r="F659" s="88">
        <v>0</v>
      </c>
      <c r="G659" s="88">
        <v>0</v>
      </c>
      <c r="H659" s="88">
        <v>0</v>
      </c>
      <c r="I659" s="88">
        <v>0</v>
      </c>
      <c r="J659" s="88">
        <v>0</v>
      </c>
      <c r="K659" s="88">
        <v>0</v>
      </c>
      <c r="L659" s="88">
        <v>0</v>
      </c>
      <c r="M659" s="88">
        <v>0</v>
      </c>
      <c r="N659" s="88">
        <v>0</v>
      </c>
      <c r="O659" s="88">
        <v>0</v>
      </c>
    </row>
    <row r="660" spans="1:15" ht="15.75" x14ac:dyDescent="0.2">
      <c r="A660" s="141"/>
      <c r="B660" s="141"/>
      <c r="C660" s="79" t="s">
        <v>12</v>
      </c>
      <c r="D660" s="59">
        <f t="shared" si="265"/>
        <v>7545.1</v>
      </c>
      <c r="E660" s="88">
        <v>0</v>
      </c>
      <c r="F660" s="88">
        <v>0</v>
      </c>
      <c r="G660" s="88">
        <v>0</v>
      </c>
      <c r="H660" s="88">
        <v>0</v>
      </c>
      <c r="I660" s="88">
        <v>0</v>
      </c>
      <c r="J660" s="88">
        <v>0</v>
      </c>
      <c r="K660" s="88">
        <v>7545.1</v>
      </c>
      <c r="L660" s="88">
        <v>0</v>
      </c>
      <c r="M660" s="88">
        <v>0</v>
      </c>
      <c r="N660" s="88">
        <v>0</v>
      </c>
      <c r="O660" s="88">
        <v>0</v>
      </c>
    </row>
    <row r="661" spans="1:15" ht="15.75" x14ac:dyDescent="0.2">
      <c r="A661" s="141"/>
      <c r="B661" s="141"/>
      <c r="C661" s="79" t="s">
        <v>13</v>
      </c>
      <c r="D661" s="59">
        <f t="shared" si="265"/>
        <v>0</v>
      </c>
      <c r="E661" s="88">
        <v>0</v>
      </c>
      <c r="F661" s="88">
        <v>0</v>
      </c>
      <c r="G661" s="88">
        <v>0</v>
      </c>
      <c r="H661" s="88">
        <v>0</v>
      </c>
      <c r="I661" s="88">
        <v>0</v>
      </c>
      <c r="J661" s="88">
        <v>0</v>
      </c>
      <c r="K661" s="88">
        <v>0</v>
      </c>
      <c r="L661" s="88">
        <v>0</v>
      </c>
      <c r="M661" s="88">
        <v>0</v>
      </c>
      <c r="N661" s="88">
        <v>0</v>
      </c>
      <c r="O661" s="88">
        <v>0</v>
      </c>
    </row>
    <row r="662" spans="1:15" ht="15.75" x14ac:dyDescent="0.2">
      <c r="A662" s="141" t="s">
        <v>435</v>
      </c>
      <c r="B662" s="141" t="s">
        <v>436</v>
      </c>
      <c r="C662" s="89" t="s">
        <v>7</v>
      </c>
      <c r="D662" s="59">
        <f t="shared" si="265"/>
        <v>2808.3</v>
      </c>
      <c r="E662" s="88">
        <f>E663+E664+E665+E666</f>
        <v>0</v>
      </c>
      <c r="F662" s="88">
        <f t="shared" ref="F662:H662" si="274">F663+F664+F665+F666</f>
        <v>0</v>
      </c>
      <c r="G662" s="88">
        <f t="shared" si="274"/>
        <v>0</v>
      </c>
      <c r="H662" s="88">
        <f t="shared" si="274"/>
        <v>0</v>
      </c>
      <c r="I662" s="88">
        <f>I663+I664+I665+I666</f>
        <v>0</v>
      </c>
      <c r="J662" s="88">
        <f t="shared" ref="J662:O662" si="275">J663+J664+J665+J666</f>
        <v>0</v>
      </c>
      <c r="K662" s="88">
        <f t="shared" si="275"/>
        <v>0</v>
      </c>
      <c r="L662" s="88">
        <f t="shared" si="275"/>
        <v>2808.3</v>
      </c>
      <c r="M662" s="88">
        <f t="shared" si="275"/>
        <v>0</v>
      </c>
      <c r="N662" s="88">
        <f t="shared" si="275"/>
        <v>0</v>
      </c>
      <c r="O662" s="88">
        <f t="shared" si="275"/>
        <v>0</v>
      </c>
    </row>
    <row r="663" spans="1:15" ht="15.75" x14ac:dyDescent="0.2">
      <c r="A663" s="141"/>
      <c r="B663" s="141"/>
      <c r="C663" s="79" t="s">
        <v>10</v>
      </c>
      <c r="D663" s="59">
        <f t="shared" ref="D663" si="276">E663+F663+G663+H663+I663+J663+K663+L663+M663+N663+O663</f>
        <v>0</v>
      </c>
      <c r="E663" s="88">
        <v>0</v>
      </c>
      <c r="F663" s="88">
        <v>0</v>
      </c>
      <c r="G663" s="88">
        <v>0</v>
      </c>
      <c r="H663" s="88">
        <v>0</v>
      </c>
      <c r="I663" s="88">
        <v>0</v>
      </c>
      <c r="J663" s="88">
        <v>0</v>
      </c>
      <c r="K663" s="88">
        <v>0</v>
      </c>
      <c r="L663" s="88">
        <v>0</v>
      </c>
      <c r="M663" s="88">
        <v>0</v>
      </c>
      <c r="N663" s="88">
        <v>0</v>
      </c>
      <c r="O663" s="88">
        <v>0</v>
      </c>
    </row>
    <row r="664" spans="1:15" ht="15.75" x14ac:dyDescent="0.2">
      <c r="A664" s="141"/>
      <c r="B664" s="141"/>
      <c r="C664" s="79" t="s">
        <v>11</v>
      </c>
      <c r="D664" s="59">
        <f>E664+F664+G664+H664+I664+J664+K664+L664+M664+N664+O664</f>
        <v>0</v>
      </c>
      <c r="E664" s="88">
        <v>0</v>
      </c>
      <c r="F664" s="88">
        <v>0</v>
      </c>
      <c r="G664" s="88">
        <v>0</v>
      </c>
      <c r="H664" s="88">
        <v>0</v>
      </c>
      <c r="I664" s="88">
        <v>0</v>
      </c>
      <c r="J664" s="88">
        <v>0</v>
      </c>
      <c r="K664" s="88">
        <v>0</v>
      </c>
      <c r="L664" s="88">
        <v>0</v>
      </c>
      <c r="M664" s="88">
        <v>0</v>
      </c>
      <c r="N664" s="88">
        <v>0</v>
      </c>
      <c r="O664" s="88">
        <v>0</v>
      </c>
    </row>
    <row r="665" spans="1:15" ht="15.75" x14ac:dyDescent="0.2">
      <c r="A665" s="141"/>
      <c r="B665" s="141"/>
      <c r="C665" s="79" t="s">
        <v>12</v>
      </c>
      <c r="D665" s="59">
        <f t="shared" ref="D665:D666" si="277">E665+F665+G665+H665+I665+J665+K665+L665+M665+N665+O665</f>
        <v>2808.3</v>
      </c>
      <c r="E665" s="88">
        <v>0</v>
      </c>
      <c r="F665" s="88">
        <v>0</v>
      </c>
      <c r="G665" s="88">
        <v>0</v>
      </c>
      <c r="H665" s="88">
        <v>0</v>
      </c>
      <c r="I665" s="88">
        <v>0</v>
      </c>
      <c r="J665" s="88">
        <v>0</v>
      </c>
      <c r="K665" s="88">
        <v>0</v>
      </c>
      <c r="L665" s="88">
        <f>4928.6-2120.3</f>
        <v>2808.3</v>
      </c>
      <c r="M665" s="88">
        <v>0</v>
      </c>
      <c r="N665" s="88">
        <v>0</v>
      </c>
      <c r="O665" s="88">
        <v>0</v>
      </c>
    </row>
    <row r="666" spans="1:15" ht="15.75" x14ac:dyDescent="0.2">
      <c r="A666" s="141"/>
      <c r="B666" s="141"/>
      <c r="C666" s="79" t="s">
        <v>13</v>
      </c>
      <c r="D666" s="59">
        <f t="shared" si="277"/>
        <v>0</v>
      </c>
      <c r="E666" s="88">
        <v>0</v>
      </c>
      <c r="F666" s="88">
        <v>0</v>
      </c>
      <c r="G666" s="88">
        <v>0</v>
      </c>
      <c r="H666" s="88">
        <v>0</v>
      </c>
      <c r="I666" s="88">
        <v>0</v>
      </c>
      <c r="J666" s="88">
        <v>0</v>
      </c>
      <c r="K666" s="88">
        <v>0</v>
      </c>
      <c r="L666" s="88">
        <v>0</v>
      </c>
      <c r="M666" s="88">
        <v>0</v>
      </c>
      <c r="N666" s="88">
        <v>0</v>
      </c>
      <c r="O666" s="88">
        <v>0</v>
      </c>
    </row>
    <row r="667" spans="1:15" ht="15.75" x14ac:dyDescent="0.2">
      <c r="A667" s="141" t="s">
        <v>282</v>
      </c>
      <c r="B667" s="141" t="s">
        <v>283</v>
      </c>
      <c r="C667" s="79" t="s">
        <v>7</v>
      </c>
      <c r="D667" s="59">
        <f t="shared" si="253"/>
        <v>881791.50000000012</v>
      </c>
      <c r="E667" s="59">
        <f t="shared" ref="E667:O667" si="278">E668+E669+E670+E671</f>
        <v>0</v>
      </c>
      <c r="F667" s="59">
        <f t="shared" si="278"/>
        <v>0</v>
      </c>
      <c r="G667" s="59">
        <f t="shared" si="278"/>
        <v>0</v>
      </c>
      <c r="H667" s="59">
        <f t="shared" si="278"/>
        <v>0</v>
      </c>
      <c r="I667" s="59">
        <f t="shared" si="278"/>
        <v>52500</v>
      </c>
      <c r="J667" s="59">
        <f>J668+J669+J670+J671</f>
        <v>227517.2</v>
      </c>
      <c r="K667" s="59">
        <f t="shared" si="278"/>
        <v>393667.4</v>
      </c>
      <c r="L667" s="59">
        <f t="shared" si="278"/>
        <v>208106.9</v>
      </c>
      <c r="M667" s="59">
        <f t="shared" si="278"/>
        <v>0</v>
      </c>
      <c r="N667" s="59">
        <f t="shared" si="278"/>
        <v>0</v>
      </c>
      <c r="O667" s="59">
        <f t="shared" si="278"/>
        <v>0</v>
      </c>
    </row>
    <row r="668" spans="1:15" ht="15.75" x14ac:dyDescent="0.2">
      <c r="A668" s="142"/>
      <c r="B668" s="149"/>
      <c r="C668" s="79" t="s">
        <v>10</v>
      </c>
      <c r="D668" s="59">
        <f t="shared" si="253"/>
        <v>0</v>
      </c>
      <c r="E668" s="59">
        <f>E673</f>
        <v>0</v>
      </c>
      <c r="F668" s="59">
        <f t="shared" ref="F668:K668" si="279">F673</f>
        <v>0</v>
      </c>
      <c r="G668" s="59">
        <f t="shared" si="279"/>
        <v>0</v>
      </c>
      <c r="H668" s="59">
        <f t="shared" si="279"/>
        <v>0</v>
      </c>
      <c r="I668" s="59">
        <f t="shared" si="279"/>
        <v>0</v>
      </c>
      <c r="J668" s="59">
        <f>J673</f>
        <v>0</v>
      </c>
      <c r="K668" s="59">
        <f t="shared" si="279"/>
        <v>0</v>
      </c>
      <c r="L668" s="59">
        <f>L704+L714+L726+L742+L753+L760</f>
        <v>0</v>
      </c>
      <c r="M668" s="59">
        <f>M704+M714+M726+M742+M753+M760</f>
        <v>0</v>
      </c>
      <c r="N668" s="59">
        <f>N704+N714+N726+N742+N753+N760</f>
        <v>0</v>
      </c>
      <c r="O668" s="59">
        <f>O704+O714+O726+O742+O753+O760</f>
        <v>0</v>
      </c>
    </row>
    <row r="669" spans="1:15" ht="15.75" x14ac:dyDescent="0.2">
      <c r="A669" s="142"/>
      <c r="B669" s="149"/>
      <c r="C669" s="79" t="s">
        <v>11</v>
      </c>
      <c r="D669" s="59">
        <f t="shared" si="253"/>
        <v>828471.8</v>
      </c>
      <c r="E669" s="59">
        <f t="shared" ref="E669:O669" si="280">E674</f>
        <v>0</v>
      </c>
      <c r="F669" s="59">
        <f t="shared" si="280"/>
        <v>0</v>
      </c>
      <c r="G669" s="59">
        <f t="shared" si="280"/>
        <v>0</v>
      </c>
      <c r="H669" s="59">
        <f t="shared" si="280"/>
        <v>0</v>
      </c>
      <c r="I669" s="59">
        <f t="shared" si="280"/>
        <v>50000</v>
      </c>
      <c r="J669" s="59">
        <f>J674</f>
        <v>213866.1</v>
      </c>
      <c r="K669" s="59">
        <f t="shared" si="280"/>
        <v>368985.2</v>
      </c>
      <c r="L669" s="59">
        <f t="shared" si="280"/>
        <v>195620.5</v>
      </c>
      <c r="M669" s="59">
        <f t="shared" si="280"/>
        <v>0</v>
      </c>
      <c r="N669" s="59">
        <f t="shared" si="280"/>
        <v>0</v>
      </c>
      <c r="O669" s="59">
        <f t="shared" si="280"/>
        <v>0</v>
      </c>
    </row>
    <row r="670" spans="1:15" ht="15.75" x14ac:dyDescent="0.2">
      <c r="A670" s="142"/>
      <c r="B670" s="149"/>
      <c r="C670" s="79" t="s">
        <v>12</v>
      </c>
      <c r="D670" s="59">
        <f t="shared" ref="D670:D716" si="281">E670+F670+G670+H670+I670+J670+K670+L670+M670+N670+O670</f>
        <v>53319.700000000004</v>
      </c>
      <c r="E670" s="59">
        <f t="shared" ref="E670:O670" si="282">E675</f>
        <v>0</v>
      </c>
      <c r="F670" s="59">
        <f t="shared" si="282"/>
        <v>0</v>
      </c>
      <c r="G670" s="59">
        <f t="shared" si="282"/>
        <v>0</v>
      </c>
      <c r="H670" s="59">
        <f t="shared" si="282"/>
        <v>0</v>
      </c>
      <c r="I670" s="59">
        <f t="shared" si="282"/>
        <v>2500</v>
      </c>
      <c r="J670" s="59">
        <f>J675</f>
        <v>13651.1</v>
      </c>
      <c r="K670" s="59">
        <f t="shared" si="282"/>
        <v>24682.2</v>
      </c>
      <c r="L670" s="59">
        <f t="shared" si="282"/>
        <v>12486.4</v>
      </c>
      <c r="M670" s="59">
        <f t="shared" si="282"/>
        <v>0</v>
      </c>
      <c r="N670" s="59">
        <f t="shared" si="282"/>
        <v>0</v>
      </c>
      <c r="O670" s="59">
        <f t="shared" si="282"/>
        <v>0</v>
      </c>
    </row>
    <row r="671" spans="1:15" ht="16.5" customHeight="1" x14ac:dyDescent="0.2">
      <c r="A671" s="142"/>
      <c r="B671" s="149"/>
      <c r="C671" s="79" t="s">
        <v>13</v>
      </c>
      <c r="D671" s="59">
        <f t="shared" si="281"/>
        <v>0</v>
      </c>
      <c r="E671" s="59">
        <f t="shared" ref="E671:K671" si="283">E676</f>
        <v>0</v>
      </c>
      <c r="F671" s="59">
        <f t="shared" si="283"/>
        <v>0</v>
      </c>
      <c r="G671" s="59">
        <f t="shared" si="283"/>
        <v>0</v>
      </c>
      <c r="H671" s="59">
        <f t="shared" si="283"/>
        <v>0</v>
      </c>
      <c r="I671" s="59">
        <f t="shared" si="283"/>
        <v>0</v>
      </c>
      <c r="J671" s="59">
        <f>J676</f>
        <v>0</v>
      </c>
      <c r="K671" s="59">
        <f t="shared" si="283"/>
        <v>0</v>
      </c>
      <c r="L671" s="59">
        <v>0</v>
      </c>
      <c r="M671" s="59">
        <v>0</v>
      </c>
      <c r="N671" s="59">
        <v>0</v>
      </c>
      <c r="O671" s="59">
        <v>0</v>
      </c>
    </row>
    <row r="672" spans="1:15" ht="15.75" x14ac:dyDescent="0.2">
      <c r="A672" s="141" t="s">
        <v>284</v>
      </c>
      <c r="B672" s="141" t="s">
        <v>285</v>
      </c>
      <c r="C672" s="79" t="s">
        <v>7</v>
      </c>
      <c r="D672" s="59">
        <f t="shared" si="281"/>
        <v>881791.50000000012</v>
      </c>
      <c r="E672" s="59">
        <f t="shared" ref="E672:J672" si="284">E673+E674+E675+E676</f>
        <v>0</v>
      </c>
      <c r="F672" s="59">
        <f t="shared" si="284"/>
        <v>0</v>
      </c>
      <c r="G672" s="59">
        <f t="shared" si="284"/>
        <v>0</v>
      </c>
      <c r="H672" s="59">
        <f t="shared" si="284"/>
        <v>0</v>
      </c>
      <c r="I672" s="59">
        <f t="shared" si="284"/>
        <v>52500</v>
      </c>
      <c r="J672" s="59">
        <f t="shared" si="284"/>
        <v>227517.2</v>
      </c>
      <c r="K672" s="59">
        <f>K673+K674+K675+K676</f>
        <v>393667.4</v>
      </c>
      <c r="L672" s="59">
        <f t="shared" ref="L672:O672" si="285">L673+L674+L675+L676</f>
        <v>208106.9</v>
      </c>
      <c r="M672" s="59">
        <f t="shared" si="285"/>
        <v>0</v>
      </c>
      <c r="N672" s="59">
        <f t="shared" si="285"/>
        <v>0</v>
      </c>
      <c r="O672" s="59">
        <f t="shared" si="285"/>
        <v>0</v>
      </c>
    </row>
    <row r="673" spans="1:15" ht="15.75" x14ac:dyDescent="0.2">
      <c r="A673" s="141"/>
      <c r="B673" s="141"/>
      <c r="C673" s="79" t="s">
        <v>10</v>
      </c>
      <c r="D673" s="59">
        <f t="shared" si="281"/>
        <v>0</v>
      </c>
      <c r="E673" s="59">
        <f t="shared" ref="E673:K673" si="286">E709+E720+E731+E747+E758+E765</f>
        <v>0</v>
      </c>
      <c r="F673" s="59">
        <f t="shared" si="286"/>
        <v>0</v>
      </c>
      <c r="G673" s="59">
        <f t="shared" si="286"/>
        <v>0</v>
      </c>
      <c r="H673" s="59">
        <f t="shared" si="286"/>
        <v>0</v>
      </c>
      <c r="I673" s="59">
        <f t="shared" si="286"/>
        <v>0</v>
      </c>
      <c r="J673" s="59">
        <f t="shared" si="286"/>
        <v>0</v>
      </c>
      <c r="K673" s="59">
        <f t="shared" si="286"/>
        <v>0</v>
      </c>
      <c r="L673" s="59">
        <f>L709+L720+L731+L747+L758+L765</f>
        <v>0</v>
      </c>
      <c r="M673" s="59">
        <f>M709+M720+M731+M747+M758+M765</f>
        <v>0</v>
      </c>
      <c r="N673" s="59">
        <f>N709+N720+N731+N747+N758+N765</f>
        <v>0</v>
      </c>
      <c r="O673" s="59">
        <f>O709+O720+O731+O747+O758+O765</f>
        <v>0</v>
      </c>
    </row>
    <row r="674" spans="1:15" ht="15.75" x14ac:dyDescent="0.2">
      <c r="A674" s="141"/>
      <c r="B674" s="141"/>
      <c r="C674" s="79" t="s">
        <v>11</v>
      </c>
      <c r="D674" s="59">
        <f t="shared" si="281"/>
        <v>828471.8</v>
      </c>
      <c r="E674" s="59">
        <v>0</v>
      </c>
      <c r="F674" s="59">
        <v>0</v>
      </c>
      <c r="G674" s="59">
        <v>0</v>
      </c>
      <c r="H674" s="59">
        <v>0</v>
      </c>
      <c r="I674" s="59">
        <v>50000</v>
      </c>
      <c r="J674" s="59">
        <v>213866.1</v>
      </c>
      <c r="K674" s="59">
        <v>368985.2</v>
      </c>
      <c r="L674" s="59">
        <v>195620.5</v>
      </c>
      <c r="M674" s="59">
        <v>0</v>
      </c>
      <c r="N674" s="59">
        <v>0</v>
      </c>
      <c r="O674" s="59">
        <v>0</v>
      </c>
    </row>
    <row r="675" spans="1:15" ht="15.75" x14ac:dyDescent="0.2">
      <c r="A675" s="141"/>
      <c r="B675" s="141"/>
      <c r="C675" s="79" t="s">
        <v>12</v>
      </c>
      <c r="D675" s="59">
        <f t="shared" si="281"/>
        <v>53319.700000000004</v>
      </c>
      <c r="E675" s="59">
        <v>0</v>
      </c>
      <c r="F675" s="59">
        <v>0</v>
      </c>
      <c r="G675" s="59">
        <v>0</v>
      </c>
      <c r="H675" s="59">
        <v>0</v>
      </c>
      <c r="I675" s="59">
        <v>2500</v>
      </c>
      <c r="J675" s="59">
        <v>13651.1</v>
      </c>
      <c r="K675" s="59">
        <v>24682.2</v>
      </c>
      <c r="L675" s="59">
        <v>12486.4</v>
      </c>
      <c r="M675" s="59">
        <v>0</v>
      </c>
      <c r="N675" s="59">
        <v>0</v>
      </c>
      <c r="O675" s="59">
        <v>0</v>
      </c>
    </row>
    <row r="676" spans="1:15" ht="19.5" customHeight="1" x14ac:dyDescent="0.2">
      <c r="A676" s="141"/>
      <c r="B676" s="141"/>
      <c r="C676" s="79" t="s">
        <v>13</v>
      </c>
      <c r="D676" s="59">
        <f t="shared" si="281"/>
        <v>0</v>
      </c>
      <c r="E676" s="59">
        <f>E723+E734+E750+E762+E769</f>
        <v>0</v>
      </c>
      <c r="F676" s="59">
        <f>F723+F734+F750+F762+F769</f>
        <v>0</v>
      </c>
      <c r="G676" s="59">
        <f>G723+G734+G750+G762+G769</f>
        <v>0</v>
      </c>
      <c r="H676" s="59">
        <f>H723+H734+H750+H762+H769</f>
        <v>0</v>
      </c>
      <c r="I676" s="59">
        <f>I723+I734+I750+I762+I769</f>
        <v>0</v>
      </c>
      <c r="J676" s="59">
        <v>0</v>
      </c>
      <c r="K676" s="59">
        <v>0</v>
      </c>
      <c r="L676" s="59">
        <v>0</v>
      </c>
      <c r="M676" s="59">
        <v>0</v>
      </c>
      <c r="N676" s="59">
        <v>0</v>
      </c>
      <c r="O676" s="59">
        <v>0</v>
      </c>
    </row>
    <row r="677" spans="1:15" ht="21" customHeight="1" x14ac:dyDescent="0.2">
      <c r="A677" s="141" t="s">
        <v>357</v>
      </c>
      <c r="B677" s="141" t="s">
        <v>358</v>
      </c>
      <c r="C677" s="79" t="s">
        <v>7</v>
      </c>
      <c r="D677" s="59">
        <f>E677+F677+G677+H677+I677+J677+K677+L677+M677+N677+O677</f>
        <v>600</v>
      </c>
      <c r="E677" s="59">
        <f t="shared" ref="E677:O677" si="287">E678+E679+E680+E681</f>
        <v>0</v>
      </c>
      <c r="F677" s="59">
        <f t="shared" si="287"/>
        <v>0</v>
      </c>
      <c r="G677" s="59">
        <f t="shared" si="287"/>
        <v>0</v>
      </c>
      <c r="H677" s="59">
        <f t="shared" si="287"/>
        <v>0</v>
      </c>
      <c r="I677" s="59">
        <f t="shared" si="287"/>
        <v>0</v>
      </c>
      <c r="J677" s="59">
        <f t="shared" si="287"/>
        <v>600</v>
      </c>
      <c r="K677" s="59">
        <f t="shared" si="287"/>
        <v>0</v>
      </c>
      <c r="L677" s="59">
        <f t="shared" si="287"/>
        <v>0</v>
      </c>
      <c r="M677" s="59">
        <f t="shared" si="287"/>
        <v>0</v>
      </c>
      <c r="N677" s="59">
        <f t="shared" si="287"/>
        <v>0</v>
      </c>
      <c r="O677" s="59">
        <f t="shared" si="287"/>
        <v>0</v>
      </c>
    </row>
    <row r="678" spans="1:15" ht="21" customHeight="1" x14ac:dyDescent="0.2">
      <c r="A678" s="142"/>
      <c r="B678" s="149"/>
      <c r="C678" s="79" t="s">
        <v>10</v>
      </c>
      <c r="D678" s="59">
        <f>E678+F678+G678+H678+I678+J678+K678+L678+M678+N678+O678</f>
        <v>0</v>
      </c>
      <c r="E678" s="59">
        <f>E683</f>
        <v>0</v>
      </c>
      <c r="F678" s="59">
        <f t="shared" ref="F678:K678" si="288">F683</f>
        <v>0</v>
      </c>
      <c r="G678" s="59">
        <f t="shared" si="288"/>
        <v>0</v>
      </c>
      <c r="H678" s="59">
        <f t="shared" si="288"/>
        <v>0</v>
      </c>
      <c r="I678" s="59">
        <f t="shared" si="288"/>
        <v>0</v>
      </c>
      <c r="J678" s="59">
        <f t="shared" si="288"/>
        <v>0</v>
      </c>
      <c r="K678" s="59">
        <f t="shared" si="288"/>
        <v>0</v>
      </c>
      <c r="L678" s="59">
        <f>L714+L725+L736+L752+L763+L770</f>
        <v>0</v>
      </c>
      <c r="M678" s="59">
        <f>M714+M725+M736+M752+M763+M770</f>
        <v>0</v>
      </c>
      <c r="N678" s="59">
        <f>N714+N725+N736+N752+N763+N770</f>
        <v>0</v>
      </c>
      <c r="O678" s="59">
        <f>O714+O725+O736+O752+O763+O770</f>
        <v>0</v>
      </c>
    </row>
    <row r="679" spans="1:15" ht="21" customHeight="1" x14ac:dyDescent="0.2">
      <c r="A679" s="142"/>
      <c r="B679" s="149"/>
      <c r="C679" s="79" t="s">
        <v>11</v>
      </c>
      <c r="D679" s="59">
        <f t="shared" si="281"/>
        <v>0</v>
      </c>
      <c r="E679" s="59">
        <f t="shared" ref="E679:K679" si="289">E684</f>
        <v>0</v>
      </c>
      <c r="F679" s="59">
        <f t="shared" si="289"/>
        <v>0</v>
      </c>
      <c r="G679" s="59">
        <f t="shared" si="289"/>
        <v>0</v>
      </c>
      <c r="H679" s="59">
        <f t="shared" si="289"/>
        <v>0</v>
      </c>
      <c r="I679" s="59">
        <f t="shared" si="289"/>
        <v>0</v>
      </c>
      <c r="J679" s="59">
        <f t="shared" si="289"/>
        <v>0</v>
      </c>
      <c r="K679" s="59">
        <f t="shared" si="289"/>
        <v>0</v>
      </c>
      <c r="L679" s="59">
        <v>0</v>
      </c>
      <c r="M679" s="59">
        <v>0</v>
      </c>
      <c r="N679" s="59">
        <v>0</v>
      </c>
      <c r="O679" s="59">
        <v>0</v>
      </c>
    </row>
    <row r="680" spans="1:15" ht="21" customHeight="1" x14ac:dyDescent="0.2">
      <c r="A680" s="142"/>
      <c r="B680" s="149"/>
      <c r="C680" s="79" t="s">
        <v>12</v>
      </c>
      <c r="D680" s="59">
        <f t="shared" ref="D680:D686" si="290">E680+F680+G680+H680+I680+J680+K680+L680+M680+N680+O680</f>
        <v>600</v>
      </c>
      <c r="E680" s="59">
        <f t="shared" ref="E680:K680" si="291">E685</f>
        <v>0</v>
      </c>
      <c r="F680" s="59">
        <f t="shared" si="291"/>
        <v>0</v>
      </c>
      <c r="G680" s="59">
        <f t="shared" si="291"/>
        <v>0</v>
      </c>
      <c r="H680" s="59">
        <f t="shared" si="291"/>
        <v>0</v>
      </c>
      <c r="I680" s="59">
        <f t="shared" si="291"/>
        <v>0</v>
      </c>
      <c r="J680" s="59">
        <f t="shared" si="291"/>
        <v>600</v>
      </c>
      <c r="K680" s="59">
        <f t="shared" si="291"/>
        <v>0</v>
      </c>
      <c r="L680" s="59">
        <v>0</v>
      </c>
      <c r="M680" s="59">
        <v>0</v>
      </c>
      <c r="N680" s="59">
        <v>0</v>
      </c>
      <c r="O680" s="59">
        <v>0</v>
      </c>
    </row>
    <row r="681" spans="1:15" ht="21" customHeight="1" x14ac:dyDescent="0.2">
      <c r="A681" s="142"/>
      <c r="B681" s="149"/>
      <c r="C681" s="79" t="s">
        <v>13</v>
      </c>
      <c r="D681" s="59">
        <f t="shared" si="290"/>
        <v>0</v>
      </c>
      <c r="E681" s="59">
        <f t="shared" ref="E681:K681" si="292">E686</f>
        <v>0</v>
      </c>
      <c r="F681" s="59">
        <f t="shared" si="292"/>
        <v>0</v>
      </c>
      <c r="G681" s="59">
        <f t="shared" si="292"/>
        <v>0</v>
      </c>
      <c r="H681" s="59">
        <f t="shared" si="292"/>
        <v>0</v>
      </c>
      <c r="I681" s="59">
        <f t="shared" si="292"/>
        <v>0</v>
      </c>
      <c r="J681" s="59">
        <f t="shared" si="292"/>
        <v>0</v>
      </c>
      <c r="K681" s="59">
        <f t="shared" si="292"/>
        <v>0</v>
      </c>
      <c r="L681" s="59">
        <v>0</v>
      </c>
      <c r="M681" s="59">
        <v>0</v>
      </c>
      <c r="N681" s="59">
        <v>0</v>
      </c>
      <c r="O681" s="59">
        <v>0</v>
      </c>
    </row>
    <row r="682" spans="1:15" ht="15.75" x14ac:dyDescent="0.2">
      <c r="A682" s="141" t="s">
        <v>359</v>
      </c>
      <c r="B682" s="141" t="s">
        <v>360</v>
      </c>
      <c r="C682" s="79" t="s">
        <v>7</v>
      </c>
      <c r="D682" s="59">
        <f t="shared" si="290"/>
        <v>600</v>
      </c>
      <c r="E682" s="59">
        <f t="shared" ref="E682:O682" si="293">E683+E684+E685+E686</f>
        <v>0</v>
      </c>
      <c r="F682" s="59">
        <f t="shared" si="293"/>
        <v>0</v>
      </c>
      <c r="G682" s="59">
        <f t="shared" si="293"/>
        <v>0</v>
      </c>
      <c r="H682" s="59">
        <f t="shared" si="293"/>
        <v>0</v>
      </c>
      <c r="I682" s="59">
        <f t="shared" si="293"/>
        <v>0</v>
      </c>
      <c r="J682" s="59">
        <f t="shared" si="293"/>
        <v>600</v>
      </c>
      <c r="K682" s="59">
        <f t="shared" si="293"/>
        <v>0</v>
      </c>
      <c r="L682" s="59">
        <f t="shared" si="293"/>
        <v>0</v>
      </c>
      <c r="M682" s="59">
        <f t="shared" si="293"/>
        <v>0</v>
      </c>
      <c r="N682" s="59">
        <f t="shared" si="293"/>
        <v>0</v>
      </c>
      <c r="O682" s="59">
        <f t="shared" si="293"/>
        <v>0</v>
      </c>
    </row>
    <row r="683" spans="1:15" ht="15.75" x14ac:dyDescent="0.2">
      <c r="A683" s="141"/>
      <c r="B683" s="141"/>
      <c r="C683" s="79" t="s">
        <v>10</v>
      </c>
      <c r="D683" s="59">
        <f t="shared" si="290"/>
        <v>0</v>
      </c>
      <c r="E683" s="59">
        <f t="shared" ref="E683:O683" si="294">E720+E730+E741+E757+E768+E775</f>
        <v>0</v>
      </c>
      <c r="F683" s="59">
        <f t="shared" si="294"/>
        <v>0</v>
      </c>
      <c r="G683" s="59">
        <f t="shared" si="294"/>
        <v>0</v>
      </c>
      <c r="H683" s="59">
        <f t="shared" si="294"/>
        <v>0</v>
      </c>
      <c r="I683" s="59">
        <f t="shared" si="294"/>
        <v>0</v>
      </c>
      <c r="J683" s="59">
        <f t="shared" si="294"/>
        <v>0</v>
      </c>
      <c r="K683" s="59">
        <f t="shared" si="294"/>
        <v>0</v>
      </c>
      <c r="L683" s="59">
        <f t="shared" si="294"/>
        <v>0</v>
      </c>
      <c r="M683" s="59">
        <f t="shared" si="294"/>
        <v>0</v>
      </c>
      <c r="N683" s="59">
        <f t="shared" si="294"/>
        <v>0</v>
      </c>
      <c r="O683" s="59">
        <f t="shared" si="294"/>
        <v>0</v>
      </c>
    </row>
    <row r="684" spans="1:15" ht="15.75" x14ac:dyDescent="0.2">
      <c r="A684" s="141"/>
      <c r="B684" s="141"/>
      <c r="C684" s="79" t="s">
        <v>11</v>
      </c>
      <c r="D684" s="59">
        <f t="shared" si="290"/>
        <v>0</v>
      </c>
      <c r="E684" s="59">
        <v>0</v>
      </c>
      <c r="F684" s="59">
        <v>0</v>
      </c>
      <c r="G684" s="59">
        <v>0</v>
      </c>
      <c r="H684" s="59">
        <v>0</v>
      </c>
      <c r="I684" s="59">
        <v>0</v>
      </c>
      <c r="J684" s="59">
        <v>0</v>
      </c>
      <c r="K684" s="59">
        <v>0</v>
      </c>
      <c r="L684" s="59">
        <v>0</v>
      </c>
      <c r="M684" s="59">
        <v>0</v>
      </c>
      <c r="N684" s="59">
        <v>0</v>
      </c>
      <c r="O684" s="59">
        <v>0</v>
      </c>
    </row>
    <row r="685" spans="1:15" ht="15.75" x14ac:dyDescent="0.2">
      <c r="A685" s="141"/>
      <c r="B685" s="141"/>
      <c r="C685" s="79" t="s">
        <v>12</v>
      </c>
      <c r="D685" s="59">
        <f t="shared" si="290"/>
        <v>600</v>
      </c>
      <c r="E685" s="59">
        <v>0</v>
      </c>
      <c r="F685" s="59">
        <v>0</v>
      </c>
      <c r="G685" s="59">
        <v>0</v>
      </c>
      <c r="H685" s="59">
        <v>0</v>
      </c>
      <c r="I685" s="59">
        <v>0</v>
      </c>
      <c r="J685" s="59">
        <v>600</v>
      </c>
      <c r="K685" s="59">
        <v>0</v>
      </c>
      <c r="L685" s="59">
        <v>0</v>
      </c>
      <c r="M685" s="59">
        <v>0</v>
      </c>
      <c r="N685" s="59">
        <v>0</v>
      </c>
      <c r="O685" s="59">
        <v>0</v>
      </c>
    </row>
    <row r="686" spans="1:15" ht="24" customHeight="1" x14ac:dyDescent="0.2">
      <c r="A686" s="141"/>
      <c r="B686" s="141"/>
      <c r="C686" s="79" t="s">
        <v>13</v>
      </c>
      <c r="D686" s="59">
        <f t="shared" si="290"/>
        <v>0</v>
      </c>
      <c r="E686" s="59">
        <f>E733+E744+E760+E772+E779</f>
        <v>0</v>
      </c>
      <c r="F686" s="59">
        <f>F733+F744+F760+F772+F779</f>
        <v>0</v>
      </c>
      <c r="G686" s="59">
        <f>G733+G744+G760+G772+G779</f>
        <v>0</v>
      </c>
      <c r="H686" s="59">
        <f>H733+H744+H760+H772+H779</f>
        <v>0</v>
      </c>
      <c r="I686" s="59">
        <f>I733+I744+I760+I772+I779</f>
        <v>0</v>
      </c>
      <c r="J686" s="59">
        <v>0</v>
      </c>
      <c r="K686" s="59">
        <v>0</v>
      </c>
      <c r="L686" s="59">
        <v>0</v>
      </c>
      <c r="M686" s="59">
        <v>0</v>
      </c>
      <c r="N686" s="59">
        <v>0</v>
      </c>
      <c r="O686" s="59">
        <v>0</v>
      </c>
    </row>
    <row r="687" spans="1:15" ht="24" customHeight="1" x14ac:dyDescent="0.2">
      <c r="A687" s="141" t="s">
        <v>394</v>
      </c>
      <c r="B687" s="141" t="s">
        <v>396</v>
      </c>
      <c r="C687" s="79" t="s">
        <v>7</v>
      </c>
      <c r="D687" s="59">
        <f>E687+F687+G687+H687+I687+J687+K687+L687+M687+N687+O687</f>
        <v>23475.600000000002</v>
      </c>
      <c r="E687" s="59">
        <f>E688+E689+E690+E691</f>
        <v>0</v>
      </c>
      <c r="F687" s="59">
        <f t="shared" ref="F687:O687" si="295">F688+F689+F690+F691</f>
        <v>0</v>
      </c>
      <c r="G687" s="59">
        <f t="shared" si="295"/>
        <v>0</v>
      </c>
      <c r="H687" s="59">
        <f t="shared" si="295"/>
        <v>0</v>
      </c>
      <c r="I687" s="59">
        <f t="shared" si="295"/>
        <v>0</v>
      </c>
      <c r="J687" s="59">
        <f t="shared" si="295"/>
        <v>0</v>
      </c>
      <c r="K687" s="59">
        <f t="shared" si="295"/>
        <v>13798.2</v>
      </c>
      <c r="L687" s="59">
        <f t="shared" si="295"/>
        <v>5715</v>
      </c>
      <c r="M687" s="59">
        <f t="shared" si="295"/>
        <v>3962.4</v>
      </c>
      <c r="N687" s="59">
        <f t="shared" si="295"/>
        <v>0</v>
      </c>
      <c r="O687" s="59">
        <f t="shared" si="295"/>
        <v>0</v>
      </c>
    </row>
    <row r="688" spans="1:15" ht="24" customHeight="1" x14ac:dyDescent="0.2">
      <c r="A688" s="142"/>
      <c r="B688" s="149"/>
      <c r="C688" s="79" t="s">
        <v>10</v>
      </c>
      <c r="D688" s="59">
        <f t="shared" ref="D688:D696" si="296">E688+F688+G688+H688+I688+J688+K688+L688+M688+N688+O688</f>
        <v>0</v>
      </c>
      <c r="E688" s="59">
        <f t="shared" ref="E688:I688" si="297">E725+E735+E746+E762+E773+E780</f>
        <v>0</v>
      </c>
      <c r="F688" s="59">
        <f t="shared" si="297"/>
        <v>0</v>
      </c>
      <c r="G688" s="59">
        <f t="shared" si="297"/>
        <v>0</v>
      </c>
      <c r="H688" s="59">
        <f t="shared" si="297"/>
        <v>0</v>
      </c>
      <c r="I688" s="59">
        <f t="shared" si="297"/>
        <v>0</v>
      </c>
      <c r="J688" s="59">
        <v>0</v>
      </c>
      <c r="K688" s="59">
        <f t="shared" ref="K688:O688" si="298">K725+K735+K746+K762+K773+K780</f>
        <v>0</v>
      </c>
      <c r="L688" s="59">
        <f t="shared" si="298"/>
        <v>0</v>
      </c>
      <c r="M688" s="59">
        <f t="shared" si="298"/>
        <v>0</v>
      </c>
      <c r="N688" s="59">
        <f t="shared" si="298"/>
        <v>0</v>
      </c>
      <c r="O688" s="59">
        <f t="shared" si="298"/>
        <v>0</v>
      </c>
    </row>
    <row r="689" spans="1:19" ht="24" customHeight="1" x14ac:dyDescent="0.2">
      <c r="A689" s="142"/>
      <c r="B689" s="149"/>
      <c r="C689" s="79" t="s">
        <v>11</v>
      </c>
      <c r="D689" s="59">
        <f t="shared" si="296"/>
        <v>0</v>
      </c>
      <c r="E689" s="59">
        <v>0</v>
      </c>
      <c r="F689" s="59">
        <v>0</v>
      </c>
      <c r="G689" s="59">
        <v>0</v>
      </c>
      <c r="H689" s="59">
        <v>0</v>
      </c>
      <c r="I689" s="59">
        <v>0</v>
      </c>
      <c r="J689" s="59">
        <v>0</v>
      </c>
      <c r="K689" s="59">
        <v>0</v>
      </c>
      <c r="L689" s="59">
        <v>0</v>
      </c>
      <c r="M689" s="59">
        <v>0</v>
      </c>
      <c r="N689" s="59">
        <v>0</v>
      </c>
      <c r="O689" s="59">
        <v>0</v>
      </c>
    </row>
    <row r="690" spans="1:19" ht="24" customHeight="1" x14ac:dyDescent="0.2">
      <c r="A690" s="142"/>
      <c r="B690" s="149"/>
      <c r="C690" s="79" t="s">
        <v>12</v>
      </c>
      <c r="D690" s="59">
        <f t="shared" si="296"/>
        <v>23475.600000000002</v>
      </c>
      <c r="E690" s="59">
        <v>0</v>
      </c>
      <c r="F690" s="59">
        <v>0</v>
      </c>
      <c r="G690" s="59">
        <v>0</v>
      </c>
      <c r="H690" s="59">
        <v>0</v>
      </c>
      <c r="I690" s="59">
        <v>0</v>
      </c>
      <c r="J690" s="59">
        <f>J695</f>
        <v>0</v>
      </c>
      <c r="K690" s="59">
        <f>K695</f>
        <v>13798.2</v>
      </c>
      <c r="L690" s="59">
        <f>L695+L700</f>
        <v>5715</v>
      </c>
      <c r="M690" s="59">
        <f t="shared" ref="M690:S690" si="299">M695+M700</f>
        <v>3962.4</v>
      </c>
      <c r="N690" s="59">
        <f t="shared" si="299"/>
        <v>0</v>
      </c>
      <c r="O690" s="59">
        <f t="shared" si="299"/>
        <v>0</v>
      </c>
      <c r="P690" s="59">
        <f t="shared" si="299"/>
        <v>0</v>
      </c>
      <c r="Q690" s="59">
        <f t="shared" si="299"/>
        <v>0</v>
      </c>
      <c r="R690" s="59">
        <f t="shared" si="299"/>
        <v>0</v>
      </c>
      <c r="S690" s="59">
        <f t="shared" si="299"/>
        <v>0</v>
      </c>
    </row>
    <row r="691" spans="1:19" ht="24" customHeight="1" x14ac:dyDescent="0.2">
      <c r="A691" s="142"/>
      <c r="B691" s="149"/>
      <c r="C691" s="79" t="s">
        <v>13</v>
      </c>
      <c r="D691" s="59">
        <f t="shared" si="296"/>
        <v>0</v>
      </c>
      <c r="E691" s="59">
        <f>E738+E749+E765+E777+E784</f>
        <v>0</v>
      </c>
      <c r="F691" s="59">
        <f>F738+F749+F765+F777+F784</f>
        <v>0</v>
      </c>
      <c r="G691" s="59">
        <f>G738+G749+G765+G777+G784</f>
        <v>0</v>
      </c>
      <c r="H691" s="59">
        <f>H738+H749+H765+H777+H784</f>
        <v>0</v>
      </c>
      <c r="I691" s="59">
        <f>I738+I749+I765+I777+I784</f>
        <v>0</v>
      </c>
      <c r="J691" s="59">
        <v>0</v>
      </c>
      <c r="K691" s="59">
        <v>0</v>
      </c>
      <c r="L691" s="59">
        <v>0</v>
      </c>
      <c r="M691" s="59">
        <v>0</v>
      </c>
      <c r="N691" s="59">
        <v>0</v>
      </c>
      <c r="O691" s="59">
        <v>0</v>
      </c>
    </row>
    <row r="692" spans="1:19" ht="24" customHeight="1" x14ac:dyDescent="0.2">
      <c r="A692" s="141" t="s">
        <v>395</v>
      </c>
      <c r="B692" s="141" t="s">
        <v>397</v>
      </c>
      <c r="C692" s="79" t="s">
        <v>7</v>
      </c>
      <c r="D692" s="59">
        <f t="shared" ref="D692:N692" si="300">D693+D694+D695+D696</f>
        <v>18460.600000000002</v>
      </c>
      <c r="E692" s="59">
        <f t="shared" si="300"/>
        <v>0</v>
      </c>
      <c r="F692" s="59">
        <f t="shared" si="300"/>
        <v>0</v>
      </c>
      <c r="G692" s="59">
        <f t="shared" si="300"/>
        <v>0</v>
      </c>
      <c r="H692" s="59">
        <f t="shared" si="300"/>
        <v>0</v>
      </c>
      <c r="I692" s="59">
        <f t="shared" si="300"/>
        <v>0</v>
      </c>
      <c r="J692" s="59">
        <f t="shared" si="300"/>
        <v>0</v>
      </c>
      <c r="K692" s="59">
        <f t="shared" si="300"/>
        <v>13798.2</v>
      </c>
      <c r="L692" s="59">
        <f t="shared" si="300"/>
        <v>700</v>
      </c>
      <c r="M692" s="59">
        <f t="shared" si="300"/>
        <v>3962.4</v>
      </c>
      <c r="N692" s="59">
        <f t="shared" si="300"/>
        <v>0</v>
      </c>
      <c r="O692" s="59"/>
    </row>
    <row r="693" spans="1:19" ht="24" customHeight="1" x14ac:dyDescent="0.2">
      <c r="A693" s="141"/>
      <c r="B693" s="141"/>
      <c r="C693" s="79" t="s">
        <v>10</v>
      </c>
      <c r="D693" s="59">
        <f>E693+F693+G693+H693+I693+J693+K693+L693+M693+N693+O693</f>
        <v>0</v>
      </c>
      <c r="E693" s="59">
        <f t="shared" ref="E693:I693" si="301">E730+E740+E751+E767+E778+E785</f>
        <v>0</v>
      </c>
      <c r="F693" s="59">
        <f t="shared" si="301"/>
        <v>0</v>
      </c>
      <c r="G693" s="59">
        <f t="shared" si="301"/>
        <v>0</v>
      </c>
      <c r="H693" s="59">
        <f t="shared" si="301"/>
        <v>0</v>
      </c>
      <c r="I693" s="59">
        <f t="shared" si="301"/>
        <v>0</v>
      </c>
      <c r="J693" s="59">
        <v>0</v>
      </c>
      <c r="K693" s="59">
        <f t="shared" ref="K693:O693" si="302">K730+K740+K751+K767+K778+K785</f>
        <v>0</v>
      </c>
      <c r="L693" s="59">
        <f t="shared" si="302"/>
        <v>0</v>
      </c>
      <c r="M693" s="59">
        <f t="shared" si="302"/>
        <v>0</v>
      </c>
      <c r="N693" s="59">
        <f t="shared" si="302"/>
        <v>0</v>
      </c>
      <c r="O693" s="59">
        <f t="shared" si="302"/>
        <v>0</v>
      </c>
    </row>
    <row r="694" spans="1:19" ht="24" customHeight="1" x14ac:dyDescent="0.2">
      <c r="A694" s="141"/>
      <c r="B694" s="141"/>
      <c r="C694" s="79" t="s">
        <v>11</v>
      </c>
      <c r="D694" s="59">
        <f t="shared" si="296"/>
        <v>0</v>
      </c>
      <c r="E694" s="59">
        <v>0</v>
      </c>
      <c r="F694" s="59">
        <v>0</v>
      </c>
      <c r="G694" s="59">
        <v>0</v>
      </c>
      <c r="H694" s="59">
        <v>0</v>
      </c>
      <c r="I694" s="59">
        <v>0</v>
      </c>
      <c r="J694" s="59">
        <v>0</v>
      </c>
      <c r="K694" s="59">
        <v>0</v>
      </c>
      <c r="L694" s="59">
        <v>0</v>
      </c>
      <c r="M694" s="59">
        <v>0</v>
      </c>
      <c r="N694" s="59">
        <v>0</v>
      </c>
      <c r="O694" s="59">
        <v>0</v>
      </c>
    </row>
    <row r="695" spans="1:19" ht="24" customHeight="1" x14ac:dyDescent="0.2">
      <c r="A695" s="141"/>
      <c r="B695" s="141"/>
      <c r="C695" s="79" t="s">
        <v>12</v>
      </c>
      <c r="D695" s="59">
        <f t="shared" si="296"/>
        <v>18460.600000000002</v>
      </c>
      <c r="E695" s="59">
        <v>0</v>
      </c>
      <c r="F695" s="59">
        <v>0</v>
      </c>
      <c r="G695" s="59">
        <v>0</v>
      </c>
      <c r="H695" s="59">
        <v>0</v>
      </c>
      <c r="I695" s="59">
        <v>0</v>
      </c>
      <c r="J695" s="59">
        <v>0</v>
      </c>
      <c r="K695" s="59">
        <f>19000-5201.8+71.4-71.4</f>
        <v>13798.2</v>
      </c>
      <c r="L695" s="59">
        <f>700+8000-8000</f>
        <v>700</v>
      </c>
      <c r="M695" s="59">
        <f>0+3962.4</f>
        <v>3962.4</v>
      </c>
      <c r="N695" s="59">
        <v>0</v>
      </c>
      <c r="O695" s="59">
        <v>0</v>
      </c>
    </row>
    <row r="696" spans="1:19" ht="24" customHeight="1" x14ac:dyDescent="0.2">
      <c r="A696" s="141"/>
      <c r="B696" s="141"/>
      <c r="C696" s="79" t="s">
        <v>13</v>
      </c>
      <c r="D696" s="59">
        <f t="shared" si="296"/>
        <v>0</v>
      </c>
      <c r="E696" s="59">
        <f>E743+E754+E770+E782+E789</f>
        <v>0</v>
      </c>
      <c r="F696" s="59">
        <f>F743+F754+F770+F782+F789</f>
        <v>0</v>
      </c>
      <c r="G696" s="59">
        <f>G743+G754+G770+G782+G789</f>
        <v>0</v>
      </c>
      <c r="H696" s="59">
        <f>H743+H754+H770+H782+H789</f>
        <v>0</v>
      </c>
      <c r="I696" s="59">
        <f>I743+I754+I770+I782+I789</f>
        <v>0</v>
      </c>
      <c r="J696" s="59">
        <v>0</v>
      </c>
      <c r="K696" s="59">
        <v>0</v>
      </c>
      <c r="L696" s="59">
        <v>0</v>
      </c>
      <c r="M696" s="59">
        <v>0</v>
      </c>
      <c r="N696" s="59">
        <v>0</v>
      </c>
      <c r="O696" s="59">
        <v>0</v>
      </c>
    </row>
    <row r="697" spans="1:19" ht="24" customHeight="1" x14ac:dyDescent="0.2">
      <c r="A697" s="141" t="s">
        <v>418</v>
      </c>
      <c r="B697" s="145" t="s">
        <v>419</v>
      </c>
      <c r="C697" s="79" t="s">
        <v>7</v>
      </c>
      <c r="D697" s="59">
        <f t="shared" ref="D697:N697" si="303">D698+D699+D700+D701</f>
        <v>5015</v>
      </c>
      <c r="E697" s="59">
        <f t="shared" si="303"/>
        <v>0</v>
      </c>
      <c r="F697" s="59">
        <f t="shared" si="303"/>
        <v>0</v>
      </c>
      <c r="G697" s="59">
        <f t="shared" si="303"/>
        <v>0</v>
      </c>
      <c r="H697" s="59">
        <f t="shared" si="303"/>
        <v>0</v>
      </c>
      <c r="I697" s="59">
        <f t="shared" si="303"/>
        <v>0</v>
      </c>
      <c r="J697" s="59">
        <f t="shared" si="303"/>
        <v>0</v>
      </c>
      <c r="K697" s="59">
        <f t="shared" si="303"/>
        <v>0</v>
      </c>
      <c r="L697" s="59">
        <f t="shared" si="303"/>
        <v>5015</v>
      </c>
      <c r="M697" s="59">
        <f t="shared" si="303"/>
        <v>0</v>
      </c>
      <c r="N697" s="59">
        <f t="shared" si="303"/>
        <v>0</v>
      </c>
      <c r="O697" s="59"/>
    </row>
    <row r="698" spans="1:19" ht="24" customHeight="1" x14ac:dyDescent="0.2">
      <c r="A698" s="141"/>
      <c r="B698" s="145"/>
      <c r="C698" s="79" t="s">
        <v>10</v>
      </c>
      <c r="D698" s="59">
        <f>E698+F698+G698+H698+I698+J698+K698+L698+M698+N698+O698</f>
        <v>0</v>
      </c>
      <c r="E698" s="59">
        <f t="shared" ref="E698:I698" si="304">E735+E745+E756+E772+E783+E790</f>
        <v>0</v>
      </c>
      <c r="F698" s="59">
        <f t="shared" si="304"/>
        <v>0</v>
      </c>
      <c r="G698" s="59">
        <f t="shared" si="304"/>
        <v>0</v>
      </c>
      <c r="H698" s="59">
        <f t="shared" si="304"/>
        <v>0</v>
      </c>
      <c r="I698" s="59">
        <f t="shared" si="304"/>
        <v>0</v>
      </c>
      <c r="J698" s="59">
        <v>0</v>
      </c>
      <c r="K698" s="59">
        <f t="shared" ref="K698:O698" si="305">K735+K745+K756+K772+K783+K790</f>
        <v>0</v>
      </c>
      <c r="L698" s="59">
        <f t="shared" si="305"/>
        <v>0</v>
      </c>
      <c r="M698" s="59">
        <f t="shared" si="305"/>
        <v>0</v>
      </c>
      <c r="N698" s="59">
        <f t="shared" si="305"/>
        <v>0</v>
      </c>
      <c r="O698" s="59">
        <f t="shared" si="305"/>
        <v>0</v>
      </c>
    </row>
    <row r="699" spans="1:19" ht="24" customHeight="1" x14ac:dyDescent="0.2">
      <c r="A699" s="141"/>
      <c r="B699" s="145"/>
      <c r="C699" s="79" t="s">
        <v>11</v>
      </c>
      <c r="D699" s="59">
        <f t="shared" ref="D699:D701" si="306">E699+F699+G699+H699+I699+J699+K699+L699+M699+N699+O699</f>
        <v>0</v>
      </c>
      <c r="E699" s="59">
        <v>0</v>
      </c>
      <c r="F699" s="59">
        <v>0</v>
      </c>
      <c r="G699" s="59">
        <v>0</v>
      </c>
      <c r="H699" s="59">
        <v>0</v>
      </c>
      <c r="I699" s="59">
        <v>0</v>
      </c>
      <c r="J699" s="59">
        <v>0</v>
      </c>
      <c r="K699" s="59">
        <v>0</v>
      </c>
      <c r="L699" s="59">
        <v>0</v>
      </c>
      <c r="M699" s="59">
        <v>0</v>
      </c>
      <c r="N699" s="59">
        <v>0</v>
      </c>
      <c r="O699" s="59">
        <v>0</v>
      </c>
    </row>
    <row r="700" spans="1:19" ht="24" customHeight="1" x14ac:dyDescent="0.2">
      <c r="A700" s="141"/>
      <c r="B700" s="145"/>
      <c r="C700" s="79" t="s">
        <v>12</v>
      </c>
      <c r="D700" s="59">
        <f t="shared" si="306"/>
        <v>5015</v>
      </c>
      <c r="E700" s="59">
        <v>0</v>
      </c>
      <c r="F700" s="59">
        <v>0</v>
      </c>
      <c r="G700" s="59">
        <v>0</v>
      </c>
      <c r="H700" s="59">
        <v>0</v>
      </c>
      <c r="I700" s="59">
        <v>0</v>
      </c>
      <c r="J700" s="59">
        <v>0</v>
      </c>
      <c r="K700" s="59">
        <v>0</v>
      </c>
      <c r="L700" s="59">
        <f>2484.5+2515.5+15</f>
        <v>5015</v>
      </c>
      <c r="M700" s="59">
        <v>0</v>
      </c>
      <c r="N700" s="59">
        <v>0</v>
      </c>
      <c r="O700" s="59">
        <v>0</v>
      </c>
    </row>
    <row r="701" spans="1:19" ht="24" customHeight="1" x14ac:dyDescent="0.2">
      <c r="A701" s="141"/>
      <c r="B701" s="145"/>
      <c r="C701" s="79" t="s">
        <v>13</v>
      </c>
      <c r="D701" s="59">
        <f t="shared" si="306"/>
        <v>0</v>
      </c>
      <c r="E701" s="59">
        <f>E748+E759+E775+E787+E794</f>
        <v>0</v>
      </c>
      <c r="F701" s="59">
        <f>F748+F759+F775+F787+F794</f>
        <v>0</v>
      </c>
      <c r="G701" s="59">
        <f>G748+G759+G775+G787+G794</f>
        <v>0</v>
      </c>
      <c r="H701" s="59">
        <f>H748+H759+H775+H787+H794</f>
        <v>0</v>
      </c>
      <c r="I701" s="59">
        <f>I748+I759+I775+I787+I794</f>
        <v>0</v>
      </c>
      <c r="J701" s="59">
        <v>0</v>
      </c>
      <c r="K701" s="59">
        <v>0</v>
      </c>
      <c r="L701" s="59">
        <v>0</v>
      </c>
      <c r="M701" s="59">
        <v>0</v>
      </c>
      <c r="N701" s="59">
        <v>0</v>
      </c>
      <c r="O701" s="59">
        <v>0</v>
      </c>
    </row>
    <row r="702" spans="1:19" ht="15.75" x14ac:dyDescent="0.2">
      <c r="A702" s="147" t="s">
        <v>42</v>
      </c>
      <c r="B702" s="156" t="s">
        <v>327</v>
      </c>
      <c r="C702" s="76" t="s">
        <v>7</v>
      </c>
      <c r="D702" s="71">
        <f t="shared" si="281"/>
        <v>583650.9</v>
      </c>
      <c r="E702" s="71">
        <f t="shared" ref="E702:O702" si="307">E705+E703+E704+E706</f>
        <v>31873.5</v>
      </c>
      <c r="F702" s="71">
        <f t="shared" si="307"/>
        <v>32215.200000000001</v>
      </c>
      <c r="G702" s="71">
        <f t="shared" si="307"/>
        <v>32536.1</v>
      </c>
      <c r="H702" s="71">
        <f t="shared" si="307"/>
        <v>34467.4</v>
      </c>
      <c r="I702" s="71">
        <f t="shared" si="307"/>
        <v>42249.1</v>
      </c>
      <c r="J702" s="71">
        <f t="shared" si="307"/>
        <v>51925.4</v>
      </c>
      <c r="K702" s="71">
        <f t="shared" si="307"/>
        <v>66037.599999999991</v>
      </c>
      <c r="L702" s="71">
        <f t="shared" si="307"/>
        <v>68643.7</v>
      </c>
      <c r="M702" s="71">
        <f t="shared" si="307"/>
        <v>71043.100000000006</v>
      </c>
      <c r="N702" s="71">
        <f t="shared" si="307"/>
        <v>74615.900000000009</v>
      </c>
      <c r="O702" s="71">
        <f t="shared" si="307"/>
        <v>78043.900000000009</v>
      </c>
      <c r="P702" s="62">
        <f>D703+D704+D705+D706</f>
        <v>583650.9</v>
      </c>
      <c r="Q702" s="62"/>
    </row>
    <row r="703" spans="1:19" ht="19.5" customHeight="1" x14ac:dyDescent="0.2">
      <c r="A703" s="147"/>
      <c r="B703" s="156"/>
      <c r="C703" s="77" t="s">
        <v>10</v>
      </c>
      <c r="D703" s="59">
        <f t="shared" si="281"/>
        <v>0</v>
      </c>
      <c r="E703" s="59">
        <f t="shared" ref="E703:K706" si="308">E708</f>
        <v>0</v>
      </c>
      <c r="F703" s="59">
        <f t="shared" si="308"/>
        <v>0</v>
      </c>
      <c r="G703" s="59">
        <f t="shared" si="308"/>
        <v>0</v>
      </c>
      <c r="H703" s="59">
        <f t="shared" si="308"/>
        <v>0</v>
      </c>
      <c r="I703" s="59">
        <f t="shared" si="308"/>
        <v>0</v>
      </c>
      <c r="J703" s="59">
        <f t="shared" si="308"/>
        <v>0</v>
      </c>
      <c r="K703" s="59">
        <f t="shared" si="308"/>
        <v>0</v>
      </c>
      <c r="L703" s="59">
        <f t="shared" ref="L703:O704" si="309">L708</f>
        <v>0</v>
      </c>
      <c r="M703" s="59">
        <f t="shared" si="309"/>
        <v>0</v>
      </c>
      <c r="N703" s="59">
        <f t="shared" si="309"/>
        <v>0</v>
      </c>
      <c r="O703" s="59">
        <f t="shared" si="309"/>
        <v>0</v>
      </c>
    </row>
    <row r="704" spans="1:19" ht="16.5" customHeight="1" x14ac:dyDescent="0.2">
      <c r="A704" s="147"/>
      <c r="B704" s="156"/>
      <c r="C704" s="77" t="s">
        <v>11</v>
      </c>
      <c r="D704" s="59">
        <f t="shared" si="281"/>
        <v>0</v>
      </c>
      <c r="E704" s="59">
        <f t="shared" si="308"/>
        <v>0</v>
      </c>
      <c r="F704" s="59">
        <f t="shared" si="308"/>
        <v>0</v>
      </c>
      <c r="G704" s="59">
        <f t="shared" si="308"/>
        <v>0</v>
      </c>
      <c r="H704" s="59">
        <f t="shared" si="308"/>
        <v>0</v>
      </c>
      <c r="I704" s="59">
        <f t="shared" si="308"/>
        <v>0</v>
      </c>
      <c r="J704" s="59">
        <f>J709</f>
        <v>0</v>
      </c>
      <c r="K704" s="59">
        <f>K709</f>
        <v>0</v>
      </c>
      <c r="L704" s="59">
        <f t="shared" si="309"/>
        <v>0</v>
      </c>
      <c r="M704" s="59">
        <f t="shared" si="309"/>
        <v>0</v>
      </c>
      <c r="N704" s="59">
        <f t="shared" si="309"/>
        <v>0</v>
      </c>
      <c r="O704" s="59">
        <f t="shared" si="309"/>
        <v>0</v>
      </c>
    </row>
    <row r="705" spans="1:15" ht="15" customHeight="1" x14ac:dyDescent="0.2">
      <c r="A705" s="147"/>
      <c r="B705" s="156"/>
      <c r="C705" s="77" t="s">
        <v>12</v>
      </c>
      <c r="D705" s="59">
        <f t="shared" si="281"/>
        <v>583650.9</v>
      </c>
      <c r="E705" s="59">
        <f>E710</f>
        <v>31873.5</v>
      </c>
      <c r="F705" s="59">
        <f t="shared" si="308"/>
        <v>32215.200000000001</v>
      </c>
      <c r="G705" s="59">
        <f>G707</f>
        <v>32536.1</v>
      </c>
      <c r="H705" s="59">
        <f>H707</f>
        <v>34467.4</v>
      </c>
      <c r="I705" s="59">
        <f>I707</f>
        <v>42249.1</v>
      </c>
      <c r="J705" s="59">
        <f t="shared" ref="J705:M705" si="310">J710</f>
        <v>51925.4</v>
      </c>
      <c r="K705" s="59">
        <f t="shared" si="310"/>
        <v>66037.599999999991</v>
      </c>
      <c r="L705" s="59">
        <f t="shared" si="310"/>
        <v>68643.7</v>
      </c>
      <c r="M705" s="59">
        <f t="shared" si="310"/>
        <v>71043.100000000006</v>
      </c>
      <c r="N705" s="59">
        <f>N710</f>
        <v>74615.900000000009</v>
      </c>
      <c r="O705" s="59">
        <f>O710</f>
        <v>78043.900000000009</v>
      </c>
    </row>
    <row r="706" spans="1:15" s="95" customFormat="1" ht="45" customHeight="1" x14ac:dyDescent="0.25">
      <c r="A706" s="147"/>
      <c r="B706" s="156"/>
      <c r="C706" s="77" t="s">
        <v>13</v>
      </c>
      <c r="D706" s="59">
        <f t="shared" si="281"/>
        <v>0</v>
      </c>
      <c r="E706" s="59">
        <f t="shared" si="308"/>
        <v>0</v>
      </c>
      <c r="F706" s="59">
        <f t="shared" si="308"/>
        <v>0</v>
      </c>
      <c r="G706" s="59">
        <f t="shared" si="308"/>
        <v>0</v>
      </c>
      <c r="H706" s="59">
        <f t="shared" si="308"/>
        <v>0</v>
      </c>
      <c r="I706" s="59">
        <f t="shared" si="308"/>
        <v>0</v>
      </c>
      <c r="J706" s="59">
        <f t="shared" ref="J706:O706" si="311">J711</f>
        <v>0</v>
      </c>
      <c r="K706" s="59">
        <f t="shared" si="311"/>
        <v>0</v>
      </c>
      <c r="L706" s="59">
        <f t="shared" si="311"/>
        <v>0</v>
      </c>
      <c r="M706" s="59">
        <f t="shared" si="311"/>
        <v>0</v>
      </c>
      <c r="N706" s="59">
        <f t="shared" si="311"/>
        <v>0</v>
      </c>
      <c r="O706" s="59">
        <f t="shared" si="311"/>
        <v>0</v>
      </c>
    </row>
    <row r="707" spans="1:15" ht="15.75" customHeight="1" x14ac:dyDescent="0.2">
      <c r="A707" s="141" t="s">
        <v>334</v>
      </c>
      <c r="B707" s="145" t="s">
        <v>144</v>
      </c>
      <c r="C707" s="77" t="s">
        <v>7</v>
      </c>
      <c r="D707" s="59">
        <f t="shared" si="281"/>
        <v>583650.9</v>
      </c>
      <c r="E707" s="59">
        <f t="shared" ref="E707:O707" si="312">SUM(E708:E711)</f>
        <v>31873.5</v>
      </c>
      <c r="F707" s="59">
        <f t="shared" si="312"/>
        <v>32215.200000000001</v>
      </c>
      <c r="G707" s="59">
        <f t="shared" si="312"/>
        <v>32536.1</v>
      </c>
      <c r="H707" s="59">
        <f t="shared" si="312"/>
        <v>34467.4</v>
      </c>
      <c r="I707" s="59">
        <f t="shared" si="312"/>
        <v>42249.1</v>
      </c>
      <c r="J707" s="59">
        <f t="shared" si="312"/>
        <v>51925.4</v>
      </c>
      <c r="K707" s="59">
        <f t="shared" si="312"/>
        <v>66037.599999999991</v>
      </c>
      <c r="L707" s="59">
        <f t="shared" si="312"/>
        <v>68643.7</v>
      </c>
      <c r="M707" s="59">
        <f t="shared" si="312"/>
        <v>71043.100000000006</v>
      </c>
      <c r="N707" s="59">
        <f t="shared" si="312"/>
        <v>74615.900000000009</v>
      </c>
      <c r="O707" s="59">
        <f t="shared" si="312"/>
        <v>78043.900000000009</v>
      </c>
    </row>
    <row r="708" spans="1:15" ht="17.25" customHeight="1" x14ac:dyDescent="0.2">
      <c r="A708" s="141"/>
      <c r="B708" s="145"/>
      <c r="C708" s="77" t="s">
        <v>10</v>
      </c>
      <c r="D708" s="59">
        <f t="shared" si="281"/>
        <v>0</v>
      </c>
      <c r="E708" s="59">
        <v>0</v>
      </c>
      <c r="F708" s="59">
        <v>0</v>
      </c>
      <c r="G708" s="59">
        <v>0</v>
      </c>
      <c r="H708" s="59">
        <v>0</v>
      </c>
      <c r="I708" s="59">
        <v>0</v>
      </c>
      <c r="J708" s="59">
        <v>0</v>
      </c>
      <c r="K708" s="59">
        <v>0</v>
      </c>
      <c r="L708" s="59">
        <v>0</v>
      </c>
      <c r="M708" s="59">
        <v>0</v>
      </c>
      <c r="N708" s="59">
        <v>0</v>
      </c>
      <c r="O708" s="59">
        <v>0</v>
      </c>
    </row>
    <row r="709" spans="1:15" ht="18" customHeight="1" x14ac:dyDescent="0.2">
      <c r="A709" s="141"/>
      <c r="B709" s="145"/>
      <c r="C709" s="77" t="s">
        <v>11</v>
      </c>
      <c r="D709" s="59">
        <f t="shared" si="281"/>
        <v>0</v>
      </c>
      <c r="E709" s="59">
        <v>0</v>
      </c>
      <c r="F709" s="59">
        <v>0</v>
      </c>
      <c r="G709" s="59">
        <v>0</v>
      </c>
      <c r="H709" s="59">
        <v>0</v>
      </c>
      <c r="I709" s="59">
        <v>0</v>
      </c>
      <c r="J709" s="59">
        <v>0</v>
      </c>
      <c r="K709" s="59">
        <v>0</v>
      </c>
      <c r="L709" s="59">
        <v>0</v>
      </c>
      <c r="M709" s="59">
        <v>0</v>
      </c>
      <c r="N709" s="59">
        <v>0</v>
      </c>
      <c r="O709" s="59">
        <v>0</v>
      </c>
    </row>
    <row r="710" spans="1:15" ht="18" customHeight="1" x14ac:dyDescent="0.2">
      <c r="A710" s="141"/>
      <c r="B710" s="145"/>
      <c r="C710" s="77" t="s">
        <v>12</v>
      </c>
      <c r="D710" s="59">
        <f t="shared" si="281"/>
        <v>583650.9</v>
      </c>
      <c r="E710" s="59">
        <f>E715</f>
        <v>31873.5</v>
      </c>
      <c r="F710" s="59">
        <f>F715</f>
        <v>32215.200000000001</v>
      </c>
      <c r="G710" s="59">
        <f>G715</f>
        <v>32536.1</v>
      </c>
      <c r="H710" s="59">
        <f t="shared" ref="H710:O710" si="313">H715</f>
        <v>34467.4</v>
      </c>
      <c r="I710" s="59">
        <f t="shared" si="313"/>
        <v>42249.1</v>
      </c>
      <c r="J710" s="59">
        <f t="shared" si="313"/>
        <v>51925.4</v>
      </c>
      <c r="K710" s="59">
        <f t="shared" si="313"/>
        <v>66037.599999999991</v>
      </c>
      <c r="L710" s="59">
        <f t="shared" si="313"/>
        <v>68643.7</v>
      </c>
      <c r="M710" s="59">
        <f t="shared" si="313"/>
        <v>71043.100000000006</v>
      </c>
      <c r="N710" s="59">
        <f t="shared" si="313"/>
        <v>74615.900000000009</v>
      </c>
      <c r="O710" s="59">
        <f t="shared" si="313"/>
        <v>78043.900000000009</v>
      </c>
    </row>
    <row r="711" spans="1:15" ht="15.75" customHeight="1" x14ac:dyDescent="0.2">
      <c r="A711" s="141"/>
      <c r="B711" s="145"/>
      <c r="C711" s="77" t="s">
        <v>13</v>
      </c>
      <c r="D711" s="59">
        <f t="shared" si="281"/>
        <v>0</v>
      </c>
      <c r="E711" s="59">
        <v>0</v>
      </c>
      <c r="F711" s="59">
        <v>0</v>
      </c>
      <c r="G711" s="59">
        <v>0</v>
      </c>
      <c r="H711" s="59">
        <v>0</v>
      </c>
      <c r="I711" s="59">
        <v>0</v>
      </c>
      <c r="J711" s="59">
        <v>0</v>
      </c>
      <c r="K711" s="59">
        <v>0</v>
      </c>
      <c r="L711" s="59">
        <v>0</v>
      </c>
      <c r="M711" s="59">
        <v>0</v>
      </c>
      <c r="N711" s="59">
        <v>0</v>
      </c>
      <c r="O711" s="59">
        <v>0</v>
      </c>
    </row>
    <row r="712" spans="1:15" ht="15.75" x14ac:dyDescent="0.2">
      <c r="A712" s="141" t="s">
        <v>143</v>
      </c>
      <c r="B712" s="145" t="s">
        <v>56</v>
      </c>
      <c r="C712" s="77" t="s">
        <v>7</v>
      </c>
      <c r="D712" s="59">
        <f t="shared" si="281"/>
        <v>583650.9</v>
      </c>
      <c r="E712" s="59">
        <f t="shared" ref="E712:O712" si="314">SUM(E713:E716)</f>
        <v>31873.5</v>
      </c>
      <c r="F712" s="59">
        <f t="shared" si="314"/>
        <v>32215.200000000001</v>
      </c>
      <c r="G712" s="59">
        <f t="shared" si="314"/>
        <v>32536.1</v>
      </c>
      <c r="H712" s="59">
        <f t="shared" si="314"/>
        <v>34467.4</v>
      </c>
      <c r="I712" s="59">
        <f t="shared" si="314"/>
        <v>42249.1</v>
      </c>
      <c r="J712" s="59">
        <f t="shared" si="314"/>
        <v>51925.4</v>
      </c>
      <c r="K712" s="59">
        <f t="shared" si="314"/>
        <v>66037.599999999991</v>
      </c>
      <c r="L712" s="59">
        <f t="shared" si="314"/>
        <v>68643.7</v>
      </c>
      <c r="M712" s="59">
        <f t="shared" si="314"/>
        <v>71043.100000000006</v>
      </c>
      <c r="N712" s="59">
        <f t="shared" si="314"/>
        <v>74615.900000000009</v>
      </c>
      <c r="O712" s="59">
        <f t="shared" si="314"/>
        <v>78043.900000000009</v>
      </c>
    </row>
    <row r="713" spans="1:15" ht="15.75" x14ac:dyDescent="0.2">
      <c r="A713" s="141"/>
      <c r="B713" s="145"/>
      <c r="C713" s="77" t="s">
        <v>10</v>
      </c>
      <c r="D713" s="59">
        <f t="shared" si="281"/>
        <v>0</v>
      </c>
      <c r="E713" s="59">
        <v>0</v>
      </c>
      <c r="F713" s="59">
        <v>0</v>
      </c>
      <c r="G713" s="59">
        <v>0</v>
      </c>
      <c r="H713" s="59">
        <v>0</v>
      </c>
      <c r="I713" s="59">
        <v>0</v>
      </c>
      <c r="J713" s="59">
        <v>0</v>
      </c>
      <c r="K713" s="59">
        <v>0</v>
      </c>
      <c r="L713" s="59">
        <v>0</v>
      </c>
      <c r="M713" s="59">
        <v>0</v>
      </c>
      <c r="N713" s="59">
        <v>0</v>
      </c>
      <c r="O713" s="59">
        <v>0</v>
      </c>
    </row>
    <row r="714" spans="1:15" ht="15.75" x14ac:dyDescent="0.2">
      <c r="A714" s="141"/>
      <c r="B714" s="145"/>
      <c r="C714" s="77" t="s">
        <v>11</v>
      </c>
      <c r="D714" s="59">
        <f t="shared" si="281"/>
        <v>0</v>
      </c>
      <c r="E714" s="59">
        <v>0</v>
      </c>
      <c r="F714" s="59">
        <v>0</v>
      </c>
      <c r="G714" s="59">
        <v>0</v>
      </c>
      <c r="H714" s="59">
        <v>0</v>
      </c>
      <c r="I714" s="59">
        <v>0</v>
      </c>
      <c r="J714" s="59">
        <v>0</v>
      </c>
      <c r="K714" s="59">
        <v>0</v>
      </c>
      <c r="L714" s="59">
        <v>0</v>
      </c>
      <c r="M714" s="59">
        <v>0</v>
      </c>
      <c r="N714" s="59">
        <v>0</v>
      </c>
      <c r="O714" s="59">
        <v>0</v>
      </c>
    </row>
    <row r="715" spans="1:15" ht="15.75" x14ac:dyDescent="0.2">
      <c r="A715" s="141"/>
      <c r="B715" s="145"/>
      <c r="C715" s="77" t="s">
        <v>12</v>
      </c>
      <c r="D715" s="59">
        <f t="shared" si="281"/>
        <v>583650.9</v>
      </c>
      <c r="E715" s="59">
        <v>31873.5</v>
      </c>
      <c r="F715" s="59">
        <v>32215.200000000001</v>
      </c>
      <c r="G715" s="59">
        <v>32536.1</v>
      </c>
      <c r="H715" s="59">
        <v>34467.4</v>
      </c>
      <c r="I715" s="59">
        <f>41599.1+650</f>
        <v>42249.1</v>
      </c>
      <c r="J715" s="59">
        <f>42649.1+750.8+7821.5+406.1+218.1+79.8</f>
        <v>51925.4</v>
      </c>
      <c r="K715" s="59">
        <f>57248.6+400.1+8388.9</f>
        <v>66037.599999999991</v>
      </c>
      <c r="L715" s="59">
        <f>67673.6+671.4-0.1+56.6+181.4+400-400-56.6-181.4-600+600+163+135.8</f>
        <v>68643.7</v>
      </c>
      <c r="M715" s="59">
        <f>70380+663.1</f>
        <v>71043.100000000006</v>
      </c>
      <c r="N715" s="59">
        <f>73150.6+1465.3</f>
        <v>74615.900000000009</v>
      </c>
      <c r="O715" s="59">
        <f>73150.6+4893.3</f>
        <v>78043.900000000009</v>
      </c>
    </row>
    <row r="716" spans="1:15" ht="21.75" customHeight="1" x14ac:dyDescent="0.2">
      <c r="A716" s="141"/>
      <c r="B716" s="145"/>
      <c r="C716" s="77" t="s">
        <v>13</v>
      </c>
      <c r="D716" s="59">
        <f t="shared" si="281"/>
        <v>0</v>
      </c>
      <c r="E716" s="59">
        <v>0</v>
      </c>
      <c r="F716" s="59">
        <v>0</v>
      </c>
      <c r="G716" s="59">
        <v>0</v>
      </c>
      <c r="H716" s="59">
        <v>0</v>
      </c>
      <c r="I716" s="59">
        <v>0</v>
      </c>
      <c r="J716" s="59">
        <v>0</v>
      </c>
      <c r="K716" s="59">
        <v>0</v>
      </c>
      <c r="L716" s="59">
        <v>0</v>
      </c>
      <c r="M716" s="59">
        <v>0</v>
      </c>
      <c r="N716" s="59">
        <v>0</v>
      </c>
      <c r="O716" s="59">
        <v>0</v>
      </c>
    </row>
    <row r="717" spans="1:15" ht="21.75" customHeight="1" x14ac:dyDescent="0.2">
      <c r="A717" s="96"/>
      <c r="B717" s="97"/>
      <c r="C717" s="98"/>
      <c r="D717" s="81"/>
      <c r="E717" s="81"/>
      <c r="F717" s="81"/>
      <c r="G717" s="81"/>
      <c r="H717" s="81"/>
      <c r="I717" s="81"/>
      <c r="J717" s="81"/>
      <c r="K717" s="81"/>
      <c r="L717" s="81"/>
      <c r="M717" s="81"/>
      <c r="N717" s="81"/>
      <c r="O717" s="81"/>
    </row>
    <row r="718" spans="1:15" ht="15.75" x14ac:dyDescent="0.2">
      <c r="A718" s="99"/>
      <c r="B718" s="99"/>
      <c r="C718" s="99"/>
      <c r="D718" s="100"/>
      <c r="E718" s="99"/>
      <c r="F718" s="99"/>
      <c r="G718" s="99"/>
      <c r="H718" s="101"/>
      <c r="I718" s="99"/>
      <c r="J718" s="99"/>
      <c r="K718" s="102"/>
    </row>
  </sheetData>
  <autoFilter ref="A7:Y716"/>
  <mergeCells count="268">
    <mergeCell ref="A47:A52"/>
    <mergeCell ref="B47:B52"/>
    <mergeCell ref="A687:A691"/>
    <mergeCell ref="B687:B691"/>
    <mergeCell ref="B464:B468"/>
    <mergeCell ref="A439:A443"/>
    <mergeCell ref="B532:B537"/>
    <mergeCell ref="A538:A542"/>
    <mergeCell ref="B538:B542"/>
    <mergeCell ref="A514:A518"/>
    <mergeCell ref="B514:B518"/>
    <mergeCell ref="B543:B547"/>
    <mergeCell ref="B494:B498"/>
    <mergeCell ref="A590:A594"/>
    <mergeCell ref="B585:B589"/>
    <mergeCell ref="B667:B671"/>
    <mergeCell ref="A642:A646"/>
    <mergeCell ref="B642:B646"/>
    <mergeCell ref="B627:B631"/>
    <mergeCell ref="A627:A631"/>
    <mergeCell ref="B58:B64"/>
    <mergeCell ref="B141:B148"/>
    <mergeCell ref="B125:B133"/>
    <mergeCell ref="B117:B124"/>
    <mergeCell ref="A376:A380"/>
    <mergeCell ref="B376:B380"/>
    <mergeCell ref="B196:B200"/>
    <mergeCell ref="B175:B180"/>
    <mergeCell ref="A637:A641"/>
    <mergeCell ref="B637:B641"/>
    <mergeCell ref="B553:B558"/>
    <mergeCell ref="A526:A531"/>
    <mergeCell ref="A553:A558"/>
    <mergeCell ref="A595:A599"/>
    <mergeCell ref="A548:A552"/>
    <mergeCell ref="A575:A579"/>
    <mergeCell ref="A543:A547"/>
    <mergeCell ref="B580:B584"/>
    <mergeCell ref="A585:A589"/>
    <mergeCell ref="A580:A584"/>
    <mergeCell ref="A559:A564"/>
    <mergeCell ref="A570:A574"/>
    <mergeCell ref="A615:A620"/>
    <mergeCell ref="B615:B620"/>
    <mergeCell ref="A610:A614"/>
    <mergeCell ref="B610:B614"/>
    <mergeCell ref="A401:A405"/>
    <mergeCell ref="B401:B405"/>
    <mergeCell ref="A396:A400"/>
    <mergeCell ref="B484:B488"/>
    <mergeCell ref="B421:B426"/>
    <mergeCell ref="A411:A415"/>
    <mergeCell ref="A489:A493"/>
    <mergeCell ref="B499:B503"/>
    <mergeCell ref="B406:B410"/>
    <mergeCell ref="A406:A410"/>
    <mergeCell ref="A416:A420"/>
    <mergeCell ref="B416:B420"/>
    <mergeCell ref="A474:A478"/>
    <mergeCell ref="B474:B478"/>
    <mergeCell ref="A449:A453"/>
    <mergeCell ref="B449:B453"/>
    <mergeCell ref="B434:B438"/>
    <mergeCell ref="B444:B448"/>
    <mergeCell ref="L1:O1"/>
    <mergeCell ref="D5:O5"/>
    <mergeCell ref="A226:A230"/>
    <mergeCell ref="A216:A220"/>
    <mergeCell ref="A221:A225"/>
    <mergeCell ref="B221:B225"/>
    <mergeCell ref="B103:B109"/>
    <mergeCell ref="A103:A109"/>
    <mergeCell ref="A110:A116"/>
    <mergeCell ref="B155:B160"/>
    <mergeCell ref="C5:C6"/>
    <mergeCell ref="A5:A6"/>
    <mergeCell ref="B5:B6"/>
    <mergeCell ref="B8:B16"/>
    <mergeCell ref="A8:A16"/>
    <mergeCell ref="A117:A124"/>
    <mergeCell ref="A4:J4"/>
    <mergeCell ref="A26:A34"/>
    <mergeCell ref="B26:B34"/>
    <mergeCell ref="B186:B190"/>
    <mergeCell ref="A71:A77"/>
    <mergeCell ref="B168:B174"/>
    <mergeCell ref="A134:A140"/>
    <mergeCell ref="A141:A148"/>
    <mergeCell ref="A35:A40"/>
    <mergeCell ref="B35:B40"/>
    <mergeCell ref="B41:B46"/>
    <mergeCell ref="A41:A46"/>
    <mergeCell ref="A201:A205"/>
    <mergeCell ref="A17:A25"/>
    <mergeCell ref="A421:A426"/>
    <mergeCell ref="B17:B25"/>
    <mergeCell ref="B53:B57"/>
    <mergeCell ref="B71:B77"/>
    <mergeCell ref="A346:A350"/>
    <mergeCell ref="A386:A390"/>
    <mergeCell ref="A381:A385"/>
    <mergeCell ref="A281:A285"/>
    <mergeCell ref="B276:B280"/>
    <mergeCell ref="B346:B350"/>
    <mergeCell ref="A336:A340"/>
    <mergeCell ref="B336:B340"/>
    <mergeCell ref="A306:A310"/>
    <mergeCell ref="B306:B310"/>
    <mergeCell ref="B291:B295"/>
    <mergeCell ref="A331:A335"/>
    <mergeCell ref="B331:B335"/>
    <mergeCell ref="A286:A290"/>
    <mergeCell ref="L2:O2"/>
    <mergeCell ref="B161:B167"/>
    <mergeCell ref="B3:N3"/>
    <mergeCell ref="B91:B96"/>
    <mergeCell ref="A191:A195"/>
    <mergeCell ref="B191:B195"/>
    <mergeCell ref="B134:B140"/>
    <mergeCell ref="A186:A190"/>
    <mergeCell ref="A341:A345"/>
    <mergeCell ref="B341:B345"/>
    <mergeCell ref="A311:A315"/>
    <mergeCell ref="A316:A320"/>
    <mergeCell ref="B316:B320"/>
    <mergeCell ref="A321:A325"/>
    <mergeCell ref="B321:B325"/>
    <mergeCell ref="A326:A330"/>
    <mergeCell ref="B326:B330"/>
    <mergeCell ref="B281:B285"/>
    <mergeCell ref="B206:B210"/>
    <mergeCell ref="A211:A215"/>
    <mergeCell ref="A196:A200"/>
    <mergeCell ref="A236:A240"/>
    <mergeCell ref="B311:B315"/>
    <mergeCell ref="A276:A280"/>
    <mergeCell ref="A712:A716"/>
    <mergeCell ref="B707:B711"/>
    <mergeCell ref="A707:A711"/>
    <mergeCell ref="B712:B716"/>
    <mergeCell ref="B605:B609"/>
    <mergeCell ref="A605:A609"/>
    <mergeCell ref="A677:A681"/>
    <mergeCell ref="B677:B681"/>
    <mergeCell ref="A702:A706"/>
    <mergeCell ref="B702:B706"/>
    <mergeCell ref="B672:B676"/>
    <mergeCell ref="A672:A676"/>
    <mergeCell ref="A682:A686"/>
    <mergeCell ref="B682:B686"/>
    <mergeCell ref="A621:A626"/>
    <mergeCell ref="B621:B626"/>
    <mergeCell ref="A667:A671"/>
    <mergeCell ref="A697:A701"/>
    <mergeCell ref="B697:B701"/>
    <mergeCell ref="A692:A696"/>
    <mergeCell ref="B692:B696"/>
    <mergeCell ref="A657:A661"/>
    <mergeCell ref="B657:B661"/>
    <mergeCell ref="A647:A651"/>
    <mergeCell ref="B286:B290"/>
    <mergeCell ref="A301:A305"/>
    <mergeCell ref="B301:B305"/>
    <mergeCell ref="B211:B215"/>
    <mergeCell ref="B201:B205"/>
    <mergeCell ref="B246:B250"/>
    <mergeCell ref="A231:A235"/>
    <mergeCell ref="B251:B255"/>
    <mergeCell ref="B231:B235"/>
    <mergeCell ref="B226:B230"/>
    <mergeCell ref="A251:A255"/>
    <mergeCell ref="B241:B245"/>
    <mergeCell ref="A53:A57"/>
    <mergeCell ref="B97:B102"/>
    <mergeCell ref="B84:B90"/>
    <mergeCell ref="B110:B116"/>
    <mergeCell ref="A91:A96"/>
    <mergeCell ref="A125:A133"/>
    <mergeCell ref="B236:B240"/>
    <mergeCell ref="B216:B220"/>
    <mergeCell ref="B65:B70"/>
    <mergeCell ref="A97:A102"/>
    <mergeCell ref="A161:A167"/>
    <mergeCell ref="A155:A160"/>
    <mergeCell ref="A84:A90"/>
    <mergeCell ref="A149:A154"/>
    <mergeCell ref="B149:B154"/>
    <mergeCell ref="A175:A180"/>
    <mergeCell ref="A206:A210"/>
    <mergeCell ref="B181:B185"/>
    <mergeCell ref="A65:A70"/>
    <mergeCell ref="A78:A83"/>
    <mergeCell ref="A168:A174"/>
    <mergeCell ref="A181:A185"/>
    <mergeCell ref="B78:B83"/>
    <mergeCell ref="A58:A64"/>
    <mergeCell ref="A356:A360"/>
    <mergeCell ref="B356:B360"/>
    <mergeCell ref="B386:B390"/>
    <mergeCell ref="B381:B385"/>
    <mergeCell ref="A391:A395"/>
    <mergeCell ref="B391:B395"/>
    <mergeCell ref="B647:B651"/>
    <mergeCell ref="A652:A656"/>
    <mergeCell ref="B652:B656"/>
    <mergeCell ref="B439:B443"/>
    <mergeCell ref="A484:A488"/>
    <mergeCell ref="B427:B433"/>
    <mergeCell ref="B459:B463"/>
    <mergeCell ref="B559:B564"/>
    <mergeCell ref="B575:B579"/>
    <mergeCell ref="B570:B574"/>
    <mergeCell ref="A509:A513"/>
    <mergeCell ref="A504:A508"/>
    <mergeCell ref="A479:A483"/>
    <mergeCell ref="A519:A525"/>
    <mergeCell ref="B509:B513"/>
    <mergeCell ref="B519:B525"/>
    <mergeCell ref="B504:B508"/>
    <mergeCell ref="B479:B483"/>
    <mergeCell ref="A662:A666"/>
    <mergeCell ref="B662:B666"/>
    <mergeCell ref="B361:B365"/>
    <mergeCell ref="A361:A365"/>
    <mergeCell ref="B366:B370"/>
    <mergeCell ref="B371:B375"/>
    <mergeCell ref="A366:A370"/>
    <mergeCell ref="A371:A375"/>
    <mergeCell ref="A434:A438"/>
    <mergeCell ref="A454:A458"/>
    <mergeCell ref="B454:B458"/>
    <mergeCell ref="A499:A503"/>
    <mergeCell ref="B489:B493"/>
    <mergeCell ref="A444:A448"/>
    <mergeCell ref="A427:A433"/>
    <mergeCell ref="A464:A468"/>
    <mergeCell ref="B526:B531"/>
    <mergeCell ref="B600:B604"/>
    <mergeCell ref="B595:B599"/>
    <mergeCell ref="A600:A604"/>
    <mergeCell ref="A532:A537"/>
    <mergeCell ref="B396:B400"/>
    <mergeCell ref="A469:A473"/>
    <mergeCell ref="B469:B473"/>
    <mergeCell ref="A351:A355"/>
    <mergeCell ref="B351:B355"/>
    <mergeCell ref="B411:B415"/>
    <mergeCell ref="A632:A636"/>
    <mergeCell ref="B632:B636"/>
    <mergeCell ref="A565:A569"/>
    <mergeCell ref="B271:B275"/>
    <mergeCell ref="A271:A275"/>
    <mergeCell ref="A241:A245"/>
    <mergeCell ref="B266:B270"/>
    <mergeCell ref="A266:A270"/>
    <mergeCell ref="A246:A250"/>
    <mergeCell ref="A261:A265"/>
    <mergeCell ref="B261:B265"/>
    <mergeCell ref="A256:A260"/>
    <mergeCell ref="B256:B260"/>
    <mergeCell ref="A296:A300"/>
    <mergeCell ref="B296:B300"/>
    <mergeCell ref="A291:A295"/>
    <mergeCell ref="B590:B594"/>
    <mergeCell ref="B565:B569"/>
    <mergeCell ref="B548:B552"/>
    <mergeCell ref="A494:A498"/>
    <mergeCell ref="A459:A463"/>
  </mergeCells>
  <phoneticPr fontId="12" type="noConversion"/>
  <printOptions horizontalCentered="1"/>
  <pageMargins left="0.59055118110236227" right="0.59055118110236227" top="0.59055118110236227" bottom="0.59055118110236227" header="0.51181102362204722" footer="0.51181102362204722"/>
  <pageSetup paperSize="9" scale="45" fitToWidth="0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№ 3</vt:lpstr>
      <vt:lpstr>Таблица № 3_</vt:lpstr>
      <vt:lpstr>'Таблица № 3'!Область_печати</vt:lpstr>
      <vt:lpstr>'Таблица № 3_'!Область_печати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Татьяна Викторовна Журавлёва</cp:lastModifiedBy>
  <cp:lastPrinted>2022-05-19T07:26:01Z</cp:lastPrinted>
  <dcterms:created xsi:type="dcterms:W3CDTF">1996-10-08T23:32:33Z</dcterms:created>
  <dcterms:modified xsi:type="dcterms:W3CDTF">2022-11-17T01:28:49Z</dcterms:modified>
</cp:coreProperties>
</file>