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75" windowWidth="19320" windowHeight="9465" firstSheet="3" activeTab="3"/>
  </bookViews>
  <sheets>
    <sheet name="Приложение № 5 к порядку" sheetId="1" r:id="rId1"/>
    <sheet name="приложение № 2" sheetId="2" r:id="rId2"/>
    <sheet name="приложение № 3 к порядку (2)" sheetId="6" r:id="rId3"/>
    <sheet name="Прил. № 2 к порядку -15.05.2015" sheetId="9" r:id="rId4"/>
  </sheets>
  <calcPr calcId="124519"/>
</workbook>
</file>

<file path=xl/calcChain.xml><?xml version="1.0" encoding="utf-8"?>
<calcChain xmlns="http://schemas.openxmlformats.org/spreadsheetml/2006/main">
  <c r="M61" i="9"/>
  <c r="M51"/>
  <c r="M50"/>
  <c r="H35" l="1"/>
  <c r="L21"/>
  <c r="M21" s="1"/>
  <c r="K21"/>
  <c r="K13" s="1"/>
  <c r="K8" s="1"/>
  <c r="J21"/>
  <c r="I21"/>
  <c r="I13" s="1"/>
  <c r="H21"/>
  <c r="G21"/>
  <c r="M56"/>
  <c r="M47"/>
  <c r="M43"/>
  <c r="G33"/>
  <c r="G25"/>
  <c r="L23"/>
  <c r="K23"/>
  <c r="J23"/>
  <c r="I23"/>
  <c r="H23"/>
  <c r="L22"/>
  <c r="M22" s="1"/>
  <c r="K22"/>
  <c r="J22"/>
  <c r="I22"/>
  <c r="H22"/>
  <c r="G22"/>
  <c r="F21"/>
  <c r="F13" s="1"/>
  <c r="L19"/>
  <c r="K19"/>
  <c r="J19"/>
  <c r="I19"/>
  <c r="H19"/>
  <c r="M18"/>
  <c r="M17"/>
  <c r="M16"/>
  <c r="L15"/>
  <c r="L10" s="1"/>
  <c r="K15"/>
  <c r="J15"/>
  <c r="J10" s="1"/>
  <c r="I15"/>
  <c r="H15"/>
  <c r="H10" s="1"/>
  <c r="G15"/>
  <c r="G10" s="1"/>
  <c r="F15"/>
  <c r="M15" s="1"/>
  <c r="L14"/>
  <c r="K14"/>
  <c r="J14"/>
  <c r="I14"/>
  <c r="H14"/>
  <c r="F14"/>
  <c r="G13"/>
  <c r="M12"/>
  <c r="L11"/>
  <c r="K11"/>
  <c r="J11"/>
  <c r="I11"/>
  <c r="H11"/>
  <c r="G11"/>
  <c r="K10"/>
  <c r="I10"/>
  <c r="F10"/>
  <c r="M9"/>
  <c r="I8" l="1"/>
  <c r="H13"/>
  <c r="H8" s="1"/>
  <c r="J13"/>
  <c r="J8" s="1"/>
  <c r="F8"/>
  <c r="G8"/>
  <c r="M10"/>
  <c r="L13"/>
  <c r="M13" s="1"/>
  <c r="M14"/>
  <c r="L8" l="1"/>
  <c r="M8" s="1"/>
  <c r="N13"/>
  <c r="L8" i="6" l="1"/>
  <c r="L21" l="1"/>
  <c r="L11" l="1"/>
  <c r="E10"/>
  <c r="L10" s="1"/>
  <c r="L9"/>
  <c r="E20" l="1"/>
  <c r="L20" s="1"/>
  <c r="L28" l="1"/>
  <c r="L25" l="1"/>
  <c r="I15"/>
  <c r="J15" s="1"/>
  <c r="K15" s="1"/>
  <c r="L16"/>
  <c r="L14" l="1"/>
  <c r="L15"/>
  <c r="L13"/>
  <c r="D9" i="1" l="1"/>
  <c r="E9"/>
  <c r="D8"/>
  <c r="E8"/>
  <c r="F8"/>
  <c r="G8"/>
  <c r="H8"/>
  <c r="I8"/>
  <c r="D13"/>
  <c r="E13"/>
  <c r="F13"/>
  <c r="G13"/>
  <c r="H13"/>
  <c r="I13"/>
  <c r="C14"/>
  <c r="C8" s="1"/>
  <c r="C16"/>
  <c r="C17"/>
  <c r="C11" s="1"/>
  <c r="C13" l="1"/>
  <c r="E30"/>
  <c r="D30"/>
  <c r="D10" s="1"/>
  <c r="D7" s="1"/>
  <c r="F30" l="1"/>
  <c r="G30" s="1"/>
  <c r="H30" s="1"/>
  <c r="I30" s="1"/>
  <c r="E10"/>
  <c r="E7" s="1"/>
  <c r="D26"/>
  <c r="F26" l="1"/>
  <c r="E26"/>
  <c r="D19"/>
  <c r="E19"/>
  <c r="F23"/>
  <c r="F22"/>
  <c r="F9" s="1"/>
  <c r="G23" l="1"/>
  <c r="F10"/>
  <c r="F7" s="1"/>
  <c r="F19"/>
  <c r="G22"/>
  <c r="G9" s="1"/>
  <c r="G26"/>
  <c r="H23" l="1"/>
  <c r="G10"/>
  <c r="G7" s="1"/>
  <c r="G19"/>
  <c r="H22"/>
  <c r="H9" s="1"/>
  <c r="H26"/>
  <c r="C30"/>
  <c r="I23" l="1"/>
  <c r="I10" s="1"/>
  <c r="H10"/>
  <c r="H7" s="1"/>
  <c r="C23"/>
  <c r="C10" s="1"/>
  <c r="I22"/>
  <c r="H19"/>
  <c r="C26"/>
  <c r="I26"/>
  <c r="I19" l="1"/>
  <c r="C22"/>
  <c r="I9"/>
  <c r="I7" s="1"/>
  <c r="C19" l="1"/>
  <c r="C9"/>
  <c r="C7" s="1"/>
</calcChain>
</file>

<file path=xl/sharedStrings.xml><?xml version="1.0" encoding="utf-8"?>
<sst xmlns="http://schemas.openxmlformats.org/spreadsheetml/2006/main" count="333" uniqueCount="210">
  <si>
    <t>Приложение  5</t>
  </si>
  <si>
    <t xml:space="preserve">Ресурсное обеспечение </t>
  </si>
  <si>
    <t>Наименование муниципальной программы, подпрограммы муниципальной программы, основного мероприятия</t>
  </si>
  <si>
    <t>Источник финансирования</t>
  </si>
  <si>
    <t>Оценка расходов (тыс. рублей), годы</t>
  </si>
  <si>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</si>
  <si>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</si>
  <si>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</si>
  <si>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</si>
  <si>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</si>
  <si>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</si>
  <si>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Задача 1</t>
  </si>
  <si>
    <t>* Указывается в случае деления муниципальной программы на подпрограммы.</t>
  </si>
  <si>
    <t>2015г.</t>
  </si>
  <si>
    <t>2016г.</t>
  </si>
  <si>
    <t>2017г.</t>
  </si>
  <si>
    <t>2018г.</t>
  </si>
  <si>
    <t>2019г.</t>
  </si>
  <si>
    <t>2020г.</t>
  </si>
  <si>
    <t>Задача 2</t>
  </si>
  <si>
    <t>Задача 3</t>
  </si>
  <si>
    <t>Наменование подпрограммы</t>
  </si>
  <si>
    <t>Наменование задачи муниципальной программы, решаемой в рамках подпрограммы</t>
  </si>
  <si>
    <t>Наименование задач полпрограммы, направленной на решение задачи муниципальной программы</t>
  </si>
  <si>
    <t>исполнители программных мероприятий</t>
  </si>
  <si>
    <t>Сроки и этапы реализации подпрограммы</t>
  </si>
  <si>
    <t>Ожидаемый результат программы</t>
  </si>
  <si>
    <t>№ п/п</t>
  </si>
  <si>
    <t>Приложение № 2</t>
  </si>
  <si>
    <t>Перечень и краткое описание подпрограмм муниципальной программы</t>
  </si>
  <si>
    <t>Наименование</t>
  </si>
  <si>
    <t>Исполнители программных мероприятий</t>
  </si>
  <si>
    <t>Ед.изм.</t>
  </si>
  <si>
    <t>2016 г.</t>
  </si>
  <si>
    <t>2017 г.</t>
  </si>
  <si>
    <t>2018 г.</t>
  </si>
  <si>
    <t>2020 г.</t>
  </si>
  <si>
    <t>Приложение № 3 к Порядку</t>
  </si>
  <si>
    <t>Ожидаемый результат</t>
  </si>
  <si>
    <t>Наименование муниципальной подпрограммы  "Осуществление дорожной деятельности в отношении автмобильных дорог общего пользования местного значения</t>
  </si>
  <si>
    <t>МКП "ДЭУ"</t>
  </si>
  <si>
    <t>тыс.м2</t>
  </si>
  <si>
    <t>Специализированные организации-победители аукционов</t>
  </si>
  <si>
    <t>км</t>
  </si>
  <si>
    <t>м</t>
  </si>
  <si>
    <t>МП "Сигнал"</t>
  </si>
  <si>
    <t>ед.</t>
  </si>
  <si>
    <r>
      <rPr>
        <b/>
        <sz val="11"/>
        <color theme="1"/>
        <rFont val="Times New Roman"/>
        <family val="1"/>
        <charset val="204"/>
      </rPr>
      <t xml:space="preserve">Наименование основного мероприятия 1.1. </t>
    </r>
    <r>
      <rPr>
        <sz val="11"/>
        <color theme="1"/>
        <rFont val="Times New Roman"/>
        <family val="1"/>
        <charset val="204"/>
      </rPr>
      <t xml:space="preserve">  Содержание и ремонт улично-дорожной сети</t>
    </r>
  </si>
  <si>
    <r>
      <rPr>
        <b/>
        <sz val="11"/>
        <color theme="1"/>
        <rFont val="Times New Roman"/>
        <family val="1"/>
        <charset val="204"/>
      </rPr>
      <t xml:space="preserve">Наименование основного мероприятия 1.2  </t>
    </r>
    <r>
      <rPr>
        <sz val="11"/>
        <color theme="1"/>
        <rFont val="Times New Roman"/>
        <family val="1"/>
        <charset val="204"/>
      </rPr>
      <t>Проведение комплекса мер по замене и восстановлению конструктивных элементов и транспортно-эксплуатационных характеристик автомобильных дорог</t>
    </r>
  </si>
  <si>
    <r>
      <rPr>
        <b/>
        <sz val="11"/>
        <color theme="1"/>
        <rFont val="Times New Roman"/>
        <family val="1"/>
        <charset val="204"/>
      </rPr>
      <t xml:space="preserve">Наименование основного мероприятия  1.3 </t>
    </r>
    <r>
      <rPr>
        <sz val="11"/>
        <color theme="1"/>
        <rFont val="Times New Roman"/>
        <family val="1"/>
        <charset val="204"/>
      </rPr>
      <t xml:space="preserve"> Обеспечение безопасности дорожного движения в городе Благовещенске</t>
    </r>
  </si>
  <si>
    <t>Система программных мероприятий муниципальной подпрограммы "Осуществление дорожной деятельности в отношении автомобильных дорог общего пользования местного значения"</t>
  </si>
  <si>
    <t>и прогнозная (справочная) оценка расходов федерального бюджета, областного бюджета, городского бюджета и внебюджетных источников на реализацию муниципальной подпрограммы "Осуществление дорожной деятельности в отношении автомобильных дорог общего пользования местного значения"</t>
  </si>
  <si>
    <t>Наименование показателя</t>
  </si>
  <si>
    <t>Базисный год</t>
  </si>
  <si>
    <t>Отношение последнего года к базисному</t>
  </si>
  <si>
    <t>Наименование подпрограммы 1* «Осуществление дорожной деятельности в отношении автомобильных дорог общего пользования местного значения»</t>
  </si>
  <si>
    <t xml:space="preserve">Протяженность улично-дорожнойсети </t>
  </si>
  <si>
    <t>Колличество  обслуживаемых светофорных объектов</t>
  </si>
  <si>
    <t>Колличество  обслуживаемых плоских дорожных  знаков</t>
  </si>
  <si>
    <t>МП "Сигнал", МКП "ДЭУ", МП "Горсвет", подрядные организации</t>
  </si>
  <si>
    <t>тыс.кв.м</t>
  </si>
  <si>
    <t>Задача 1. Поддержание надлежащего технического состояния и обеспечение сохранности автомобильных дорог и дорожных сооружений</t>
  </si>
  <si>
    <t>Задача 2.Проведение комплекса мер по замене и восстановлению  конструктивных элементов, транспортно-эксплуатационных характеристик автомобильных дорог и обеспечению безопасности дорожного движения.</t>
  </si>
  <si>
    <t>в том числе</t>
  </si>
  <si>
    <t xml:space="preserve">Площадь линий дорожной разметки  </t>
  </si>
  <si>
    <t xml:space="preserve">Колличество светофорных объектов </t>
  </si>
  <si>
    <t>Колличество пешеходных переходов</t>
  </si>
  <si>
    <t>Протяженность дорожных ограждений</t>
  </si>
  <si>
    <t>МПК "ДЭУ",</t>
  </si>
  <si>
    <t>Протяженность ремонта ливневой канализации</t>
  </si>
  <si>
    <t>Восстновление асфальтобетон-ного покрытия  автомобильных дорог</t>
  </si>
  <si>
    <t>Восстновление асфальтобетон-ного покрытия  пешеходных тротуаров</t>
  </si>
  <si>
    <t>2.1.1 Капитальный  ремонт автомобильных дорог местного значения</t>
  </si>
  <si>
    <t xml:space="preserve"> 2.1.3 Ремонт пешеходных тротуаров</t>
  </si>
  <si>
    <t>2.1.4 Ремонт ливневой канализации</t>
  </si>
  <si>
    <r>
      <t xml:space="preserve">Оновное мероприятие 2.1.    </t>
    </r>
    <r>
      <rPr>
        <sz val="11"/>
        <color theme="1"/>
        <rFont val="Times New Roman"/>
        <family val="1"/>
        <charset val="204"/>
      </rPr>
      <t>Ремонт улично-дорожной сети города Благовещенска:</t>
    </r>
  </si>
  <si>
    <t>2.1.2  Ремонт автомобильных дорог местного значения</t>
  </si>
  <si>
    <r>
      <rPr>
        <b/>
        <sz val="11"/>
        <color theme="1"/>
        <rFont val="Times New Roman"/>
        <family val="1"/>
        <charset val="204"/>
      </rPr>
      <t xml:space="preserve">Оновное мероприятие 2.2.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  </r>
  </si>
  <si>
    <t>2.2.1.Обустройство транспортных светофорных объектов  на перекрестках</t>
  </si>
  <si>
    <t>2.2.2.Обустройство нерегулируемых пешеходных переходов без обустройства ИДН</t>
  </si>
  <si>
    <t>2.2.3 Обустройство  наиболее опасных участков улично-дорожной сти дорожными ограждениями</t>
  </si>
  <si>
    <r>
      <rPr>
        <b/>
        <sz val="11"/>
        <color theme="1"/>
        <rFont val="Times New Roman"/>
        <family val="1"/>
        <charset val="204"/>
      </rPr>
      <t xml:space="preserve">Оновное мероприятие 1.1. </t>
    </r>
    <r>
      <rPr>
        <sz val="11"/>
        <color theme="1"/>
        <rFont val="Times New Roman"/>
        <family val="1"/>
        <charset val="204"/>
      </rPr>
      <t>Субсидии казенным предприятиям на возмещение затрат, связанных с выполнением заказа по содержанию и ремонту улично-дорожной сети</t>
    </r>
  </si>
  <si>
    <r>
      <rPr>
        <b/>
        <sz val="11"/>
        <color theme="1"/>
        <rFont val="Times New Roman"/>
        <family val="1"/>
        <charset val="204"/>
      </rPr>
      <t xml:space="preserve">Оновное мероприятие 1.2. </t>
    </r>
    <r>
      <rPr>
        <sz val="11"/>
        <color theme="1"/>
        <rFont val="Times New Roman"/>
        <family val="1"/>
        <charset val="204"/>
      </rPr>
      <t>Субсидии юридическим лицам, выполняющим работы, оказывающим услуги по содержанию и обслуживанию средств регулирования дорожного движения</t>
    </r>
  </si>
  <si>
    <t>%</t>
  </si>
  <si>
    <t xml:space="preserve">Доля обслуживаемых средст регулирования дорожноного движения </t>
  </si>
  <si>
    <t>Доля восстновленого асфальтобетон-ного покрытия  автомобильных дорог к общей протяженности автомобильных дорог</t>
  </si>
  <si>
    <t>Колличество  обустроенных участков улично-дорожной сети средставми организации дорожного движения</t>
  </si>
  <si>
    <t>Содержание улично-дорожной сети в соотвествии с нормативными требованиями</t>
  </si>
  <si>
    <t>2.2.4 Обустройство вызывных светофорных объектов  на улично-дорожной сети</t>
  </si>
  <si>
    <t>Статус</t>
  </si>
  <si>
    <t xml:space="preserve">Основное мероприятие 1.1. </t>
  </si>
  <si>
    <t>Основное мероприятие 1.2.</t>
  </si>
  <si>
    <t>Основное мероприятие 1.3.</t>
  </si>
  <si>
    <t>Количество  обслуживаемых светофорных объектов</t>
  </si>
  <si>
    <t>Подпрограмма 1</t>
  </si>
  <si>
    <t>Доля обслуживаемых светофорных объектов к общему числу светофорных объектов</t>
  </si>
  <si>
    <t xml:space="preserve">Количество установленных светофорных объектов </t>
  </si>
  <si>
    <t>Количество обустроенных пешеходных переходов</t>
  </si>
  <si>
    <t xml:space="preserve">Количество обустроенных светофорных объектов </t>
  </si>
  <si>
    <t>Количество  обустроенных участков улично-дорожной сети средствами организации дорожного движения</t>
  </si>
  <si>
    <t xml:space="preserve">Подпрограмма 2  </t>
  </si>
  <si>
    <t>Управление по развитию потребительского рынка  и услуг администрации города Благовещенска</t>
  </si>
  <si>
    <t xml:space="preserve"> </t>
  </si>
  <si>
    <t>шт.</t>
  </si>
  <si>
    <t>Количество приобретенных троллейбусов</t>
  </si>
  <si>
    <t>Количество приобретенных автобусов</t>
  </si>
  <si>
    <t xml:space="preserve">Основное мероприятие 2.5. 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</si>
  <si>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</si>
  <si>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Развитие транспортной системы города Благовещенска на 2015 – 2020 годы</t>
  </si>
  <si>
    <t>Муниципальная программа</t>
  </si>
  <si>
    <t>Управление жилищно-коммунального хозяйства администрации города Благовещенска</t>
  </si>
  <si>
    <t>2015 год</t>
  </si>
  <si>
    <t>2016 год</t>
  </si>
  <si>
    <t>2017 год</t>
  </si>
  <si>
    <t>2018 год</t>
  </si>
  <si>
    <t>2019 год</t>
  </si>
  <si>
    <t>2020 год</t>
  </si>
  <si>
    <t>Уровень транспортно-эксплуатационных характеристик автомобильных дорог</t>
  </si>
  <si>
    <t>Осуществление дорожной деятельности в отношении автомобильных дорог общего пользования местного значения</t>
  </si>
  <si>
    <t>Развитие пассажирского транспорта в городе Благовещенске</t>
  </si>
  <si>
    <t>Регулярность движения транспорта общего пользования по муниципальной маршрутной сети города Благовещенска(отношение фактически выполненных рейсов на маршрутах к плановому количеству рейсов в соответствии с согласованным расписанием)</t>
  </si>
  <si>
    <t>Основное мероприятие 2.1.</t>
  </si>
  <si>
    <t>Основное мероприятие 2.2.</t>
  </si>
  <si>
    <t>Основное мероприятие 2.3.</t>
  </si>
  <si>
    <t>Наименование муниципальной программы,подпрограммы,   основного мероприятия</t>
  </si>
  <si>
    <t>Протяженность  сетей ливневой канализации на которых проведен ремонт</t>
  </si>
  <si>
    <t>Сохранение транспортной подвижности населения города</t>
  </si>
  <si>
    <t>Количество  обслуживаемых плоских дорожных  знаков</t>
  </si>
  <si>
    <t>Администрация города Благовещенска, МУ "ГУКС", лица победители определения поставщика (исполнителя, подрядчика)</t>
  </si>
  <si>
    <t xml:space="preserve">Протяженность автомобильных дорог приведенных к нормативным требованиям после проведения капитального ремонта </t>
  </si>
  <si>
    <t xml:space="preserve">Протяженность автомобильных дорог приведенных к нормативным требованиям после проведения  ремонта 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</si>
  <si>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</si>
  <si>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Основное мероприятие  1.4.</t>
  </si>
  <si>
    <t>Основное мероприятие  1.5.</t>
  </si>
  <si>
    <t>Магистральные улицы Северного планировочного района г.Благовещенска, Амурская область (ул.Шафира, ул.Муравьева-Амурского, ул.Зеленая)</t>
  </si>
  <si>
    <t>Основное мероприятие  1.6.</t>
  </si>
  <si>
    <t xml:space="preserve">Магистральные улицы Северного планировочного района г.Благовещенска, Амурская область (ул.Шафира от ул.Муравьева-Амурского до ул. 50 лет.Октября) </t>
  </si>
  <si>
    <t>Основное мероприятие  1.7.</t>
  </si>
  <si>
    <t>Основное мероприятие  1.8.</t>
  </si>
  <si>
    <t>Основное мероприятие  1.9.</t>
  </si>
  <si>
    <t>Основное мероприятие  1.10.</t>
  </si>
  <si>
    <t>Основное мероприятие  1.11.</t>
  </si>
  <si>
    <t xml:space="preserve"> Строительство дорог в районе «5-ой стройки» для обеспечения транспортной инфраструктурой земельных участков, предоставленных многодетным семьям</t>
  </si>
  <si>
    <t>Основное мероприятие  1.12.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</si>
  <si>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</t>
  </si>
  <si>
    <t>Основное мероприятие  1.13.</t>
  </si>
  <si>
    <t>Основное мероприятие  1.14.</t>
  </si>
  <si>
    <t>Основное мероприятие  1.15.</t>
  </si>
  <si>
    <t>Основное мероприятие  1.16.</t>
  </si>
  <si>
    <t>Протяженность строительства автомобильных дорог</t>
  </si>
  <si>
    <t>Техническая готовность проектной документации</t>
  </si>
  <si>
    <t xml:space="preserve"> 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</si>
  <si>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Управление жилищно-коммунального хозяйства администрации города Благовещенска, юридические лица-получатели субсидии</t>
  </si>
  <si>
    <t>Протяженность установленных дорожных ограждений</t>
  </si>
  <si>
    <t>Доля протяженности автомобильных дорог приведенных к нормативным требованиям после проведения капитального ремонта, ремонта  к общей протяженности автомобильных дорог</t>
  </si>
  <si>
    <t>Доля пассажирских транспортных средств транспортных предприятий, использующих автомобильный транспорт, в том числе электротранспорт,  со сроком эксплуатации менее 7 лет от общего количества пассажирских транспортных средств, находящихся на балансе предприятий</t>
  </si>
  <si>
    <t xml:space="preserve">Удельное количество обращений граждан на качество обслуживания пассажиров в расчете на 1000 чел. насления </t>
  </si>
  <si>
    <t>Количество обращений/ 1000 чел. населения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</si>
  <si>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</si>
  <si>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</si>
  <si>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</si>
  <si>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Обеспечение перевозок пассажиров</t>
  </si>
  <si>
    <t>тыс. чел.</t>
  </si>
  <si>
    <t xml:space="preserve">Основное мероприятие 2.4. </t>
  </si>
  <si>
    <t>Снижение убытков транспортного предприятия</t>
  </si>
  <si>
    <t xml:space="preserve">Основное мероприятие 2.6. </t>
  </si>
  <si>
    <t>Расходы на обеспечение деятельности (оказание услуг, выполнение работ) муниципальных организаций (учреждений)</t>
  </si>
  <si>
    <t>Количество обращений пассажиров на качество обслуживания пассажиров</t>
  </si>
  <si>
    <t xml:space="preserve">Основное мероприятие 2.7. </t>
  </si>
  <si>
    <t>Ремонт улично-дорожной сети города Благовещенска</t>
  </si>
  <si>
    <t>Увеличение протяженности автомобильных дорог общего пользования  в результате нового строительства городских дорог</t>
  </si>
  <si>
    <t xml:space="preserve">Система основных мероприятий  и показателей реализации муниципальной подпрограммы  </t>
  </si>
  <si>
    <t>Ответственный исполнитель, соисполнитель, участник</t>
  </si>
  <si>
    <t>Наименование целевого показателя (индикатора)</t>
  </si>
  <si>
    <t>Значение показателя по годам реализации</t>
  </si>
  <si>
    <t>Отношение последнего года к базисному году, %</t>
  </si>
  <si>
    <t>Единица измерения</t>
  </si>
  <si>
    <t xml:space="preserve"> Внутриквартальный проезд № 2</t>
  </si>
  <si>
    <t xml:space="preserve"> 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</t>
  </si>
  <si>
    <t xml:space="preserve"> Капитальный ремонт перекрестка ул.Мухина и ул.Игнатьевское шоссе (проектные работы)</t>
  </si>
  <si>
    <t xml:space="preserve">Магистральные улицы Северного планировочного района г.Благовещенска, Амурская область (ул.Мостостроителей от ул.50 лет Октября до  ул.Муравьева-Амурского ) 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</si>
  <si>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Зейская</t>
  </si>
  <si>
    <t xml:space="preserve"> Подземный пешеходный переход по ул.Театральной в кварталах 212, 221 г.Благовещенска</t>
  </si>
  <si>
    <t xml:space="preserve">Количество приобретенных специализированных автобусов для перевозки пассажиров с ограниченными возможностями передвижения </t>
  </si>
  <si>
    <t>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перевозок, следующих к местам расположения сезонных (садовых) маршрутов</t>
  </si>
  <si>
    <t>Администрация города Благовещенска, учреждения, осуществляющие управление процессом перевозок и координацию работы городского пассажирского транспорта</t>
  </si>
  <si>
    <t>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перевозок, следующих к местам расположения садовых участков</t>
  </si>
  <si>
    <t>Администрация города Благовещенска, лица победители определения поставщика (исполнителя, подрядчика)</t>
  </si>
  <si>
    <t>Администрация города Благовещенска, юридические лица-получатели субсидии</t>
  </si>
  <si>
    <t>Доля протяженности улично-дорожной сети, подлежащей механизированной уборке  в соответствии с нормативными требованиями к общей протяженности  улично-дорожной сети</t>
  </si>
  <si>
    <t>Количество поездок на 1 жителя города</t>
  </si>
  <si>
    <t xml:space="preserve">Протяженность улично-дорожной сети, подлежащей механизированной уборке в соотвествии с нормативными требованиями  </t>
  </si>
  <si>
    <t>?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</si>
  <si>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Субсидии юридическим лицам, выполняющим работы, оказывающим услуги по содержанию и обслуживанию средств регулирования дорожного движения</t>
    </r>
  </si>
  <si>
    <r>
      <t xml:space="preserve"> </t>
    </r>
    <r>
      <rPr>
        <sz val="12"/>
        <rFont val="Times New Roman"/>
        <family val="1"/>
        <charset val="204"/>
      </rPr>
      <t>Капитальный ремонт ул.Мухина от ул.Пролетарская до ул.Зейская (проектные работы)</t>
    </r>
  </si>
  <si>
    <r>
      <t xml:space="preserve">  </t>
    </r>
    <r>
      <rPr>
        <sz val="12"/>
        <rFont val="Times New Roman"/>
        <family val="1"/>
        <charset val="204"/>
      </rPr>
      <t>Капитальный ремонт ул.Лазо от ул.Ленина до ул.Горького (проектные работы)</t>
    </r>
  </si>
  <si>
    <t>Субсидии юридическим лицам на возмещение затрат, связанных с выполнением работ по содержанию и ремонту улично-дорожной сети города Благовещенска</t>
  </si>
  <si>
    <t xml:space="preserve"> Строительство дорог в районе «5-ой стройки» для обеспечения транспортной инфраструктурой земельных участков, предоставленных многодетным семьям ( ул.Центральная на участке от ул. Театральная до ул. Дальняя; ул.Ромашковая на участке от ул.Центральная до ул.Энтузиастов) </t>
  </si>
  <si>
    <t xml:space="preserve"> Строительство дорог в районе «5-ой стройки» для обеспечения транспортной инфраструктурой земельных участков, предоставленных многодетным семьям (ул. Придорожная от ул. Центральная до ул. Энтузиастов, ул. Энтузиастов от ул. Придорожная до ул. Театральная,  ул.Ромашковая от ул.Центральная до ул.Березовая I этап) </t>
  </si>
  <si>
    <t>Основное мероприятие  1.17.</t>
  </si>
  <si>
    <t xml:space="preserve">Основное мероприятие 1.18      </t>
  </si>
  <si>
    <t xml:space="preserve">Площадь  отремонтированных пешеходных тротуаров </t>
  </si>
  <si>
    <t xml:space="preserve">Обустройство вызывных пешеходных светофоров со звуковым сигналом для слабовидящих людей, в том числе транспортных светофорных объектов </t>
  </si>
  <si>
    <t>Приложение  № 1   к муниципальной программе "Развитие транспортной системы города Благовещенска на  2015-2020 годы"</t>
  </si>
  <si>
    <t>откуда сколько шт.</t>
  </si>
  <si>
    <t>почему такое кол-во обращений</t>
  </si>
  <si>
    <t>разный процент</t>
  </si>
  <si>
    <t>процент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</si>
  <si>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</si>
  <si>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 xml:space="preserve">Приложение  № 1   к постановлению администрации города Благовещенска от 18.09.2015   №  3535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</si>
</sst>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Border="1"/>
    <xf numFmtId="0" fontId="3" fillId="0" borderId="8" xfId="0" applyFont="1" applyBorder="1"/>
    <xf numFmtId="164" fontId="3" fillId="0" borderId="12" xfId="0" applyNumberFormat="1" applyFont="1" applyBorder="1"/>
    <xf numFmtId="0" fontId="3" fillId="0" borderId="12" xfId="0" applyFont="1" applyBorder="1"/>
    <xf numFmtId="164" fontId="3" fillId="0" borderId="8" xfId="0" applyNumberFormat="1" applyFont="1" applyBorder="1"/>
    <xf numFmtId="164" fontId="3" fillId="0" borderId="15" xfId="0" applyNumberFormat="1" applyFont="1" applyBorder="1"/>
    <xf numFmtId="164" fontId="3" fillId="0" borderId="0" xfId="0" applyNumberFormat="1" applyFont="1" applyBorder="1"/>
    <xf numFmtId="0" fontId="3" fillId="0" borderId="0" xfId="0" applyFont="1" applyBorder="1"/>
    <xf numFmtId="0" fontId="0" fillId="0" borderId="8" xfId="0" applyBorder="1"/>
    <xf numFmtId="0" fontId="3" fillId="0" borderId="8" xfId="0" applyFont="1" applyBorder="1" applyAlignment="1">
      <alignment wrapText="1"/>
    </xf>
    <xf numFmtId="0" fontId="3" fillId="0" borderId="0" xfId="0" applyFont="1"/>
    <xf numFmtId="0" fontId="3" fillId="0" borderId="8" xfId="0" applyFont="1" applyBorder="1" applyAlignment="1">
      <alignment horizontal="center"/>
    </xf>
    <xf numFmtId="164" fontId="3" fillId="0" borderId="14" xfId="0" applyNumberFormat="1" applyFont="1" applyBorder="1"/>
    <xf numFmtId="0" fontId="0" fillId="0" borderId="8" xfId="0" applyBorder="1" applyAlignment="1">
      <alignment horizontal="center"/>
    </xf>
    <xf numFmtId="0" fontId="3" fillId="0" borderId="8" xfId="0" applyFont="1" applyBorder="1" applyAlignment="1"/>
    <xf numFmtId="164" fontId="3" fillId="0" borderId="8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0" fillId="0" borderId="0" xfId="0" applyFont="1"/>
    <xf numFmtId="0" fontId="3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8" xfId="0" applyFont="1" applyBorder="1"/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left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top"/>
    </xf>
    <xf numFmtId="0" fontId="5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top" wrapText="1"/>
    </xf>
    <xf numFmtId="1" fontId="0" fillId="0" borderId="8" xfId="0" applyNumberForma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 wrapText="1"/>
    </xf>
    <xf numFmtId="0" fontId="5" fillId="0" borderId="8" xfId="0" applyFont="1" applyBorder="1" applyAlignment="1">
      <alignment vertical="top" wrapText="1"/>
    </xf>
    <xf numFmtId="0" fontId="3" fillId="0" borderId="8" xfId="0" applyFont="1" applyBorder="1" applyAlignment="1">
      <alignment vertical="top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5" fillId="0" borderId="8" xfId="0" applyFont="1" applyBorder="1"/>
    <xf numFmtId="164" fontId="0" fillId="0" borderId="8" xfId="0" applyNumberFormat="1" applyBorder="1"/>
    <xf numFmtId="0" fontId="0" fillId="0" borderId="0" xfId="0" applyAlignment="1">
      <alignment horizontal="center"/>
    </xf>
    <xf numFmtId="0" fontId="5" fillId="0" borderId="8" xfId="0" applyFont="1" applyBorder="1" applyAlignment="1">
      <alignment horizontal="center" wrapText="1"/>
    </xf>
    <xf numFmtId="0" fontId="0" fillId="0" borderId="0" xfId="0" applyAlignment="1">
      <alignment wrapText="1"/>
    </xf>
    <xf numFmtId="1" fontId="7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164" fontId="1" fillId="0" borderId="8" xfId="0" applyNumberFormat="1" applyFont="1" applyBorder="1" applyAlignment="1">
      <alignment horizontal="center" wrapText="1"/>
    </xf>
    <xf numFmtId="0" fontId="7" fillId="0" borderId="8" xfId="0" applyFont="1" applyBorder="1" applyAlignment="1">
      <alignment vertical="center" wrapText="1"/>
    </xf>
    <xf numFmtId="164" fontId="0" fillId="0" borderId="0" xfId="0" applyNumberFormat="1"/>
    <xf numFmtId="164" fontId="1" fillId="2" borderId="8" xfId="0" applyNumberFormat="1" applyFon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7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7" fillId="2" borderId="8" xfId="0" applyFont="1" applyFill="1" applyBorder="1" applyAlignment="1">
      <alignment horizontal="center"/>
    </xf>
    <xf numFmtId="1" fontId="7" fillId="2" borderId="8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2" fontId="7" fillId="0" borderId="8" xfId="0" applyNumberFormat="1" applyFont="1" applyBorder="1" applyAlignment="1">
      <alignment horizontal="center"/>
    </xf>
    <xf numFmtId="0" fontId="12" fillId="0" borderId="8" xfId="0" applyFont="1" applyBorder="1" applyAlignment="1">
      <alignment horizontal="left" vertical="top" wrapText="1"/>
    </xf>
    <xf numFmtId="164" fontId="7" fillId="2" borderId="8" xfId="0" applyNumberFormat="1" applyFont="1" applyFill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1" fontId="8" fillId="2" borderId="8" xfId="0" applyNumberFormat="1" applyFont="1" applyFill="1" applyBorder="1" applyAlignment="1">
      <alignment horizontal="center" wrapText="1"/>
    </xf>
    <xf numFmtId="164" fontId="8" fillId="2" borderId="8" xfId="0" applyNumberFormat="1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center"/>
    </xf>
    <xf numFmtId="1" fontId="7" fillId="0" borderId="8" xfId="0" applyNumberFormat="1" applyFont="1" applyBorder="1" applyAlignment="1">
      <alignment horizont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wrapText="1"/>
    </xf>
    <xf numFmtId="164" fontId="7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2" fillId="0" borderId="8" xfId="0" applyFont="1" applyBorder="1" applyAlignment="1">
      <alignment vertical="top" wrapText="1"/>
    </xf>
    <xf numFmtId="1" fontId="8" fillId="2" borderId="8" xfId="0" applyNumberFormat="1" applyFont="1" applyFill="1" applyBorder="1" applyAlignment="1">
      <alignment horizontal="center" wrapText="1"/>
    </xf>
    <xf numFmtId="164" fontId="8" fillId="2" borderId="8" xfId="0" applyNumberFormat="1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wrapText="1"/>
    </xf>
    <xf numFmtId="1" fontId="7" fillId="2" borderId="8" xfId="0" applyNumberFormat="1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left" vertical="top" wrapText="1"/>
    </xf>
    <xf numFmtId="2" fontId="7" fillId="2" borderId="8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3" fillId="0" borderId="12" xfId="0" applyNumberFormat="1" applyFont="1" applyBorder="1" applyAlignment="1"/>
    <xf numFmtId="164" fontId="3" fillId="0" borderId="14" xfId="0" applyNumberFormat="1" applyFont="1" applyBorder="1" applyAlignment="1"/>
    <xf numFmtId="164" fontId="3" fillId="0" borderId="8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0" fillId="0" borderId="0" xfId="0" applyFont="1" applyAlignment="1"/>
    <xf numFmtId="0" fontId="3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justify" vertical="top"/>
    </xf>
    <xf numFmtId="0" fontId="0" fillId="0" borderId="14" xfId="0" applyFont="1" applyBorder="1" applyAlignment="1">
      <alignment horizontal="justify" vertical="top"/>
    </xf>
    <xf numFmtId="0" fontId="0" fillId="0" borderId="10" xfId="0" applyFont="1" applyBorder="1" applyAlignment="1">
      <alignment horizontal="justify" vertical="top"/>
    </xf>
    <xf numFmtId="0" fontId="3" fillId="0" borderId="12" xfId="0" applyFont="1" applyBorder="1" applyAlignment="1">
      <alignment horizontal="left" vertical="top" wrapText="1"/>
    </xf>
    <xf numFmtId="0" fontId="0" fillId="0" borderId="14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3" fillId="0" borderId="8" xfId="0" applyFont="1" applyBorder="1" applyAlignment="1"/>
    <xf numFmtId="0" fontId="0" fillId="0" borderId="8" xfId="0" applyFont="1" applyBorder="1" applyAlignment="1"/>
    <xf numFmtId="0" fontId="3" fillId="0" borderId="12" xfId="0" applyFont="1" applyBorder="1" applyAlignment="1"/>
    <xf numFmtId="0" fontId="0" fillId="0" borderId="10" xfId="0" applyFont="1" applyBorder="1" applyAlignment="1"/>
    <xf numFmtId="0" fontId="3" fillId="0" borderId="0" xfId="0" applyFont="1" applyAlignment="1"/>
    <xf numFmtId="0" fontId="3" fillId="0" borderId="12" xfId="0" applyFont="1" applyBorder="1" applyAlignment="1">
      <alignment wrapText="1"/>
    </xf>
    <xf numFmtId="0" fontId="0" fillId="0" borderId="10" xfId="0" applyBorder="1" applyAlignment="1"/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4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0" fillId="0" borderId="0" xfId="0" applyAlignment="1"/>
    <xf numFmtId="0" fontId="10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7" fillId="0" borderId="8" xfId="0" applyFont="1" applyBorder="1" applyAlignment="1">
      <alignment horizontal="left" wrapText="1"/>
    </xf>
    <xf numFmtId="0" fontId="7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1" fontId="7" fillId="0" borderId="8" xfId="0" applyNumberFormat="1" applyFont="1" applyBorder="1" applyAlignment="1">
      <alignment horizontal="center" wrapText="1"/>
    </xf>
    <xf numFmtId="164" fontId="7" fillId="0" borderId="8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top" wrapText="1"/>
    </xf>
    <xf numFmtId="0" fontId="7" fillId="2" borderId="8" xfId="0" applyFont="1" applyFill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center" wrapText="1"/>
    </xf>
    <xf numFmtId="0" fontId="7" fillId="0" borderId="8" xfId="0" applyFont="1" applyBorder="1" applyAlignment="1">
      <alignment horizontal="left" vertical="center" wrapText="1"/>
    </xf>
    <xf numFmtId="1" fontId="8" fillId="2" borderId="8" xfId="0" applyNumberFormat="1" applyFont="1" applyFill="1" applyBorder="1" applyAlignment="1">
      <alignment horizontal="center" wrapText="1"/>
    </xf>
    <xf numFmtId="0" fontId="0" fillId="2" borderId="8" xfId="0" applyFill="1" applyBorder="1" applyAlignment="1">
      <alignment horizontal="left" vertical="top" wrapText="1"/>
    </xf>
    <xf numFmtId="0" fontId="8" fillId="2" borderId="8" xfId="0" applyNumberFormat="1" applyFont="1" applyFill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5"/>
  <sheetViews>
    <sheetView topLeftCell="A10" workbookViewId="0">
      <selection activeCell="K24" sqref="K24"/>
    </sheetView>
  </sheetViews>
  <sheetFormatPr defaultRowHeight="15"/>
  <cols>
    <col min="1" max="1" width="22" customWidth="1"/>
    <col min="2" max="2" width="23.7109375" customWidth="1"/>
    <col min="3" max="3" width="13.42578125" customWidth="1"/>
    <col min="4" max="4" width="11.85546875" customWidth="1"/>
    <col min="5" max="5" width="13.140625" customWidth="1"/>
    <col min="6" max="6" width="12.42578125" customWidth="1"/>
    <col min="7" max="7" width="11" customWidth="1"/>
    <col min="8" max="8" width="10.140625" customWidth="1"/>
    <col min="9" max="9" width="12.28515625" customWidth="1"/>
  </cols>
  <sheetData>
    <row r="1" spans="1:9" ht="15.75">
      <c r="A1" s="1"/>
      <c r="F1" s="118" t="s">
        <v>0</v>
      </c>
      <c r="G1" s="118"/>
      <c r="H1" s="118"/>
      <c r="I1" s="118"/>
    </row>
    <row r="2" spans="1:9" ht="15" customHeight="1">
      <c r="A2" s="117" t="s">
        <v>1</v>
      </c>
      <c r="B2" s="117"/>
      <c r="C2" s="117"/>
      <c r="D2" s="117"/>
      <c r="E2" s="117"/>
      <c r="F2" s="117"/>
      <c r="G2" s="117"/>
      <c r="H2" s="117"/>
      <c r="I2" s="117"/>
    </row>
    <row r="3" spans="1:9" ht="74.25" customHeight="1" thickBot="1">
      <c r="A3" s="116" t="s">
        <v>51</v>
      </c>
      <c r="B3" s="116"/>
      <c r="C3" s="116"/>
      <c r="D3" s="116"/>
      <c r="E3" s="116"/>
      <c r="F3" s="116"/>
      <c r="G3" s="116"/>
      <c r="H3" s="116"/>
      <c r="I3" s="116"/>
    </row>
    <row r="4" spans="1:9" ht="107.25" customHeight="1">
      <c r="A4" s="130" t="s">
        <v>2</v>
      </c>
      <c r="B4" s="132" t="s">
        <v>3</v>
      </c>
      <c r="C4" s="124" t="s">
        <v>4</v>
      </c>
      <c r="D4" s="124"/>
      <c r="E4" s="124"/>
      <c r="F4" s="124"/>
      <c r="G4" s="124"/>
      <c r="H4" s="124"/>
      <c r="I4" s="125"/>
    </row>
    <row r="5" spans="1:9" ht="15.75" thickBot="1">
      <c r="A5" s="131"/>
      <c r="B5" s="131"/>
      <c r="C5" s="18" t="s">
        <v>5</v>
      </c>
      <c r="D5" s="18" t="s">
        <v>13</v>
      </c>
      <c r="E5" s="18" t="s">
        <v>14</v>
      </c>
      <c r="F5" s="18" t="s">
        <v>15</v>
      </c>
      <c r="G5" s="18" t="s">
        <v>16</v>
      </c>
      <c r="H5" s="19" t="s">
        <v>17</v>
      </c>
      <c r="I5" s="20" t="s">
        <v>18</v>
      </c>
    </row>
    <row r="6" spans="1:9" ht="15.75" thickBot="1">
      <c r="A6" s="21">
        <v>1</v>
      </c>
      <c r="B6" s="18">
        <v>3</v>
      </c>
      <c r="C6" s="18">
        <v>4</v>
      </c>
      <c r="D6" s="18">
        <v>5</v>
      </c>
      <c r="E6" s="18">
        <v>6</v>
      </c>
      <c r="F6" s="18">
        <v>7</v>
      </c>
      <c r="G6" s="18">
        <v>8</v>
      </c>
      <c r="H6" s="19"/>
      <c r="I6" s="22"/>
    </row>
    <row r="7" spans="1:9" ht="15.75" thickBot="1">
      <c r="A7" s="122" t="s">
        <v>39</v>
      </c>
      <c r="B7" s="23" t="s">
        <v>6</v>
      </c>
      <c r="C7" s="24">
        <f>SUM(C8:C11)</f>
        <v>3973173.7490840801</v>
      </c>
      <c r="D7" s="24">
        <f t="shared" ref="D7:I7" si="0">SUM(D8:D11)</f>
        <v>587958</v>
      </c>
      <c r="E7" s="24">
        <f t="shared" si="0"/>
        <v>587283</v>
      </c>
      <c r="F7" s="24">
        <f t="shared" si="0"/>
        <v>629641.13</v>
      </c>
      <c r="G7" s="24">
        <f t="shared" si="0"/>
        <v>673164.57780000009</v>
      </c>
      <c r="H7" s="24">
        <f t="shared" si="0"/>
        <v>723163.47246800014</v>
      </c>
      <c r="I7" s="24">
        <f t="shared" si="0"/>
        <v>771963.56881607999</v>
      </c>
    </row>
    <row r="8" spans="1:9" ht="15.75" thickBot="1">
      <c r="A8" s="123"/>
      <c r="B8" s="23" t="s">
        <v>7</v>
      </c>
      <c r="C8" s="18">
        <f>C14+C21+C28</f>
        <v>0</v>
      </c>
      <c r="D8" s="18">
        <f t="shared" ref="D8:I8" si="1">D14+D21+D28</f>
        <v>0</v>
      </c>
      <c r="E8" s="18">
        <f t="shared" si="1"/>
        <v>0</v>
      </c>
      <c r="F8" s="18">
        <f t="shared" si="1"/>
        <v>0</v>
      </c>
      <c r="G8" s="18">
        <f t="shared" si="1"/>
        <v>0</v>
      </c>
      <c r="H8" s="18">
        <f t="shared" si="1"/>
        <v>0</v>
      </c>
      <c r="I8" s="18">
        <f t="shared" si="1"/>
        <v>0</v>
      </c>
    </row>
    <row r="9" spans="1:9" ht="15.75" thickBot="1">
      <c r="A9" s="123"/>
      <c r="B9" s="23" t="s">
        <v>8</v>
      </c>
      <c r="C9" s="25">
        <f>C15+C22+C29</f>
        <v>1858386.0288</v>
      </c>
      <c r="D9" s="25">
        <f t="shared" ref="D9:I9" si="2">D15+D22+D29</f>
        <v>280000</v>
      </c>
      <c r="E9" s="25">
        <f t="shared" si="2"/>
        <v>280000</v>
      </c>
      <c r="F9" s="25">
        <f t="shared" si="2"/>
        <v>296800</v>
      </c>
      <c r="G9" s="25">
        <f t="shared" si="2"/>
        <v>314608</v>
      </c>
      <c r="H9" s="25">
        <f t="shared" si="2"/>
        <v>333484.48000000004</v>
      </c>
      <c r="I9" s="25">
        <f t="shared" si="2"/>
        <v>353493.54880000005</v>
      </c>
    </row>
    <row r="10" spans="1:9" ht="15.75" thickBot="1">
      <c r="A10" s="123"/>
      <c r="B10" s="23" t="s">
        <v>9</v>
      </c>
      <c r="C10" s="25">
        <f>C16+C23+C30</f>
        <v>2114787.7202840801</v>
      </c>
      <c r="D10" s="25">
        <f t="shared" ref="D10:I10" si="3">D16+D23+D30</f>
        <v>307958</v>
      </c>
      <c r="E10" s="25">
        <f t="shared" si="3"/>
        <v>307283</v>
      </c>
      <c r="F10" s="25">
        <f t="shared" si="3"/>
        <v>332841.13</v>
      </c>
      <c r="G10" s="25">
        <f t="shared" si="3"/>
        <v>358556.57780000003</v>
      </c>
      <c r="H10" s="25">
        <f t="shared" si="3"/>
        <v>389678.99246800004</v>
      </c>
      <c r="I10" s="25">
        <f t="shared" si="3"/>
        <v>418470.02001608</v>
      </c>
    </row>
    <row r="11" spans="1:9" ht="73.5" customHeight="1" thickBot="1">
      <c r="A11" s="133"/>
      <c r="B11" s="23" t="s">
        <v>10</v>
      </c>
      <c r="C11" s="18">
        <f>C17+C24+C31</f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</row>
    <row r="12" spans="1:9" ht="15.75" thickBot="1">
      <c r="A12" s="26"/>
      <c r="B12" s="134" t="s">
        <v>11</v>
      </c>
      <c r="C12" s="135"/>
      <c r="D12" s="135"/>
      <c r="E12" s="135"/>
      <c r="F12" s="135"/>
      <c r="G12" s="135"/>
      <c r="H12" s="135"/>
      <c r="I12" s="22"/>
    </row>
    <row r="13" spans="1:9" ht="15.75" thickBot="1">
      <c r="A13" s="122" t="s">
        <v>47</v>
      </c>
      <c r="B13" s="23" t="s">
        <v>6</v>
      </c>
      <c r="C13" s="18">
        <f>SUM(C14:C17)</f>
        <v>1598424.4000000001</v>
      </c>
      <c r="D13" s="18">
        <f t="shared" ref="D13:I13" si="4">SUM(D14:D17)</f>
        <v>240832</v>
      </c>
      <c r="E13" s="18">
        <f t="shared" si="4"/>
        <v>240832</v>
      </c>
      <c r="F13" s="18">
        <f t="shared" si="4"/>
        <v>255282</v>
      </c>
      <c r="G13" s="18">
        <f t="shared" si="4"/>
        <v>270599</v>
      </c>
      <c r="H13" s="18">
        <f t="shared" si="4"/>
        <v>286834.59999999998</v>
      </c>
      <c r="I13" s="18">
        <f t="shared" si="4"/>
        <v>304044.79999999999</v>
      </c>
    </row>
    <row r="14" spans="1:9" ht="15.75" thickBot="1">
      <c r="A14" s="123"/>
      <c r="B14" s="23" t="s">
        <v>7</v>
      </c>
      <c r="C14" s="27">
        <f>D14+E14+F14+G14+H14+I14</f>
        <v>0</v>
      </c>
      <c r="D14" s="27">
        <v>0</v>
      </c>
      <c r="E14" s="27">
        <v>0</v>
      </c>
      <c r="F14" s="27">
        <v>0</v>
      </c>
      <c r="G14" s="27">
        <v>0</v>
      </c>
      <c r="H14" s="28">
        <v>0</v>
      </c>
      <c r="I14" s="29">
        <v>0</v>
      </c>
    </row>
    <row r="15" spans="1:9" ht="15.75" thickBot="1">
      <c r="A15" s="123"/>
      <c r="B15" s="30" t="s">
        <v>8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</row>
    <row r="16" spans="1:9" ht="15.75" thickBot="1">
      <c r="A16" s="123"/>
      <c r="B16" s="23" t="s">
        <v>9</v>
      </c>
      <c r="C16" s="18">
        <f>D16+E16+F16+G16+H16+I16</f>
        <v>1598424.4000000001</v>
      </c>
      <c r="D16" s="18">
        <v>240832</v>
      </c>
      <c r="E16" s="18">
        <v>240832</v>
      </c>
      <c r="F16" s="18">
        <v>255282</v>
      </c>
      <c r="G16" s="18">
        <v>270599</v>
      </c>
      <c r="H16" s="19">
        <v>286834.59999999998</v>
      </c>
      <c r="I16" s="20">
        <v>304044.79999999999</v>
      </c>
    </row>
    <row r="17" spans="1:10" ht="30" customHeight="1">
      <c r="A17" s="123"/>
      <c r="B17" s="31" t="s">
        <v>10</v>
      </c>
      <c r="C17" s="27">
        <f t="shared" ref="C17" si="5">D17+E17+F17+G17+H17+I17</f>
        <v>0</v>
      </c>
      <c r="D17" s="27">
        <v>0</v>
      </c>
      <c r="E17" s="27">
        <v>0</v>
      </c>
      <c r="F17" s="27">
        <v>0</v>
      </c>
      <c r="G17" s="27">
        <v>0</v>
      </c>
      <c r="H17" s="28">
        <v>0</v>
      </c>
      <c r="I17" s="29">
        <v>0</v>
      </c>
    </row>
    <row r="18" spans="1:10" ht="18" customHeight="1">
      <c r="A18" s="128" t="s">
        <v>19</v>
      </c>
      <c r="B18" s="128"/>
      <c r="C18" s="128"/>
      <c r="D18" s="128"/>
      <c r="E18" s="128"/>
      <c r="F18" s="128"/>
      <c r="G18" s="128"/>
      <c r="H18" s="128"/>
      <c r="I18" s="128"/>
    </row>
    <row r="19" spans="1:10" ht="39" customHeight="1">
      <c r="A19" s="136" t="s">
        <v>48</v>
      </c>
      <c r="B19" s="142" t="s">
        <v>6</v>
      </c>
      <c r="C19" s="121">
        <f>SUM(C21:C24)</f>
        <v>2025468.20697504</v>
      </c>
      <c r="D19" s="119">
        <f t="shared" ref="D19:I19" si="6">SUM(D21:D24)</f>
        <v>305174</v>
      </c>
      <c r="E19" s="119">
        <f t="shared" si="6"/>
        <v>305174</v>
      </c>
      <c r="F19" s="119">
        <f t="shared" si="6"/>
        <v>323484.44</v>
      </c>
      <c r="G19" s="119">
        <f t="shared" si="6"/>
        <v>342893.50640000001</v>
      </c>
      <c r="H19" s="119">
        <f t="shared" si="6"/>
        <v>363467.11678400007</v>
      </c>
      <c r="I19" s="119">
        <f t="shared" si="6"/>
        <v>385275.14379104006</v>
      </c>
    </row>
    <row r="20" spans="1:10" ht="11.25" hidden="1" customHeight="1">
      <c r="A20" s="137"/>
      <c r="B20" s="143"/>
      <c r="C20" s="121"/>
      <c r="D20" s="120"/>
      <c r="E20" s="120"/>
      <c r="F20" s="120"/>
      <c r="G20" s="120"/>
      <c r="H20" s="120"/>
      <c r="I20" s="120"/>
    </row>
    <row r="21" spans="1:10" ht="15.75" customHeight="1">
      <c r="A21" s="137"/>
      <c r="B21" s="33" t="s">
        <v>7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</row>
    <row r="22" spans="1:10" ht="28.5" customHeight="1" thickBot="1">
      <c r="A22" s="137"/>
      <c r="B22" s="23" t="s">
        <v>8</v>
      </c>
      <c r="C22" s="14">
        <f>D22+E22+F22+G22+H22+I22</f>
        <v>1858386.0288</v>
      </c>
      <c r="D22" s="5">
        <v>280000</v>
      </c>
      <c r="E22" s="5">
        <v>280000</v>
      </c>
      <c r="F22" s="4">
        <f t="shared" ref="F22:I23" si="7">E22*1.06</f>
        <v>296800</v>
      </c>
      <c r="G22" s="4">
        <f t="shared" si="7"/>
        <v>314608</v>
      </c>
      <c r="H22" s="4">
        <f t="shared" si="7"/>
        <v>333484.48000000004</v>
      </c>
      <c r="I22" s="4">
        <f t="shared" si="7"/>
        <v>353493.54880000005</v>
      </c>
    </row>
    <row r="23" spans="1:10" ht="21" customHeight="1" thickBot="1">
      <c r="A23" s="137"/>
      <c r="B23" s="23" t="s">
        <v>9</v>
      </c>
      <c r="C23" s="4">
        <f>D23+E23+F23+G23+H23+I23</f>
        <v>167082.17817504003</v>
      </c>
      <c r="D23" s="5">
        <v>25174</v>
      </c>
      <c r="E23" s="5">
        <v>25174</v>
      </c>
      <c r="F23" s="4">
        <f t="shared" si="7"/>
        <v>26684.440000000002</v>
      </c>
      <c r="G23" s="4">
        <f t="shared" si="7"/>
        <v>28285.506400000006</v>
      </c>
      <c r="H23" s="4">
        <f t="shared" si="7"/>
        <v>29982.636784000006</v>
      </c>
      <c r="I23" s="4">
        <f t="shared" si="7"/>
        <v>31781.594991040009</v>
      </c>
    </row>
    <row r="24" spans="1:10" ht="62.25" customHeight="1">
      <c r="A24" s="138"/>
      <c r="B24" s="32" t="s">
        <v>10</v>
      </c>
      <c r="C24" s="38">
        <v>0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</row>
    <row r="25" spans="1:10">
      <c r="A25" s="128" t="s">
        <v>20</v>
      </c>
      <c r="B25" s="129"/>
      <c r="C25" s="129"/>
      <c r="D25" s="129"/>
      <c r="E25" s="129"/>
      <c r="F25" s="129"/>
      <c r="G25" s="129"/>
      <c r="H25" s="129"/>
      <c r="I25" s="129"/>
      <c r="J25" s="2"/>
    </row>
    <row r="26" spans="1:10" ht="21.75" customHeight="1">
      <c r="A26" s="139" t="s">
        <v>49</v>
      </c>
      <c r="B26" s="144" t="s">
        <v>6</v>
      </c>
      <c r="C26" s="114">
        <f>SUM(C28:C31)</f>
        <v>349281.14210904005</v>
      </c>
      <c r="D26" s="114">
        <f t="shared" ref="D26:I26" si="8">SUM(D28:D31)</f>
        <v>41952</v>
      </c>
      <c r="E26" s="114">
        <f t="shared" si="8"/>
        <v>41277</v>
      </c>
      <c r="F26" s="114">
        <f t="shared" si="8"/>
        <v>50874.69</v>
      </c>
      <c r="G26" s="114">
        <f t="shared" si="8"/>
        <v>59672.071400000008</v>
      </c>
      <c r="H26" s="114">
        <f t="shared" si="8"/>
        <v>72861.755684000003</v>
      </c>
      <c r="I26" s="114">
        <f t="shared" si="8"/>
        <v>82643.625025040019</v>
      </c>
      <c r="J26" s="2"/>
    </row>
    <row r="27" spans="1:10" ht="12.75" customHeight="1">
      <c r="A27" s="140"/>
      <c r="B27" s="145"/>
      <c r="C27" s="115"/>
      <c r="D27" s="115"/>
      <c r="E27" s="115"/>
      <c r="F27" s="115"/>
      <c r="G27" s="115"/>
      <c r="H27" s="115"/>
      <c r="I27" s="115"/>
      <c r="J27" s="2"/>
    </row>
    <row r="28" spans="1:10" ht="19.5" customHeight="1" thickBot="1">
      <c r="A28" s="140"/>
      <c r="B28" s="30" t="s">
        <v>7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2"/>
    </row>
    <row r="29" spans="1:10" ht="25.5" customHeight="1" thickBot="1">
      <c r="A29" s="140"/>
      <c r="B29" s="30" t="s">
        <v>8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</row>
    <row r="30" spans="1:10" ht="18.75" customHeight="1">
      <c r="A30" s="140"/>
      <c r="B30" s="32" t="s">
        <v>9</v>
      </c>
      <c r="C30" s="17">
        <f>D30+E30+F30+G30+H30+I30</f>
        <v>349281.14210904005</v>
      </c>
      <c r="D30" s="36">
        <f>29902+12050</f>
        <v>41952</v>
      </c>
      <c r="E30" s="36">
        <f>31427+9850</f>
        <v>41277</v>
      </c>
      <c r="F30" s="17">
        <f>E30*1.07+2858.4+2649.9+1200</f>
        <v>50874.69</v>
      </c>
      <c r="G30" s="17">
        <f>F30*1.06+4544.9+1200</f>
        <v>59672.071400000008</v>
      </c>
      <c r="H30" s="17">
        <f>G30*1.06+6423.44+1200+1985.92</f>
        <v>72861.755684000003</v>
      </c>
      <c r="I30" s="17">
        <f>H30*1.06+4210.164+1200</f>
        <v>82643.625025040019</v>
      </c>
    </row>
    <row r="31" spans="1:10" ht="30.75" customHeight="1">
      <c r="A31" s="141"/>
      <c r="B31" s="34" t="s">
        <v>10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</row>
    <row r="32" spans="1:10">
      <c r="A32" s="126" t="s">
        <v>12</v>
      </c>
      <c r="B32" s="127"/>
      <c r="C32" s="127"/>
      <c r="D32" s="127"/>
      <c r="E32" s="127"/>
      <c r="F32" s="127"/>
      <c r="G32" s="127"/>
      <c r="H32" s="127"/>
      <c r="I32" s="127"/>
    </row>
    <row r="33" spans="1:17">
      <c r="A33" s="35"/>
      <c r="B33" s="35"/>
      <c r="C33" s="35"/>
      <c r="D33" s="35"/>
      <c r="E33" s="35"/>
      <c r="F33" s="35"/>
      <c r="G33" s="35"/>
      <c r="H33" s="35"/>
      <c r="I33" s="35"/>
    </row>
    <row r="34" spans="1:17">
      <c r="A34" s="35"/>
      <c r="B34" s="35"/>
      <c r="C34" s="35"/>
      <c r="D34" s="35"/>
      <c r="E34" s="35"/>
      <c r="F34" s="35"/>
      <c r="G34" s="35"/>
      <c r="H34" s="35"/>
      <c r="I34" s="35"/>
    </row>
    <row r="35" spans="1:17">
      <c r="K35" s="8"/>
      <c r="L35" s="9"/>
      <c r="M35" s="9"/>
      <c r="N35" s="9"/>
      <c r="O35" s="7"/>
      <c r="P35" s="6"/>
      <c r="Q35" s="6"/>
    </row>
  </sheetData>
  <mergeCells count="30">
    <mergeCell ref="A32:I32"/>
    <mergeCell ref="A18:I18"/>
    <mergeCell ref="A25:I25"/>
    <mergeCell ref="A4:A5"/>
    <mergeCell ref="B4:B5"/>
    <mergeCell ref="A7:A11"/>
    <mergeCell ref="B12:H12"/>
    <mergeCell ref="A19:A24"/>
    <mergeCell ref="A26:A31"/>
    <mergeCell ref="B19:B20"/>
    <mergeCell ref="G26:G27"/>
    <mergeCell ref="H26:H27"/>
    <mergeCell ref="I26:I27"/>
    <mergeCell ref="B26:B27"/>
    <mergeCell ref="C26:C27"/>
    <mergeCell ref="D26:D27"/>
    <mergeCell ref="E26:E27"/>
    <mergeCell ref="F26:F27"/>
    <mergeCell ref="A3:I3"/>
    <mergeCell ref="A2:I2"/>
    <mergeCell ref="F1:I1"/>
    <mergeCell ref="E19:E20"/>
    <mergeCell ref="F19:F20"/>
    <mergeCell ref="G19:G20"/>
    <mergeCell ref="C19:C20"/>
    <mergeCell ref="D19:D20"/>
    <mergeCell ref="H19:H20"/>
    <mergeCell ref="I19:I20"/>
    <mergeCell ref="A13:A17"/>
    <mergeCell ref="C4:I4"/>
  </mergeCells>
  <pageMargins left="0.31496062992125984" right="0.11811023622047245" top="0.15748031496062992" bottom="0.15748031496062992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A6" sqref="A6"/>
    </sheetView>
  </sheetViews>
  <sheetFormatPr defaultRowHeight="15"/>
  <cols>
    <col min="1" max="1" width="6.140625" customWidth="1"/>
    <col min="2" max="2" width="24.42578125" customWidth="1"/>
    <col min="3" max="3" width="25.5703125" customWidth="1"/>
    <col min="4" max="4" width="24.28515625" customWidth="1"/>
    <col min="5" max="5" width="26" customWidth="1"/>
    <col min="6" max="6" width="25" customWidth="1"/>
    <col min="7" max="7" width="27.42578125" customWidth="1"/>
    <col min="8" max="8" width="44.7109375" customWidth="1"/>
  </cols>
  <sheetData>
    <row r="1" spans="1:7">
      <c r="G1" s="12" t="s">
        <v>28</v>
      </c>
    </row>
    <row r="2" spans="1:7">
      <c r="D2" s="146" t="s">
        <v>29</v>
      </c>
      <c r="E2" s="146"/>
      <c r="F2" s="146"/>
    </row>
    <row r="4" spans="1:7" ht="75">
      <c r="A4" s="3" t="s">
        <v>27</v>
      </c>
      <c r="B4" s="11" t="s">
        <v>21</v>
      </c>
      <c r="C4" s="11" t="s">
        <v>22</v>
      </c>
      <c r="D4" s="11" t="s">
        <v>23</v>
      </c>
      <c r="E4" s="11" t="s">
        <v>24</v>
      </c>
      <c r="F4" s="11" t="s">
        <v>25</v>
      </c>
      <c r="G4" s="11" t="s">
        <v>26</v>
      </c>
    </row>
    <row r="5" spans="1:7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</row>
    <row r="6" spans="1:7">
      <c r="A6" s="10"/>
      <c r="B6" s="10"/>
      <c r="C6" s="10"/>
      <c r="D6" s="10"/>
      <c r="E6" s="10"/>
      <c r="F6" s="10"/>
      <c r="G6" s="10"/>
    </row>
    <row r="7" spans="1:7">
      <c r="A7" s="10"/>
      <c r="B7" s="10"/>
      <c r="C7" s="10"/>
      <c r="D7" s="10"/>
      <c r="E7" s="10"/>
      <c r="F7" s="10"/>
      <c r="G7" s="10"/>
    </row>
    <row r="8" spans="1:7">
      <c r="A8" s="10"/>
      <c r="B8" s="10"/>
      <c r="C8" s="10"/>
      <c r="D8" s="10"/>
      <c r="E8" s="10"/>
      <c r="F8" s="10"/>
      <c r="G8" s="10"/>
    </row>
    <row r="9" spans="1:7">
      <c r="A9" s="10"/>
      <c r="B9" s="10"/>
      <c r="C9" s="10"/>
      <c r="D9" s="10"/>
      <c r="E9" s="10"/>
      <c r="F9" s="10"/>
      <c r="G9" s="10"/>
    </row>
    <row r="10" spans="1:7">
      <c r="A10" s="10"/>
      <c r="B10" s="10"/>
      <c r="C10" s="10"/>
      <c r="D10" s="10"/>
      <c r="E10" s="10"/>
      <c r="F10" s="10"/>
      <c r="G10" s="10"/>
    </row>
    <row r="11" spans="1:7">
      <c r="A11" s="10"/>
      <c r="B11" s="10"/>
      <c r="C11" s="10"/>
      <c r="D11" s="10"/>
      <c r="E11" s="10"/>
      <c r="F11" s="10"/>
      <c r="G11" s="10"/>
    </row>
    <row r="12" spans="1:7">
      <c r="A12" s="10"/>
      <c r="B12" s="10"/>
      <c r="C12" s="10"/>
      <c r="D12" s="10"/>
      <c r="E12" s="10"/>
      <c r="F12" s="10"/>
      <c r="G12" s="10"/>
    </row>
    <row r="13" spans="1:7">
      <c r="A13" s="10"/>
      <c r="B13" s="10"/>
      <c r="C13" s="10"/>
      <c r="D13" s="10"/>
      <c r="E13" s="10"/>
      <c r="F13" s="10"/>
      <c r="G13" s="10"/>
    </row>
    <row r="14" spans="1:7">
      <c r="A14" s="10"/>
      <c r="B14" s="10"/>
      <c r="C14" s="10"/>
      <c r="D14" s="10"/>
      <c r="E14" s="10"/>
      <c r="F14" s="10"/>
      <c r="G14" s="10"/>
    </row>
    <row r="15" spans="1:7">
      <c r="A15" s="10"/>
      <c r="B15" s="10"/>
      <c r="C15" s="10"/>
      <c r="D15" s="10"/>
      <c r="E15" s="10"/>
      <c r="F15" s="10"/>
      <c r="G15" s="10"/>
    </row>
  </sheetData>
  <mergeCells count="1">
    <mergeCell ref="D2:F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8"/>
  <sheetViews>
    <sheetView zoomScale="75" zoomScaleNormal="75" workbookViewId="0">
      <pane xSplit="7" ySplit="6" topLeftCell="H10" activePane="bottomRight" state="frozen"/>
      <selection pane="topRight" activeCell="H1" sqref="H1"/>
      <selection pane="bottomLeft" activeCell="A7" sqref="A7"/>
      <selection pane="bottomRight" activeCell="C8" sqref="C8"/>
    </sheetView>
  </sheetViews>
  <sheetFormatPr defaultRowHeight="15"/>
  <cols>
    <col min="1" max="1" width="29.28515625" customWidth="1"/>
    <col min="2" max="2" width="16.28515625" customWidth="1"/>
    <col min="3" max="3" width="15.7109375" customWidth="1"/>
    <col min="5" max="5" width="9.85546875" bestFit="1" customWidth="1"/>
    <col min="6" max="6" width="10.42578125" customWidth="1"/>
    <col min="12" max="12" width="11" customWidth="1"/>
  </cols>
  <sheetData>
    <row r="1" spans="1:14">
      <c r="I1" s="146" t="s">
        <v>37</v>
      </c>
      <c r="J1" s="146"/>
      <c r="K1" s="146"/>
    </row>
    <row r="2" spans="1:14" ht="39.75" customHeight="1">
      <c r="A2" s="158" t="s">
        <v>50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4" spans="1:14" ht="15" customHeight="1">
      <c r="A4" s="147" t="s">
        <v>30</v>
      </c>
      <c r="B4" s="147" t="s">
        <v>31</v>
      </c>
      <c r="C4" s="147" t="s">
        <v>52</v>
      </c>
      <c r="D4" s="147" t="s">
        <v>32</v>
      </c>
      <c r="E4" s="149" t="s">
        <v>38</v>
      </c>
      <c r="F4" s="150"/>
      <c r="G4" s="150"/>
      <c r="H4" s="150"/>
      <c r="I4" s="150"/>
      <c r="J4" s="150"/>
      <c r="K4" s="150"/>
      <c r="L4" s="151"/>
    </row>
    <row r="5" spans="1:14" ht="73.5" customHeight="1">
      <c r="A5" s="148"/>
      <c r="B5" s="148"/>
      <c r="C5" s="148"/>
      <c r="D5" s="148"/>
      <c r="E5" s="11" t="s">
        <v>53</v>
      </c>
      <c r="F5" s="40" t="s">
        <v>13</v>
      </c>
      <c r="G5" s="40" t="s">
        <v>33</v>
      </c>
      <c r="H5" s="40" t="s">
        <v>34</v>
      </c>
      <c r="I5" s="40" t="s">
        <v>35</v>
      </c>
      <c r="J5" s="40" t="s">
        <v>17</v>
      </c>
      <c r="K5" s="40" t="s">
        <v>36</v>
      </c>
      <c r="L5" s="11" t="s">
        <v>54</v>
      </c>
    </row>
    <row r="6" spans="1:14">
      <c r="A6" s="15">
        <v>2</v>
      </c>
      <c r="B6" s="15">
        <v>5</v>
      </c>
      <c r="C6" s="15">
        <v>4</v>
      </c>
      <c r="D6" s="15">
        <v>6</v>
      </c>
      <c r="E6" s="15">
        <v>7</v>
      </c>
      <c r="F6" s="15">
        <v>8</v>
      </c>
      <c r="G6" s="15">
        <v>9</v>
      </c>
      <c r="H6" s="15">
        <v>10</v>
      </c>
      <c r="I6" s="15">
        <v>11</v>
      </c>
      <c r="J6" s="15">
        <v>12</v>
      </c>
      <c r="K6" s="15">
        <v>13</v>
      </c>
      <c r="L6" s="10"/>
    </row>
    <row r="7" spans="1:14" ht="90">
      <c r="A7" s="44" t="s">
        <v>55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10"/>
    </row>
    <row r="8" spans="1:14" ht="107.25" customHeight="1">
      <c r="A8" s="44"/>
      <c r="B8" s="60"/>
      <c r="C8" s="64" t="s">
        <v>87</v>
      </c>
      <c r="D8" s="60" t="s">
        <v>83</v>
      </c>
      <c r="E8" s="17">
        <v>70</v>
      </c>
      <c r="F8" s="17">
        <v>70</v>
      </c>
      <c r="G8" s="17">
        <v>70</v>
      </c>
      <c r="H8" s="17">
        <v>70</v>
      </c>
      <c r="I8" s="17">
        <v>100</v>
      </c>
      <c r="J8" s="17">
        <v>100</v>
      </c>
      <c r="K8" s="17">
        <v>100</v>
      </c>
      <c r="L8" s="49">
        <f>K8/E8*100</f>
        <v>142.85714285714286</v>
      </c>
    </row>
    <row r="9" spans="1:14" ht="90">
      <c r="A9" s="44"/>
      <c r="B9" s="60"/>
      <c r="C9" s="43" t="s">
        <v>84</v>
      </c>
      <c r="D9" s="60" t="s">
        <v>83</v>
      </c>
      <c r="E9" s="60">
        <v>100</v>
      </c>
      <c r="F9" s="60">
        <v>100</v>
      </c>
      <c r="G9" s="60">
        <v>100</v>
      </c>
      <c r="H9" s="60">
        <v>100</v>
      </c>
      <c r="I9" s="60">
        <v>100</v>
      </c>
      <c r="J9" s="60">
        <v>100</v>
      </c>
      <c r="K9" s="60">
        <v>100</v>
      </c>
      <c r="L9" s="10">
        <f>K9/E9*100</f>
        <v>100</v>
      </c>
    </row>
    <row r="10" spans="1:14" ht="136.5" customHeight="1">
      <c r="A10" s="44"/>
      <c r="B10" s="60"/>
      <c r="C10" s="43" t="s">
        <v>85</v>
      </c>
      <c r="D10" s="60" t="s">
        <v>83</v>
      </c>
      <c r="E10" s="17">
        <f>2.99</f>
        <v>2.99</v>
      </c>
      <c r="F10" s="60">
        <v>1.4</v>
      </c>
      <c r="G10" s="60">
        <v>1.4</v>
      </c>
      <c r="H10" s="60">
        <v>1.4</v>
      </c>
      <c r="I10" s="60">
        <v>1.4</v>
      </c>
      <c r="J10" s="60">
        <v>1.4</v>
      </c>
      <c r="K10" s="60">
        <v>1.4</v>
      </c>
      <c r="L10" s="62">
        <f>K10/E10*100</f>
        <v>46.822742474916382</v>
      </c>
    </row>
    <row r="11" spans="1:14" ht="141.75" customHeight="1">
      <c r="A11" s="44"/>
      <c r="B11" s="60"/>
      <c r="C11" s="43" t="s">
        <v>86</v>
      </c>
      <c r="D11" s="60" t="s">
        <v>46</v>
      </c>
      <c r="E11" s="60">
        <v>3</v>
      </c>
      <c r="F11" s="60">
        <v>9</v>
      </c>
      <c r="G11" s="60">
        <v>8</v>
      </c>
      <c r="H11" s="60">
        <v>8</v>
      </c>
      <c r="I11" s="60">
        <v>7</v>
      </c>
      <c r="J11" s="60">
        <v>6</v>
      </c>
      <c r="K11" s="60">
        <v>6</v>
      </c>
      <c r="L11" s="10">
        <f>K11/E11*100</f>
        <v>200</v>
      </c>
    </row>
    <row r="12" spans="1:14">
      <c r="A12" s="149" t="s">
        <v>61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1"/>
    </row>
    <row r="13" spans="1:14" ht="104.25">
      <c r="A13" s="11" t="s">
        <v>81</v>
      </c>
      <c r="B13" s="46" t="s">
        <v>40</v>
      </c>
      <c r="C13" s="45" t="s">
        <v>56</v>
      </c>
      <c r="D13" s="42" t="s">
        <v>43</v>
      </c>
      <c r="E13" s="3">
        <v>288</v>
      </c>
      <c r="F13" s="3">
        <v>288</v>
      </c>
      <c r="G13" s="3">
        <v>288</v>
      </c>
      <c r="H13" s="3">
        <v>288</v>
      </c>
      <c r="I13" s="3">
        <v>411</v>
      </c>
      <c r="J13" s="3">
        <v>411</v>
      </c>
      <c r="K13" s="3">
        <v>411</v>
      </c>
      <c r="L13" s="49">
        <f>K13/E13*100</f>
        <v>142.70833333333331</v>
      </c>
      <c r="N13" s="2"/>
    </row>
    <row r="14" spans="1:14" ht="76.5" customHeight="1">
      <c r="A14" s="139" t="s">
        <v>82</v>
      </c>
      <c r="B14" s="157" t="s">
        <v>45</v>
      </c>
      <c r="C14" s="47" t="s">
        <v>57</v>
      </c>
      <c r="D14" s="42" t="s">
        <v>46</v>
      </c>
      <c r="E14" s="59">
        <v>113</v>
      </c>
      <c r="F14" s="56">
        <v>113</v>
      </c>
      <c r="G14" s="56">
        <v>113</v>
      </c>
      <c r="H14" s="56">
        <v>113</v>
      </c>
      <c r="I14" s="56">
        <v>135</v>
      </c>
      <c r="J14" s="56">
        <v>139</v>
      </c>
      <c r="K14" s="56">
        <v>143</v>
      </c>
      <c r="L14" s="49">
        <f t="shared" ref="L14:L15" si="0">K14/E14*100</f>
        <v>126.54867256637168</v>
      </c>
    </row>
    <row r="15" spans="1:14" ht="75">
      <c r="A15" s="155"/>
      <c r="B15" s="157"/>
      <c r="C15" s="47" t="s">
        <v>58</v>
      </c>
      <c r="D15" s="42" t="s">
        <v>46</v>
      </c>
      <c r="E15" s="58">
        <v>3500</v>
      </c>
      <c r="F15" s="57">
        <v>3500</v>
      </c>
      <c r="G15" s="56">
        <v>3500</v>
      </c>
      <c r="H15" s="56">
        <v>3500</v>
      </c>
      <c r="I15" s="56">
        <f>H15+560+560+560+560</f>
        <v>5740</v>
      </c>
      <c r="J15" s="56">
        <f>I15+560</f>
        <v>6300</v>
      </c>
      <c r="K15" s="58">
        <f>J15+560</f>
        <v>6860</v>
      </c>
      <c r="L15" s="56">
        <f t="shared" si="0"/>
        <v>196</v>
      </c>
    </row>
    <row r="16" spans="1:14" ht="45">
      <c r="A16" s="156"/>
      <c r="B16" s="157"/>
      <c r="C16" s="47" t="s">
        <v>64</v>
      </c>
      <c r="D16" s="42" t="s">
        <v>60</v>
      </c>
      <c r="E16" s="58">
        <v>60.4</v>
      </c>
      <c r="F16" s="56">
        <v>62</v>
      </c>
      <c r="G16" s="56">
        <v>63</v>
      </c>
      <c r="H16" s="56">
        <v>64</v>
      </c>
      <c r="I16" s="56">
        <v>65</v>
      </c>
      <c r="J16" s="56">
        <v>66</v>
      </c>
      <c r="K16" s="58">
        <v>67</v>
      </c>
      <c r="L16" s="6">
        <f t="shared" ref="L16" si="1">K16/E16*100</f>
        <v>110.9271523178808</v>
      </c>
    </row>
    <row r="17" spans="1:12" ht="30" customHeight="1">
      <c r="A17" s="152" t="s">
        <v>62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4"/>
    </row>
    <row r="18" spans="1:12" ht="56.25" customHeight="1">
      <c r="A18" s="52" t="s">
        <v>75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</row>
    <row r="19" spans="1:12" ht="78" customHeight="1">
      <c r="A19" s="48" t="s">
        <v>72</v>
      </c>
      <c r="B19" s="11" t="s">
        <v>42</v>
      </c>
      <c r="C19" s="43" t="s">
        <v>70</v>
      </c>
      <c r="D19" s="3" t="s">
        <v>43</v>
      </c>
      <c r="E19" s="63">
        <v>0</v>
      </c>
      <c r="F19" s="3">
        <v>1.7</v>
      </c>
      <c r="G19" s="3">
        <v>1.7</v>
      </c>
      <c r="H19" s="3">
        <v>1.7</v>
      </c>
      <c r="I19" s="3">
        <v>1.7</v>
      </c>
      <c r="J19" s="3">
        <v>1.7</v>
      </c>
      <c r="K19" s="3">
        <v>1.7</v>
      </c>
      <c r="L19" s="49">
        <v>0</v>
      </c>
    </row>
    <row r="20" spans="1:12" ht="75" customHeight="1">
      <c r="A20" s="48" t="s">
        <v>76</v>
      </c>
      <c r="B20" s="11" t="s">
        <v>42</v>
      </c>
      <c r="C20" s="43" t="s">
        <v>70</v>
      </c>
      <c r="D20" s="3" t="s">
        <v>43</v>
      </c>
      <c r="E20" s="61">
        <f>12.3</f>
        <v>12.3</v>
      </c>
      <c r="F20" s="50">
        <v>4.2</v>
      </c>
      <c r="G20" s="50">
        <v>4.2</v>
      </c>
      <c r="H20" s="50">
        <v>4.2</v>
      </c>
      <c r="I20" s="50">
        <v>4.2</v>
      </c>
      <c r="J20" s="50">
        <v>4.2</v>
      </c>
      <c r="K20" s="50">
        <v>4.2</v>
      </c>
      <c r="L20" s="49">
        <f>K20/E20*100</f>
        <v>34.146341463414629</v>
      </c>
    </row>
    <row r="21" spans="1:12" ht="75" customHeight="1">
      <c r="A21" s="48" t="s">
        <v>73</v>
      </c>
      <c r="B21" s="11" t="s">
        <v>42</v>
      </c>
      <c r="C21" s="43" t="s">
        <v>71</v>
      </c>
      <c r="D21" s="3" t="s">
        <v>41</v>
      </c>
      <c r="E21" s="3">
        <v>26.6</v>
      </c>
      <c r="F21" s="3">
        <v>5.6</v>
      </c>
      <c r="G21" s="3">
        <v>5.6</v>
      </c>
      <c r="H21" s="3">
        <v>5.6</v>
      </c>
      <c r="I21" s="3">
        <v>5.6</v>
      </c>
      <c r="J21" s="3">
        <v>5.6</v>
      </c>
      <c r="K21" s="3">
        <v>5.6</v>
      </c>
      <c r="L21" s="62">
        <f>K21/E21*100</f>
        <v>21.052631578947366</v>
      </c>
    </row>
    <row r="22" spans="1:12" ht="60.75" customHeight="1">
      <c r="A22" s="53" t="s">
        <v>74</v>
      </c>
      <c r="B22" s="54" t="s">
        <v>68</v>
      </c>
      <c r="C22" s="48" t="s">
        <v>69</v>
      </c>
      <c r="D22" s="51" t="s">
        <v>43</v>
      </c>
      <c r="E22" s="51">
        <v>0</v>
      </c>
      <c r="F22" s="51">
        <v>2.7</v>
      </c>
      <c r="G22" s="51">
        <v>2.7</v>
      </c>
      <c r="H22" s="51">
        <v>2.7</v>
      </c>
      <c r="I22" s="51">
        <v>2.7</v>
      </c>
      <c r="J22" s="51">
        <v>2.7</v>
      </c>
      <c r="K22" s="51">
        <v>2.7</v>
      </c>
      <c r="L22" s="51">
        <v>0</v>
      </c>
    </row>
    <row r="23" spans="1:12" ht="183.75" customHeight="1">
      <c r="A23" s="48" t="s">
        <v>77</v>
      </c>
      <c r="B23" s="11" t="s">
        <v>59</v>
      </c>
      <c r="C23" s="42"/>
      <c r="D23" s="3"/>
      <c r="E23" s="3"/>
      <c r="F23" s="3"/>
      <c r="G23" s="3"/>
      <c r="H23" s="3"/>
      <c r="I23" s="3"/>
      <c r="J23" s="3"/>
      <c r="K23" s="3"/>
      <c r="L23" s="10"/>
    </row>
    <row r="24" spans="1:12">
      <c r="A24" s="39" t="s">
        <v>63</v>
      </c>
      <c r="B24" s="3"/>
      <c r="C24" s="3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45">
      <c r="A25" s="11" t="s">
        <v>78</v>
      </c>
      <c r="B25" s="3" t="s">
        <v>45</v>
      </c>
      <c r="C25" s="41" t="s">
        <v>65</v>
      </c>
      <c r="D25" s="40" t="s">
        <v>46</v>
      </c>
      <c r="E25" s="40">
        <v>2</v>
      </c>
      <c r="F25" s="40">
        <v>6</v>
      </c>
      <c r="G25" s="40">
        <v>5</v>
      </c>
      <c r="H25" s="40">
        <v>5</v>
      </c>
      <c r="I25" s="40">
        <v>4</v>
      </c>
      <c r="J25" s="40">
        <v>4</v>
      </c>
      <c r="K25" s="40">
        <v>4</v>
      </c>
      <c r="L25" s="57">
        <f>K25/E25*100</f>
        <v>200</v>
      </c>
    </row>
    <row r="26" spans="1:12" ht="61.5" customHeight="1">
      <c r="A26" s="11" t="s">
        <v>79</v>
      </c>
      <c r="B26" s="3" t="s">
        <v>45</v>
      </c>
      <c r="C26" s="41" t="s">
        <v>66</v>
      </c>
      <c r="D26" s="42" t="s">
        <v>46</v>
      </c>
      <c r="E26" s="42">
        <v>0</v>
      </c>
      <c r="F26" s="42">
        <v>2</v>
      </c>
      <c r="G26" s="42">
        <v>2</v>
      </c>
      <c r="H26" s="42">
        <v>2</v>
      </c>
      <c r="I26" s="42">
        <v>2</v>
      </c>
      <c r="J26" s="42">
        <v>2</v>
      </c>
      <c r="K26" s="42">
        <v>2</v>
      </c>
      <c r="L26" s="57">
        <v>0</v>
      </c>
    </row>
    <row r="27" spans="1:12" ht="60">
      <c r="A27" s="11" t="s">
        <v>80</v>
      </c>
      <c r="B27" s="3" t="s">
        <v>45</v>
      </c>
      <c r="C27" s="43" t="s">
        <v>67</v>
      </c>
      <c r="D27" s="40" t="s">
        <v>44</v>
      </c>
      <c r="E27" s="55">
        <v>0</v>
      </c>
      <c r="F27" s="3">
        <v>1</v>
      </c>
      <c r="G27" s="3">
        <v>1</v>
      </c>
      <c r="H27" s="3">
        <v>1</v>
      </c>
      <c r="I27" s="3">
        <v>1.5</v>
      </c>
      <c r="J27" s="3">
        <v>2</v>
      </c>
      <c r="K27" s="3">
        <v>2.5</v>
      </c>
      <c r="L27" s="57">
        <v>0</v>
      </c>
    </row>
    <row r="28" spans="1:12" ht="45">
      <c r="A28" s="11" t="s">
        <v>88</v>
      </c>
      <c r="B28" s="3" t="s">
        <v>45</v>
      </c>
      <c r="C28" s="41" t="s">
        <v>65</v>
      </c>
      <c r="D28" s="42" t="s">
        <v>46</v>
      </c>
      <c r="E28" s="55">
        <v>1</v>
      </c>
      <c r="F28" s="3">
        <v>1</v>
      </c>
      <c r="G28" s="3">
        <v>1</v>
      </c>
      <c r="H28" s="3">
        <v>1</v>
      </c>
      <c r="I28" s="3">
        <v>1</v>
      </c>
      <c r="J28" s="3">
        <v>0</v>
      </c>
      <c r="K28" s="3">
        <v>0</v>
      </c>
      <c r="L28" s="57">
        <f t="shared" ref="L28" si="2">K28/E28*100</f>
        <v>0</v>
      </c>
    </row>
  </sheetData>
  <mergeCells count="11">
    <mergeCell ref="I1:K1"/>
    <mergeCell ref="D4:D5"/>
    <mergeCell ref="E4:L4"/>
    <mergeCell ref="A17:L17"/>
    <mergeCell ref="A14:A16"/>
    <mergeCell ref="B14:B16"/>
    <mergeCell ref="A12:L12"/>
    <mergeCell ref="A2:L2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9"/>
  <sheetViews>
    <sheetView tabSelected="1" topLeftCell="C1" workbookViewId="0">
      <selection activeCell="H1" sqref="H1:M1"/>
    </sheetView>
  </sheetViews>
  <sheetFormatPr defaultRowHeight="15"/>
  <cols>
    <col min="1" max="1" width="20.140625" customWidth="1"/>
    <col min="2" max="2" width="29.28515625" customWidth="1"/>
    <col min="3" max="3" width="19" style="65" customWidth="1"/>
    <col min="4" max="4" width="21.85546875" customWidth="1"/>
    <col min="5" max="5" width="13.85546875" style="63" customWidth="1"/>
    <col min="6" max="6" width="11.42578125" customWidth="1"/>
    <col min="7" max="7" width="10.42578125" customWidth="1"/>
    <col min="13" max="13" width="12.140625" customWidth="1"/>
  </cols>
  <sheetData>
    <row r="1" spans="1:15" ht="32.25" customHeight="1">
      <c r="H1" s="159" t="s">
        <v>209</v>
      </c>
      <c r="I1" s="127"/>
      <c r="J1" s="127"/>
      <c r="K1" s="127"/>
      <c r="L1" s="127"/>
      <c r="M1" s="127"/>
    </row>
    <row r="2" spans="1:15" ht="51" customHeight="1">
      <c r="H2" s="160" t="s">
        <v>203</v>
      </c>
      <c r="I2" s="161"/>
      <c r="J2" s="161"/>
      <c r="K2" s="161"/>
      <c r="L2" s="161"/>
      <c r="M2" s="161"/>
    </row>
    <row r="3" spans="1:15" ht="34.5" customHeight="1">
      <c r="B3" s="162" t="s">
        <v>171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5" spans="1:15" ht="15" customHeight="1">
      <c r="A5" s="163" t="s">
        <v>89</v>
      </c>
      <c r="B5" s="164" t="s">
        <v>124</v>
      </c>
      <c r="C5" s="164" t="s">
        <v>172</v>
      </c>
      <c r="D5" s="164" t="s">
        <v>173</v>
      </c>
      <c r="E5" s="164" t="s">
        <v>176</v>
      </c>
      <c r="F5" s="164" t="s">
        <v>53</v>
      </c>
      <c r="G5" s="163" t="s">
        <v>174</v>
      </c>
      <c r="H5" s="163"/>
      <c r="I5" s="163"/>
      <c r="J5" s="163"/>
      <c r="K5" s="163"/>
      <c r="L5" s="163"/>
      <c r="M5" s="101"/>
    </row>
    <row r="6" spans="1:15" ht="94.5" customHeight="1">
      <c r="A6" s="163"/>
      <c r="B6" s="165"/>
      <c r="C6" s="166"/>
      <c r="D6" s="165"/>
      <c r="E6" s="165"/>
      <c r="F6" s="167"/>
      <c r="G6" s="101" t="s">
        <v>111</v>
      </c>
      <c r="H6" s="101" t="s">
        <v>112</v>
      </c>
      <c r="I6" s="101" t="s">
        <v>113</v>
      </c>
      <c r="J6" s="101" t="s">
        <v>114</v>
      </c>
      <c r="K6" s="101" t="s">
        <v>115</v>
      </c>
      <c r="L6" s="101" t="s">
        <v>116</v>
      </c>
      <c r="M6" s="102" t="s">
        <v>175</v>
      </c>
    </row>
    <row r="7" spans="1:15" ht="15.75">
      <c r="A7" s="87">
        <v>1</v>
      </c>
      <c r="B7" s="87">
        <v>2</v>
      </c>
      <c r="C7" s="6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87">
        <v>9</v>
      </c>
      <c r="J7" s="87">
        <v>10</v>
      </c>
      <c r="K7" s="87">
        <v>11</v>
      </c>
      <c r="L7" s="87">
        <v>12</v>
      </c>
      <c r="M7" s="87">
        <v>13</v>
      </c>
    </row>
    <row r="8" spans="1:15" ht="96.75" customHeight="1">
      <c r="A8" s="171" t="s">
        <v>109</v>
      </c>
      <c r="B8" s="171" t="s">
        <v>108</v>
      </c>
      <c r="C8" s="172" t="s">
        <v>110</v>
      </c>
      <c r="D8" s="100" t="s">
        <v>117</v>
      </c>
      <c r="E8" s="67" t="s">
        <v>83</v>
      </c>
      <c r="F8" s="71">
        <f>(F10+F12+(F13/15))/3</f>
        <v>52.217481472159299</v>
      </c>
      <c r="G8" s="71">
        <f t="shared" ref="G8:L8" si="0">(G10+G12+(G13/15))/3</f>
        <v>47.486438888888891</v>
      </c>
      <c r="H8" s="71">
        <f t="shared" si="0"/>
        <v>50.864509633556004</v>
      </c>
      <c r="I8" s="71">
        <f t="shared" si="0"/>
        <v>50.151203730816015</v>
      </c>
      <c r="J8" s="71">
        <f t="shared" si="0"/>
        <v>55.409853549413789</v>
      </c>
      <c r="K8" s="71">
        <f t="shared" si="0"/>
        <v>55.420478046071509</v>
      </c>
      <c r="L8" s="71">
        <f t="shared" si="0"/>
        <v>55.436941170908767</v>
      </c>
      <c r="M8" s="68">
        <f>L8/F8*100</f>
        <v>106.16548253187197</v>
      </c>
    </row>
    <row r="9" spans="1:15" ht="86.25" customHeight="1">
      <c r="A9" s="171"/>
      <c r="B9" s="171"/>
      <c r="C9" s="172"/>
      <c r="D9" s="100" t="s">
        <v>126</v>
      </c>
      <c r="E9" s="88" t="s">
        <v>190</v>
      </c>
      <c r="F9" s="67">
        <v>180</v>
      </c>
      <c r="G9" s="67">
        <v>180</v>
      </c>
      <c r="H9" s="67">
        <v>180</v>
      </c>
      <c r="I9" s="67">
        <v>180</v>
      </c>
      <c r="J9" s="67">
        <v>180</v>
      </c>
      <c r="K9" s="67">
        <v>180</v>
      </c>
      <c r="L9" s="67">
        <v>180</v>
      </c>
      <c r="M9" s="68">
        <f t="shared" ref="M9:M10" si="1">L9/F9*100</f>
        <v>100</v>
      </c>
    </row>
    <row r="10" spans="1:15" ht="190.5" customHeight="1">
      <c r="A10" s="77" t="s">
        <v>94</v>
      </c>
      <c r="B10" s="77" t="s">
        <v>118</v>
      </c>
      <c r="C10" s="69" t="s">
        <v>110</v>
      </c>
      <c r="D10" s="98" t="s">
        <v>189</v>
      </c>
      <c r="E10" s="94" t="s">
        <v>83</v>
      </c>
      <c r="F10" s="79">
        <f>F15/411*100</f>
        <v>56.452931034482759</v>
      </c>
      <c r="G10" s="79">
        <f t="shared" ref="G10:I10" si="2">G15/411*100</f>
        <v>42.292650000000002</v>
      </c>
      <c r="H10" s="79">
        <f t="shared" si="2"/>
        <v>52.121458134352117</v>
      </c>
      <c r="I10" s="79">
        <f t="shared" si="2"/>
        <v>49.924768327923481</v>
      </c>
      <c r="J10" s="79">
        <f>J15/(411+8.9)*100</f>
        <v>65.659533467478383</v>
      </c>
      <c r="K10" s="79">
        <f>K15/(411+8.9+12.1)*100</f>
        <v>65.659533467478383</v>
      </c>
      <c r="L10" s="79">
        <f>L15/(411+8.9+12.1)*100</f>
        <v>65.659540148189649</v>
      </c>
      <c r="M10" s="80">
        <f t="shared" si="1"/>
        <v>116.30846963124604</v>
      </c>
    </row>
    <row r="11" spans="1:15" ht="134.25" customHeight="1">
      <c r="A11" s="77"/>
      <c r="B11" s="77"/>
      <c r="C11" s="103"/>
      <c r="D11" s="98" t="s">
        <v>170</v>
      </c>
      <c r="E11" s="94" t="s">
        <v>43</v>
      </c>
      <c r="F11" s="79">
        <v>0</v>
      </c>
      <c r="G11" s="85">
        <f>5.425</f>
        <v>5.4249999999999998</v>
      </c>
      <c r="H11" s="79">
        <f>(H25+H26+H28+H30+H32+H34+H36+H38)</f>
        <v>0</v>
      </c>
      <c r="I11" s="79">
        <f>(I25+I26+I28+I30+I32+I34+I36+I38)</f>
        <v>0</v>
      </c>
      <c r="J11" s="85">
        <f>(J25+J26+J28+J30+J32+J34+J36+J38)</f>
        <v>8.86</v>
      </c>
      <c r="K11" s="85">
        <f>(K25+K26+K28+K30+K32+K34+K36+K38)</f>
        <v>12.05</v>
      </c>
      <c r="L11" s="79">
        <f>(L25+L26+L28+L30+L32+L34+L36+L38)</f>
        <v>0</v>
      </c>
      <c r="M11" s="95">
        <v>0</v>
      </c>
      <c r="N11" s="70">
        <v>21</v>
      </c>
    </row>
    <row r="12" spans="1:15" ht="84.75" customHeight="1">
      <c r="A12" s="77"/>
      <c r="B12" s="77"/>
      <c r="C12" s="103"/>
      <c r="D12" s="98" t="s">
        <v>95</v>
      </c>
      <c r="E12" s="94" t="s">
        <v>83</v>
      </c>
      <c r="F12" s="78">
        <v>100</v>
      </c>
      <c r="G12" s="78">
        <v>100</v>
      </c>
      <c r="H12" s="78">
        <v>100</v>
      </c>
      <c r="I12" s="78">
        <v>100</v>
      </c>
      <c r="J12" s="78">
        <v>100</v>
      </c>
      <c r="K12" s="78">
        <v>100</v>
      </c>
      <c r="L12" s="78">
        <v>100</v>
      </c>
      <c r="M12" s="81">
        <f t="shared" ref="M12:M18" si="3">L12/F12*100</f>
        <v>100</v>
      </c>
    </row>
    <row r="13" spans="1:15" ht="195.75" customHeight="1">
      <c r="A13" s="77"/>
      <c r="B13" s="77"/>
      <c r="C13" s="103"/>
      <c r="D13" s="98" t="s">
        <v>154</v>
      </c>
      <c r="E13" s="94" t="s">
        <v>83</v>
      </c>
      <c r="F13" s="79">
        <f>(F19+F21)/411%</f>
        <v>2.9927007299270074</v>
      </c>
      <c r="G13" s="85">
        <f>2.5</f>
        <v>2.5</v>
      </c>
      <c r="H13" s="85">
        <f t="shared" ref="H13:I13" si="4">(H19+H21)/411%</f>
        <v>7.0810614947386474</v>
      </c>
      <c r="I13" s="85">
        <f t="shared" si="4"/>
        <v>7.9326429678684995</v>
      </c>
      <c r="J13" s="85">
        <f>(J19+J21)/419.9%</f>
        <v>8.5504077114449011</v>
      </c>
      <c r="K13" s="85">
        <f>(K19+K21)/432%</f>
        <v>9.0285100610419953</v>
      </c>
      <c r="L13" s="85">
        <f>(L19+L21)/432%</f>
        <v>9.7692504680500036</v>
      </c>
      <c r="M13" s="80">
        <f>L13/F13*100</f>
        <v>326.43593027386595</v>
      </c>
      <c r="N13" s="70">
        <f>G13+H13+I13+J13+K13+L13</f>
        <v>44.861872703144044</v>
      </c>
    </row>
    <row r="14" spans="1:15" ht="115.5" customHeight="1">
      <c r="A14" s="104"/>
      <c r="B14" s="104"/>
      <c r="C14" s="69"/>
      <c r="D14" s="98" t="s">
        <v>99</v>
      </c>
      <c r="E14" s="94" t="s">
        <v>46</v>
      </c>
      <c r="F14" s="78">
        <f>F43+F47+F45</f>
        <v>3</v>
      </c>
      <c r="G14" s="78">
        <v>0</v>
      </c>
      <c r="H14" s="78">
        <f t="shared" ref="H14:L14" si="5">H43+H47+H45</f>
        <v>0</v>
      </c>
      <c r="I14" s="78">
        <f t="shared" si="5"/>
        <v>0</v>
      </c>
      <c r="J14" s="78">
        <f t="shared" si="5"/>
        <v>7</v>
      </c>
      <c r="K14" s="78">
        <f t="shared" si="5"/>
        <v>7</v>
      </c>
      <c r="L14" s="78">
        <f t="shared" si="5"/>
        <v>7</v>
      </c>
      <c r="M14" s="95">
        <f>L14/F14*100</f>
        <v>233.33333333333334</v>
      </c>
    </row>
    <row r="15" spans="1:15" ht="170.25" customHeight="1">
      <c r="A15" s="97" t="s">
        <v>90</v>
      </c>
      <c r="B15" s="97" t="s">
        <v>196</v>
      </c>
      <c r="C15" s="97" t="s">
        <v>152</v>
      </c>
      <c r="D15" s="96" t="s">
        <v>191</v>
      </c>
      <c r="E15" s="94" t="s">
        <v>43</v>
      </c>
      <c r="F15" s="66">
        <f>(327427/580000%)*411/100</f>
        <v>232.02154655172413</v>
      </c>
      <c r="G15" s="66">
        <f>(253755.9/600000%)*411/100</f>
        <v>173.82279150000002</v>
      </c>
      <c r="H15" s="66">
        <f>(327427/(600000*1.047)*100*411/100)</f>
        <v>214.21919293218721</v>
      </c>
      <c r="I15" s="66">
        <f>(327427/(600000*1.047*1.044)*100*411/100)</f>
        <v>205.19079782776549</v>
      </c>
      <c r="J15" s="66">
        <f>(450000/(600000*1.047*1.044*1.045)*100)*419.9/100</f>
        <v>275.70438102994171</v>
      </c>
      <c r="K15" s="66">
        <f>(470250/(600000*1.047*1.044*1.045*1.045)*100)*432/100</f>
        <v>283.6491845795066</v>
      </c>
      <c r="L15" s="79">
        <f>(491411.3/(600000*1.047*1.044*1.045*1.045*1.045)*100)*432/100</f>
        <v>283.64921344017932</v>
      </c>
      <c r="M15" s="95">
        <f t="shared" si="3"/>
        <v>122.25123815255061</v>
      </c>
      <c r="O15" s="2"/>
    </row>
    <row r="16" spans="1:15" ht="76.5" customHeight="1">
      <c r="A16" s="173" t="s">
        <v>91</v>
      </c>
      <c r="B16" s="173" t="s">
        <v>193</v>
      </c>
      <c r="C16" s="173" t="s">
        <v>152</v>
      </c>
      <c r="D16" s="96" t="s">
        <v>93</v>
      </c>
      <c r="E16" s="94" t="s">
        <v>46</v>
      </c>
      <c r="F16" s="94">
        <v>113</v>
      </c>
      <c r="G16" s="94">
        <v>130</v>
      </c>
      <c r="H16" s="94">
        <v>130</v>
      </c>
      <c r="I16" s="94">
        <v>130</v>
      </c>
      <c r="J16" s="94">
        <v>135</v>
      </c>
      <c r="K16" s="94">
        <v>140</v>
      </c>
      <c r="L16" s="94">
        <v>145</v>
      </c>
      <c r="M16" s="95">
        <f>L16/F16*100</f>
        <v>128.31858407079645</v>
      </c>
    </row>
    <row r="17" spans="1:14" ht="78.75" customHeight="1">
      <c r="A17" s="174"/>
      <c r="B17" s="173"/>
      <c r="C17" s="173"/>
      <c r="D17" s="96" t="s">
        <v>127</v>
      </c>
      <c r="E17" s="94" t="s">
        <v>46</v>
      </c>
      <c r="F17" s="66">
        <v>3500</v>
      </c>
      <c r="G17" s="66">
        <v>2000</v>
      </c>
      <c r="H17" s="94">
        <v>2000</v>
      </c>
      <c r="I17" s="94">
        <v>2000</v>
      </c>
      <c r="J17" s="94">
        <v>3500</v>
      </c>
      <c r="K17" s="94">
        <v>4000</v>
      </c>
      <c r="L17" s="66">
        <v>4500</v>
      </c>
      <c r="M17" s="95">
        <f t="shared" si="3"/>
        <v>128.57142857142858</v>
      </c>
    </row>
    <row r="18" spans="1:14" ht="31.5">
      <c r="A18" s="174"/>
      <c r="B18" s="173"/>
      <c r="C18" s="173"/>
      <c r="D18" s="96" t="s">
        <v>64</v>
      </c>
      <c r="E18" s="94" t="s">
        <v>60</v>
      </c>
      <c r="F18" s="66">
        <v>60.4</v>
      </c>
      <c r="G18" s="94">
        <v>110</v>
      </c>
      <c r="H18" s="94">
        <v>64</v>
      </c>
      <c r="I18" s="94">
        <v>64</v>
      </c>
      <c r="J18" s="94">
        <v>133</v>
      </c>
      <c r="K18" s="94">
        <v>136</v>
      </c>
      <c r="L18" s="66">
        <v>140</v>
      </c>
      <c r="M18" s="95">
        <f t="shared" si="3"/>
        <v>231.78807947019865</v>
      </c>
    </row>
    <row r="19" spans="1:14" ht="109.5" customHeight="1">
      <c r="A19" s="173" t="s">
        <v>92</v>
      </c>
      <c r="B19" s="177" t="s">
        <v>169</v>
      </c>
      <c r="C19" s="173" t="s">
        <v>128</v>
      </c>
      <c r="D19" s="168" t="s">
        <v>129</v>
      </c>
      <c r="E19" s="169" t="s">
        <v>43</v>
      </c>
      <c r="F19" s="170">
        <v>0</v>
      </c>
      <c r="G19" s="176">
        <v>0</v>
      </c>
      <c r="H19" s="176">
        <f>137157/(50323.4*1.047)</f>
        <v>2.6031627433758451</v>
      </c>
      <c r="I19" s="176">
        <f>143191.9/(50323.4*1.047*1.044)</f>
        <v>2.6031625979395403</v>
      </c>
      <c r="J19" s="176">
        <f>149635.5/(50323.4*1.047*1.044*1.045)</f>
        <v>2.6031619803571466</v>
      </c>
      <c r="K19" s="176">
        <f>163405.8/(50323.4*1.047*1.044*1.045*1.045*1.045)</f>
        <v>2.603163463701422</v>
      </c>
      <c r="L19" s="176">
        <f>156369.1/(50323.4*1.047*1.044*1.045*1.045)</f>
        <v>2.6031620219760159</v>
      </c>
      <c r="M19" s="175">
        <v>0</v>
      </c>
    </row>
    <row r="20" spans="1:14" ht="29.25" customHeight="1">
      <c r="A20" s="173"/>
      <c r="B20" s="177"/>
      <c r="C20" s="173"/>
      <c r="D20" s="168"/>
      <c r="E20" s="169"/>
      <c r="F20" s="170"/>
      <c r="G20" s="176"/>
      <c r="H20" s="176"/>
      <c r="I20" s="176"/>
      <c r="J20" s="176"/>
      <c r="K20" s="176"/>
      <c r="L20" s="176"/>
      <c r="M20" s="175"/>
    </row>
    <row r="21" spans="1:14" ht="102" customHeight="1">
      <c r="A21" s="173"/>
      <c r="B21" s="177"/>
      <c r="C21" s="173"/>
      <c r="D21" s="109" t="s">
        <v>130</v>
      </c>
      <c r="E21" s="78" t="s">
        <v>43</v>
      </c>
      <c r="F21" s="78">
        <f>12.3</f>
        <v>12.3</v>
      </c>
      <c r="G21" s="85">
        <f>F21+10.5</f>
        <v>22.8</v>
      </c>
      <c r="H21" s="85">
        <f>G21+3.7</f>
        <v>26.5</v>
      </c>
      <c r="I21" s="85">
        <f>H21+3.5</f>
        <v>30</v>
      </c>
      <c r="J21" s="85">
        <f>I21+3.3</f>
        <v>33.299999999999997</v>
      </c>
      <c r="K21" s="85">
        <f>J21+3.1</f>
        <v>36.4</v>
      </c>
      <c r="L21" s="85">
        <f>K21+3.2</f>
        <v>39.6</v>
      </c>
      <c r="M21" s="110">
        <f>L21/F21*100</f>
        <v>321.95121951219511</v>
      </c>
    </row>
    <row r="22" spans="1:14" ht="66.75" customHeight="1">
      <c r="A22" s="173"/>
      <c r="B22" s="177"/>
      <c r="C22" s="173"/>
      <c r="D22" s="98" t="s">
        <v>201</v>
      </c>
      <c r="E22" s="94" t="s">
        <v>41</v>
      </c>
      <c r="F22" s="94">
        <v>26.6</v>
      </c>
      <c r="G22" s="86">
        <f>0.668</f>
        <v>0.66800000000000004</v>
      </c>
      <c r="H22" s="99">
        <f>8174/2335.4</f>
        <v>3.5000428192172648</v>
      </c>
      <c r="I22" s="99">
        <f>12500/(2335.4*1.044)</f>
        <v>5.126821990506274</v>
      </c>
      <c r="J22" s="99">
        <f>12500/(2335.4*1.044*1.045)</f>
        <v>4.9060497516806452</v>
      </c>
      <c r="K22" s="99">
        <f>12500/(2335.4*1.044*1.045*1.045)</f>
        <v>4.6947844513690393</v>
      </c>
      <c r="L22" s="99">
        <f>12500/(2335.4*1.044*1.045*1.045*1.045)</f>
        <v>4.492616699874679</v>
      </c>
      <c r="M22" s="80">
        <f>L22/F22*100</f>
        <v>16.889536465694281</v>
      </c>
      <c r="N22" t="s">
        <v>192</v>
      </c>
    </row>
    <row r="23" spans="1:14" ht="82.5" customHeight="1">
      <c r="A23" s="173"/>
      <c r="B23" s="177"/>
      <c r="C23" s="173"/>
      <c r="D23" s="97" t="s">
        <v>125</v>
      </c>
      <c r="E23" s="94" t="s">
        <v>43</v>
      </c>
      <c r="F23" s="94">
        <v>0</v>
      </c>
      <c r="G23" s="99">
        <v>0</v>
      </c>
      <c r="H23" s="99">
        <f>19000/(7000*1.047)</f>
        <v>2.5924409878564609</v>
      </c>
      <c r="I23" s="99">
        <f>19000/(7000*1.047*1.044)</f>
        <v>2.4831810228510158</v>
      </c>
      <c r="J23" s="99">
        <f>19000/(7000*1.047*1.044*1.045)</f>
        <v>2.3762497826325513</v>
      </c>
      <c r="K23" s="99">
        <f>19000/(7000*1.047*1.044*1.045*1.045)</f>
        <v>2.2739232369689488</v>
      </c>
      <c r="L23" s="99">
        <f>19000/(7000*1.047*1.044*1.045*1.045*1.045)</f>
        <v>2.1760030975779419</v>
      </c>
      <c r="M23" s="99">
        <v>0</v>
      </c>
    </row>
    <row r="24" spans="1:14" ht="151.5" customHeight="1">
      <c r="A24" s="76" t="s">
        <v>132</v>
      </c>
      <c r="B24" s="76" t="s">
        <v>131</v>
      </c>
      <c r="C24" s="97" t="s">
        <v>128</v>
      </c>
      <c r="D24" s="97" t="s">
        <v>149</v>
      </c>
      <c r="E24" s="94" t="s">
        <v>43</v>
      </c>
      <c r="F24" s="94">
        <v>0</v>
      </c>
      <c r="G24" s="99">
        <v>2.2000000000000002</v>
      </c>
      <c r="H24" s="66">
        <v>0</v>
      </c>
      <c r="I24" s="66">
        <v>0</v>
      </c>
      <c r="J24" s="66">
        <v>2</v>
      </c>
      <c r="K24" s="66">
        <v>0</v>
      </c>
      <c r="L24" s="66">
        <v>0</v>
      </c>
      <c r="M24" s="99">
        <v>0</v>
      </c>
    </row>
    <row r="25" spans="1:14" ht="143.25" customHeight="1">
      <c r="A25" s="76" t="s">
        <v>133</v>
      </c>
      <c r="B25" s="97" t="s">
        <v>134</v>
      </c>
      <c r="C25" s="97" t="s">
        <v>128</v>
      </c>
      <c r="D25" s="97" t="s">
        <v>149</v>
      </c>
      <c r="E25" s="94" t="s">
        <v>43</v>
      </c>
      <c r="F25" s="94">
        <v>0</v>
      </c>
      <c r="G25" s="99">
        <f>1.6</f>
        <v>1.6</v>
      </c>
      <c r="H25" s="99">
        <v>0</v>
      </c>
      <c r="I25" s="99">
        <v>0</v>
      </c>
      <c r="J25" s="83">
        <v>0.57999999999999996</v>
      </c>
      <c r="K25" s="83">
        <v>0.86</v>
      </c>
      <c r="L25" s="99">
        <v>0</v>
      </c>
      <c r="M25" s="99">
        <v>0</v>
      </c>
    </row>
    <row r="26" spans="1:14" ht="152.25" customHeight="1">
      <c r="A26" s="76" t="s">
        <v>135</v>
      </c>
      <c r="B26" s="69" t="s">
        <v>136</v>
      </c>
      <c r="C26" s="82" t="s">
        <v>128</v>
      </c>
      <c r="D26" s="97" t="s">
        <v>150</v>
      </c>
      <c r="E26" s="94" t="s">
        <v>83</v>
      </c>
      <c r="F26" s="66">
        <v>0</v>
      </c>
      <c r="G26" s="99">
        <v>100</v>
      </c>
      <c r="H26" s="66">
        <v>0</v>
      </c>
      <c r="I26" s="66">
        <v>0</v>
      </c>
      <c r="J26" s="83">
        <v>0.69</v>
      </c>
      <c r="K26" s="66">
        <v>0</v>
      </c>
      <c r="L26" s="66">
        <v>0</v>
      </c>
      <c r="M26" s="66">
        <v>0</v>
      </c>
    </row>
    <row r="27" spans="1:14" ht="93.75" customHeight="1">
      <c r="A27" s="173" t="s">
        <v>137</v>
      </c>
      <c r="B27" s="173" t="s">
        <v>177</v>
      </c>
      <c r="C27" s="173" t="s">
        <v>128</v>
      </c>
      <c r="D27" s="97" t="s">
        <v>150</v>
      </c>
      <c r="E27" s="94" t="s">
        <v>83</v>
      </c>
      <c r="F27" s="66">
        <v>0</v>
      </c>
      <c r="G27" s="66">
        <v>0</v>
      </c>
      <c r="H27" s="66">
        <v>0</v>
      </c>
      <c r="I27" s="66">
        <v>0</v>
      </c>
      <c r="J27" s="66">
        <v>100</v>
      </c>
      <c r="K27" s="66">
        <v>0</v>
      </c>
      <c r="L27" s="66">
        <v>0</v>
      </c>
      <c r="M27" s="66">
        <v>0</v>
      </c>
    </row>
    <row r="28" spans="1:14" ht="64.5" customHeight="1">
      <c r="A28" s="173"/>
      <c r="B28" s="173"/>
      <c r="C28" s="173"/>
      <c r="D28" s="97" t="s">
        <v>149</v>
      </c>
      <c r="E28" s="94" t="s">
        <v>43</v>
      </c>
      <c r="F28" s="66">
        <v>0</v>
      </c>
      <c r="G28" s="66">
        <v>0</v>
      </c>
      <c r="H28" s="66">
        <v>0</v>
      </c>
      <c r="I28" s="66">
        <v>0</v>
      </c>
      <c r="J28" s="99">
        <v>0</v>
      </c>
      <c r="K28" s="83">
        <v>0.68</v>
      </c>
      <c r="L28" s="66">
        <v>0</v>
      </c>
      <c r="M28" s="66">
        <v>0</v>
      </c>
    </row>
    <row r="29" spans="1:14" ht="79.5" customHeight="1">
      <c r="A29" s="173" t="s">
        <v>138</v>
      </c>
      <c r="B29" s="173" t="s">
        <v>178</v>
      </c>
      <c r="C29" s="168" t="s">
        <v>128</v>
      </c>
      <c r="D29" s="97" t="s">
        <v>150</v>
      </c>
      <c r="E29" s="94" t="s">
        <v>83</v>
      </c>
      <c r="F29" s="66">
        <v>0</v>
      </c>
      <c r="G29" s="66">
        <v>0</v>
      </c>
      <c r="H29" s="66">
        <v>100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</row>
    <row r="30" spans="1:14" ht="72" customHeight="1">
      <c r="A30" s="173"/>
      <c r="B30" s="173"/>
      <c r="C30" s="168"/>
      <c r="D30" s="97" t="s">
        <v>149</v>
      </c>
      <c r="E30" s="94" t="s">
        <v>43</v>
      </c>
      <c r="F30" s="66">
        <v>0</v>
      </c>
      <c r="G30" s="66">
        <v>0</v>
      </c>
      <c r="H30" s="66">
        <v>0</v>
      </c>
      <c r="I30" s="66">
        <v>0</v>
      </c>
      <c r="J30" s="83">
        <v>0.28999999999999998</v>
      </c>
      <c r="K30" s="66">
        <v>0</v>
      </c>
      <c r="L30" s="66">
        <v>0</v>
      </c>
      <c r="M30" s="66">
        <v>0</v>
      </c>
    </row>
    <row r="31" spans="1:14" ht="78.75" customHeight="1">
      <c r="A31" s="173" t="s">
        <v>139</v>
      </c>
      <c r="B31" s="173" t="s">
        <v>180</v>
      </c>
      <c r="C31" s="173" t="s">
        <v>128</v>
      </c>
      <c r="D31" s="97" t="s">
        <v>150</v>
      </c>
      <c r="E31" s="94" t="s">
        <v>83</v>
      </c>
      <c r="F31" s="66">
        <v>0</v>
      </c>
      <c r="G31" s="66">
        <v>0</v>
      </c>
      <c r="H31" s="66">
        <v>0</v>
      </c>
      <c r="I31" s="66">
        <v>100</v>
      </c>
      <c r="J31" s="66">
        <v>0</v>
      </c>
      <c r="K31" s="66">
        <v>0</v>
      </c>
      <c r="L31" s="66">
        <v>0</v>
      </c>
      <c r="M31" s="66">
        <v>0</v>
      </c>
    </row>
    <row r="32" spans="1:14" ht="68.25" customHeight="1">
      <c r="A32" s="173"/>
      <c r="B32" s="173"/>
      <c r="C32" s="173"/>
      <c r="D32" s="97" t="s">
        <v>149</v>
      </c>
      <c r="E32" s="94" t="s">
        <v>43</v>
      </c>
      <c r="F32" s="66">
        <v>0</v>
      </c>
      <c r="G32" s="66">
        <v>0</v>
      </c>
      <c r="H32" s="66">
        <v>0</v>
      </c>
      <c r="I32" s="66">
        <v>0</v>
      </c>
      <c r="J32" s="99">
        <v>0</v>
      </c>
      <c r="K32" s="83">
        <v>0.68</v>
      </c>
      <c r="L32" s="66">
        <v>0</v>
      </c>
      <c r="M32" s="66">
        <v>0</v>
      </c>
    </row>
    <row r="33" spans="1:13" ht="186.75" customHeight="1">
      <c r="A33" s="76" t="s">
        <v>140</v>
      </c>
      <c r="B33" s="69" t="s">
        <v>197</v>
      </c>
      <c r="C33" s="97" t="s">
        <v>128</v>
      </c>
      <c r="D33" s="97" t="s">
        <v>149</v>
      </c>
      <c r="E33" s="94" t="s">
        <v>43</v>
      </c>
      <c r="F33" s="94">
        <v>0</v>
      </c>
      <c r="G33" s="99">
        <f>1.6</f>
        <v>1.6</v>
      </c>
      <c r="H33" s="99">
        <v>0</v>
      </c>
      <c r="I33" s="99">
        <v>0</v>
      </c>
      <c r="J33" s="99">
        <v>0</v>
      </c>
      <c r="K33" s="99">
        <v>0</v>
      </c>
      <c r="L33" s="99">
        <v>0</v>
      </c>
      <c r="M33" s="99">
        <v>0</v>
      </c>
    </row>
    <row r="34" spans="1:13" ht="224.25" customHeight="1">
      <c r="A34" s="76" t="s">
        <v>141</v>
      </c>
      <c r="B34" s="69" t="s">
        <v>198</v>
      </c>
      <c r="C34" s="97" t="s">
        <v>128</v>
      </c>
      <c r="D34" s="97" t="s">
        <v>149</v>
      </c>
      <c r="E34" s="94" t="s">
        <v>43</v>
      </c>
      <c r="F34" s="94">
        <v>0</v>
      </c>
      <c r="G34" s="99">
        <v>0</v>
      </c>
      <c r="H34" s="99">
        <v>0</v>
      </c>
      <c r="I34" s="99">
        <v>0</v>
      </c>
      <c r="J34" s="99">
        <v>1.3</v>
      </c>
      <c r="K34" s="99">
        <v>0</v>
      </c>
      <c r="L34" s="99">
        <v>0</v>
      </c>
      <c r="M34" s="99">
        <v>0</v>
      </c>
    </row>
    <row r="35" spans="1:13" ht="77.25" customHeight="1">
      <c r="A35" s="173" t="s">
        <v>143</v>
      </c>
      <c r="B35" s="173" t="s">
        <v>142</v>
      </c>
      <c r="C35" s="173" t="s">
        <v>128</v>
      </c>
      <c r="D35" s="111" t="s">
        <v>150</v>
      </c>
      <c r="E35" s="78" t="s">
        <v>83</v>
      </c>
      <c r="F35" s="79">
        <v>0</v>
      </c>
      <c r="G35" s="85">
        <v>38</v>
      </c>
      <c r="H35" s="79">
        <f>G35+19</f>
        <v>57</v>
      </c>
      <c r="I35" s="79">
        <v>100</v>
      </c>
      <c r="J35" s="79">
        <v>0</v>
      </c>
      <c r="K35" s="79">
        <v>0</v>
      </c>
      <c r="L35" s="79">
        <v>0</v>
      </c>
      <c r="M35" s="79">
        <v>0</v>
      </c>
    </row>
    <row r="36" spans="1:13" ht="81" customHeight="1">
      <c r="A36" s="173"/>
      <c r="B36" s="173"/>
      <c r="C36" s="173"/>
      <c r="D36" s="111" t="s">
        <v>149</v>
      </c>
      <c r="E36" s="78" t="s">
        <v>43</v>
      </c>
      <c r="F36" s="79">
        <v>0</v>
      </c>
      <c r="G36" s="85">
        <v>0</v>
      </c>
      <c r="H36" s="79">
        <v>0</v>
      </c>
      <c r="I36" s="79">
        <v>0</v>
      </c>
      <c r="J36" s="79">
        <v>6</v>
      </c>
      <c r="K36" s="112">
        <v>5.83</v>
      </c>
      <c r="L36" s="79">
        <v>0</v>
      </c>
      <c r="M36" s="79">
        <v>0</v>
      </c>
    </row>
    <row r="37" spans="1:13" ht="88.5" customHeight="1">
      <c r="A37" s="178" t="s">
        <v>145</v>
      </c>
      <c r="B37" s="178" t="s">
        <v>144</v>
      </c>
      <c r="C37" s="178" t="s">
        <v>128</v>
      </c>
      <c r="D37" s="111" t="s">
        <v>150</v>
      </c>
      <c r="E37" s="78" t="s">
        <v>83</v>
      </c>
      <c r="F37" s="79">
        <v>0</v>
      </c>
      <c r="G37" s="85">
        <v>32</v>
      </c>
      <c r="H37" s="79">
        <v>66</v>
      </c>
      <c r="I37" s="79">
        <v>100</v>
      </c>
      <c r="J37" s="79">
        <v>0</v>
      </c>
      <c r="K37" s="79">
        <v>0</v>
      </c>
      <c r="L37" s="79">
        <v>0</v>
      </c>
      <c r="M37" s="79">
        <v>0</v>
      </c>
    </row>
    <row r="38" spans="1:13" ht="85.5" customHeight="1">
      <c r="A38" s="178"/>
      <c r="B38" s="178"/>
      <c r="C38" s="178"/>
      <c r="D38" s="111" t="s">
        <v>149</v>
      </c>
      <c r="E38" s="78" t="s">
        <v>43</v>
      </c>
      <c r="F38" s="79">
        <v>0</v>
      </c>
      <c r="G38" s="79">
        <v>0</v>
      </c>
      <c r="H38" s="79">
        <v>0</v>
      </c>
      <c r="I38" s="79">
        <v>0</v>
      </c>
      <c r="J38" s="79">
        <v>0</v>
      </c>
      <c r="K38" s="79">
        <v>4</v>
      </c>
      <c r="L38" s="79">
        <v>0</v>
      </c>
      <c r="M38" s="79">
        <v>0</v>
      </c>
    </row>
    <row r="39" spans="1:13" ht="149.25" customHeight="1">
      <c r="A39" s="76" t="s">
        <v>146</v>
      </c>
      <c r="B39" s="97" t="s">
        <v>182</v>
      </c>
      <c r="C39" s="97" t="s">
        <v>128</v>
      </c>
      <c r="D39" s="111" t="s">
        <v>149</v>
      </c>
      <c r="E39" s="78" t="s">
        <v>43</v>
      </c>
      <c r="F39" s="79">
        <v>0</v>
      </c>
      <c r="G39" s="79">
        <v>0</v>
      </c>
      <c r="H39" s="79">
        <v>0</v>
      </c>
      <c r="I39" s="85">
        <v>0.33</v>
      </c>
      <c r="J39" s="79">
        <v>0</v>
      </c>
      <c r="K39" s="79">
        <v>0</v>
      </c>
      <c r="L39" s="79">
        <v>0</v>
      </c>
      <c r="M39" s="79">
        <v>0</v>
      </c>
    </row>
    <row r="40" spans="1:13" ht="149.25" customHeight="1">
      <c r="A40" s="76" t="s">
        <v>147</v>
      </c>
      <c r="B40" s="97" t="s">
        <v>179</v>
      </c>
      <c r="C40" s="97" t="s">
        <v>128</v>
      </c>
      <c r="D40" s="111" t="s">
        <v>150</v>
      </c>
      <c r="E40" s="78" t="s">
        <v>83</v>
      </c>
      <c r="F40" s="78">
        <v>0</v>
      </c>
      <c r="G40" s="79">
        <v>100</v>
      </c>
      <c r="H40" s="79">
        <v>0</v>
      </c>
      <c r="I40" s="79">
        <v>0</v>
      </c>
      <c r="J40" s="79">
        <v>0</v>
      </c>
      <c r="K40" s="79">
        <v>0</v>
      </c>
      <c r="L40" s="79">
        <v>0</v>
      </c>
      <c r="M40" s="79">
        <v>0</v>
      </c>
    </row>
    <row r="41" spans="1:13" ht="156.75" customHeight="1">
      <c r="A41" s="76" t="s">
        <v>148</v>
      </c>
      <c r="B41" s="84" t="s">
        <v>194</v>
      </c>
      <c r="C41" s="97" t="s">
        <v>128</v>
      </c>
      <c r="D41" s="97" t="s">
        <v>150</v>
      </c>
      <c r="E41" s="94" t="s">
        <v>83</v>
      </c>
      <c r="F41" s="94">
        <v>0</v>
      </c>
      <c r="G41" s="66">
        <v>100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</row>
    <row r="42" spans="1:13" ht="158.25" customHeight="1">
      <c r="A42" s="76" t="s">
        <v>199</v>
      </c>
      <c r="B42" s="84" t="s">
        <v>195</v>
      </c>
      <c r="C42" s="97" t="s">
        <v>128</v>
      </c>
      <c r="D42" s="97" t="s">
        <v>150</v>
      </c>
      <c r="E42" s="94" t="s">
        <v>83</v>
      </c>
      <c r="F42" s="94">
        <v>0</v>
      </c>
      <c r="G42" s="66">
        <v>0</v>
      </c>
      <c r="H42" s="66">
        <v>42</v>
      </c>
      <c r="I42" s="66">
        <v>100</v>
      </c>
      <c r="J42" s="66">
        <v>0</v>
      </c>
      <c r="K42" s="66">
        <v>0</v>
      </c>
      <c r="L42" s="66">
        <v>0</v>
      </c>
      <c r="M42" s="66">
        <v>0</v>
      </c>
    </row>
    <row r="43" spans="1:13" ht="49.5" customHeight="1">
      <c r="A43" s="173" t="s">
        <v>200</v>
      </c>
      <c r="B43" s="173" t="s">
        <v>151</v>
      </c>
      <c r="C43" s="173" t="s">
        <v>152</v>
      </c>
      <c r="D43" s="183" t="s">
        <v>96</v>
      </c>
      <c r="E43" s="169" t="s">
        <v>46</v>
      </c>
      <c r="F43" s="169">
        <v>2</v>
      </c>
      <c r="G43" s="169">
        <v>0</v>
      </c>
      <c r="H43" s="169">
        <v>0</v>
      </c>
      <c r="I43" s="169">
        <v>0</v>
      </c>
      <c r="J43" s="169">
        <v>4</v>
      </c>
      <c r="K43" s="169">
        <v>4</v>
      </c>
      <c r="L43" s="169">
        <v>4</v>
      </c>
      <c r="M43" s="175">
        <f>L43/F43*100</f>
        <v>200</v>
      </c>
    </row>
    <row r="44" spans="1:13" ht="15.75" customHeight="1">
      <c r="A44" s="173"/>
      <c r="B44" s="173"/>
      <c r="C44" s="173"/>
      <c r="D44" s="183"/>
      <c r="E44" s="169"/>
      <c r="F44" s="169"/>
      <c r="G44" s="169"/>
      <c r="H44" s="169"/>
      <c r="I44" s="169"/>
      <c r="J44" s="169"/>
      <c r="K44" s="169"/>
      <c r="L44" s="169"/>
      <c r="M44" s="175"/>
    </row>
    <row r="45" spans="1:13" ht="64.5" customHeight="1">
      <c r="A45" s="173"/>
      <c r="B45" s="173"/>
      <c r="C45" s="173"/>
      <c r="D45" s="96" t="s">
        <v>97</v>
      </c>
      <c r="E45" s="94" t="s">
        <v>46</v>
      </c>
      <c r="F45" s="94">
        <v>0</v>
      </c>
      <c r="G45" s="94">
        <v>0</v>
      </c>
      <c r="H45" s="94">
        <v>0</v>
      </c>
      <c r="I45" s="94">
        <v>0</v>
      </c>
      <c r="J45" s="94">
        <v>2</v>
      </c>
      <c r="K45" s="94">
        <v>2</v>
      </c>
      <c r="L45" s="94">
        <v>2</v>
      </c>
      <c r="M45" s="66">
        <v>0</v>
      </c>
    </row>
    <row r="46" spans="1:13" ht="69.75" customHeight="1">
      <c r="A46" s="173"/>
      <c r="B46" s="173"/>
      <c r="C46" s="173"/>
      <c r="D46" s="98" t="s">
        <v>153</v>
      </c>
      <c r="E46" s="94" t="s">
        <v>43</v>
      </c>
      <c r="F46" s="94">
        <v>0</v>
      </c>
      <c r="G46" s="94">
        <v>0.3</v>
      </c>
      <c r="H46" s="94">
        <v>0.4</v>
      </c>
      <c r="I46" s="94">
        <v>0.4</v>
      </c>
      <c r="J46" s="94">
        <v>1.5</v>
      </c>
      <c r="K46" s="94">
        <v>2</v>
      </c>
      <c r="L46" s="94">
        <v>2.5</v>
      </c>
      <c r="M46" s="66">
        <v>0</v>
      </c>
    </row>
    <row r="47" spans="1:13" ht="75.75" customHeight="1">
      <c r="A47" s="173"/>
      <c r="B47" s="173"/>
      <c r="C47" s="173"/>
      <c r="D47" s="96" t="s">
        <v>98</v>
      </c>
      <c r="E47" s="94" t="s">
        <v>46</v>
      </c>
      <c r="F47" s="94">
        <v>1</v>
      </c>
      <c r="G47" s="94">
        <v>0</v>
      </c>
      <c r="H47" s="94">
        <v>0</v>
      </c>
      <c r="I47" s="94">
        <v>0</v>
      </c>
      <c r="J47" s="94">
        <v>1</v>
      </c>
      <c r="K47" s="94">
        <v>1</v>
      </c>
      <c r="L47" s="94">
        <v>1</v>
      </c>
      <c r="M47" s="66">
        <f t="shared" ref="M47" si="6">L47/F47*100</f>
        <v>100</v>
      </c>
    </row>
    <row r="48" spans="1:13" ht="171" customHeight="1">
      <c r="A48" s="179"/>
      <c r="B48" s="179"/>
      <c r="C48" s="179"/>
      <c r="D48" s="89" t="s">
        <v>202</v>
      </c>
      <c r="E48" s="94" t="s">
        <v>46</v>
      </c>
      <c r="F48" s="94">
        <v>0</v>
      </c>
      <c r="G48" s="94">
        <v>3</v>
      </c>
      <c r="H48" s="94">
        <v>0</v>
      </c>
      <c r="I48" s="94">
        <v>0</v>
      </c>
      <c r="J48" s="94">
        <v>0</v>
      </c>
      <c r="K48" s="94">
        <v>0</v>
      </c>
      <c r="L48" s="94">
        <v>0</v>
      </c>
      <c r="M48" s="66">
        <v>0</v>
      </c>
    </row>
    <row r="49" spans="1:14" ht="304.5" customHeight="1">
      <c r="A49" s="180" t="s">
        <v>100</v>
      </c>
      <c r="B49" s="180" t="s">
        <v>119</v>
      </c>
      <c r="C49" s="93" t="s">
        <v>101</v>
      </c>
      <c r="D49" s="93" t="s">
        <v>155</v>
      </c>
      <c r="E49" s="92" t="s">
        <v>83</v>
      </c>
      <c r="F49" s="92">
        <v>48</v>
      </c>
      <c r="G49" s="92">
        <v>52</v>
      </c>
      <c r="H49" s="92">
        <v>52</v>
      </c>
      <c r="I49" s="92">
        <v>42</v>
      </c>
      <c r="J49" s="92">
        <v>50</v>
      </c>
      <c r="K49" s="92">
        <v>59</v>
      </c>
      <c r="L49" s="92">
        <v>59</v>
      </c>
      <c r="M49" s="90">
        <v>123</v>
      </c>
    </row>
    <row r="50" spans="1:14" ht="258.75" customHeight="1">
      <c r="A50" s="180"/>
      <c r="B50" s="180"/>
      <c r="C50" s="108"/>
      <c r="D50" s="108" t="s">
        <v>184</v>
      </c>
      <c r="E50" s="107" t="s">
        <v>103</v>
      </c>
      <c r="F50" s="107">
        <v>699</v>
      </c>
      <c r="G50" s="107">
        <v>1180</v>
      </c>
      <c r="H50" s="107">
        <v>1420</v>
      </c>
      <c r="I50" s="107">
        <v>1420</v>
      </c>
      <c r="J50" s="107">
        <v>1420</v>
      </c>
      <c r="K50" s="107">
        <v>1420</v>
      </c>
      <c r="L50" s="107">
        <v>1420</v>
      </c>
      <c r="M50" s="105">
        <f>L50/F50%</f>
        <v>203.14735336194562</v>
      </c>
      <c r="N50" t="s">
        <v>204</v>
      </c>
    </row>
    <row r="51" spans="1:14" ht="150.75" customHeight="1">
      <c r="A51" s="180"/>
      <c r="B51" s="180"/>
      <c r="C51" s="181" t="s">
        <v>102</v>
      </c>
      <c r="D51" s="108" t="s">
        <v>156</v>
      </c>
      <c r="E51" s="107" t="s">
        <v>157</v>
      </c>
      <c r="F51" s="107">
        <v>1.57</v>
      </c>
      <c r="G51" s="107">
        <v>1.52</v>
      </c>
      <c r="H51" s="107">
        <v>1.47</v>
      </c>
      <c r="I51" s="107">
        <v>1.42</v>
      </c>
      <c r="J51" s="107">
        <v>1.37</v>
      </c>
      <c r="K51" s="107">
        <v>1.32</v>
      </c>
      <c r="L51" s="107">
        <v>1.27</v>
      </c>
      <c r="M51" s="106">
        <f>L51/F51%</f>
        <v>80.891719745222915</v>
      </c>
      <c r="N51" t="s">
        <v>205</v>
      </c>
    </row>
    <row r="52" spans="1:14" hidden="1">
      <c r="A52" s="180"/>
      <c r="B52" s="180"/>
      <c r="C52" s="181"/>
      <c r="D52" s="181" t="s">
        <v>120</v>
      </c>
      <c r="E52" s="182" t="s">
        <v>83</v>
      </c>
      <c r="F52" s="182">
        <v>90.4</v>
      </c>
      <c r="G52" s="182">
        <v>90.8</v>
      </c>
      <c r="H52" s="182">
        <v>91.2</v>
      </c>
      <c r="I52" s="182">
        <v>91.6</v>
      </c>
      <c r="J52" s="182">
        <v>92</v>
      </c>
      <c r="K52" s="182">
        <v>92.4</v>
      </c>
      <c r="L52" s="182">
        <v>92.8</v>
      </c>
      <c r="M52" s="184">
        <v>102.65486725663715</v>
      </c>
    </row>
    <row r="53" spans="1:14" ht="51" customHeight="1">
      <c r="A53" s="180"/>
      <c r="B53" s="180"/>
      <c r="C53" s="181"/>
      <c r="D53" s="181"/>
      <c r="E53" s="182"/>
      <c r="F53" s="182"/>
      <c r="G53" s="182"/>
      <c r="H53" s="182"/>
      <c r="I53" s="182"/>
      <c r="J53" s="182"/>
      <c r="K53" s="182"/>
      <c r="L53" s="182"/>
      <c r="M53" s="184"/>
    </row>
    <row r="54" spans="1:14" ht="110.25" customHeight="1">
      <c r="A54" s="181" t="s">
        <v>121</v>
      </c>
      <c r="B54" s="186" t="s">
        <v>158</v>
      </c>
      <c r="C54" s="181" t="s">
        <v>188</v>
      </c>
      <c r="D54" s="93" t="s">
        <v>104</v>
      </c>
      <c r="E54" s="92" t="s">
        <v>103</v>
      </c>
      <c r="F54" s="92">
        <v>0</v>
      </c>
      <c r="G54" s="92">
        <v>0</v>
      </c>
      <c r="H54" s="92">
        <v>0</v>
      </c>
      <c r="I54" s="92">
        <v>0</v>
      </c>
      <c r="J54" s="92">
        <v>2</v>
      </c>
      <c r="K54" s="92">
        <v>1</v>
      </c>
      <c r="L54" s="92">
        <v>1</v>
      </c>
      <c r="M54" s="92">
        <v>0</v>
      </c>
    </row>
    <row r="55" spans="1:14" ht="116.25" customHeight="1">
      <c r="A55" s="185"/>
      <c r="B55" s="185"/>
      <c r="C55" s="185"/>
      <c r="D55" s="93" t="s">
        <v>105</v>
      </c>
      <c r="E55" s="92" t="s">
        <v>103</v>
      </c>
      <c r="F55" s="92">
        <v>0</v>
      </c>
      <c r="G55" s="92">
        <v>0</v>
      </c>
      <c r="H55" s="92">
        <v>0</v>
      </c>
      <c r="I55" s="92">
        <v>0</v>
      </c>
      <c r="J55" s="92">
        <v>10</v>
      </c>
      <c r="K55" s="92">
        <v>10</v>
      </c>
      <c r="L55" s="92">
        <v>15</v>
      </c>
      <c r="M55" s="92">
        <v>0</v>
      </c>
    </row>
    <row r="56" spans="1:14" ht="239.25" customHeight="1">
      <c r="A56" s="93" t="s">
        <v>122</v>
      </c>
      <c r="B56" s="93" t="s">
        <v>159</v>
      </c>
      <c r="C56" s="93" t="s">
        <v>188</v>
      </c>
      <c r="D56" s="108" t="s">
        <v>186</v>
      </c>
      <c r="E56" s="107" t="s">
        <v>103</v>
      </c>
      <c r="F56" s="107">
        <v>699</v>
      </c>
      <c r="G56" s="106">
        <v>1180</v>
      </c>
      <c r="H56" s="106">
        <v>1420</v>
      </c>
      <c r="I56" s="106">
        <v>1420</v>
      </c>
      <c r="J56" s="106">
        <v>1420</v>
      </c>
      <c r="K56" s="106">
        <v>1420</v>
      </c>
      <c r="L56" s="106">
        <v>1420</v>
      </c>
      <c r="M56" s="105">
        <f>L56/F56%</f>
        <v>203.14735336194562</v>
      </c>
      <c r="N56" t="s">
        <v>206</v>
      </c>
    </row>
    <row r="57" spans="1:14" ht="44.25" customHeight="1">
      <c r="A57" s="181" t="s">
        <v>123</v>
      </c>
      <c r="B57" s="181" t="s">
        <v>160</v>
      </c>
      <c r="C57" s="181" t="s">
        <v>185</v>
      </c>
      <c r="D57" s="181" t="s">
        <v>161</v>
      </c>
      <c r="E57" s="182" t="s">
        <v>162</v>
      </c>
      <c r="F57" s="182">
        <v>7643.2</v>
      </c>
      <c r="G57" s="187">
        <v>5808.8</v>
      </c>
      <c r="H57" s="182">
        <v>7643.2</v>
      </c>
      <c r="I57" s="182">
        <v>7644.2</v>
      </c>
      <c r="J57" s="182">
        <v>7645.2</v>
      </c>
      <c r="K57" s="182">
        <v>7646.2</v>
      </c>
      <c r="L57" s="182">
        <v>7647.2</v>
      </c>
      <c r="M57" s="184">
        <v>100.05233410090015</v>
      </c>
    </row>
    <row r="58" spans="1:14" ht="144.75" customHeight="1">
      <c r="A58" s="181"/>
      <c r="B58" s="181"/>
      <c r="C58" s="181"/>
      <c r="D58" s="181"/>
      <c r="E58" s="182"/>
      <c r="F58" s="182"/>
      <c r="G58" s="187"/>
      <c r="H58" s="182"/>
      <c r="I58" s="182"/>
      <c r="J58" s="182"/>
      <c r="K58" s="182"/>
      <c r="L58" s="182"/>
      <c r="M58" s="184"/>
    </row>
    <row r="59" spans="1:14" ht="261.75" customHeight="1">
      <c r="A59" s="93" t="s">
        <v>163</v>
      </c>
      <c r="B59" s="113" t="s">
        <v>208</v>
      </c>
      <c r="C59" s="93" t="s">
        <v>187</v>
      </c>
      <c r="D59" s="93" t="s">
        <v>164</v>
      </c>
      <c r="E59" s="92" t="s">
        <v>83</v>
      </c>
      <c r="F59" s="92">
        <v>5.8</v>
      </c>
      <c r="G59" s="91">
        <v>2.9</v>
      </c>
      <c r="H59" s="91">
        <v>3.7</v>
      </c>
      <c r="I59" s="91">
        <v>3.6</v>
      </c>
      <c r="J59" s="91">
        <v>3.5</v>
      </c>
      <c r="K59" s="91">
        <v>3.4</v>
      </c>
      <c r="L59" s="91">
        <v>3.4</v>
      </c>
      <c r="M59" s="91">
        <v>58.7</v>
      </c>
    </row>
    <row r="60" spans="1:14" ht="177" customHeight="1">
      <c r="A60" s="93" t="s">
        <v>106</v>
      </c>
      <c r="B60" s="93" t="s">
        <v>181</v>
      </c>
      <c r="C60" s="93" t="s">
        <v>187</v>
      </c>
      <c r="D60" s="93" t="s">
        <v>164</v>
      </c>
      <c r="E60" s="92" t="s">
        <v>83</v>
      </c>
      <c r="F60" s="91">
        <v>5.9</v>
      </c>
      <c r="G60" s="91">
        <v>3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>
        <v>0</v>
      </c>
    </row>
    <row r="61" spans="1:14" ht="129.75" customHeight="1">
      <c r="A61" s="93" t="s">
        <v>165</v>
      </c>
      <c r="B61" s="93" t="s">
        <v>166</v>
      </c>
      <c r="C61" s="93" t="s">
        <v>187</v>
      </c>
      <c r="D61" s="108" t="s">
        <v>167</v>
      </c>
      <c r="E61" s="107" t="s">
        <v>103</v>
      </c>
      <c r="F61" s="107">
        <v>350</v>
      </c>
      <c r="G61" s="107">
        <v>343</v>
      </c>
      <c r="H61" s="107">
        <v>332</v>
      </c>
      <c r="I61" s="107">
        <v>320</v>
      </c>
      <c r="J61" s="107">
        <v>309</v>
      </c>
      <c r="K61" s="107">
        <v>298</v>
      </c>
      <c r="L61" s="107">
        <v>286</v>
      </c>
      <c r="M61" s="106">
        <f>L61/F61%</f>
        <v>81.714285714285708</v>
      </c>
      <c r="N61" t="s">
        <v>207</v>
      </c>
    </row>
    <row r="62" spans="1:14" ht="148.5" customHeight="1">
      <c r="A62" s="93" t="s">
        <v>168</v>
      </c>
      <c r="B62" s="93" t="s">
        <v>107</v>
      </c>
      <c r="C62" s="93" t="s">
        <v>187</v>
      </c>
      <c r="D62" s="93" t="s">
        <v>183</v>
      </c>
      <c r="E62" s="92" t="s">
        <v>103</v>
      </c>
      <c r="F62" s="92">
        <v>0</v>
      </c>
      <c r="G62" s="92">
        <v>9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>
        <v>0</v>
      </c>
    </row>
    <row r="63" spans="1:14">
      <c r="A63" s="72"/>
      <c r="B63" s="72"/>
      <c r="C63" s="73"/>
      <c r="D63" s="74"/>
      <c r="E63" s="75"/>
      <c r="F63" s="72"/>
      <c r="G63" s="72"/>
      <c r="H63" s="72"/>
      <c r="I63" s="72"/>
      <c r="J63" s="72"/>
      <c r="K63" s="72"/>
      <c r="L63" s="72"/>
      <c r="M63" s="72"/>
    </row>
    <row r="64" spans="1:14">
      <c r="A64" s="72"/>
      <c r="B64" s="72"/>
      <c r="C64" s="73"/>
      <c r="D64" s="72"/>
      <c r="E64" s="75"/>
      <c r="F64" s="72"/>
      <c r="G64" s="72"/>
      <c r="H64" s="72"/>
      <c r="I64" s="72"/>
      <c r="J64" s="72"/>
      <c r="K64" s="72"/>
      <c r="L64" s="72"/>
      <c r="M64" s="72"/>
    </row>
    <row r="65" spans="1:13">
      <c r="A65" s="72"/>
      <c r="B65" s="72"/>
      <c r="C65" s="73"/>
      <c r="D65" s="72"/>
      <c r="E65" s="75"/>
      <c r="F65" s="72"/>
      <c r="G65" s="72"/>
      <c r="H65" s="72"/>
      <c r="I65" s="72"/>
      <c r="J65" s="72"/>
      <c r="K65" s="72"/>
      <c r="L65" s="72"/>
      <c r="M65" s="72"/>
    </row>
    <row r="66" spans="1:13">
      <c r="A66" s="72"/>
      <c r="B66" s="72"/>
      <c r="C66" s="73"/>
      <c r="D66" s="72"/>
      <c r="E66" s="75"/>
      <c r="F66" s="72"/>
      <c r="G66" s="72"/>
      <c r="H66" s="72"/>
      <c r="I66" s="72"/>
      <c r="J66" s="72"/>
      <c r="K66" s="72"/>
      <c r="L66" s="72"/>
      <c r="M66" s="72"/>
    </row>
    <row r="67" spans="1:13">
      <c r="A67" s="72"/>
      <c r="B67" s="72"/>
      <c r="C67" s="73"/>
      <c r="D67" s="72"/>
      <c r="E67" s="75"/>
      <c r="F67" s="72"/>
      <c r="G67" s="72"/>
      <c r="H67" s="72"/>
      <c r="I67" s="72"/>
      <c r="J67" s="72"/>
      <c r="K67" s="72"/>
      <c r="L67" s="72"/>
      <c r="M67" s="72"/>
    </row>
    <row r="68" spans="1:13">
      <c r="A68" s="72"/>
      <c r="B68" s="72"/>
      <c r="C68" s="73"/>
      <c r="D68" s="72"/>
      <c r="E68" s="75"/>
      <c r="F68" s="72"/>
      <c r="G68" s="72"/>
      <c r="H68" s="72"/>
      <c r="I68" s="72"/>
      <c r="J68" s="72"/>
      <c r="K68" s="72"/>
      <c r="L68" s="72"/>
      <c r="M68" s="72"/>
    </row>
    <row r="69" spans="1:13">
      <c r="A69" s="72"/>
      <c r="B69" s="72"/>
      <c r="C69" s="73"/>
      <c r="D69" s="72"/>
      <c r="E69" s="75"/>
      <c r="F69" s="72"/>
      <c r="G69" s="72"/>
      <c r="H69" s="72"/>
      <c r="I69" s="72"/>
      <c r="J69" s="72"/>
      <c r="K69" s="72"/>
      <c r="L69" s="72"/>
      <c r="M69" s="72"/>
    </row>
  </sheetData>
  <mergeCells count="86">
    <mergeCell ref="M57:M58"/>
    <mergeCell ref="G57:G58"/>
    <mergeCell ref="H57:H58"/>
    <mergeCell ref="I57:I58"/>
    <mergeCell ref="J57:J58"/>
    <mergeCell ref="K57:K58"/>
    <mergeCell ref="L57:L58"/>
    <mergeCell ref="M52:M53"/>
    <mergeCell ref="A54:A55"/>
    <mergeCell ref="B54:B55"/>
    <mergeCell ref="C54:C55"/>
    <mergeCell ref="A57:A58"/>
    <mergeCell ref="B57:B58"/>
    <mergeCell ref="C57:C58"/>
    <mergeCell ref="D57:D58"/>
    <mergeCell ref="E57:E58"/>
    <mergeCell ref="F57:F58"/>
    <mergeCell ref="G52:G53"/>
    <mergeCell ref="H52:H53"/>
    <mergeCell ref="I52:I53"/>
    <mergeCell ref="J52:J53"/>
    <mergeCell ref="K52:K53"/>
    <mergeCell ref="L52:L53"/>
    <mergeCell ref="J43:J44"/>
    <mergeCell ref="K43:K44"/>
    <mergeCell ref="L43:L44"/>
    <mergeCell ref="M43:M44"/>
    <mergeCell ref="A49:A53"/>
    <mergeCell ref="B49:B53"/>
    <mergeCell ref="C51:C53"/>
    <mergeCell ref="D52:D53"/>
    <mergeCell ref="E52:E53"/>
    <mergeCell ref="F52:F53"/>
    <mergeCell ref="D43:D44"/>
    <mergeCell ref="E43:E44"/>
    <mergeCell ref="F43:F44"/>
    <mergeCell ref="G43:G44"/>
    <mergeCell ref="H43:H44"/>
    <mergeCell ref="I43:I44"/>
    <mergeCell ref="A37:A38"/>
    <mergeCell ref="B37:B38"/>
    <mergeCell ref="C37:C38"/>
    <mergeCell ref="A43:A48"/>
    <mergeCell ref="B43:B48"/>
    <mergeCell ref="C43:C48"/>
    <mergeCell ref="A31:A32"/>
    <mergeCell ref="B31:B32"/>
    <mergeCell ref="C31:C32"/>
    <mergeCell ref="A35:A36"/>
    <mergeCell ref="B35:B36"/>
    <mergeCell ref="C35:C36"/>
    <mergeCell ref="M19:M20"/>
    <mergeCell ref="A27:A28"/>
    <mergeCell ref="B27:B28"/>
    <mergeCell ref="C27:C28"/>
    <mergeCell ref="A29:A30"/>
    <mergeCell ref="B29:B30"/>
    <mergeCell ref="C29:C30"/>
    <mergeCell ref="G19:G20"/>
    <mergeCell ref="H19:H20"/>
    <mergeCell ref="I19:I20"/>
    <mergeCell ref="J19:J20"/>
    <mergeCell ref="K19:K20"/>
    <mergeCell ref="L19:L20"/>
    <mergeCell ref="A19:A23"/>
    <mergeCell ref="B19:B23"/>
    <mergeCell ref="C19:C23"/>
    <mergeCell ref="D19:D20"/>
    <mergeCell ref="E19:E20"/>
    <mergeCell ref="F19:F20"/>
    <mergeCell ref="A8:A9"/>
    <mergeCell ref="B8:B9"/>
    <mergeCell ref="C8:C9"/>
    <mergeCell ref="A16:A18"/>
    <mergeCell ref="B16:B18"/>
    <mergeCell ref="C16:C18"/>
    <mergeCell ref="H1:M1"/>
    <mergeCell ref="H2:M2"/>
    <mergeCell ref="B3:M3"/>
    <mergeCell ref="A5:A6"/>
    <mergeCell ref="B5:B6"/>
    <mergeCell ref="C5:C6"/>
    <mergeCell ref="D5:D6"/>
    <mergeCell ref="E5:E6"/>
    <mergeCell ref="F5:F6"/>
    <mergeCell ref="G5:L5"/>
  </mergeCells>
  <printOptions horizontalCentered="1"/>
  <pageMargins left="0.51181102362204722" right="0.11811023622047245" top="0.35433070866141736" bottom="0.35433070866141736" header="0.31496062992125984" footer="0.31496062992125984"/>
  <pageSetup paperSize="9" scale="65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№ 5 к порядку</vt:lpstr>
      <vt:lpstr>приложение № 2</vt:lpstr>
      <vt:lpstr>приложение № 3 к порядку (2)</vt:lpstr>
      <vt:lpstr>Прил. № 2 к порядку -15.05.2015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Chumak</cp:lastModifiedBy>
  <cp:lastPrinted>2015-09-16T07:58:51Z</cp:lastPrinted>
  <dcterms:created xsi:type="dcterms:W3CDTF">2014-06-24T07:47:06Z</dcterms:created>
  <dcterms:modified xsi:type="dcterms:W3CDTF">2015-09-22T01:42:47Z</dcterms:modified>
</cp:coreProperties>
</file>