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admin\Desktop\Авдеева\Постановления\По оплате труда с 01.01.2023\"/>
    </mc:Choice>
  </mc:AlternateContent>
  <bookViews>
    <workbookView xWindow="0" yWindow="0" windowWidth="23040" windowHeight="9384" tabRatio="745" activeTab="2"/>
  </bookViews>
  <sheets>
    <sheet name="расчёт зарплаты" sheetId="2" r:id="rId1"/>
    <sheet name="по учр" sheetId="1" r:id="rId2"/>
    <sheet name="Расчет ФУ (сады)" sheetId="12" r:id="rId3"/>
    <sheet name="Расчет Фу школы" sheetId="13" r:id="rId4"/>
    <sheet name="Расчет ФУ доп.обр" sheetId="14" r:id="rId5"/>
    <sheet name="расчет по доп.обр (неуказ)" sheetId="15" r:id="rId6"/>
    <sheet name="ожид по зарплате от родплаты" sheetId="10" r:id="rId7"/>
    <sheet name="2023" sheetId="11" r:id="rId8"/>
  </sheets>
  <definedNames>
    <definedName name="_xlnm.Print_Titles" localSheetId="7">'2023'!$A:$A</definedName>
    <definedName name="_xlnm.Print_Titles" localSheetId="1">'по учр'!$4:$4</definedName>
    <definedName name="_xlnm.Print_Titles" localSheetId="5">'расчет по доп.обр (неуказ)'!$2:$2</definedName>
    <definedName name="_xlnm.Print_Titles" localSheetId="2">'Расчет ФУ (сады)'!$4:$4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623" i="12" l="1"/>
  <c r="R633" i="12" l="1"/>
  <c r="R625" i="12"/>
  <c r="R622" i="12"/>
  <c r="R620" i="12"/>
  <c r="Q633" i="12" l="1"/>
  <c r="P633" i="12"/>
  <c r="O633" i="12"/>
  <c r="O625" i="12"/>
  <c r="O620" i="12"/>
  <c r="R632" i="12"/>
  <c r="Q632" i="12"/>
  <c r="P632" i="12"/>
  <c r="O632" i="12"/>
  <c r="R631" i="12"/>
  <c r="Q631" i="12"/>
  <c r="P631" i="12"/>
  <c r="O631" i="12"/>
  <c r="T612" i="12"/>
  <c r="T611" i="12"/>
  <c r="T610" i="12"/>
  <c r="T609" i="12" s="1"/>
  <c r="T608" i="12"/>
  <c r="T607" i="12"/>
  <c r="T606" i="12"/>
  <c r="T605" i="12"/>
  <c r="T604" i="12"/>
  <c r="T603" i="12" s="1"/>
  <c r="T602" i="12"/>
  <c r="T601" i="12"/>
  <c r="T600" i="12"/>
  <c r="T599" i="12"/>
  <c r="T598" i="12"/>
  <c r="T597" i="12"/>
  <c r="T596" i="12"/>
  <c r="T595" i="12"/>
  <c r="T594" i="12"/>
  <c r="T593" i="12"/>
  <c r="T592" i="12"/>
  <c r="T591" i="12"/>
  <c r="T590" i="12"/>
  <c r="T589" i="12"/>
  <c r="T588" i="12"/>
  <c r="T587" i="12"/>
  <c r="T586" i="12"/>
  <c r="T585" i="12" s="1"/>
  <c r="T582" i="12"/>
  <c r="T581" i="12"/>
  <c r="T580" i="12"/>
  <c r="T579" i="12" s="1"/>
  <c r="T578" i="12"/>
  <c r="T577" i="12"/>
  <c r="T576" i="12"/>
  <c r="T575" i="12"/>
  <c r="T574" i="12"/>
  <c r="T573" i="12" s="1"/>
  <c r="T572" i="12"/>
  <c r="T571" i="12"/>
  <c r="T570" i="12"/>
  <c r="T569" i="12"/>
  <c r="T568" i="12"/>
  <c r="T567" i="12"/>
  <c r="T566" i="12"/>
  <c r="T565" i="12"/>
  <c r="T564" i="12"/>
  <c r="T563" i="12"/>
  <c r="T562" i="12"/>
  <c r="T561" i="12"/>
  <c r="T560" i="12"/>
  <c r="T559" i="12"/>
  <c r="T558" i="12"/>
  <c r="T557" i="12"/>
  <c r="T556" i="12"/>
  <c r="T555" i="12" s="1"/>
  <c r="T552" i="12"/>
  <c r="T551" i="12"/>
  <c r="T550" i="12"/>
  <c r="T549" i="12" s="1"/>
  <c r="T548" i="12"/>
  <c r="T547" i="12"/>
  <c r="T546" i="12"/>
  <c r="T545" i="12"/>
  <c r="T544" i="12"/>
  <c r="T543" i="12" s="1"/>
  <c r="T542" i="12"/>
  <c r="T541" i="12"/>
  <c r="T540" i="12"/>
  <c r="T539" i="12"/>
  <c r="T538" i="12"/>
  <c r="T537" i="12"/>
  <c r="T536" i="12"/>
  <c r="T535" i="12"/>
  <c r="T534" i="12"/>
  <c r="T533" i="12"/>
  <c r="T532" i="12"/>
  <c r="T531" i="12"/>
  <c r="T530" i="12"/>
  <c r="T529" i="12"/>
  <c r="T528" i="12"/>
  <c r="T527" i="12"/>
  <c r="T526" i="12"/>
  <c r="T524" i="12" s="1"/>
  <c r="T525" i="12"/>
  <c r="T521" i="12"/>
  <c r="T520" i="12"/>
  <c r="T518" i="12" s="1"/>
  <c r="T519" i="12"/>
  <c r="T517" i="12"/>
  <c r="T516" i="12"/>
  <c r="T515" i="12"/>
  <c r="T514" i="12"/>
  <c r="T513" i="12"/>
  <c r="T512" i="12"/>
  <c r="T511" i="12"/>
  <c r="T510" i="12"/>
  <c r="T509" i="12"/>
  <c r="T508" i="12"/>
  <c r="T507" i="12" s="1"/>
  <c r="T506" i="12"/>
  <c r="T505" i="12"/>
  <c r="T504" i="12"/>
  <c r="T503" i="12"/>
  <c r="T502" i="12"/>
  <c r="T501" i="12"/>
  <c r="T500" i="12"/>
  <c r="T499" i="12"/>
  <c r="T498" i="12"/>
  <c r="T497" i="12"/>
  <c r="T496" i="12"/>
  <c r="T495" i="12"/>
  <c r="T494" i="12"/>
  <c r="T493" i="12" s="1"/>
  <c r="T490" i="12"/>
  <c r="T489" i="12"/>
  <c r="T488" i="12"/>
  <c r="T487" i="12" s="1"/>
  <c r="T486" i="12"/>
  <c r="T485" i="12"/>
  <c r="T484" i="12"/>
  <c r="T483" i="12"/>
  <c r="T482" i="12"/>
  <c r="T481" i="12" s="1"/>
  <c r="T480" i="12"/>
  <c r="T479" i="12"/>
  <c r="T478" i="12"/>
  <c r="T477" i="12"/>
  <c r="T476" i="12" s="1"/>
  <c r="T475" i="12"/>
  <c r="T474" i="12"/>
  <c r="T473" i="12"/>
  <c r="T472" i="12"/>
  <c r="T471" i="12"/>
  <c r="T470" i="12"/>
  <c r="T469" i="12"/>
  <c r="T468" i="12"/>
  <c r="T467" i="12"/>
  <c r="T466" i="12"/>
  <c r="T462" i="12" s="1"/>
  <c r="T465" i="12"/>
  <c r="T464" i="12"/>
  <c r="T463" i="12"/>
  <c r="T459" i="12"/>
  <c r="T458" i="12"/>
  <c r="T457" i="12"/>
  <c r="T456" i="12"/>
  <c r="T455" i="12"/>
  <c r="T454" i="12"/>
  <c r="T453" i="12"/>
  <c r="T452" i="12"/>
  <c r="T451" i="12"/>
  <c r="T450" i="12" s="1"/>
  <c r="T449" i="12"/>
  <c r="T448" i="12"/>
  <c r="T447" i="12"/>
  <c r="T446" i="12"/>
  <c r="T445" i="12" s="1"/>
  <c r="T444" i="12"/>
  <c r="T443" i="12"/>
  <c r="T442" i="12"/>
  <c r="T441" i="12"/>
  <c r="T440" i="12"/>
  <c r="T439" i="12"/>
  <c r="T438" i="12"/>
  <c r="T437" i="12"/>
  <c r="T436" i="12"/>
  <c r="T432" i="12" s="1"/>
  <c r="T435" i="12"/>
  <c r="T434" i="12"/>
  <c r="T433" i="12"/>
  <c r="T429" i="12"/>
  <c r="T428" i="12"/>
  <c r="T427" i="12"/>
  <c r="T426" i="12"/>
  <c r="T425" i="12"/>
  <c r="T424" i="12"/>
  <c r="T423" i="12"/>
  <c r="T422" i="12"/>
  <c r="T421" i="12"/>
  <c r="T420" i="12" s="1"/>
  <c r="T419" i="12"/>
  <c r="T418" i="12"/>
  <c r="T417" i="12"/>
  <c r="T416" i="12"/>
  <c r="T415" i="12" s="1"/>
  <c r="T414" i="12"/>
  <c r="T402" i="12" s="1"/>
  <c r="T413" i="12"/>
  <c r="T412" i="12"/>
  <c r="T411" i="12"/>
  <c r="T410" i="12"/>
  <c r="T409" i="12"/>
  <c r="T408" i="12"/>
  <c r="T407" i="12"/>
  <c r="T406" i="12"/>
  <c r="T405" i="12"/>
  <c r="T404" i="12"/>
  <c r="T403" i="12"/>
  <c r="T399" i="12"/>
  <c r="T398" i="12"/>
  <c r="T397" i="12"/>
  <c r="T396" i="12"/>
  <c r="T395" i="12"/>
  <c r="T394" i="12"/>
  <c r="T393" i="12"/>
  <c r="T392" i="12"/>
  <c r="T391" i="12"/>
  <c r="T390" i="12" s="1"/>
  <c r="T389" i="12"/>
  <c r="T388" i="12"/>
  <c r="T385" i="12" s="1"/>
  <c r="T387" i="12"/>
  <c r="T386" i="12"/>
  <c r="T384" i="12"/>
  <c r="T383" i="12"/>
  <c r="T382" i="12"/>
  <c r="T381" i="12"/>
  <c r="T380" i="12"/>
  <c r="T379" i="12"/>
  <c r="T378" i="12"/>
  <c r="T377" i="12"/>
  <c r="T376" i="12"/>
  <c r="T372" i="12" s="1"/>
  <c r="T375" i="12"/>
  <c r="T374" i="12"/>
  <c r="T373" i="12"/>
  <c r="T369" i="12"/>
  <c r="T368" i="12"/>
  <c r="T367" i="12"/>
  <c r="T366" i="12"/>
  <c r="T365" i="12"/>
  <c r="T364" i="12"/>
  <c r="T363" i="12"/>
  <c r="T362" i="12"/>
  <c r="T361" i="12"/>
  <c r="T360" i="12" s="1"/>
  <c r="T359" i="12"/>
  <c r="T358" i="12"/>
  <c r="T355" i="12" s="1"/>
  <c r="T357" i="12"/>
  <c r="T356" i="12"/>
  <c r="T354" i="12"/>
  <c r="T353" i="12"/>
  <c r="T352" i="12"/>
  <c r="T351" i="12"/>
  <c r="T350" i="12"/>
  <c r="T349" i="12"/>
  <c r="T348" i="12"/>
  <c r="T347" i="12"/>
  <c r="T346" i="12"/>
  <c r="T345" i="12"/>
  <c r="T344" i="12"/>
  <c r="T343" i="12"/>
  <c r="T342" i="12"/>
  <c r="T339" i="12"/>
  <c r="T338" i="12"/>
  <c r="T337" i="12"/>
  <c r="T336" i="12"/>
  <c r="T335" i="12"/>
  <c r="T334" i="12"/>
  <c r="T333" i="12"/>
  <c r="T332" i="12"/>
  <c r="T330" i="12" s="1"/>
  <c r="T331" i="12"/>
  <c r="T329" i="12"/>
  <c r="T328" i="12"/>
  <c r="T327" i="12"/>
  <c r="T326" i="12"/>
  <c r="T325" i="12" s="1"/>
  <c r="T324" i="12"/>
  <c r="T323" i="12"/>
  <c r="T322" i="12"/>
  <c r="T321" i="12"/>
  <c r="T320" i="12"/>
  <c r="T319" i="12"/>
  <c r="T318" i="12"/>
  <c r="T317" i="12"/>
  <c r="T316" i="12"/>
  <c r="T312" i="12" s="1"/>
  <c r="T315" i="12"/>
  <c r="T314" i="12"/>
  <c r="T313" i="12"/>
  <c r="T309" i="12"/>
  <c r="T308" i="12"/>
  <c r="T307" i="12"/>
  <c r="T306" i="12"/>
  <c r="T305" i="12"/>
  <c r="T304" i="12"/>
  <c r="T303" i="12"/>
  <c r="T302" i="12"/>
  <c r="T300" i="12" s="1"/>
  <c r="T301" i="12"/>
  <c r="T299" i="12"/>
  <c r="T298" i="12"/>
  <c r="T297" i="12"/>
  <c r="T296" i="12"/>
  <c r="T295" i="12" s="1"/>
  <c r="T294" i="12"/>
  <c r="T293" i="12"/>
  <c r="T292" i="12"/>
  <c r="T291" i="12"/>
  <c r="T290" i="12"/>
  <c r="T289" i="12"/>
  <c r="T288" i="12"/>
  <c r="T287" i="12"/>
  <c r="T286" i="12"/>
  <c r="T285" i="12"/>
  <c r="T284" i="12"/>
  <c r="T283" i="12"/>
  <c r="T282" i="12"/>
  <c r="T281" i="12" s="1"/>
  <c r="T278" i="12"/>
  <c r="T277" i="12"/>
  <c r="T276" i="12"/>
  <c r="T275" i="12" s="1"/>
  <c r="T274" i="12"/>
  <c r="T273" i="12"/>
  <c r="T272" i="12"/>
  <c r="T271" i="12"/>
  <c r="T270" i="12"/>
  <c r="T269" i="12" s="1"/>
  <c r="T268" i="12"/>
  <c r="T267" i="12"/>
  <c r="T266" i="12"/>
  <c r="T265" i="12"/>
  <c r="T264" i="12"/>
  <c r="T263" i="12"/>
  <c r="T262" i="12"/>
  <c r="T261" i="12"/>
  <c r="T260" i="12"/>
  <c r="T259" i="12"/>
  <c r="T258" i="12"/>
  <c r="T257" i="12"/>
  <c r="T256" i="12"/>
  <c r="T255" i="12"/>
  <c r="T254" i="12"/>
  <c r="T253" i="12"/>
  <c r="T252" i="12"/>
  <c r="T251" i="12" s="1"/>
  <c r="T248" i="12"/>
  <c r="T247" i="12"/>
  <c r="T246" i="12"/>
  <c r="T245" i="12" s="1"/>
  <c r="T244" i="12"/>
  <c r="T243" i="12"/>
  <c r="T242" i="12"/>
  <c r="T241" i="12"/>
  <c r="T240" i="12"/>
  <c r="T239" i="12" s="1"/>
  <c r="T238" i="12"/>
  <c r="T237" i="12"/>
  <c r="T236" i="12"/>
  <c r="T235" i="12"/>
  <c r="T234" i="12"/>
  <c r="T233" i="12"/>
  <c r="T232" i="12"/>
  <c r="T231" i="12"/>
  <c r="T230" i="12"/>
  <c r="T229" i="12"/>
  <c r="T228" i="12"/>
  <c r="T227" i="12"/>
  <c r="T226" i="12"/>
  <c r="T225" i="12"/>
  <c r="T224" i="12"/>
  <c r="T223" i="12"/>
  <c r="T222" i="12"/>
  <c r="T221" i="12" s="1"/>
  <c r="T218" i="12"/>
  <c r="T217" i="12"/>
  <c r="T216" i="12"/>
  <c r="T215" i="12" s="1"/>
  <c r="T214" i="12"/>
  <c r="T213" i="12"/>
  <c r="T212" i="12"/>
  <c r="T211" i="12"/>
  <c r="T210" i="12"/>
  <c r="T209" i="12" s="1"/>
  <c r="T208" i="12"/>
  <c r="T207" i="12"/>
  <c r="T206" i="12"/>
  <c r="T205" i="12"/>
  <c r="T204" i="12"/>
  <c r="T203" i="12"/>
  <c r="T202" i="12"/>
  <c r="T201" i="12"/>
  <c r="T200" i="12"/>
  <c r="T199" i="12"/>
  <c r="T198" i="12"/>
  <c r="T197" i="12"/>
  <c r="T196" i="12"/>
  <c r="T195" i="12"/>
  <c r="T194" i="12"/>
  <c r="T193" i="12"/>
  <c r="T192" i="12"/>
  <c r="T191" i="12" s="1"/>
  <c r="T188" i="12"/>
  <c r="T187" i="12"/>
  <c r="T186" i="12"/>
  <c r="T185" i="12" s="1"/>
  <c r="T184" i="12"/>
  <c r="T183" i="12"/>
  <c r="T182" i="12"/>
  <c r="T181" i="12"/>
  <c r="T180" i="12"/>
  <c r="T179" i="12" s="1"/>
  <c r="T178" i="12"/>
  <c r="T177" i="12"/>
  <c r="T176" i="12"/>
  <c r="T175" i="12"/>
  <c r="T174" i="12"/>
  <c r="T173" i="12"/>
  <c r="T172" i="12"/>
  <c r="T171" i="12"/>
  <c r="T170" i="12"/>
  <c r="T169" i="12"/>
  <c r="T168" i="12"/>
  <c r="T167" i="12"/>
  <c r="T166" i="12"/>
  <c r="T165" i="12"/>
  <c r="T164" i="12"/>
  <c r="T163" i="12"/>
  <c r="T162" i="12"/>
  <c r="T161" i="12" s="1"/>
  <c r="T158" i="12"/>
  <c r="T157" i="12"/>
  <c r="T156" i="12"/>
  <c r="T155" i="12" s="1"/>
  <c r="T154" i="12"/>
  <c r="T153" i="12"/>
  <c r="T152" i="12"/>
  <c r="T151" i="12"/>
  <c r="T150" i="12"/>
  <c r="T149" i="12" s="1"/>
  <c r="T148" i="12"/>
  <c r="T147" i="12"/>
  <c r="T146" i="12"/>
  <c r="T145" i="12"/>
  <c r="T144" i="12"/>
  <c r="T143" i="12"/>
  <c r="T142" i="12"/>
  <c r="T141" i="12"/>
  <c r="T140" i="12"/>
  <c r="T139" i="12"/>
  <c r="T138" i="12"/>
  <c r="T137" i="12"/>
  <c r="T136" i="12"/>
  <c r="T135" i="12"/>
  <c r="T134" i="12"/>
  <c r="T133" i="12"/>
  <c r="T132" i="12"/>
  <c r="T131" i="12" s="1"/>
  <c r="T128" i="12"/>
  <c r="T127" i="12"/>
  <c r="T126" i="12"/>
  <c r="T125" i="12" s="1"/>
  <c r="T124" i="12"/>
  <c r="T123" i="12"/>
  <c r="T122" i="12"/>
  <c r="T121" i="12"/>
  <c r="T120" i="12"/>
  <c r="T119" i="12" s="1"/>
  <c r="T118" i="12"/>
  <c r="T117" i="12"/>
  <c r="T116" i="12"/>
  <c r="T115" i="12"/>
  <c r="T114" i="12"/>
  <c r="T113" i="12"/>
  <c r="T112" i="12"/>
  <c r="T111" i="12"/>
  <c r="T110" i="12"/>
  <c r="T109" i="12"/>
  <c r="T108" i="12"/>
  <c r="T107" i="12"/>
  <c r="T106" i="12"/>
  <c r="T105" i="12"/>
  <c r="T104" i="12"/>
  <c r="T103" i="12"/>
  <c r="T102" i="12"/>
  <c r="T101" i="12" s="1"/>
  <c r="T98" i="12"/>
  <c r="T97" i="12"/>
  <c r="T96" i="12"/>
  <c r="T95" i="12" s="1"/>
  <c r="T94" i="12"/>
  <c r="T93" i="12"/>
  <c r="T92" i="12"/>
  <c r="T91" i="12"/>
  <c r="T90" i="12"/>
  <c r="T89" i="12" s="1"/>
  <c r="T88" i="12"/>
  <c r="T87" i="12"/>
  <c r="T86" i="12"/>
  <c r="T85" i="12"/>
  <c r="T84" i="12"/>
  <c r="T83" i="12"/>
  <c r="T82" i="12"/>
  <c r="T81" i="12"/>
  <c r="T80" i="12"/>
  <c r="T79" i="12"/>
  <c r="T78" i="12"/>
  <c r="T77" i="12"/>
  <c r="T76" i="12"/>
  <c r="T75" i="12"/>
  <c r="T74" i="12"/>
  <c r="T73" i="12"/>
  <c r="T72" i="12"/>
  <c r="T71" i="12"/>
  <c r="T70" i="12"/>
  <c r="T69" i="12" s="1"/>
  <c r="T66" i="12"/>
  <c r="T65" i="12"/>
  <c r="T64" i="12"/>
  <c r="T63" i="12" s="1"/>
  <c r="T62" i="12"/>
  <c r="T61" i="12"/>
  <c r="T60" i="12"/>
  <c r="T59" i="12"/>
  <c r="T58" i="12"/>
  <c r="T57" i="12" s="1"/>
  <c r="T56" i="12"/>
  <c r="T55" i="12"/>
  <c r="T54" i="12"/>
  <c r="T52" i="12" s="1"/>
  <c r="T53" i="12"/>
  <c r="T51" i="12"/>
  <c r="T50" i="12"/>
  <c r="T49" i="12"/>
  <c r="T48" i="12"/>
  <c r="T47" i="12"/>
  <c r="T46" i="12"/>
  <c r="T45" i="12"/>
  <c r="T44" i="12"/>
  <c r="T43" i="12"/>
  <c r="T42" i="12"/>
  <c r="T41" i="12"/>
  <c r="T40" i="12"/>
  <c r="T39" i="12" s="1"/>
  <c r="T36" i="12"/>
  <c r="T35" i="12"/>
  <c r="T34" i="12"/>
  <c r="T33" i="12" s="1"/>
  <c r="T32" i="12"/>
  <c r="T31" i="12"/>
  <c r="T30" i="12"/>
  <c r="T29" i="12"/>
  <c r="T28" i="12"/>
  <c r="T26" i="12" s="1"/>
  <c r="T27" i="12"/>
  <c r="T25" i="12"/>
  <c r="T24" i="12"/>
  <c r="T23" i="12"/>
  <c r="T22" i="12"/>
  <c r="T21" i="12" s="1"/>
  <c r="T20" i="12"/>
  <c r="T19" i="12"/>
  <c r="T18" i="12"/>
  <c r="T17" i="12"/>
  <c r="T16" i="12"/>
  <c r="T15" i="12"/>
  <c r="T14" i="12"/>
  <c r="T13" i="12"/>
  <c r="T12" i="12"/>
  <c r="T8" i="12" s="1"/>
  <c r="T11" i="12"/>
  <c r="T10" i="12"/>
  <c r="T9" i="12"/>
  <c r="P7" i="13"/>
  <c r="O8" i="13"/>
  <c r="O7" i="13"/>
  <c r="N7" i="13"/>
  <c r="I6" i="13"/>
  <c r="I7" i="13"/>
  <c r="I8" i="13"/>
  <c r="J8" i="13"/>
  <c r="N8" i="13"/>
  <c r="J7" i="13" l="1"/>
  <c r="F245" i="15" l="1"/>
  <c r="B216" i="15"/>
  <c r="B240" i="15"/>
  <c r="C229" i="15"/>
  <c r="D229" i="15"/>
  <c r="E229" i="15"/>
  <c r="B229" i="15"/>
  <c r="B227" i="15"/>
  <c r="F244" i="15"/>
  <c r="G244" i="15" s="1"/>
  <c r="H244" i="15" s="1"/>
  <c r="I244" i="15" s="1"/>
  <c r="G215" i="15"/>
  <c r="C215" i="15"/>
  <c r="D215" i="15"/>
  <c r="E215" i="15"/>
  <c r="B215" i="15"/>
  <c r="B212" i="15"/>
  <c r="G211" i="15"/>
  <c r="F211" i="15"/>
  <c r="C211" i="15"/>
  <c r="D211" i="15"/>
  <c r="E211" i="15"/>
  <c r="B211" i="15"/>
  <c r="H243" i="15"/>
  <c r="I243" i="15" s="1"/>
  <c r="F243" i="15"/>
  <c r="G243" i="15" s="1"/>
  <c r="C242" i="15"/>
  <c r="D242" i="15"/>
  <c r="E242" i="15"/>
  <c r="B242" i="15"/>
  <c r="H241" i="15"/>
  <c r="I241" i="15" s="1"/>
  <c r="F242" i="15"/>
  <c r="G242" i="15" s="1"/>
  <c r="H242" i="15" s="1"/>
  <c r="I242" i="15" s="1"/>
  <c r="F241" i="15"/>
  <c r="G241" i="15" s="1"/>
  <c r="H215" i="15" l="1"/>
  <c r="I215" i="15" s="1"/>
  <c r="H211" i="15"/>
  <c r="I211" i="15" s="1"/>
  <c r="J157" i="15" l="1"/>
  <c r="J158" i="15"/>
  <c r="J159" i="15"/>
  <c r="G245" i="15"/>
  <c r="H245" i="15" s="1"/>
  <c r="I245" i="15" s="1"/>
  <c r="F246" i="15"/>
  <c r="G246" i="15" s="1"/>
  <c r="H246" i="15" s="1"/>
  <c r="I246" i="15" s="1"/>
  <c r="F240" i="15"/>
  <c r="G240" i="15" s="1"/>
  <c r="F235" i="15"/>
  <c r="G235" i="15" s="1"/>
  <c r="H235" i="15" s="1"/>
  <c r="F239" i="15"/>
  <c r="G239" i="15" s="1"/>
  <c r="H239" i="15" s="1"/>
  <c r="I239" i="15" s="1"/>
  <c r="F228" i="15"/>
  <c r="F221" i="15"/>
  <c r="G221" i="15" s="1"/>
  <c r="H221" i="15" s="1"/>
  <c r="F215" i="15"/>
  <c r="F213" i="15"/>
  <c r="F212" i="15"/>
  <c r="F210" i="15"/>
  <c r="F208" i="15"/>
  <c r="F207" i="15"/>
  <c r="F232" i="15"/>
  <c r="G232" i="15" s="1"/>
  <c r="H232" i="15" s="1"/>
  <c r="F231" i="15"/>
  <c r="G231" i="15" s="1"/>
  <c r="H231" i="15" s="1"/>
  <c r="F234" i="15"/>
  <c r="G234" i="15" s="1"/>
  <c r="F206" i="15"/>
  <c r="F217" i="15"/>
  <c r="F216" i="15"/>
  <c r="F233" i="15"/>
  <c r="G233" i="15" s="1"/>
  <c r="H233" i="15" s="1"/>
  <c r="F218" i="15"/>
  <c r="F219" i="15"/>
  <c r="F237" i="15"/>
  <c r="G237" i="15" s="1"/>
  <c r="F220" i="15"/>
  <c r="F209" i="15"/>
  <c r="F214" i="15"/>
  <c r="F224" i="15"/>
  <c r="G214" i="15"/>
  <c r="F227" i="15"/>
  <c r="G227" i="15"/>
  <c r="F223" i="15"/>
  <c r="G223" i="15" s="1"/>
  <c r="F229" i="15"/>
  <c r="G229" i="15" s="1"/>
  <c r="H229" i="15" s="1"/>
  <c r="I229" i="15" s="1"/>
  <c r="G238" i="15"/>
  <c r="H238" i="15" s="1"/>
  <c r="I238" i="15" s="1"/>
  <c r="G236" i="15"/>
  <c r="B233" i="15"/>
  <c r="F230" i="15"/>
  <c r="E230" i="15"/>
  <c r="D230" i="15"/>
  <c r="C230" i="15"/>
  <c r="B230" i="15"/>
  <c r="G228" i="15"/>
  <c r="H228" i="15" s="1"/>
  <c r="B228" i="15"/>
  <c r="F226" i="15"/>
  <c r="G226" i="15" s="1"/>
  <c r="F225" i="15"/>
  <c r="G225" i="15" s="1"/>
  <c r="E224" i="15"/>
  <c r="D224" i="15"/>
  <c r="C224" i="15"/>
  <c r="B224" i="15"/>
  <c r="G222" i="15"/>
  <c r="E220" i="15"/>
  <c r="D220" i="15"/>
  <c r="C220" i="15"/>
  <c r="B220" i="15"/>
  <c r="E219" i="15"/>
  <c r="D219" i="15"/>
  <c r="C219" i="15"/>
  <c r="B219" i="15"/>
  <c r="E218" i="15"/>
  <c r="D218" i="15"/>
  <c r="C218" i="15"/>
  <c r="B218" i="15"/>
  <c r="E217" i="15"/>
  <c r="D217" i="15"/>
  <c r="C217" i="15"/>
  <c r="B217" i="15"/>
  <c r="E216" i="15"/>
  <c r="D216" i="15"/>
  <c r="C216" i="15"/>
  <c r="B214" i="15"/>
  <c r="E213" i="15"/>
  <c r="D213" i="15"/>
  <c r="C213" i="15"/>
  <c r="B213" i="15"/>
  <c r="E212" i="15"/>
  <c r="D212" i="15"/>
  <c r="C212" i="15"/>
  <c r="E210" i="15"/>
  <c r="E249" i="15" s="1"/>
  <c r="D210" i="15"/>
  <c r="D249" i="15" s="1"/>
  <c r="C210" i="15"/>
  <c r="B210" i="15"/>
  <c r="E209" i="15"/>
  <c r="D209" i="15"/>
  <c r="C209" i="15"/>
  <c r="B209" i="15"/>
  <c r="E208" i="15"/>
  <c r="D208" i="15"/>
  <c r="C208" i="15"/>
  <c r="B208" i="15"/>
  <c r="E207" i="15"/>
  <c r="D207" i="15"/>
  <c r="C207" i="15"/>
  <c r="B207" i="15"/>
  <c r="G206" i="15"/>
  <c r="F190" i="15"/>
  <c r="G190" i="15" s="1"/>
  <c r="H190" i="15" s="1"/>
  <c r="E188" i="15"/>
  <c r="E204" i="15" s="1"/>
  <c r="D188" i="15"/>
  <c r="D204" i="15" s="1"/>
  <c r="C188" i="15"/>
  <c r="B188" i="15"/>
  <c r="F187" i="15"/>
  <c r="G187" i="15" s="1"/>
  <c r="H187" i="15" s="1"/>
  <c r="F186" i="15"/>
  <c r="G186" i="15" s="1"/>
  <c r="H186" i="15" s="1"/>
  <c r="F185" i="15"/>
  <c r="G185" i="15" s="1"/>
  <c r="F184" i="15"/>
  <c r="G184" i="15" s="1"/>
  <c r="H184" i="15" s="1"/>
  <c r="F183" i="15"/>
  <c r="G183" i="15" s="1"/>
  <c r="F182" i="15"/>
  <c r="G182" i="15" s="1"/>
  <c r="H182" i="15" s="1"/>
  <c r="F181" i="15"/>
  <c r="G181" i="15" s="1"/>
  <c r="F180" i="15"/>
  <c r="G180" i="15" s="1"/>
  <c r="H180" i="15" s="1"/>
  <c r="G179" i="15"/>
  <c r="F179" i="15"/>
  <c r="G176" i="15"/>
  <c r="E176" i="15"/>
  <c r="D176" i="15"/>
  <c r="C176" i="15"/>
  <c r="B176" i="15"/>
  <c r="E175" i="15"/>
  <c r="E177" i="15" s="1"/>
  <c r="D175" i="15"/>
  <c r="D177" i="15" s="1"/>
  <c r="C175" i="15"/>
  <c r="C177" i="15" s="1"/>
  <c r="B175" i="15"/>
  <c r="G174" i="15"/>
  <c r="H174" i="15" s="1"/>
  <c r="G173" i="15"/>
  <c r="H173" i="15" s="1"/>
  <c r="I173" i="15" s="1"/>
  <c r="F172" i="15"/>
  <c r="G172" i="15" s="1"/>
  <c r="F171" i="15"/>
  <c r="G171" i="15" s="1"/>
  <c r="H171" i="15" s="1"/>
  <c r="F170" i="15"/>
  <c r="G170" i="15" s="1"/>
  <c r="F169" i="15"/>
  <c r="G169" i="15" s="1"/>
  <c r="H169" i="15" s="1"/>
  <c r="G168" i="15"/>
  <c r="F167" i="15"/>
  <c r="G167" i="15" s="1"/>
  <c r="F166" i="15"/>
  <c r="G166" i="15" s="1"/>
  <c r="F165" i="15"/>
  <c r="G165" i="15" s="1"/>
  <c r="F164" i="15"/>
  <c r="G164" i="15" s="1"/>
  <c r="G163" i="15"/>
  <c r="F162" i="15"/>
  <c r="G162" i="15" s="1"/>
  <c r="G161" i="15"/>
  <c r="F160" i="15"/>
  <c r="G160" i="15" s="1"/>
  <c r="F159" i="15"/>
  <c r="G159" i="15" s="1"/>
  <c r="H159" i="15" s="1"/>
  <c r="F158" i="15"/>
  <c r="G158" i="15" s="1"/>
  <c r="F157" i="15"/>
  <c r="G157" i="15" s="1"/>
  <c r="H157" i="15" s="1"/>
  <c r="F156" i="15"/>
  <c r="G156" i="15" s="1"/>
  <c r="H156" i="15" s="1"/>
  <c r="H155" i="15"/>
  <c r="I155" i="15" s="1"/>
  <c r="F155" i="15"/>
  <c r="F176" i="15" s="1"/>
  <c r="F154" i="15"/>
  <c r="G154" i="15" s="1"/>
  <c r="H153" i="15"/>
  <c r="I153" i="15" s="1"/>
  <c r="F153" i="15"/>
  <c r="F152" i="15"/>
  <c r="G152" i="15" s="1"/>
  <c r="H152" i="15" s="1"/>
  <c r="F151" i="15"/>
  <c r="G151" i="15" s="1"/>
  <c r="H151" i="15" s="1"/>
  <c r="F150" i="15"/>
  <c r="G150" i="15" s="1"/>
  <c r="F149" i="15"/>
  <c r="G149" i="15" s="1"/>
  <c r="H149" i="15" s="1"/>
  <c r="G146" i="15"/>
  <c r="F146" i="15"/>
  <c r="E146" i="15"/>
  <c r="D146" i="15"/>
  <c r="C146" i="15"/>
  <c r="B146" i="15"/>
  <c r="F140" i="15"/>
  <c r="E140" i="15"/>
  <c r="D140" i="15"/>
  <c r="C140" i="15"/>
  <c r="B140" i="15"/>
  <c r="F139" i="15"/>
  <c r="E139" i="15"/>
  <c r="D139" i="15"/>
  <c r="C139" i="15"/>
  <c r="C141" i="15" s="1"/>
  <c r="B139" i="15"/>
  <c r="G138" i="15"/>
  <c r="G137" i="15"/>
  <c r="G136" i="15"/>
  <c r="H136" i="15" s="1"/>
  <c r="G135" i="15"/>
  <c r="G134" i="15"/>
  <c r="G133" i="15"/>
  <c r="H133" i="15" s="1"/>
  <c r="I133" i="15" s="1"/>
  <c r="G132" i="15"/>
  <c r="H132" i="15" s="1"/>
  <c r="G131" i="15"/>
  <c r="G130" i="15"/>
  <c r="G129" i="15"/>
  <c r="G128" i="15"/>
  <c r="F126" i="15"/>
  <c r="E126" i="15"/>
  <c r="D126" i="15"/>
  <c r="C126" i="15"/>
  <c r="B126" i="15"/>
  <c r="G125" i="15"/>
  <c r="G124" i="15"/>
  <c r="G123" i="15"/>
  <c r="G122" i="15"/>
  <c r="G121" i="15"/>
  <c r="G120" i="15"/>
  <c r="G118" i="15"/>
  <c r="G117" i="15"/>
  <c r="E115" i="15"/>
  <c r="D115" i="15"/>
  <c r="C115" i="15"/>
  <c r="B115" i="15"/>
  <c r="G114" i="15"/>
  <c r="G113" i="15"/>
  <c r="G112" i="15"/>
  <c r="I110" i="15"/>
  <c r="H110" i="15"/>
  <c r="F110" i="15"/>
  <c r="E110" i="15"/>
  <c r="D110" i="15"/>
  <c r="C110" i="15"/>
  <c r="B110" i="15"/>
  <c r="G108" i="15"/>
  <c r="G107" i="15"/>
  <c r="E106" i="15"/>
  <c r="D106" i="15"/>
  <c r="C106" i="15"/>
  <c r="B106" i="15"/>
  <c r="G105" i="15"/>
  <c r="G104" i="15"/>
  <c r="G103" i="15"/>
  <c r="G102" i="15"/>
  <c r="G101" i="15"/>
  <c r="G100" i="15"/>
  <c r="G99" i="15"/>
  <c r="G98" i="15"/>
  <c r="G97" i="15"/>
  <c r="G96" i="15"/>
  <c r="G95" i="15"/>
  <c r="G92" i="15"/>
  <c r="G91" i="15"/>
  <c r="G88" i="15"/>
  <c r="G87" i="15"/>
  <c r="G90" i="15" s="1"/>
  <c r="G84" i="15"/>
  <c r="G83" i="15"/>
  <c r="G82" i="15"/>
  <c r="G81" i="15"/>
  <c r="G78" i="15"/>
  <c r="G77" i="15"/>
  <c r="G76" i="15"/>
  <c r="G75" i="15"/>
  <c r="G74" i="15"/>
  <c r="G73" i="15"/>
  <c r="G72" i="15"/>
  <c r="G71" i="15"/>
  <c r="G70" i="15"/>
  <c r="G69" i="15"/>
  <c r="G66" i="15"/>
  <c r="G65" i="15"/>
  <c r="G64" i="15"/>
  <c r="G63" i="15"/>
  <c r="G62" i="15"/>
  <c r="G61" i="15"/>
  <c r="G60" i="15"/>
  <c r="G59" i="15"/>
  <c r="G58" i="15"/>
  <c r="F56" i="15"/>
  <c r="E56" i="15"/>
  <c r="D56" i="15"/>
  <c r="G55" i="15"/>
  <c r="G54" i="15"/>
  <c r="G53" i="15"/>
  <c r="G52" i="15"/>
  <c r="G51" i="15"/>
  <c r="G50" i="15"/>
  <c r="G49" i="15"/>
  <c r="G48" i="15"/>
  <c r="G47" i="15"/>
  <c r="G46" i="15"/>
  <c r="G45" i="15"/>
  <c r="G44" i="15"/>
  <c r="G43" i="15"/>
  <c r="G42" i="15"/>
  <c r="G41" i="15"/>
  <c r="G40" i="15"/>
  <c r="G39" i="15"/>
  <c r="G38" i="15"/>
  <c r="G37" i="15"/>
  <c r="G36" i="15"/>
  <c r="G35" i="15"/>
  <c r="G34" i="15"/>
  <c r="G33" i="15"/>
  <c r="G32" i="15"/>
  <c r="G31" i="15"/>
  <c r="G30" i="15"/>
  <c r="E28" i="15"/>
  <c r="D28" i="15"/>
  <c r="C28" i="15"/>
  <c r="B28" i="15"/>
  <c r="G27" i="15"/>
  <c r="G26" i="15"/>
  <c r="G25" i="15"/>
  <c r="G24" i="15"/>
  <c r="G23" i="15"/>
  <c r="G22" i="15"/>
  <c r="G21" i="15"/>
  <c r="C19" i="15"/>
  <c r="B19" i="15"/>
  <c r="F18" i="15"/>
  <c r="G18" i="15" s="1"/>
  <c r="F17" i="15"/>
  <c r="G17" i="15" s="1"/>
  <c r="F16" i="15"/>
  <c r="G16" i="15" s="1"/>
  <c r="F14" i="15"/>
  <c r="G14" i="15" s="1"/>
  <c r="F13" i="15"/>
  <c r="G13" i="15" s="1"/>
  <c r="F12" i="15"/>
  <c r="G12" i="15" s="1"/>
  <c r="F11" i="15"/>
  <c r="G11" i="15" s="1"/>
  <c r="G8" i="15"/>
  <c r="G6" i="15"/>
  <c r="G5" i="15"/>
  <c r="G4" i="15"/>
  <c r="D247" i="15" l="1"/>
  <c r="D250" i="15" s="1"/>
  <c r="G209" i="15"/>
  <c r="G212" i="15"/>
  <c r="G213" i="15"/>
  <c r="D141" i="15"/>
  <c r="B249" i="15"/>
  <c r="E247" i="15"/>
  <c r="E250" i="15" s="1"/>
  <c r="G140" i="15"/>
  <c r="H140" i="15" s="1"/>
  <c r="B247" i="15"/>
  <c r="B250" i="15" s="1"/>
  <c r="G216" i="15"/>
  <c r="H216" i="15" s="1"/>
  <c r="J160" i="15"/>
  <c r="J162" i="15" s="1"/>
  <c r="E141" i="15"/>
  <c r="C247" i="15"/>
  <c r="C249" i="15"/>
  <c r="G28" i="15"/>
  <c r="G56" i="15"/>
  <c r="H56" i="15" s="1"/>
  <c r="I56" i="15" s="1"/>
  <c r="I174" i="15"/>
  <c r="G7" i="15"/>
  <c r="H7" i="15" s="1"/>
  <c r="I7" i="15" s="1"/>
  <c r="H240" i="15"/>
  <c r="I240" i="15" s="1"/>
  <c r="H213" i="15"/>
  <c r="I213" i="15" s="1"/>
  <c r="G207" i="15"/>
  <c r="H158" i="15"/>
  <c r="I158" i="15" s="1"/>
  <c r="H154" i="15"/>
  <c r="I154" i="15" s="1"/>
  <c r="G67" i="15"/>
  <c r="H67" i="15" s="1"/>
  <c r="I67" i="15" s="1"/>
  <c r="H130" i="15"/>
  <c r="I130" i="15" s="1"/>
  <c r="H134" i="15"/>
  <c r="I134" i="15" s="1"/>
  <c r="H138" i="15"/>
  <c r="I138" i="15" s="1"/>
  <c r="G210" i="15"/>
  <c r="H210" i="15" s="1"/>
  <c r="I210" i="15" s="1"/>
  <c r="I228" i="15"/>
  <c r="G230" i="15"/>
  <c r="G224" i="15"/>
  <c r="G79" i="15"/>
  <c r="H79" i="15" s="1"/>
  <c r="I79" i="15" s="1"/>
  <c r="G115" i="15"/>
  <c r="H115" i="15" s="1"/>
  <c r="I115" i="15" s="1"/>
  <c r="H129" i="15"/>
  <c r="H137" i="15"/>
  <c r="I137" i="15" s="1"/>
  <c r="G218" i="15"/>
  <c r="H218" i="15" s="1"/>
  <c r="I235" i="15"/>
  <c r="G188" i="15"/>
  <c r="G204" i="15" s="1"/>
  <c r="G85" i="15"/>
  <c r="G106" i="15"/>
  <c r="H106" i="15" s="1"/>
  <c r="I106" i="15" s="1"/>
  <c r="G126" i="15"/>
  <c r="H126" i="15" s="1"/>
  <c r="I126" i="15" s="1"/>
  <c r="I129" i="15"/>
  <c r="B141" i="15"/>
  <c r="F141" i="15"/>
  <c r="F188" i="15"/>
  <c r="F204" i="15" s="1"/>
  <c r="G217" i="15"/>
  <c r="H217" i="15" s="1"/>
  <c r="G219" i="15"/>
  <c r="H219" i="15" s="1"/>
  <c r="H167" i="15"/>
  <c r="I167" i="15" s="1"/>
  <c r="H160" i="15"/>
  <c r="I160" i="15" s="1"/>
  <c r="H28" i="15"/>
  <c r="I28" i="15" s="1"/>
  <c r="H165" i="15"/>
  <c r="I165" i="15" s="1"/>
  <c r="H207" i="15"/>
  <c r="I207" i="15" s="1"/>
  <c r="H212" i="15"/>
  <c r="I212" i="15" s="1"/>
  <c r="H209" i="15"/>
  <c r="I209" i="15" s="1"/>
  <c r="H85" i="15"/>
  <c r="I85" i="15" s="1"/>
  <c r="H164" i="15"/>
  <c r="I164" i="15" s="1"/>
  <c r="H162" i="15"/>
  <c r="I162" i="15" s="1"/>
  <c r="H166" i="15"/>
  <c r="I166" i="15" s="1"/>
  <c r="G15" i="15"/>
  <c r="I151" i="15"/>
  <c r="I156" i="15"/>
  <c r="H161" i="15"/>
  <c r="I161" i="15" s="1"/>
  <c r="H163" i="15"/>
  <c r="I163" i="15" s="1"/>
  <c r="I169" i="15"/>
  <c r="H170" i="15"/>
  <c r="I170" i="15" s="1"/>
  <c r="B177" i="15"/>
  <c r="F175" i="15"/>
  <c r="H179" i="15"/>
  <c r="I179" i="15" s="1"/>
  <c r="I182" i="15"/>
  <c r="H183" i="15"/>
  <c r="I183" i="15" s="1"/>
  <c r="I186" i="15"/>
  <c r="I190" i="15"/>
  <c r="H225" i="15"/>
  <c r="I225" i="15" s="1"/>
  <c r="H227" i="15"/>
  <c r="I227" i="15" s="1"/>
  <c r="I232" i="15"/>
  <c r="G139" i="15"/>
  <c r="H131" i="15"/>
  <c r="I131" i="15" s="1"/>
  <c r="H206" i="15"/>
  <c r="I206" i="15" s="1"/>
  <c r="G208" i="15"/>
  <c r="G220" i="15"/>
  <c r="H223" i="15"/>
  <c r="I223" i="15" s="1"/>
  <c r="H234" i="15"/>
  <c r="I234" i="15" s="1"/>
  <c r="H237" i="15"/>
  <c r="I237" i="15" s="1"/>
  <c r="H90" i="15"/>
  <c r="I90" i="15" s="1"/>
  <c r="I136" i="15"/>
  <c r="I152" i="15"/>
  <c r="I187" i="15"/>
  <c r="H222" i="15"/>
  <c r="I222" i="15" s="1"/>
  <c r="G110" i="15"/>
  <c r="H128" i="15"/>
  <c r="I128" i="15" s="1"/>
  <c r="I132" i="15"/>
  <c r="H135" i="15"/>
  <c r="I135" i="15" s="1"/>
  <c r="G175" i="15"/>
  <c r="I149" i="15"/>
  <c r="H150" i="15"/>
  <c r="I150" i="15" s="1"/>
  <c r="I157" i="15"/>
  <c r="I159" i="15"/>
  <c r="H168" i="15"/>
  <c r="I168" i="15" s="1"/>
  <c r="I171" i="15"/>
  <c r="H172" i="15"/>
  <c r="I172" i="15" s="1"/>
  <c r="I180" i="15"/>
  <c r="H181" i="15"/>
  <c r="I181" i="15" s="1"/>
  <c r="I184" i="15"/>
  <c r="H185" i="15"/>
  <c r="I185" i="15" s="1"/>
  <c r="H214" i="15"/>
  <c r="I214" i="15" s="1"/>
  <c r="I221" i="15"/>
  <c r="H224" i="15"/>
  <c r="I224" i="15" s="1"/>
  <c r="H226" i="15"/>
  <c r="I226" i="15" s="1"/>
  <c r="I231" i="15"/>
  <c r="I233" i="15"/>
  <c r="H236" i="15"/>
  <c r="I236" i="15" s="1"/>
  <c r="I140" i="15" l="1"/>
  <c r="C250" i="15"/>
  <c r="I217" i="15"/>
  <c r="I216" i="15"/>
  <c r="I218" i="15"/>
  <c r="H230" i="15"/>
  <c r="I230" i="15" s="1"/>
  <c r="I219" i="15"/>
  <c r="H220" i="15"/>
  <c r="I220" i="15" s="1"/>
  <c r="I188" i="15"/>
  <c r="H204" i="15"/>
  <c r="I204" i="15" s="1"/>
  <c r="H188" i="15"/>
  <c r="H139" i="15"/>
  <c r="H141" i="15" s="1"/>
  <c r="G141" i="15"/>
  <c r="K8" i="15" s="1"/>
  <c r="G247" i="15"/>
  <c r="G249" i="15" s="1"/>
  <c r="H15" i="15"/>
  <c r="I15" i="15" s="1"/>
  <c r="H175" i="15"/>
  <c r="I175" i="15" s="1"/>
  <c r="H208" i="15"/>
  <c r="H247" i="15" l="1"/>
  <c r="I208" i="15"/>
  <c r="I247" i="15" s="1"/>
  <c r="I139" i="15"/>
  <c r="I141" i="15" s="1"/>
  <c r="K7" i="15" l="1"/>
  <c r="O7" i="14"/>
  <c r="N7" i="14"/>
  <c r="D8" i="14"/>
  <c r="C8" i="14"/>
  <c r="E7" i="14"/>
  <c r="J8" i="14" l="1"/>
  <c r="M8" i="14"/>
  <c r="P7" i="14"/>
  <c r="J7" i="14"/>
  <c r="M7" i="14"/>
  <c r="L6" i="14"/>
  <c r="K6" i="14"/>
  <c r="D6" i="14"/>
  <c r="C6" i="14"/>
  <c r="D6" i="13"/>
  <c r="F627" i="1"/>
  <c r="P8" i="13"/>
  <c r="Q8" i="13" s="1"/>
  <c r="Q7" i="13"/>
  <c r="J6" i="13"/>
  <c r="J6" i="14" l="1"/>
  <c r="N6" i="14"/>
  <c r="O6" i="14"/>
  <c r="M6" i="14"/>
  <c r="Q7" i="14"/>
  <c r="Q6" i="14" s="1"/>
  <c r="P6" i="14"/>
  <c r="G7" i="14"/>
  <c r="G8" i="14"/>
  <c r="Q6" i="13"/>
  <c r="P6" i="13"/>
  <c r="E8" i="13"/>
  <c r="E7" i="13"/>
  <c r="O645" i="12"/>
  <c r="Q645" i="12" s="1"/>
  <c r="O644" i="12"/>
  <c r="Q644" i="12" s="1"/>
  <c r="O643" i="12"/>
  <c r="Q643" i="12" s="1"/>
  <c r="O641" i="12"/>
  <c r="Q641" i="12" s="1"/>
  <c r="O640" i="12"/>
  <c r="Q640" i="12" s="1"/>
  <c r="O639" i="12"/>
  <c r="Q639" i="12" s="1"/>
  <c r="O638" i="12"/>
  <c r="O637" i="12"/>
  <c r="Q637" i="12" s="1"/>
  <c r="O636" i="12"/>
  <c r="Q636" i="12" s="1"/>
  <c r="O629" i="12"/>
  <c r="Q629" i="12" s="1"/>
  <c r="O612" i="12"/>
  <c r="O611" i="12"/>
  <c r="O610" i="12"/>
  <c r="O608" i="12"/>
  <c r="O607" i="12"/>
  <c r="Q607" i="12" s="1"/>
  <c r="S607" i="12" s="1"/>
  <c r="O606" i="12"/>
  <c r="O605" i="12"/>
  <c r="O604" i="12"/>
  <c r="O601" i="12"/>
  <c r="O600" i="12"/>
  <c r="Q600" i="12" s="1"/>
  <c r="O599" i="12"/>
  <c r="O597" i="12"/>
  <c r="O596" i="12"/>
  <c r="O595" i="12"/>
  <c r="O594" i="12"/>
  <c r="O593" i="12"/>
  <c r="O592" i="12"/>
  <c r="O591" i="12"/>
  <c r="O590" i="12"/>
  <c r="O589" i="12"/>
  <c r="O588" i="12"/>
  <c r="O587" i="12"/>
  <c r="O582" i="12"/>
  <c r="O581" i="12"/>
  <c r="O580" i="12"/>
  <c r="O578" i="12"/>
  <c r="O577" i="12"/>
  <c r="O576" i="12"/>
  <c r="O575" i="12"/>
  <c r="O574" i="12"/>
  <c r="O571" i="12"/>
  <c r="O570" i="12"/>
  <c r="O569" i="12"/>
  <c r="O567" i="12"/>
  <c r="O566" i="12"/>
  <c r="O565" i="12"/>
  <c r="O564" i="12"/>
  <c r="O563" i="12"/>
  <c r="O562" i="12"/>
  <c r="O561" i="12"/>
  <c r="O560" i="12"/>
  <c r="O559" i="12"/>
  <c r="O558" i="12"/>
  <c r="O557" i="12"/>
  <c r="O552" i="12"/>
  <c r="O551" i="12"/>
  <c r="O550" i="12"/>
  <c r="O548" i="12"/>
  <c r="O547" i="12"/>
  <c r="O546" i="12"/>
  <c r="O545" i="12"/>
  <c r="O544" i="12"/>
  <c r="O541" i="12"/>
  <c r="O540" i="12"/>
  <c r="O539" i="12"/>
  <c r="O537" i="12"/>
  <c r="O536" i="12"/>
  <c r="O535" i="12"/>
  <c r="O534" i="12"/>
  <c r="O533" i="12"/>
  <c r="O532" i="12"/>
  <c r="O531" i="12"/>
  <c r="O530" i="12"/>
  <c r="O529" i="12"/>
  <c r="O528" i="12"/>
  <c r="O527" i="12"/>
  <c r="O526" i="12"/>
  <c r="O521" i="12"/>
  <c r="O520" i="12"/>
  <c r="O519" i="12"/>
  <c r="O517" i="12"/>
  <c r="O516" i="12"/>
  <c r="O515" i="12"/>
  <c r="O514" i="12"/>
  <c r="O513" i="12"/>
  <c r="O510" i="12"/>
  <c r="O509" i="12"/>
  <c r="O508" i="12"/>
  <c r="O506" i="12"/>
  <c r="O505" i="12"/>
  <c r="O504" i="12"/>
  <c r="O503" i="12"/>
  <c r="O502" i="12"/>
  <c r="O501" i="12"/>
  <c r="O500" i="12"/>
  <c r="O499" i="12"/>
  <c r="O498" i="12"/>
  <c r="O497" i="12"/>
  <c r="O496" i="12"/>
  <c r="O495" i="12"/>
  <c r="O490" i="12"/>
  <c r="O489" i="12"/>
  <c r="O488" i="12"/>
  <c r="O486" i="12"/>
  <c r="O485" i="12"/>
  <c r="O484" i="12"/>
  <c r="O483" i="12"/>
  <c r="O482" i="12"/>
  <c r="O479" i="12"/>
  <c r="O478" i="12"/>
  <c r="O477" i="12"/>
  <c r="O475" i="12"/>
  <c r="O474" i="12"/>
  <c r="O473" i="12"/>
  <c r="O472" i="12"/>
  <c r="O471" i="12"/>
  <c r="O470" i="12"/>
  <c r="O469" i="12"/>
  <c r="O468" i="12"/>
  <c r="O467" i="12"/>
  <c r="O466" i="12"/>
  <c r="O465" i="12"/>
  <c r="O464" i="12"/>
  <c r="O459" i="12"/>
  <c r="O458" i="12"/>
  <c r="O457" i="12"/>
  <c r="O455" i="12"/>
  <c r="O454" i="12"/>
  <c r="O453" i="12"/>
  <c r="O452" i="12"/>
  <c r="O451" i="12"/>
  <c r="O448" i="12"/>
  <c r="O447" i="12"/>
  <c r="O446" i="12"/>
  <c r="O444" i="12"/>
  <c r="O443" i="12"/>
  <c r="O442" i="12"/>
  <c r="O441" i="12"/>
  <c r="O440" i="12"/>
  <c r="O439" i="12"/>
  <c r="O438" i="12"/>
  <c r="O437" i="12"/>
  <c r="O436" i="12"/>
  <c r="O435" i="12"/>
  <c r="O434" i="12"/>
  <c r="O429" i="12"/>
  <c r="O428" i="12"/>
  <c r="O427" i="12"/>
  <c r="O425" i="12"/>
  <c r="O424" i="12"/>
  <c r="O423" i="12"/>
  <c r="O422" i="12"/>
  <c r="O421" i="12"/>
  <c r="O418" i="12"/>
  <c r="O417" i="12"/>
  <c r="O416" i="12"/>
  <c r="O414" i="12"/>
  <c r="O413" i="12"/>
  <c r="O412" i="12"/>
  <c r="O411" i="12"/>
  <c r="O410" i="12"/>
  <c r="O409" i="12"/>
  <c r="O408" i="12"/>
  <c r="O407" i="12"/>
  <c r="O406" i="12"/>
  <c r="O405" i="12"/>
  <c r="O404" i="12"/>
  <c r="O399" i="12"/>
  <c r="O398" i="12"/>
  <c r="O397" i="12"/>
  <c r="O395" i="12"/>
  <c r="O394" i="12"/>
  <c r="O393" i="12"/>
  <c r="O392" i="12"/>
  <c r="O391" i="12"/>
  <c r="O388" i="12"/>
  <c r="O387" i="12"/>
  <c r="O386" i="12"/>
  <c r="O384" i="12"/>
  <c r="O383" i="12"/>
  <c r="O382" i="12"/>
  <c r="O381" i="12"/>
  <c r="O380" i="12"/>
  <c r="O379" i="12"/>
  <c r="O378" i="12"/>
  <c r="O377" i="12"/>
  <c r="O376" i="12"/>
  <c r="O375" i="12"/>
  <c r="O374" i="12"/>
  <c r="O369" i="12"/>
  <c r="O368" i="12"/>
  <c r="O367" i="12"/>
  <c r="O365" i="12"/>
  <c r="O364" i="12"/>
  <c r="O363" i="12"/>
  <c r="O362" i="12"/>
  <c r="O361" i="12"/>
  <c r="O358" i="12"/>
  <c r="O357" i="12"/>
  <c r="O356" i="12"/>
  <c r="O354" i="12"/>
  <c r="O353" i="12"/>
  <c r="O352" i="12"/>
  <c r="O351" i="12"/>
  <c r="O350" i="12"/>
  <c r="O349" i="12"/>
  <c r="O348" i="12"/>
  <c r="O347" i="12"/>
  <c r="O346" i="12"/>
  <c r="O345" i="12"/>
  <c r="O344" i="12"/>
  <c r="O339" i="12"/>
  <c r="O338" i="12"/>
  <c r="O337" i="12"/>
  <c r="O335" i="12"/>
  <c r="O334" i="12"/>
  <c r="O333" i="12"/>
  <c r="O332" i="12"/>
  <c r="O331" i="12"/>
  <c r="O328" i="12"/>
  <c r="O327" i="12"/>
  <c r="O326" i="12"/>
  <c r="O324" i="12"/>
  <c r="O323" i="12"/>
  <c r="O322" i="12"/>
  <c r="O321" i="12"/>
  <c r="O320" i="12"/>
  <c r="O319" i="12"/>
  <c r="O318" i="12"/>
  <c r="O317" i="12"/>
  <c r="O316" i="12"/>
  <c r="O315" i="12"/>
  <c r="O314" i="12"/>
  <c r="O309" i="12"/>
  <c r="O308" i="12"/>
  <c r="O307" i="12"/>
  <c r="O305" i="12"/>
  <c r="O304" i="12"/>
  <c r="O303" i="12"/>
  <c r="O302" i="12"/>
  <c r="O301" i="12"/>
  <c r="O298" i="12"/>
  <c r="O297" i="12"/>
  <c r="O296" i="12"/>
  <c r="O294" i="12"/>
  <c r="O293" i="12"/>
  <c r="O292" i="12"/>
  <c r="O291" i="12"/>
  <c r="O290" i="12"/>
  <c r="O289" i="12"/>
  <c r="O288" i="12"/>
  <c r="O287" i="12"/>
  <c r="O286" i="12"/>
  <c r="O285" i="12"/>
  <c r="O284" i="12"/>
  <c r="O283" i="12"/>
  <c r="O278" i="12"/>
  <c r="O277" i="12"/>
  <c r="O276" i="12"/>
  <c r="O274" i="12"/>
  <c r="O273" i="12"/>
  <c r="O272" i="12"/>
  <c r="O271" i="12"/>
  <c r="O270" i="12"/>
  <c r="O267" i="12"/>
  <c r="O266" i="12"/>
  <c r="O265" i="12"/>
  <c r="O263" i="12"/>
  <c r="O262" i="12"/>
  <c r="O261" i="12"/>
  <c r="O260" i="12"/>
  <c r="O259" i="12"/>
  <c r="O258" i="12"/>
  <c r="O257" i="12"/>
  <c r="O256" i="12"/>
  <c r="O255" i="12"/>
  <c r="O254" i="12"/>
  <c r="O253" i="12"/>
  <c r="O248" i="12"/>
  <c r="O247" i="12"/>
  <c r="O246" i="12"/>
  <c r="O244" i="12"/>
  <c r="O243" i="12"/>
  <c r="O242" i="12"/>
  <c r="O241" i="12"/>
  <c r="O240" i="12"/>
  <c r="O237" i="12"/>
  <c r="O236" i="12"/>
  <c r="O235" i="12"/>
  <c r="O233" i="12"/>
  <c r="O232" i="12"/>
  <c r="O231" i="12"/>
  <c r="O230" i="12"/>
  <c r="O229" i="12"/>
  <c r="O228" i="12"/>
  <c r="O227" i="12"/>
  <c r="O226" i="12"/>
  <c r="O225" i="12"/>
  <c r="O224" i="12"/>
  <c r="O223" i="12"/>
  <c r="O218" i="12"/>
  <c r="O217" i="12"/>
  <c r="O216" i="12"/>
  <c r="O214" i="12"/>
  <c r="O213" i="12"/>
  <c r="O212" i="12"/>
  <c r="O211" i="12"/>
  <c r="O210" i="12"/>
  <c r="O207" i="12"/>
  <c r="O206" i="12"/>
  <c r="O205" i="12"/>
  <c r="O203" i="12"/>
  <c r="O202" i="12"/>
  <c r="O201" i="12"/>
  <c r="O200" i="12"/>
  <c r="O199" i="12"/>
  <c r="O198" i="12"/>
  <c r="O197" i="12"/>
  <c r="O196" i="12"/>
  <c r="O195" i="12"/>
  <c r="O194" i="12"/>
  <c r="O193" i="12"/>
  <c r="O188" i="12"/>
  <c r="O187" i="12"/>
  <c r="O186" i="12"/>
  <c r="O184" i="12"/>
  <c r="O183" i="12"/>
  <c r="O182" i="12"/>
  <c r="O181" i="12"/>
  <c r="O180" i="12"/>
  <c r="O177" i="12"/>
  <c r="O176" i="12"/>
  <c r="O175" i="12"/>
  <c r="O173" i="12"/>
  <c r="O172" i="12"/>
  <c r="O171" i="12"/>
  <c r="O170" i="12"/>
  <c r="O169" i="12"/>
  <c r="O168" i="12"/>
  <c r="O167" i="12"/>
  <c r="O166" i="12"/>
  <c r="O165" i="12"/>
  <c r="O164" i="12"/>
  <c r="O163" i="12"/>
  <c r="O158" i="12"/>
  <c r="O157" i="12"/>
  <c r="O156" i="12"/>
  <c r="O154" i="12"/>
  <c r="O153" i="12"/>
  <c r="O152" i="12"/>
  <c r="O151" i="12"/>
  <c r="O150" i="12"/>
  <c r="O147" i="12"/>
  <c r="O146" i="12"/>
  <c r="O145" i="12"/>
  <c r="O143" i="12"/>
  <c r="O142" i="12"/>
  <c r="O141" i="12"/>
  <c r="O140" i="12"/>
  <c r="O139" i="12"/>
  <c r="O138" i="12"/>
  <c r="O137" i="12"/>
  <c r="O136" i="12"/>
  <c r="O135" i="12"/>
  <c r="O134" i="12"/>
  <c r="O133" i="12"/>
  <c r="O128" i="12"/>
  <c r="O127" i="12"/>
  <c r="O126" i="12"/>
  <c r="O124" i="12"/>
  <c r="O123" i="12"/>
  <c r="O122" i="12"/>
  <c r="O121" i="12"/>
  <c r="O120" i="12"/>
  <c r="O117" i="12"/>
  <c r="O116" i="12"/>
  <c r="O115" i="12"/>
  <c r="O113" i="12"/>
  <c r="O112" i="12"/>
  <c r="O111" i="12"/>
  <c r="O110" i="12"/>
  <c r="O109" i="12"/>
  <c r="O108" i="12"/>
  <c r="O107" i="12"/>
  <c r="O106" i="12"/>
  <c r="O105" i="12"/>
  <c r="O104" i="12"/>
  <c r="O103" i="12"/>
  <c r="O98" i="12"/>
  <c r="O97" i="12"/>
  <c r="O96" i="12"/>
  <c r="O94" i="12"/>
  <c r="O93" i="12"/>
  <c r="O92" i="12"/>
  <c r="O91" i="12"/>
  <c r="O90" i="12"/>
  <c r="O87" i="12"/>
  <c r="O86" i="12"/>
  <c r="O85" i="12"/>
  <c r="O83" i="12"/>
  <c r="O82" i="12"/>
  <c r="O81" i="12"/>
  <c r="O80" i="12"/>
  <c r="O79" i="12"/>
  <c r="O78" i="12"/>
  <c r="O77" i="12"/>
  <c r="O76" i="12"/>
  <c r="O75" i="12"/>
  <c r="O74" i="12"/>
  <c r="O73" i="12"/>
  <c r="O72" i="12"/>
  <c r="O71" i="12"/>
  <c r="O66" i="12"/>
  <c r="O65" i="12"/>
  <c r="O64" i="12"/>
  <c r="O62" i="12"/>
  <c r="O61" i="12"/>
  <c r="O60" i="12"/>
  <c r="O59" i="12"/>
  <c r="O58" i="12"/>
  <c r="O55" i="12"/>
  <c r="O54" i="12"/>
  <c r="O53" i="12"/>
  <c r="O51" i="12"/>
  <c r="O50" i="12"/>
  <c r="O49" i="12"/>
  <c r="O48" i="12"/>
  <c r="O47" i="12"/>
  <c r="O46" i="12"/>
  <c r="O45" i="12"/>
  <c r="O44" i="12"/>
  <c r="O43" i="12"/>
  <c r="O42" i="12"/>
  <c r="O41" i="12"/>
  <c r="O36" i="12"/>
  <c r="O35" i="12"/>
  <c r="O34" i="12"/>
  <c r="O32" i="12"/>
  <c r="O31" i="12"/>
  <c r="O30" i="12"/>
  <c r="O29" i="12"/>
  <c r="O28" i="12"/>
  <c r="O27" i="12"/>
  <c r="O24" i="12"/>
  <c r="O23" i="12"/>
  <c r="O22" i="12"/>
  <c r="O20" i="12"/>
  <c r="O19" i="12"/>
  <c r="O18" i="12"/>
  <c r="O17" i="12"/>
  <c r="O16" i="12"/>
  <c r="O15" i="12"/>
  <c r="O14" i="12"/>
  <c r="O13" i="12"/>
  <c r="O12" i="12"/>
  <c r="O11" i="12"/>
  <c r="O10" i="12"/>
  <c r="P645" i="12"/>
  <c r="R645" i="12" s="1"/>
  <c r="P644" i="12"/>
  <c r="R644" i="12" s="1"/>
  <c r="P643" i="12"/>
  <c r="R643" i="12" s="1"/>
  <c r="P641" i="12"/>
  <c r="R641" i="12" s="1"/>
  <c r="P640" i="12"/>
  <c r="R640" i="12" s="1"/>
  <c r="P639" i="12"/>
  <c r="R639" i="12" s="1"/>
  <c r="P638" i="12"/>
  <c r="R638" i="12" s="1"/>
  <c r="P637" i="12"/>
  <c r="R637" i="12" s="1"/>
  <c r="P636" i="12"/>
  <c r="R636" i="12" s="1"/>
  <c r="P629" i="12"/>
  <c r="R629" i="12" s="1"/>
  <c r="P612" i="12"/>
  <c r="R612" i="12" s="1"/>
  <c r="P611" i="12"/>
  <c r="R611" i="12" s="1"/>
  <c r="P610" i="12"/>
  <c r="P608" i="12"/>
  <c r="R608" i="12" s="1"/>
  <c r="P607" i="12"/>
  <c r="R607" i="12" s="1"/>
  <c r="P606" i="12"/>
  <c r="R606" i="12" s="1"/>
  <c r="P605" i="12"/>
  <c r="R605" i="12" s="1"/>
  <c r="P604" i="12"/>
  <c r="R604" i="12" s="1"/>
  <c r="P601" i="12"/>
  <c r="R601" i="12" s="1"/>
  <c r="P600" i="12"/>
  <c r="R600" i="12" s="1"/>
  <c r="P599" i="12"/>
  <c r="R599" i="12" s="1"/>
  <c r="P597" i="12"/>
  <c r="R597" i="12" s="1"/>
  <c r="P596" i="12"/>
  <c r="R596" i="12" s="1"/>
  <c r="P595" i="12"/>
  <c r="R595" i="12" s="1"/>
  <c r="P594" i="12"/>
  <c r="R594" i="12" s="1"/>
  <c r="P593" i="12"/>
  <c r="R593" i="12" s="1"/>
  <c r="P592" i="12"/>
  <c r="R592" i="12" s="1"/>
  <c r="P591" i="12"/>
  <c r="R591" i="12" s="1"/>
  <c r="P590" i="12"/>
  <c r="R590" i="12" s="1"/>
  <c r="P589" i="12"/>
  <c r="R589" i="12" s="1"/>
  <c r="P588" i="12"/>
  <c r="R588" i="12" s="1"/>
  <c r="P587" i="12"/>
  <c r="R587" i="12" s="1"/>
  <c r="P586" i="12"/>
  <c r="P582" i="12"/>
  <c r="R582" i="12" s="1"/>
  <c r="P581" i="12"/>
  <c r="R581" i="12" s="1"/>
  <c r="P580" i="12"/>
  <c r="R580" i="12" s="1"/>
  <c r="P578" i="12"/>
  <c r="R578" i="12" s="1"/>
  <c r="P577" i="12"/>
  <c r="R577" i="12" s="1"/>
  <c r="P576" i="12"/>
  <c r="R576" i="12" s="1"/>
  <c r="P575" i="12"/>
  <c r="R575" i="12" s="1"/>
  <c r="P574" i="12"/>
  <c r="P571" i="12"/>
  <c r="R571" i="12" s="1"/>
  <c r="P570" i="12"/>
  <c r="R570" i="12" s="1"/>
  <c r="P569" i="12"/>
  <c r="R569" i="12" s="1"/>
  <c r="P567" i="12"/>
  <c r="R567" i="12" s="1"/>
  <c r="P566" i="12"/>
  <c r="R566" i="12" s="1"/>
  <c r="P565" i="12"/>
  <c r="R565" i="12" s="1"/>
  <c r="P564" i="12"/>
  <c r="R564" i="12" s="1"/>
  <c r="P563" i="12"/>
  <c r="R563" i="12" s="1"/>
  <c r="P562" i="12"/>
  <c r="R562" i="12" s="1"/>
  <c r="P561" i="12"/>
  <c r="R561" i="12" s="1"/>
  <c r="P560" i="12"/>
  <c r="R560" i="12" s="1"/>
  <c r="P559" i="12"/>
  <c r="R559" i="12" s="1"/>
  <c r="P558" i="12"/>
  <c r="R558" i="12" s="1"/>
  <c r="P557" i="12"/>
  <c r="R557" i="12" s="1"/>
  <c r="P556" i="12"/>
  <c r="P552" i="12"/>
  <c r="R552" i="12" s="1"/>
  <c r="P551" i="12"/>
  <c r="R551" i="12" s="1"/>
  <c r="P550" i="12"/>
  <c r="R550" i="12" s="1"/>
  <c r="P548" i="12"/>
  <c r="R548" i="12" s="1"/>
  <c r="P547" i="12"/>
  <c r="R547" i="12" s="1"/>
  <c r="P546" i="12"/>
  <c r="R546" i="12" s="1"/>
  <c r="P545" i="12"/>
  <c r="R545" i="12" s="1"/>
  <c r="P544" i="12"/>
  <c r="R544" i="12" s="1"/>
  <c r="P541" i="12"/>
  <c r="R541" i="12" s="1"/>
  <c r="P540" i="12"/>
  <c r="R540" i="12" s="1"/>
  <c r="P539" i="12"/>
  <c r="R539" i="12" s="1"/>
  <c r="P537" i="12"/>
  <c r="R537" i="12" s="1"/>
  <c r="P536" i="12"/>
  <c r="R536" i="12" s="1"/>
  <c r="P535" i="12"/>
  <c r="R535" i="12" s="1"/>
  <c r="P534" i="12"/>
  <c r="R534" i="12" s="1"/>
  <c r="P533" i="12"/>
  <c r="R533" i="12" s="1"/>
  <c r="P532" i="12"/>
  <c r="R532" i="12" s="1"/>
  <c r="P531" i="12"/>
  <c r="R531" i="12" s="1"/>
  <c r="P530" i="12"/>
  <c r="R530" i="12" s="1"/>
  <c r="P529" i="12"/>
  <c r="R529" i="12" s="1"/>
  <c r="P528" i="12"/>
  <c r="R528" i="12" s="1"/>
  <c r="P527" i="12"/>
  <c r="R527" i="12" s="1"/>
  <c r="P526" i="12"/>
  <c r="R526" i="12" s="1"/>
  <c r="P525" i="12"/>
  <c r="P521" i="12"/>
  <c r="R521" i="12" s="1"/>
  <c r="P520" i="12"/>
  <c r="R520" i="12" s="1"/>
  <c r="P519" i="12"/>
  <c r="R519" i="12" s="1"/>
  <c r="P517" i="12"/>
  <c r="R517" i="12" s="1"/>
  <c r="P516" i="12"/>
  <c r="R516" i="12" s="1"/>
  <c r="P515" i="12"/>
  <c r="R515" i="12" s="1"/>
  <c r="P514" i="12"/>
  <c r="R514" i="12" s="1"/>
  <c r="P513" i="12"/>
  <c r="R513" i="12" s="1"/>
  <c r="P510" i="12"/>
  <c r="R510" i="12" s="1"/>
  <c r="P509" i="12"/>
  <c r="R509" i="12" s="1"/>
  <c r="P508" i="12"/>
  <c r="R508" i="12" s="1"/>
  <c r="P506" i="12"/>
  <c r="R506" i="12" s="1"/>
  <c r="P505" i="12"/>
  <c r="R505" i="12" s="1"/>
  <c r="P504" i="12"/>
  <c r="R504" i="12" s="1"/>
  <c r="P503" i="12"/>
  <c r="R503" i="12" s="1"/>
  <c r="P502" i="12"/>
  <c r="R502" i="12" s="1"/>
  <c r="P501" i="12"/>
  <c r="R501" i="12" s="1"/>
  <c r="P500" i="12"/>
  <c r="R500" i="12" s="1"/>
  <c r="P499" i="12"/>
  <c r="R499" i="12" s="1"/>
  <c r="P498" i="12"/>
  <c r="R498" i="12" s="1"/>
  <c r="P497" i="12"/>
  <c r="R497" i="12" s="1"/>
  <c r="P496" i="12"/>
  <c r="R496" i="12" s="1"/>
  <c r="P495" i="12"/>
  <c r="R495" i="12" s="1"/>
  <c r="P494" i="12"/>
  <c r="P490" i="12"/>
  <c r="R490" i="12" s="1"/>
  <c r="P489" i="12"/>
  <c r="R489" i="12" s="1"/>
  <c r="P488" i="12"/>
  <c r="R488" i="12" s="1"/>
  <c r="P486" i="12"/>
  <c r="R486" i="12" s="1"/>
  <c r="P485" i="12"/>
  <c r="R485" i="12" s="1"/>
  <c r="P484" i="12"/>
  <c r="R484" i="12" s="1"/>
  <c r="P483" i="12"/>
  <c r="R483" i="12" s="1"/>
  <c r="P482" i="12"/>
  <c r="R482" i="12" s="1"/>
  <c r="P479" i="12"/>
  <c r="R479" i="12" s="1"/>
  <c r="P478" i="12"/>
  <c r="R478" i="12" s="1"/>
  <c r="P477" i="12"/>
  <c r="P475" i="12"/>
  <c r="R475" i="12" s="1"/>
  <c r="P474" i="12"/>
  <c r="R474" i="12" s="1"/>
  <c r="P473" i="12"/>
  <c r="R473" i="12" s="1"/>
  <c r="P472" i="12"/>
  <c r="R472" i="12" s="1"/>
  <c r="P471" i="12"/>
  <c r="R471" i="12" s="1"/>
  <c r="P470" i="12"/>
  <c r="R470" i="12" s="1"/>
  <c r="P469" i="12"/>
  <c r="R469" i="12" s="1"/>
  <c r="P468" i="12"/>
  <c r="R468" i="12" s="1"/>
  <c r="P467" i="12"/>
  <c r="R467" i="12" s="1"/>
  <c r="P466" i="12"/>
  <c r="R466" i="12" s="1"/>
  <c r="P465" i="12"/>
  <c r="R465" i="12" s="1"/>
  <c r="P464" i="12"/>
  <c r="R464" i="12" s="1"/>
  <c r="P463" i="12"/>
  <c r="P459" i="12"/>
  <c r="R459" i="12" s="1"/>
  <c r="P458" i="12"/>
  <c r="R458" i="12" s="1"/>
  <c r="P457" i="12"/>
  <c r="R457" i="12" s="1"/>
  <c r="P455" i="12"/>
  <c r="R455" i="12" s="1"/>
  <c r="P454" i="12"/>
  <c r="R454" i="12" s="1"/>
  <c r="P453" i="12"/>
  <c r="R453" i="12" s="1"/>
  <c r="P452" i="12"/>
  <c r="R452" i="12" s="1"/>
  <c r="P451" i="12"/>
  <c r="R451" i="12" s="1"/>
  <c r="P448" i="12"/>
  <c r="R448" i="12" s="1"/>
  <c r="P447" i="12"/>
  <c r="R447" i="12" s="1"/>
  <c r="P446" i="12"/>
  <c r="R446" i="12" s="1"/>
  <c r="P444" i="12"/>
  <c r="R444" i="12" s="1"/>
  <c r="P443" i="12"/>
  <c r="R443" i="12" s="1"/>
  <c r="P442" i="12"/>
  <c r="R442" i="12" s="1"/>
  <c r="P441" i="12"/>
  <c r="R441" i="12" s="1"/>
  <c r="P440" i="12"/>
  <c r="R440" i="12" s="1"/>
  <c r="P439" i="12"/>
  <c r="R439" i="12" s="1"/>
  <c r="P438" i="12"/>
  <c r="R438" i="12" s="1"/>
  <c r="P437" i="12"/>
  <c r="R437" i="12" s="1"/>
  <c r="P436" i="12"/>
  <c r="R436" i="12" s="1"/>
  <c r="P435" i="12"/>
  <c r="R435" i="12" s="1"/>
  <c r="P434" i="12"/>
  <c r="R434" i="12" s="1"/>
  <c r="P433" i="12"/>
  <c r="P429" i="12"/>
  <c r="R429" i="12" s="1"/>
  <c r="P428" i="12"/>
  <c r="R428" i="12" s="1"/>
  <c r="P427" i="12"/>
  <c r="R427" i="12" s="1"/>
  <c r="R426" i="12" s="1"/>
  <c r="P425" i="12"/>
  <c r="R425" i="12" s="1"/>
  <c r="P424" i="12"/>
  <c r="R424" i="12" s="1"/>
  <c r="P423" i="12"/>
  <c r="R423" i="12" s="1"/>
  <c r="P422" i="12"/>
  <c r="R422" i="12" s="1"/>
  <c r="P421" i="12"/>
  <c r="R421" i="12" s="1"/>
  <c r="P418" i="12"/>
  <c r="R418" i="12" s="1"/>
  <c r="P417" i="12"/>
  <c r="R417" i="12" s="1"/>
  <c r="P416" i="12"/>
  <c r="R416" i="12" s="1"/>
  <c r="R415" i="12" s="1"/>
  <c r="P414" i="12"/>
  <c r="R414" i="12" s="1"/>
  <c r="P413" i="12"/>
  <c r="R413" i="12" s="1"/>
  <c r="P412" i="12"/>
  <c r="R412" i="12" s="1"/>
  <c r="P411" i="12"/>
  <c r="R411" i="12" s="1"/>
  <c r="P410" i="12"/>
  <c r="R410" i="12" s="1"/>
  <c r="P409" i="12"/>
  <c r="R409" i="12" s="1"/>
  <c r="P408" i="12"/>
  <c r="R408" i="12" s="1"/>
  <c r="P407" i="12"/>
  <c r="R407" i="12" s="1"/>
  <c r="P406" i="12"/>
  <c r="R406" i="12" s="1"/>
  <c r="P405" i="12"/>
  <c r="R405" i="12" s="1"/>
  <c r="P404" i="12"/>
  <c r="R404" i="12" s="1"/>
  <c r="P403" i="12"/>
  <c r="P399" i="12"/>
  <c r="R399" i="12" s="1"/>
  <c r="P398" i="12"/>
  <c r="R398" i="12" s="1"/>
  <c r="P397" i="12"/>
  <c r="R397" i="12" s="1"/>
  <c r="P395" i="12"/>
  <c r="R395" i="12" s="1"/>
  <c r="P394" i="12"/>
  <c r="R394" i="12" s="1"/>
  <c r="P393" i="12"/>
  <c r="R393" i="12" s="1"/>
  <c r="P392" i="12"/>
  <c r="R392" i="12" s="1"/>
  <c r="P391" i="12"/>
  <c r="R391" i="12" s="1"/>
  <c r="P388" i="12"/>
  <c r="R388" i="12" s="1"/>
  <c r="P387" i="12"/>
  <c r="R387" i="12" s="1"/>
  <c r="P386" i="12"/>
  <c r="R386" i="12" s="1"/>
  <c r="P384" i="12"/>
  <c r="R384" i="12" s="1"/>
  <c r="P383" i="12"/>
  <c r="R383" i="12" s="1"/>
  <c r="P382" i="12"/>
  <c r="R382" i="12" s="1"/>
  <c r="P381" i="12"/>
  <c r="R381" i="12" s="1"/>
  <c r="P380" i="12"/>
  <c r="R380" i="12" s="1"/>
  <c r="P379" i="12"/>
  <c r="R379" i="12" s="1"/>
  <c r="P378" i="12"/>
  <c r="R378" i="12" s="1"/>
  <c r="P377" i="12"/>
  <c r="R377" i="12" s="1"/>
  <c r="P376" i="12"/>
  <c r="R376" i="12" s="1"/>
  <c r="P375" i="12"/>
  <c r="R375" i="12" s="1"/>
  <c r="P374" i="12"/>
  <c r="R374" i="12" s="1"/>
  <c r="P373" i="12"/>
  <c r="P369" i="12"/>
  <c r="R369" i="12" s="1"/>
  <c r="P368" i="12"/>
  <c r="R368" i="12" s="1"/>
  <c r="P367" i="12"/>
  <c r="P365" i="12"/>
  <c r="R365" i="12" s="1"/>
  <c r="P364" i="12"/>
  <c r="R364" i="12" s="1"/>
  <c r="P363" i="12"/>
  <c r="R363" i="12" s="1"/>
  <c r="P362" i="12"/>
  <c r="R362" i="12" s="1"/>
  <c r="P361" i="12"/>
  <c r="R361" i="12" s="1"/>
  <c r="P358" i="12"/>
  <c r="R358" i="12" s="1"/>
  <c r="P357" i="12"/>
  <c r="R357" i="12" s="1"/>
  <c r="P356" i="12"/>
  <c r="R356" i="12" s="1"/>
  <c r="P354" i="12"/>
  <c r="R354" i="12" s="1"/>
  <c r="P353" i="12"/>
  <c r="R353" i="12" s="1"/>
  <c r="P352" i="12"/>
  <c r="R352" i="12" s="1"/>
  <c r="P351" i="12"/>
  <c r="R351" i="12" s="1"/>
  <c r="P350" i="12"/>
  <c r="R350" i="12" s="1"/>
  <c r="P349" i="12"/>
  <c r="R349" i="12" s="1"/>
  <c r="P348" i="12"/>
  <c r="R348" i="12" s="1"/>
  <c r="P347" i="12"/>
  <c r="R347" i="12" s="1"/>
  <c r="P346" i="12"/>
  <c r="R346" i="12" s="1"/>
  <c r="P345" i="12"/>
  <c r="R345" i="12" s="1"/>
  <c r="P344" i="12"/>
  <c r="R344" i="12" s="1"/>
  <c r="P343" i="12"/>
  <c r="P339" i="12"/>
  <c r="R339" i="12" s="1"/>
  <c r="P338" i="12"/>
  <c r="R338" i="12" s="1"/>
  <c r="P337" i="12"/>
  <c r="R337" i="12" s="1"/>
  <c r="P335" i="12"/>
  <c r="R335" i="12" s="1"/>
  <c r="P334" i="12"/>
  <c r="R334" i="12" s="1"/>
  <c r="P333" i="12"/>
  <c r="R333" i="12" s="1"/>
  <c r="P332" i="12"/>
  <c r="R332" i="12" s="1"/>
  <c r="P331" i="12"/>
  <c r="R331" i="12" s="1"/>
  <c r="P328" i="12"/>
  <c r="R328" i="12" s="1"/>
  <c r="P327" i="12"/>
  <c r="R327" i="12" s="1"/>
  <c r="P326" i="12"/>
  <c r="R326" i="12" s="1"/>
  <c r="P324" i="12"/>
  <c r="R324" i="12" s="1"/>
  <c r="P323" i="12"/>
  <c r="R323" i="12" s="1"/>
  <c r="P322" i="12"/>
  <c r="R322" i="12" s="1"/>
  <c r="P321" i="12"/>
  <c r="R321" i="12" s="1"/>
  <c r="P320" i="12"/>
  <c r="R320" i="12" s="1"/>
  <c r="P319" i="12"/>
  <c r="R319" i="12" s="1"/>
  <c r="P318" i="12"/>
  <c r="R318" i="12" s="1"/>
  <c r="P317" i="12"/>
  <c r="R317" i="12" s="1"/>
  <c r="P316" i="12"/>
  <c r="R316" i="12" s="1"/>
  <c r="P315" i="12"/>
  <c r="R315" i="12" s="1"/>
  <c r="P314" i="12"/>
  <c r="R314" i="12" s="1"/>
  <c r="P313" i="12"/>
  <c r="P309" i="12"/>
  <c r="R309" i="12" s="1"/>
  <c r="P308" i="12"/>
  <c r="R308" i="12" s="1"/>
  <c r="P307" i="12"/>
  <c r="R307" i="12" s="1"/>
  <c r="R306" i="12" s="1"/>
  <c r="P305" i="12"/>
  <c r="R305" i="12" s="1"/>
  <c r="P304" i="12"/>
  <c r="R304" i="12" s="1"/>
  <c r="P303" i="12"/>
  <c r="R303" i="12" s="1"/>
  <c r="P302" i="12"/>
  <c r="R302" i="12" s="1"/>
  <c r="P301" i="12"/>
  <c r="R301" i="12" s="1"/>
  <c r="P298" i="12"/>
  <c r="R298" i="12" s="1"/>
  <c r="P297" i="12"/>
  <c r="R297" i="12" s="1"/>
  <c r="P296" i="12"/>
  <c r="R296" i="12" s="1"/>
  <c r="R295" i="12" s="1"/>
  <c r="P294" i="12"/>
  <c r="R294" i="12" s="1"/>
  <c r="P293" i="12"/>
  <c r="R293" i="12" s="1"/>
  <c r="P292" i="12"/>
  <c r="R292" i="12" s="1"/>
  <c r="P291" i="12"/>
  <c r="R291" i="12" s="1"/>
  <c r="P290" i="12"/>
  <c r="R290" i="12" s="1"/>
  <c r="P289" i="12"/>
  <c r="R289" i="12" s="1"/>
  <c r="P288" i="12"/>
  <c r="R288" i="12" s="1"/>
  <c r="P287" i="12"/>
  <c r="R287" i="12" s="1"/>
  <c r="P286" i="12"/>
  <c r="R286" i="12" s="1"/>
  <c r="P285" i="12"/>
  <c r="R285" i="12" s="1"/>
  <c r="P284" i="12"/>
  <c r="R284" i="12" s="1"/>
  <c r="P283" i="12"/>
  <c r="R283" i="12" s="1"/>
  <c r="P282" i="12"/>
  <c r="P278" i="12"/>
  <c r="R278" i="12" s="1"/>
  <c r="P277" i="12"/>
  <c r="R277" i="12" s="1"/>
  <c r="P276" i="12"/>
  <c r="R276" i="12" s="1"/>
  <c r="P274" i="12"/>
  <c r="R274" i="12" s="1"/>
  <c r="P273" i="12"/>
  <c r="R273" i="12" s="1"/>
  <c r="P272" i="12"/>
  <c r="R272" i="12" s="1"/>
  <c r="P271" i="12"/>
  <c r="R271" i="12" s="1"/>
  <c r="P270" i="12"/>
  <c r="R270" i="12" s="1"/>
  <c r="P267" i="12"/>
  <c r="R267" i="12" s="1"/>
  <c r="P266" i="12"/>
  <c r="R266" i="12" s="1"/>
  <c r="P265" i="12"/>
  <c r="R265" i="12" s="1"/>
  <c r="P263" i="12"/>
  <c r="R263" i="12" s="1"/>
  <c r="P262" i="12"/>
  <c r="R262" i="12" s="1"/>
  <c r="P261" i="12"/>
  <c r="R261" i="12" s="1"/>
  <c r="P260" i="12"/>
  <c r="R260" i="12" s="1"/>
  <c r="P259" i="12"/>
  <c r="R259" i="12" s="1"/>
  <c r="P258" i="12"/>
  <c r="R258" i="12" s="1"/>
  <c r="P257" i="12"/>
  <c r="R257" i="12" s="1"/>
  <c r="P256" i="12"/>
  <c r="R256" i="12" s="1"/>
  <c r="P255" i="12"/>
  <c r="R255" i="12" s="1"/>
  <c r="P254" i="12"/>
  <c r="R254" i="12" s="1"/>
  <c r="P253" i="12"/>
  <c r="R253" i="12" s="1"/>
  <c r="P252" i="12"/>
  <c r="P248" i="12"/>
  <c r="R248" i="12" s="1"/>
  <c r="P247" i="12"/>
  <c r="P246" i="12"/>
  <c r="R246" i="12" s="1"/>
  <c r="P244" i="12"/>
  <c r="R244" i="12" s="1"/>
  <c r="P243" i="12"/>
  <c r="R243" i="12" s="1"/>
  <c r="P242" i="12"/>
  <c r="R242" i="12" s="1"/>
  <c r="P241" i="12"/>
  <c r="R241" i="12" s="1"/>
  <c r="P240" i="12"/>
  <c r="R240" i="12" s="1"/>
  <c r="R239" i="12" s="1"/>
  <c r="P237" i="12"/>
  <c r="R237" i="12" s="1"/>
  <c r="P236" i="12"/>
  <c r="R236" i="12" s="1"/>
  <c r="P235" i="12"/>
  <c r="R235" i="12" s="1"/>
  <c r="P233" i="12"/>
  <c r="R233" i="12" s="1"/>
  <c r="P232" i="12"/>
  <c r="R232" i="12" s="1"/>
  <c r="P231" i="12"/>
  <c r="R231" i="12" s="1"/>
  <c r="P230" i="12"/>
  <c r="R230" i="12" s="1"/>
  <c r="P229" i="12"/>
  <c r="R229" i="12" s="1"/>
  <c r="P228" i="12"/>
  <c r="R228" i="12" s="1"/>
  <c r="P227" i="12"/>
  <c r="R227" i="12" s="1"/>
  <c r="P226" i="12"/>
  <c r="R226" i="12" s="1"/>
  <c r="P225" i="12"/>
  <c r="R225" i="12" s="1"/>
  <c r="P224" i="12"/>
  <c r="R224" i="12" s="1"/>
  <c r="P223" i="12"/>
  <c r="R223" i="12" s="1"/>
  <c r="P222" i="12"/>
  <c r="P218" i="12"/>
  <c r="R218" i="12" s="1"/>
  <c r="R215" i="12" s="1"/>
  <c r="P217" i="12"/>
  <c r="R217" i="12" s="1"/>
  <c r="P216" i="12"/>
  <c r="R216" i="12" s="1"/>
  <c r="P214" i="12"/>
  <c r="R214" i="12" s="1"/>
  <c r="P213" i="12"/>
  <c r="R213" i="12" s="1"/>
  <c r="P212" i="12"/>
  <c r="R212" i="12" s="1"/>
  <c r="P211" i="12"/>
  <c r="R211" i="12" s="1"/>
  <c r="P210" i="12"/>
  <c r="R210" i="12" s="1"/>
  <c r="P207" i="12"/>
  <c r="R207" i="12" s="1"/>
  <c r="P206" i="12"/>
  <c r="R206" i="12" s="1"/>
  <c r="P205" i="12"/>
  <c r="R205" i="12" s="1"/>
  <c r="P203" i="12"/>
  <c r="R203" i="12" s="1"/>
  <c r="P202" i="12"/>
  <c r="R202" i="12" s="1"/>
  <c r="P201" i="12"/>
  <c r="R201" i="12" s="1"/>
  <c r="P200" i="12"/>
  <c r="R200" i="12" s="1"/>
  <c r="P199" i="12"/>
  <c r="R199" i="12" s="1"/>
  <c r="P198" i="12"/>
  <c r="R198" i="12" s="1"/>
  <c r="P197" i="12"/>
  <c r="R197" i="12" s="1"/>
  <c r="P196" i="12"/>
  <c r="R196" i="12" s="1"/>
  <c r="P195" i="12"/>
  <c r="R195" i="12" s="1"/>
  <c r="P194" i="12"/>
  <c r="R194" i="12" s="1"/>
  <c r="P193" i="12"/>
  <c r="R193" i="12" s="1"/>
  <c r="P192" i="12"/>
  <c r="P188" i="12"/>
  <c r="R188" i="12" s="1"/>
  <c r="P187" i="12"/>
  <c r="R187" i="12" s="1"/>
  <c r="P186" i="12"/>
  <c r="R186" i="12" s="1"/>
  <c r="P184" i="12"/>
  <c r="R184" i="12" s="1"/>
  <c r="P183" i="12"/>
  <c r="R183" i="12" s="1"/>
  <c r="P182" i="12"/>
  <c r="R182" i="12" s="1"/>
  <c r="P181" i="12"/>
  <c r="R181" i="12" s="1"/>
  <c r="P180" i="12"/>
  <c r="R180" i="12" s="1"/>
  <c r="P177" i="12"/>
  <c r="R177" i="12" s="1"/>
  <c r="P176" i="12"/>
  <c r="R176" i="12" s="1"/>
  <c r="R174" i="12" s="1"/>
  <c r="P175" i="12"/>
  <c r="R175" i="12" s="1"/>
  <c r="P173" i="12"/>
  <c r="R173" i="12" s="1"/>
  <c r="P172" i="12"/>
  <c r="R172" i="12" s="1"/>
  <c r="P171" i="12"/>
  <c r="R171" i="12" s="1"/>
  <c r="P170" i="12"/>
  <c r="R170" i="12" s="1"/>
  <c r="P169" i="12"/>
  <c r="R169" i="12" s="1"/>
  <c r="P168" i="12"/>
  <c r="R168" i="12" s="1"/>
  <c r="P167" i="12"/>
  <c r="R167" i="12" s="1"/>
  <c r="P166" i="12"/>
  <c r="R166" i="12" s="1"/>
  <c r="P165" i="12"/>
  <c r="R165" i="12" s="1"/>
  <c r="P164" i="12"/>
  <c r="R164" i="12" s="1"/>
  <c r="P163" i="12"/>
  <c r="R163" i="12" s="1"/>
  <c r="P162" i="12"/>
  <c r="P158" i="12"/>
  <c r="R158" i="12" s="1"/>
  <c r="P157" i="12"/>
  <c r="R157" i="12" s="1"/>
  <c r="P156" i="12"/>
  <c r="R156" i="12" s="1"/>
  <c r="P154" i="12"/>
  <c r="R154" i="12" s="1"/>
  <c r="P153" i="12"/>
  <c r="R153" i="12" s="1"/>
  <c r="P152" i="12"/>
  <c r="R152" i="12" s="1"/>
  <c r="P151" i="12"/>
  <c r="R151" i="12" s="1"/>
  <c r="P150" i="12"/>
  <c r="R150" i="12" s="1"/>
  <c r="P147" i="12"/>
  <c r="R147" i="12" s="1"/>
  <c r="P146" i="12"/>
  <c r="R146" i="12" s="1"/>
  <c r="P145" i="12"/>
  <c r="R145" i="12" s="1"/>
  <c r="P143" i="12"/>
  <c r="R143" i="12" s="1"/>
  <c r="P142" i="12"/>
  <c r="R142" i="12" s="1"/>
  <c r="P141" i="12"/>
  <c r="R141" i="12" s="1"/>
  <c r="P140" i="12"/>
  <c r="R140" i="12" s="1"/>
  <c r="P139" i="12"/>
  <c r="R139" i="12" s="1"/>
  <c r="P138" i="12"/>
  <c r="R138" i="12" s="1"/>
  <c r="P137" i="12"/>
  <c r="R137" i="12" s="1"/>
  <c r="P136" i="12"/>
  <c r="R136" i="12" s="1"/>
  <c r="P135" i="12"/>
  <c r="R135" i="12" s="1"/>
  <c r="P134" i="12"/>
  <c r="P133" i="12"/>
  <c r="R133" i="12" s="1"/>
  <c r="P132" i="12"/>
  <c r="P128" i="12"/>
  <c r="R128" i="12" s="1"/>
  <c r="P127" i="12"/>
  <c r="R127" i="12" s="1"/>
  <c r="P126" i="12"/>
  <c r="R126" i="12" s="1"/>
  <c r="P124" i="12"/>
  <c r="R124" i="12" s="1"/>
  <c r="P123" i="12"/>
  <c r="R123" i="12" s="1"/>
  <c r="P122" i="12"/>
  <c r="R122" i="12" s="1"/>
  <c r="P121" i="12"/>
  <c r="R121" i="12" s="1"/>
  <c r="P120" i="12"/>
  <c r="R120" i="12" s="1"/>
  <c r="R119" i="12" s="1"/>
  <c r="P117" i="12"/>
  <c r="R117" i="12" s="1"/>
  <c r="P116" i="12"/>
  <c r="R116" i="12" s="1"/>
  <c r="P115" i="12"/>
  <c r="R115" i="12" s="1"/>
  <c r="P113" i="12"/>
  <c r="R113" i="12" s="1"/>
  <c r="P112" i="12"/>
  <c r="R112" i="12" s="1"/>
  <c r="P111" i="12"/>
  <c r="R111" i="12" s="1"/>
  <c r="P110" i="12"/>
  <c r="R110" i="12" s="1"/>
  <c r="P109" i="12"/>
  <c r="R109" i="12" s="1"/>
  <c r="P108" i="12"/>
  <c r="R108" i="12" s="1"/>
  <c r="P107" i="12"/>
  <c r="R107" i="12" s="1"/>
  <c r="P106" i="12"/>
  <c r="R106" i="12" s="1"/>
  <c r="P105" i="12"/>
  <c r="R105" i="12" s="1"/>
  <c r="P104" i="12"/>
  <c r="R104" i="12" s="1"/>
  <c r="P103" i="12"/>
  <c r="R103" i="12" s="1"/>
  <c r="P102" i="12"/>
  <c r="P98" i="12"/>
  <c r="R98" i="12" s="1"/>
  <c r="R95" i="12" s="1"/>
  <c r="P97" i="12"/>
  <c r="R97" i="12" s="1"/>
  <c r="P96" i="12"/>
  <c r="R96" i="12" s="1"/>
  <c r="P94" i="12"/>
  <c r="R94" i="12" s="1"/>
  <c r="P93" i="12"/>
  <c r="R93" i="12" s="1"/>
  <c r="P92" i="12"/>
  <c r="R92" i="12" s="1"/>
  <c r="P91" i="12"/>
  <c r="R91" i="12" s="1"/>
  <c r="P90" i="12"/>
  <c r="R90" i="12" s="1"/>
  <c r="P87" i="12"/>
  <c r="R87" i="12" s="1"/>
  <c r="P86" i="12"/>
  <c r="R86" i="12" s="1"/>
  <c r="P85" i="12"/>
  <c r="R85" i="12" s="1"/>
  <c r="P83" i="12"/>
  <c r="R83" i="12" s="1"/>
  <c r="P82" i="12"/>
  <c r="R82" i="12" s="1"/>
  <c r="P81" i="12"/>
  <c r="R81" i="12" s="1"/>
  <c r="P80" i="12"/>
  <c r="R80" i="12" s="1"/>
  <c r="P79" i="12"/>
  <c r="R79" i="12" s="1"/>
  <c r="P78" i="12"/>
  <c r="R78" i="12" s="1"/>
  <c r="P77" i="12"/>
  <c r="R77" i="12" s="1"/>
  <c r="P76" i="12"/>
  <c r="R76" i="12" s="1"/>
  <c r="P75" i="12"/>
  <c r="R75" i="12" s="1"/>
  <c r="P74" i="12"/>
  <c r="R74" i="12" s="1"/>
  <c r="P73" i="12"/>
  <c r="R73" i="12" s="1"/>
  <c r="P72" i="12"/>
  <c r="R72" i="12" s="1"/>
  <c r="P71" i="12"/>
  <c r="R71" i="12" s="1"/>
  <c r="P70" i="12"/>
  <c r="P66" i="12"/>
  <c r="R66" i="12" s="1"/>
  <c r="P65" i="12"/>
  <c r="R65" i="12" s="1"/>
  <c r="P64" i="12"/>
  <c r="R64" i="12" s="1"/>
  <c r="P62" i="12"/>
  <c r="R62" i="12" s="1"/>
  <c r="P61" i="12"/>
  <c r="R61" i="12" s="1"/>
  <c r="P60" i="12"/>
  <c r="R60" i="12" s="1"/>
  <c r="P59" i="12"/>
  <c r="R59" i="12" s="1"/>
  <c r="P58" i="12"/>
  <c r="R58" i="12" s="1"/>
  <c r="P55" i="12"/>
  <c r="R55" i="12" s="1"/>
  <c r="P54" i="12"/>
  <c r="R54" i="12" s="1"/>
  <c r="P53" i="12"/>
  <c r="R53" i="12" s="1"/>
  <c r="P51" i="12"/>
  <c r="R51" i="12" s="1"/>
  <c r="P50" i="12"/>
  <c r="R50" i="12" s="1"/>
  <c r="P49" i="12"/>
  <c r="R49" i="12" s="1"/>
  <c r="P48" i="12"/>
  <c r="R48" i="12" s="1"/>
  <c r="P47" i="12"/>
  <c r="R47" i="12" s="1"/>
  <c r="P46" i="12"/>
  <c r="R46" i="12" s="1"/>
  <c r="P45" i="12"/>
  <c r="R45" i="12" s="1"/>
  <c r="P44" i="12"/>
  <c r="R44" i="12" s="1"/>
  <c r="P43" i="12"/>
  <c r="R43" i="12" s="1"/>
  <c r="P42" i="12"/>
  <c r="R42" i="12" s="1"/>
  <c r="P41" i="12"/>
  <c r="R41" i="12" s="1"/>
  <c r="P40" i="12"/>
  <c r="P36" i="12"/>
  <c r="R36" i="12" s="1"/>
  <c r="P35" i="12"/>
  <c r="R35" i="12" s="1"/>
  <c r="P34" i="12"/>
  <c r="P32" i="12"/>
  <c r="R32" i="12" s="1"/>
  <c r="P31" i="12"/>
  <c r="R31" i="12" s="1"/>
  <c r="P30" i="12"/>
  <c r="R30" i="12" s="1"/>
  <c r="P29" i="12"/>
  <c r="R29" i="12" s="1"/>
  <c r="P28" i="12"/>
  <c r="R28" i="12" s="1"/>
  <c r="P27" i="12"/>
  <c r="R27" i="12" s="1"/>
  <c r="R26" i="12" s="1"/>
  <c r="P24" i="12"/>
  <c r="R24" i="12" s="1"/>
  <c r="P23" i="12"/>
  <c r="R23" i="12" s="1"/>
  <c r="P22" i="12"/>
  <c r="R22" i="12" s="1"/>
  <c r="P20" i="12"/>
  <c r="R20" i="12" s="1"/>
  <c r="P19" i="12"/>
  <c r="R19" i="12" s="1"/>
  <c r="P18" i="12"/>
  <c r="R18" i="12" s="1"/>
  <c r="P17" i="12"/>
  <c r="R17" i="12" s="1"/>
  <c r="P16" i="12"/>
  <c r="R16" i="12" s="1"/>
  <c r="P15" i="12"/>
  <c r="R15" i="12" s="1"/>
  <c r="P14" i="12"/>
  <c r="R14" i="12" s="1"/>
  <c r="P13" i="12"/>
  <c r="R13" i="12" s="1"/>
  <c r="P12" i="12"/>
  <c r="R12" i="12" s="1"/>
  <c r="P11" i="12"/>
  <c r="R11" i="12" s="1"/>
  <c r="P10" i="12"/>
  <c r="R10" i="12" s="1"/>
  <c r="P9" i="12"/>
  <c r="G645" i="12"/>
  <c r="F645" i="12"/>
  <c r="E645" i="12"/>
  <c r="D645" i="12"/>
  <c r="C645" i="12"/>
  <c r="G644" i="12"/>
  <c r="F644" i="12"/>
  <c r="E644" i="12"/>
  <c r="D644" i="12"/>
  <c r="C644" i="12"/>
  <c r="G643" i="12"/>
  <c r="F643" i="12"/>
  <c r="E643" i="12"/>
  <c r="D643" i="12"/>
  <c r="C643" i="12"/>
  <c r="L642" i="12"/>
  <c r="K642" i="12"/>
  <c r="J642" i="12"/>
  <c r="I642" i="12"/>
  <c r="G641" i="12"/>
  <c r="F641" i="12"/>
  <c r="E641" i="12"/>
  <c r="D641" i="12"/>
  <c r="C641" i="12"/>
  <c r="G640" i="12"/>
  <c r="F640" i="12"/>
  <c r="E640" i="12"/>
  <c r="D640" i="12"/>
  <c r="C640" i="12"/>
  <c r="G639" i="12"/>
  <c r="F639" i="12"/>
  <c r="E639" i="12"/>
  <c r="D639" i="12"/>
  <c r="C639" i="12"/>
  <c r="G638" i="12"/>
  <c r="F638" i="12"/>
  <c r="E638" i="12"/>
  <c r="H638" i="12" s="1"/>
  <c r="D638" i="12"/>
  <c r="C638" i="12"/>
  <c r="G637" i="12"/>
  <c r="F637" i="12"/>
  <c r="E637" i="12"/>
  <c r="D637" i="12"/>
  <c r="C637" i="12"/>
  <c r="G636" i="12"/>
  <c r="F636" i="12"/>
  <c r="E636" i="12"/>
  <c r="D636" i="12"/>
  <c r="C636" i="12"/>
  <c r="L635" i="12"/>
  <c r="K635" i="12"/>
  <c r="J635" i="12"/>
  <c r="I635" i="12"/>
  <c r="G633" i="12"/>
  <c r="F633" i="12"/>
  <c r="E633" i="12"/>
  <c r="D633" i="12"/>
  <c r="C633" i="12"/>
  <c r="G632" i="12"/>
  <c r="F632" i="12"/>
  <c r="E632" i="12"/>
  <c r="D632" i="12"/>
  <c r="C632" i="12"/>
  <c r="G631" i="12"/>
  <c r="F631" i="12"/>
  <c r="E631" i="12"/>
  <c r="D631" i="12"/>
  <c r="C631" i="12"/>
  <c r="L630" i="12"/>
  <c r="K630" i="12"/>
  <c r="J630" i="12"/>
  <c r="I630" i="12"/>
  <c r="F629" i="12"/>
  <c r="E629" i="12"/>
  <c r="H629" i="12" s="1"/>
  <c r="D629" i="12"/>
  <c r="C629" i="12"/>
  <c r="G628" i="12"/>
  <c r="F628" i="12"/>
  <c r="E628" i="12"/>
  <c r="D628" i="12"/>
  <c r="O628" i="12" s="1"/>
  <c r="C628" i="12"/>
  <c r="G627" i="12"/>
  <c r="F627" i="12"/>
  <c r="E627" i="12"/>
  <c r="D627" i="12"/>
  <c r="C627" i="12"/>
  <c r="G626" i="12"/>
  <c r="F626" i="12"/>
  <c r="E626" i="12"/>
  <c r="R626" i="12" s="1"/>
  <c r="D626" i="12"/>
  <c r="O626" i="12" s="1"/>
  <c r="C626" i="12"/>
  <c r="G625" i="12"/>
  <c r="F625" i="12"/>
  <c r="E625" i="12"/>
  <c r="D625" i="12"/>
  <c r="C625" i="12"/>
  <c r="G624" i="12"/>
  <c r="F624" i="12"/>
  <c r="E624" i="12"/>
  <c r="D624" i="12"/>
  <c r="O624" i="12" s="1"/>
  <c r="C624" i="12"/>
  <c r="G623" i="12"/>
  <c r="F623" i="12"/>
  <c r="E623" i="12"/>
  <c r="D623" i="12"/>
  <c r="O623" i="12" s="1"/>
  <c r="C623" i="12"/>
  <c r="G622" i="12"/>
  <c r="F622" i="12"/>
  <c r="E622" i="12"/>
  <c r="D622" i="12"/>
  <c r="O622" i="12" s="1"/>
  <c r="C622" i="12"/>
  <c r="G621" i="12"/>
  <c r="F621" i="12"/>
  <c r="E621" i="12"/>
  <c r="D621" i="12"/>
  <c r="O621" i="12" s="1"/>
  <c r="C621" i="12"/>
  <c r="G620" i="12"/>
  <c r="F620" i="12"/>
  <c r="E620" i="12"/>
  <c r="D620" i="12"/>
  <c r="C620" i="12"/>
  <c r="G619" i="12"/>
  <c r="F619" i="12"/>
  <c r="E619" i="12"/>
  <c r="D619" i="12"/>
  <c r="O619" i="12" s="1"/>
  <c r="C619" i="12"/>
  <c r="F618" i="12"/>
  <c r="E618" i="12"/>
  <c r="D618" i="12"/>
  <c r="O618" i="12" s="1"/>
  <c r="C618" i="12"/>
  <c r="G617" i="12"/>
  <c r="F617" i="12"/>
  <c r="E617" i="12"/>
  <c r="R617" i="12" s="1"/>
  <c r="D617" i="12"/>
  <c r="O617" i="12" s="1"/>
  <c r="C617" i="12"/>
  <c r="G616" i="12"/>
  <c r="L616" i="12" s="1"/>
  <c r="F616" i="12"/>
  <c r="E616" i="12"/>
  <c r="G612" i="12"/>
  <c r="H612" i="12" s="1"/>
  <c r="H611" i="12"/>
  <c r="G610" i="12"/>
  <c r="H610" i="12" s="1"/>
  <c r="I609" i="12"/>
  <c r="F609" i="12"/>
  <c r="E609" i="12"/>
  <c r="D609" i="12"/>
  <c r="C609" i="12"/>
  <c r="G608" i="12"/>
  <c r="H608" i="12" s="1"/>
  <c r="G607" i="12"/>
  <c r="H607" i="12" s="1"/>
  <c r="H606" i="12"/>
  <c r="H605" i="12"/>
  <c r="H604" i="12"/>
  <c r="I603" i="12"/>
  <c r="F603" i="12"/>
  <c r="E603" i="12"/>
  <c r="D603" i="12"/>
  <c r="C603" i="12"/>
  <c r="G601" i="12"/>
  <c r="H601" i="12" s="1"/>
  <c r="H600" i="12"/>
  <c r="G599" i="12"/>
  <c r="H599" i="12" s="1"/>
  <c r="L598" i="12"/>
  <c r="K598" i="12"/>
  <c r="J598" i="12"/>
  <c r="I598" i="12"/>
  <c r="F598" i="12"/>
  <c r="E598" i="12"/>
  <c r="D598" i="12"/>
  <c r="C598" i="12"/>
  <c r="H597" i="12"/>
  <c r="H596" i="12"/>
  <c r="G595" i="12"/>
  <c r="H595" i="12" s="1"/>
  <c r="H594" i="12"/>
  <c r="H593" i="12"/>
  <c r="G592" i="12"/>
  <c r="H592" i="12" s="1"/>
  <c r="G591" i="12"/>
  <c r="H591" i="12" s="1"/>
  <c r="G590" i="12"/>
  <c r="H590" i="12" s="1"/>
  <c r="H589" i="12"/>
  <c r="G588" i="12"/>
  <c r="H588" i="12" s="1"/>
  <c r="H587" i="12"/>
  <c r="G586" i="12"/>
  <c r="H586" i="12" s="1"/>
  <c r="F585" i="12"/>
  <c r="E585" i="12"/>
  <c r="D585" i="12"/>
  <c r="C585" i="12"/>
  <c r="G582" i="12"/>
  <c r="H582" i="12" s="1"/>
  <c r="H581" i="12"/>
  <c r="G580" i="12"/>
  <c r="H580" i="12" s="1"/>
  <c r="I579" i="12"/>
  <c r="F579" i="12"/>
  <c r="E579" i="12"/>
  <c r="D579" i="12"/>
  <c r="C579" i="12"/>
  <c r="G578" i="12"/>
  <c r="H578" i="12" s="1"/>
  <c r="G577" i="12"/>
  <c r="H577" i="12" s="1"/>
  <c r="H576" i="12"/>
  <c r="H575" i="12"/>
  <c r="H574" i="12"/>
  <c r="I573" i="12"/>
  <c r="F573" i="12"/>
  <c r="E573" i="12"/>
  <c r="D573" i="12"/>
  <c r="C573" i="12"/>
  <c r="C572" i="12" s="1"/>
  <c r="G571" i="12"/>
  <c r="H571" i="12" s="1"/>
  <c r="G570" i="12"/>
  <c r="H570" i="12" s="1"/>
  <c r="G569" i="12"/>
  <c r="H569" i="12" s="1"/>
  <c r="L568" i="12"/>
  <c r="K568" i="12"/>
  <c r="J568" i="12"/>
  <c r="I568" i="12"/>
  <c r="F568" i="12"/>
  <c r="E568" i="12"/>
  <c r="D568" i="12"/>
  <c r="C568" i="12"/>
  <c r="H567" i="12"/>
  <c r="H566" i="12"/>
  <c r="H565" i="12"/>
  <c r="H564" i="12"/>
  <c r="H563" i="12"/>
  <c r="G562" i="12"/>
  <c r="H562" i="12" s="1"/>
  <c r="G561" i="12"/>
  <c r="H561" i="12" s="1"/>
  <c r="G560" i="12"/>
  <c r="H560" i="12" s="1"/>
  <c r="H559" i="12"/>
  <c r="G558" i="12"/>
  <c r="H558" i="12" s="1"/>
  <c r="H557" i="12"/>
  <c r="H556" i="12"/>
  <c r="G556" i="12"/>
  <c r="L556" i="12" s="1"/>
  <c r="F555" i="12"/>
  <c r="E555" i="12"/>
  <c r="D555" i="12"/>
  <c r="C555" i="12"/>
  <c r="G552" i="12"/>
  <c r="H552" i="12" s="1"/>
  <c r="H551" i="12"/>
  <c r="G550" i="12"/>
  <c r="H550" i="12" s="1"/>
  <c r="I549" i="12"/>
  <c r="F549" i="12"/>
  <c r="E549" i="12"/>
  <c r="D549" i="12"/>
  <c r="C549" i="12"/>
  <c r="G548" i="12"/>
  <c r="H548" i="12" s="1"/>
  <c r="G547" i="12"/>
  <c r="H547" i="12" s="1"/>
  <c r="H546" i="12"/>
  <c r="H545" i="12"/>
  <c r="H544" i="12"/>
  <c r="I543" i="12"/>
  <c r="F543" i="12"/>
  <c r="E543" i="12"/>
  <c r="D543" i="12"/>
  <c r="C543" i="12"/>
  <c r="C542" i="12" s="1"/>
  <c r="G541" i="12"/>
  <c r="H541" i="12" s="1"/>
  <c r="G540" i="12"/>
  <c r="H540" i="12" s="1"/>
  <c r="G539" i="12"/>
  <c r="H539" i="12" s="1"/>
  <c r="L538" i="12"/>
  <c r="K538" i="12"/>
  <c r="J538" i="12"/>
  <c r="I538" i="12"/>
  <c r="F538" i="12"/>
  <c r="E538" i="12"/>
  <c r="D538" i="12"/>
  <c r="C538" i="12"/>
  <c r="H537" i="12"/>
  <c r="G536" i="12"/>
  <c r="H536" i="12" s="1"/>
  <c r="H535" i="12"/>
  <c r="H534" i="12"/>
  <c r="G533" i="12"/>
  <c r="H533" i="12" s="1"/>
  <c r="G532" i="12"/>
  <c r="H532" i="12" s="1"/>
  <c r="G531" i="12"/>
  <c r="H531" i="12" s="1"/>
  <c r="G530" i="12"/>
  <c r="H530" i="12" s="1"/>
  <c r="H529" i="12"/>
  <c r="G528" i="12"/>
  <c r="H528" i="12" s="1"/>
  <c r="H527" i="12"/>
  <c r="G526" i="12"/>
  <c r="H526" i="12" s="1"/>
  <c r="G525" i="12"/>
  <c r="H525" i="12" s="1"/>
  <c r="F524" i="12"/>
  <c r="E524" i="12"/>
  <c r="D524" i="12"/>
  <c r="C524" i="12"/>
  <c r="C523" i="12" s="1"/>
  <c r="F523" i="12"/>
  <c r="E523" i="12"/>
  <c r="D523" i="12"/>
  <c r="G521" i="12"/>
  <c r="H521" i="12" s="1"/>
  <c r="H520" i="12"/>
  <c r="G519" i="12"/>
  <c r="H519" i="12" s="1"/>
  <c r="I518" i="12"/>
  <c r="F518" i="12"/>
  <c r="E518" i="12"/>
  <c r="D518" i="12"/>
  <c r="C518" i="12"/>
  <c r="G517" i="12"/>
  <c r="H517" i="12" s="1"/>
  <c r="G516" i="12"/>
  <c r="H516" i="12" s="1"/>
  <c r="H515" i="12"/>
  <c r="H514" i="12"/>
  <c r="H513" i="12"/>
  <c r="I512" i="12"/>
  <c r="F512" i="12"/>
  <c r="E512" i="12"/>
  <c r="D512" i="12"/>
  <c r="C512" i="12"/>
  <c r="G510" i="12"/>
  <c r="H510" i="12" s="1"/>
  <c r="G509" i="12"/>
  <c r="H509" i="12" s="1"/>
  <c r="G508" i="12"/>
  <c r="H508" i="12" s="1"/>
  <c r="L507" i="12"/>
  <c r="K507" i="12"/>
  <c r="J507" i="12"/>
  <c r="I507" i="12"/>
  <c r="F507" i="12"/>
  <c r="E507" i="12"/>
  <c r="D507" i="12"/>
  <c r="C507" i="12"/>
  <c r="H506" i="12"/>
  <c r="G505" i="12"/>
  <c r="H505" i="12" s="1"/>
  <c r="H504" i="12"/>
  <c r="H503" i="12"/>
  <c r="G502" i="12"/>
  <c r="H502" i="12" s="1"/>
  <c r="G501" i="12"/>
  <c r="H501" i="12" s="1"/>
  <c r="G500" i="12"/>
  <c r="H500" i="12" s="1"/>
  <c r="G499" i="12"/>
  <c r="H499" i="12" s="1"/>
  <c r="H498" i="12"/>
  <c r="G497" i="12"/>
  <c r="H497" i="12" s="1"/>
  <c r="H496" i="12"/>
  <c r="G495" i="12"/>
  <c r="H495" i="12" s="1"/>
  <c r="G494" i="12"/>
  <c r="L494" i="12" s="1"/>
  <c r="O494" i="12" s="1"/>
  <c r="F493" i="12"/>
  <c r="E493" i="12"/>
  <c r="D493" i="12"/>
  <c r="C493" i="12"/>
  <c r="C492" i="12" s="1"/>
  <c r="F492" i="12"/>
  <c r="E492" i="12"/>
  <c r="D492" i="12"/>
  <c r="G490" i="12"/>
  <c r="H490" i="12" s="1"/>
  <c r="G489" i="12"/>
  <c r="H489" i="12" s="1"/>
  <c r="G488" i="12"/>
  <c r="H488" i="12" s="1"/>
  <c r="I487" i="12"/>
  <c r="F487" i="12"/>
  <c r="E487" i="12"/>
  <c r="D487" i="12"/>
  <c r="C487" i="12"/>
  <c r="G486" i="12"/>
  <c r="H486" i="12" s="1"/>
  <c r="G485" i="12"/>
  <c r="H485" i="12" s="1"/>
  <c r="H484" i="12"/>
  <c r="H483" i="12"/>
  <c r="H482" i="12"/>
  <c r="I481" i="12"/>
  <c r="F481" i="12"/>
  <c r="E481" i="12"/>
  <c r="D481" i="12"/>
  <c r="C481" i="12"/>
  <c r="G479" i="12"/>
  <c r="H479" i="12" s="1"/>
  <c r="G478" i="12"/>
  <c r="H478" i="12" s="1"/>
  <c r="G477" i="12"/>
  <c r="H477" i="12" s="1"/>
  <c r="L476" i="12"/>
  <c r="K476" i="12"/>
  <c r="J476" i="12"/>
  <c r="I476" i="12"/>
  <c r="F476" i="12"/>
  <c r="E476" i="12"/>
  <c r="D476" i="12"/>
  <c r="C476" i="12"/>
  <c r="H475" i="12"/>
  <c r="G474" i="12"/>
  <c r="H474" i="12" s="1"/>
  <c r="H473" i="12"/>
  <c r="G472" i="12"/>
  <c r="H472" i="12" s="1"/>
  <c r="G471" i="12"/>
  <c r="H471" i="12" s="1"/>
  <c r="G470" i="12"/>
  <c r="H470" i="12" s="1"/>
  <c r="G469" i="12"/>
  <c r="H469" i="12" s="1"/>
  <c r="G468" i="12"/>
  <c r="H468" i="12" s="1"/>
  <c r="H467" i="12"/>
  <c r="G466" i="12"/>
  <c r="H465" i="12"/>
  <c r="G464" i="12"/>
  <c r="H464" i="12" s="1"/>
  <c r="G463" i="12"/>
  <c r="L463" i="12" s="1"/>
  <c r="F462" i="12"/>
  <c r="F461" i="12" s="1"/>
  <c r="E462" i="12"/>
  <c r="E461" i="12" s="1"/>
  <c r="D462" i="12"/>
  <c r="D461" i="12" s="1"/>
  <c r="C462" i="12"/>
  <c r="C461" i="12" s="1"/>
  <c r="G459" i="12"/>
  <c r="H459" i="12" s="1"/>
  <c r="H458" i="12"/>
  <c r="G457" i="12"/>
  <c r="H457" i="12" s="1"/>
  <c r="I456" i="12"/>
  <c r="F456" i="12"/>
  <c r="E456" i="12"/>
  <c r="D456" i="12"/>
  <c r="C456" i="12"/>
  <c r="G455" i="12"/>
  <c r="H455" i="12" s="1"/>
  <c r="G454" i="12"/>
  <c r="H454" i="12" s="1"/>
  <c r="H453" i="12"/>
  <c r="H452" i="12"/>
  <c r="H451" i="12"/>
  <c r="I450" i="12"/>
  <c r="F450" i="12"/>
  <c r="E450" i="12"/>
  <c r="D450" i="12"/>
  <c r="C450" i="12"/>
  <c r="C449" i="12" s="1"/>
  <c r="G448" i="12"/>
  <c r="H448" i="12" s="1"/>
  <c r="G447" i="12"/>
  <c r="H447" i="12" s="1"/>
  <c r="G446" i="12"/>
  <c r="H446" i="12" s="1"/>
  <c r="L445" i="12"/>
  <c r="K445" i="12"/>
  <c r="J445" i="12"/>
  <c r="I445" i="12"/>
  <c r="F445" i="12"/>
  <c r="E445" i="12"/>
  <c r="D445" i="12"/>
  <c r="C445" i="12"/>
  <c r="H444" i="12"/>
  <c r="H443" i="12"/>
  <c r="H442" i="12"/>
  <c r="H441" i="12"/>
  <c r="G440" i="12"/>
  <c r="H440" i="12" s="1"/>
  <c r="G439" i="12"/>
  <c r="H439" i="12" s="1"/>
  <c r="G438" i="12"/>
  <c r="H438" i="12" s="1"/>
  <c r="G437" i="12"/>
  <c r="H437" i="12" s="1"/>
  <c r="H436" i="12"/>
  <c r="G435" i="12"/>
  <c r="H435" i="12" s="1"/>
  <c r="H434" i="12"/>
  <c r="G433" i="12"/>
  <c r="F432" i="12"/>
  <c r="E432" i="12"/>
  <c r="D432" i="12"/>
  <c r="C432" i="12"/>
  <c r="G429" i="12"/>
  <c r="H429" i="12" s="1"/>
  <c r="H428" i="12"/>
  <c r="G427" i="12"/>
  <c r="H427" i="12" s="1"/>
  <c r="I426" i="12"/>
  <c r="F426" i="12"/>
  <c r="E426" i="12"/>
  <c r="D426" i="12"/>
  <c r="C426" i="12"/>
  <c r="G425" i="12"/>
  <c r="H425" i="12" s="1"/>
  <c r="G424" i="12"/>
  <c r="H424" i="12" s="1"/>
  <c r="H423" i="12"/>
  <c r="H422" i="12"/>
  <c r="H421" i="12"/>
  <c r="I420" i="12"/>
  <c r="F420" i="12"/>
  <c r="E420" i="12"/>
  <c r="D420" i="12"/>
  <c r="C420" i="12"/>
  <c r="G418" i="12"/>
  <c r="H418" i="12" s="1"/>
  <c r="G417" i="12"/>
  <c r="H417" i="12" s="1"/>
  <c r="G416" i="12"/>
  <c r="H416" i="12" s="1"/>
  <c r="L415" i="12"/>
  <c r="K415" i="12"/>
  <c r="J415" i="12"/>
  <c r="I415" i="12"/>
  <c r="F415" i="12"/>
  <c r="E415" i="12"/>
  <c r="D415" i="12"/>
  <c r="C415" i="12"/>
  <c r="H414" i="12"/>
  <c r="H413" i="12"/>
  <c r="H412" i="12"/>
  <c r="H411" i="12"/>
  <c r="G410" i="12"/>
  <c r="H410" i="12" s="1"/>
  <c r="H409" i="12"/>
  <c r="G408" i="12"/>
  <c r="H408" i="12" s="1"/>
  <c r="G407" i="12"/>
  <c r="H406" i="12"/>
  <c r="G405" i="12"/>
  <c r="H405" i="12" s="1"/>
  <c r="H404" i="12"/>
  <c r="G403" i="12"/>
  <c r="H403" i="12" s="1"/>
  <c r="F402" i="12"/>
  <c r="E402" i="12"/>
  <c r="D402" i="12"/>
  <c r="C402" i="12"/>
  <c r="G399" i="12"/>
  <c r="H399" i="12" s="1"/>
  <c r="H398" i="12"/>
  <c r="G397" i="12"/>
  <c r="H397" i="12" s="1"/>
  <c r="I396" i="12"/>
  <c r="F396" i="12"/>
  <c r="F389" i="12" s="1"/>
  <c r="E396" i="12"/>
  <c r="D396" i="12"/>
  <c r="C396" i="12"/>
  <c r="G395" i="12"/>
  <c r="H395" i="12" s="1"/>
  <c r="G394" i="12"/>
  <c r="H394" i="12" s="1"/>
  <c r="H393" i="12"/>
  <c r="H392" i="12"/>
  <c r="H391" i="12"/>
  <c r="I390" i="12"/>
  <c r="F390" i="12"/>
  <c r="E390" i="12"/>
  <c r="D390" i="12"/>
  <c r="C390" i="12"/>
  <c r="G388" i="12"/>
  <c r="H388" i="12" s="1"/>
  <c r="G387" i="12"/>
  <c r="H387" i="12" s="1"/>
  <c r="G386" i="12"/>
  <c r="H386" i="12" s="1"/>
  <c r="L385" i="12"/>
  <c r="K385" i="12"/>
  <c r="J385" i="12"/>
  <c r="I385" i="12"/>
  <c r="F385" i="12"/>
  <c r="E385" i="12"/>
  <c r="D385" i="12"/>
  <c r="C385" i="12"/>
  <c r="H384" i="12"/>
  <c r="H383" i="12"/>
  <c r="H382" i="12"/>
  <c r="H381" i="12"/>
  <c r="H380" i="12"/>
  <c r="H379" i="12"/>
  <c r="G378" i="12"/>
  <c r="G377" i="12"/>
  <c r="H377" i="12" s="1"/>
  <c r="H376" i="12"/>
  <c r="G375" i="12"/>
  <c r="H375" i="12" s="1"/>
  <c r="H374" i="12"/>
  <c r="G373" i="12"/>
  <c r="L373" i="12" s="1"/>
  <c r="F372" i="12"/>
  <c r="E372" i="12"/>
  <c r="D372" i="12"/>
  <c r="C372" i="12"/>
  <c r="G369" i="12"/>
  <c r="H369" i="12" s="1"/>
  <c r="H368" i="12"/>
  <c r="H367" i="12"/>
  <c r="I366" i="12"/>
  <c r="F366" i="12"/>
  <c r="E366" i="12"/>
  <c r="D366" i="12"/>
  <c r="C366" i="12"/>
  <c r="G365" i="12"/>
  <c r="H365" i="12" s="1"/>
  <c r="G364" i="12"/>
  <c r="H364" i="12" s="1"/>
  <c r="H363" i="12"/>
  <c r="H362" i="12"/>
  <c r="H361" i="12"/>
  <c r="I360" i="12"/>
  <c r="F360" i="12"/>
  <c r="E360" i="12"/>
  <c r="D360" i="12"/>
  <c r="D359" i="12" s="1"/>
  <c r="C360" i="12"/>
  <c r="G358" i="12"/>
  <c r="H358" i="12" s="1"/>
  <c r="G357" i="12"/>
  <c r="H357" i="12" s="1"/>
  <c r="G356" i="12"/>
  <c r="H356" i="12" s="1"/>
  <c r="L355" i="12"/>
  <c r="K355" i="12"/>
  <c r="J355" i="12"/>
  <c r="I355" i="12"/>
  <c r="F355" i="12"/>
  <c r="E355" i="12"/>
  <c r="D355" i="12"/>
  <c r="C355" i="12"/>
  <c r="H354" i="12"/>
  <c r="H353" i="12"/>
  <c r="H352" i="12"/>
  <c r="H351" i="12"/>
  <c r="G350" i="12"/>
  <c r="H350" i="12" s="1"/>
  <c r="G349" i="12"/>
  <c r="H349" i="12" s="1"/>
  <c r="G348" i="12"/>
  <c r="H348" i="12" s="1"/>
  <c r="G347" i="12"/>
  <c r="H347" i="12" s="1"/>
  <c r="H346" i="12"/>
  <c r="G345" i="12"/>
  <c r="H345" i="12" s="1"/>
  <c r="H344" i="12"/>
  <c r="G343" i="12"/>
  <c r="F342" i="12"/>
  <c r="E342" i="12"/>
  <c r="D342" i="12"/>
  <c r="C342" i="12"/>
  <c r="G339" i="12"/>
  <c r="H339" i="12" s="1"/>
  <c r="H338" i="12"/>
  <c r="G337" i="12"/>
  <c r="H337" i="12" s="1"/>
  <c r="I336" i="12"/>
  <c r="F336" i="12"/>
  <c r="F329" i="12" s="1"/>
  <c r="E336" i="12"/>
  <c r="D336" i="12"/>
  <c r="C336" i="12"/>
  <c r="G335" i="12"/>
  <c r="H335" i="12" s="1"/>
  <c r="G334" i="12"/>
  <c r="H334" i="12" s="1"/>
  <c r="H333" i="12"/>
  <c r="H332" i="12"/>
  <c r="H331" i="12"/>
  <c r="I330" i="12"/>
  <c r="F330" i="12"/>
  <c r="E330" i="12"/>
  <c r="D330" i="12"/>
  <c r="C330" i="12"/>
  <c r="G328" i="12"/>
  <c r="H328" i="12" s="1"/>
  <c r="G327" i="12"/>
  <c r="H327" i="12" s="1"/>
  <c r="G326" i="12"/>
  <c r="H326" i="12" s="1"/>
  <c r="L325" i="12"/>
  <c r="K325" i="12"/>
  <c r="J325" i="12"/>
  <c r="I325" i="12"/>
  <c r="F325" i="12"/>
  <c r="E325" i="12"/>
  <c r="D325" i="12"/>
  <c r="C325" i="12"/>
  <c r="H324" i="12"/>
  <c r="G323" i="12"/>
  <c r="H323" i="12" s="1"/>
  <c r="H322" i="12"/>
  <c r="H321" i="12"/>
  <c r="G320" i="12"/>
  <c r="H320" i="12" s="1"/>
  <c r="G319" i="12"/>
  <c r="H319" i="12" s="1"/>
  <c r="G318" i="12"/>
  <c r="H318" i="12" s="1"/>
  <c r="G317" i="12"/>
  <c r="H317" i="12" s="1"/>
  <c r="H316" i="12"/>
  <c r="G315" i="12"/>
  <c r="H315" i="12" s="1"/>
  <c r="H314" i="12"/>
  <c r="G313" i="12"/>
  <c r="L313" i="12" s="1"/>
  <c r="F312" i="12"/>
  <c r="E312" i="12"/>
  <c r="D312" i="12"/>
  <c r="C312" i="12"/>
  <c r="G309" i="12"/>
  <c r="H309" i="12" s="1"/>
  <c r="G308" i="12"/>
  <c r="H308" i="12" s="1"/>
  <c r="G307" i="12"/>
  <c r="H307" i="12" s="1"/>
  <c r="I306" i="12"/>
  <c r="F306" i="12"/>
  <c r="E306" i="12"/>
  <c r="D306" i="12"/>
  <c r="C306" i="12"/>
  <c r="G305" i="12"/>
  <c r="H305" i="12" s="1"/>
  <c r="G304" i="12"/>
  <c r="H304" i="12" s="1"/>
  <c r="H303" i="12"/>
  <c r="H302" i="12"/>
  <c r="H301" i="12"/>
  <c r="I300" i="12"/>
  <c r="F300" i="12"/>
  <c r="E300" i="12"/>
  <c r="D300" i="12"/>
  <c r="C300" i="12"/>
  <c r="G298" i="12"/>
  <c r="H298" i="12" s="1"/>
  <c r="G297" i="12"/>
  <c r="H297" i="12" s="1"/>
  <c r="G296" i="12"/>
  <c r="H296" i="12" s="1"/>
  <c r="L295" i="12"/>
  <c r="K295" i="12"/>
  <c r="J295" i="12"/>
  <c r="I295" i="12"/>
  <c r="F295" i="12"/>
  <c r="E295" i="12"/>
  <c r="D295" i="12"/>
  <c r="C295" i="12"/>
  <c r="H294" i="12"/>
  <c r="G293" i="12"/>
  <c r="H293" i="12" s="1"/>
  <c r="H292" i="12"/>
  <c r="H291" i="12"/>
  <c r="G290" i="12"/>
  <c r="H290" i="12" s="1"/>
  <c r="G289" i="12"/>
  <c r="H289" i="12" s="1"/>
  <c r="G288" i="12"/>
  <c r="H288" i="12" s="1"/>
  <c r="G287" i="12"/>
  <c r="H287" i="12" s="1"/>
  <c r="H286" i="12"/>
  <c r="G285" i="12"/>
  <c r="H285" i="12" s="1"/>
  <c r="G284" i="12"/>
  <c r="H284" i="12" s="1"/>
  <c r="G283" i="12"/>
  <c r="H283" i="12" s="1"/>
  <c r="G282" i="12"/>
  <c r="F281" i="12"/>
  <c r="F280" i="12" s="1"/>
  <c r="E281" i="12"/>
  <c r="E280" i="12" s="1"/>
  <c r="D281" i="12"/>
  <c r="C281" i="12"/>
  <c r="C280" i="12" s="1"/>
  <c r="D280" i="12"/>
  <c r="G278" i="12"/>
  <c r="H278" i="12" s="1"/>
  <c r="H277" i="12"/>
  <c r="G276" i="12"/>
  <c r="H276" i="12" s="1"/>
  <c r="I275" i="12"/>
  <c r="F275" i="12"/>
  <c r="E275" i="12"/>
  <c r="D275" i="12"/>
  <c r="C275" i="12"/>
  <c r="G274" i="12"/>
  <c r="H274" i="12" s="1"/>
  <c r="G273" i="12"/>
  <c r="H273" i="12" s="1"/>
  <c r="H272" i="12"/>
  <c r="H271" i="12"/>
  <c r="H270" i="12"/>
  <c r="I269" i="12"/>
  <c r="F269" i="12"/>
  <c r="E269" i="12"/>
  <c r="D269" i="12"/>
  <c r="C269" i="12"/>
  <c r="G267" i="12"/>
  <c r="H267" i="12" s="1"/>
  <c r="G266" i="12"/>
  <c r="H266" i="12" s="1"/>
  <c r="G265" i="12"/>
  <c r="H265" i="12" s="1"/>
  <c r="L264" i="12"/>
  <c r="K264" i="12"/>
  <c r="J264" i="12"/>
  <c r="I264" i="12"/>
  <c r="F264" i="12"/>
  <c r="E264" i="12"/>
  <c r="D264" i="12"/>
  <c r="C264" i="12"/>
  <c r="H263" i="12"/>
  <c r="G262" i="12"/>
  <c r="H262" i="12" s="1"/>
  <c r="H261" i="12"/>
  <c r="H260" i="12"/>
  <c r="G259" i="12"/>
  <c r="H259" i="12" s="1"/>
  <c r="G258" i="12"/>
  <c r="H258" i="12" s="1"/>
  <c r="G257" i="12"/>
  <c r="H257" i="12" s="1"/>
  <c r="G256" i="12"/>
  <c r="H256" i="12" s="1"/>
  <c r="H255" i="12"/>
  <c r="G254" i="12"/>
  <c r="H254" i="12" s="1"/>
  <c r="G253" i="12"/>
  <c r="H253" i="12" s="1"/>
  <c r="G252" i="12"/>
  <c r="D252" i="12"/>
  <c r="D616" i="12" s="1"/>
  <c r="O616" i="12" s="1"/>
  <c r="C252" i="12"/>
  <c r="C616" i="12" s="1"/>
  <c r="F251" i="12"/>
  <c r="E251" i="12"/>
  <c r="F250" i="12"/>
  <c r="E250" i="12"/>
  <c r="G248" i="12"/>
  <c r="H248" i="12" s="1"/>
  <c r="H247" i="12"/>
  <c r="G246" i="12"/>
  <c r="H246" i="12" s="1"/>
  <c r="I245" i="12"/>
  <c r="F245" i="12"/>
  <c r="E245" i="12"/>
  <c r="D245" i="12"/>
  <c r="C245" i="12"/>
  <c r="G244" i="12"/>
  <c r="H244" i="12" s="1"/>
  <c r="G243" i="12"/>
  <c r="H243" i="12" s="1"/>
  <c r="H242" i="12"/>
  <c r="H241" i="12"/>
  <c r="H240" i="12"/>
  <c r="I239" i="12"/>
  <c r="F239" i="12"/>
  <c r="E239" i="12"/>
  <c r="D239" i="12"/>
  <c r="D238" i="12" s="1"/>
  <c r="C239" i="12"/>
  <c r="G237" i="12"/>
  <c r="H237" i="12" s="1"/>
  <c r="G236" i="12"/>
  <c r="H236" i="12" s="1"/>
  <c r="G235" i="12"/>
  <c r="H235" i="12" s="1"/>
  <c r="L234" i="12"/>
  <c r="K234" i="12"/>
  <c r="J234" i="12"/>
  <c r="I234" i="12"/>
  <c r="F234" i="12"/>
  <c r="E234" i="12"/>
  <c r="D234" i="12"/>
  <c r="C234" i="12"/>
  <c r="H233" i="12"/>
  <c r="G232" i="12"/>
  <c r="H232" i="12" s="1"/>
  <c r="H231" i="12"/>
  <c r="H230" i="12"/>
  <c r="G229" i="12"/>
  <c r="H229" i="12" s="1"/>
  <c r="G228" i="12"/>
  <c r="H228" i="12" s="1"/>
  <c r="G227" i="12"/>
  <c r="H227" i="12" s="1"/>
  <c r="G226" i="12"/>
  <c r="H226" i="12" s="1"/>
  <c r="H225" i="12"/>
  <c r="G224" i="12"/>
  <c r="H224" i="12" s="1"/>
  <c r="H223" i="12"/>
  <c r="G222" i="12"/>
  <c r="L222" i="12" s="1"/>
  <c r="F221" i="12"/>
  <c r="E221" i="12"/>
  <c r="D221" i="12"/>
  <c r="C221" i="12"/>
  <c r="G218" i="12"/>
  <c r="H218" i="12" s="1"/>
  <c r="H217" i="12"/>
  <c r="G216" i="12"/>
  <c r="H216" i="12" s="1"/>
  <c r="I215" i="12"/>
  <c r="F215" i="12"/>
  <c r="E215" i="12"/>
  <c r="D215" i="12"/>
  <c r="C215" i="12"/>
  <c r="G214" i="12"/>
  <c r="H214" i="12" s="1"/>
  <c r="G213" i="12"/>
  <c r="H213" i="12" s="1"/>
  <c r="H212" i="12"/>
  <c r="H211" i="12"/>
  <c r="H210" i="12"/>
  <c r="I209" i="12"/>
  <c r="F209" i="12"/>
  <c r="E209" i="12"/>
  <c r="E208" i="12" s="1"/>
  <c r="D209" i="12"/>
  <c r="C209" i="12"/>
  <c r="F208" i="12"/>
  <c r="G207" i="12"/>
  <c r="H207" i="12" s="1"/>
  <c r="G206" i="12"/>
  <c r="H206" i="12" s="1"/>
  <c r="G205" i="12"/>
  <c r="H205" i="12" s="1"/>
  <c r="L204" i="12"/>
  <c r="K204" i="12"/>
  <c r="J204" i="12"/>
  <c r="I204" i="12"/>
  <c r="F204" i="12"/>
  <c r="E204" i="12"/>
  <c r="D204" i="12"/>
  <c r="C204" i="12"/>
  <c r="H203" i="12"/>
  <c r="H202" i="12"/>
  <c r="H201" i="12"/>
  <c r="H200" i="12"/>
  <c r="G199" i="12"/>
  <c r="H199" i="12" s="1"/>
  <c r="G198" i="12"/>
  <c r="H198" i="12" s="1"/>
  <c r="G197" i="12"/>
  <c r="H197" i="12" s="1"/>
  <c r="G196" i="12"/>
  <c r="H196" i="12" s="1"/>
  <c r="H195" i="12"/>
  <c r="G194" i="12"/>
  <c r="H194" i="12" s="1"/>
  <c r="H193" i="12"/>
  <c r="G192" i="12"/>
  <c r="H192" i="12" s="1"/>
  <c r="F191" i="12"/>
  <c r="E191" i="12"/>
  <c r="D191" i="12"/>
  <c r="C191" i="12"/>
  <c r="G188" i="12"/>
  <c r="H188" i="12" s="1"/>
  <c r="H187" i="12"/>
  <c r="G186" i="12"/>
  <c r="H186" i="12" s="1"/>
  <c r="I185" i="12"/>
  <c r="F185" i="12"/>
  <c r="E185" i="12"/>
  <c r="D185" i="12"/>
  <c r="C185" i="12"/>
  <c r="G184" i="12"/>
  <c r="H184" i="12" s="1"/>
  <c r="G183" i="12"/>
  <c r="H183" i="12" s="1"/>
  <c r="H182" i="12"/>
  <c r="H181" i="12"/>
  <c r="H180" i="12"/>
  <c r="I179" i="12"/>
  <c r="F179" i="12"/>
  <c r="E179" i="12"/>
  <c r="D179" i="12"/>
  <c r="D178" i="12" s="1"/>
  <c r="C179" i="12"/>
  <c r="G177" i="12"/>
  <c r="H177" i="12" s="1"/>
  <c r="G176" i="12"/>
  <c r="H176" i="12" s="1"/>
  <c r="G175" i="12"/>
  <c r="H175" i="12" s="1"/>
  <c r="L174" i="12"/>
  <c r="K174" i="12"/>
  <c r="J174" i="12"/>
  <c r="I174" i="12"/>
  <c r="F174" i="12"/>
  <c r="E174" i="12"/>
  <c r="D174" i="12"/>
  <c r="C174" i="12"/>
  <c r="H173" i="12"/>
  <c r="H172" i="12"/>
  <c r="H171" i="12"/>
  <c r="H170" i="12"/>
  <c r="G169" i="12"/>
  <c r="H169" i="12" s="1"/>
  <c r="G168" i="12"/>
  <c r="H168" i="12" s="1"/>
  <c r="G167" i="12"/>
  <c r="H167" i="12" s="1"/>
  <c r="G166" i="12"/>
  <c r="H166" i="12" s="1"/>
  <c r="H165" i="12"/>
  <c r="G164" i="12"/>
  <c r="H164" i="12" s="1"/>
  <c r="H163" i="12"/>
  <c r="G162" i="12"/>
  <c r="F161" i="12"/>
  <c r="E161" i="12"/>
  <c r="D161" i="12"/>
  <c r="C161" i="12"/>
  <c r="G158" i="12"/>
  <c r="H158" i="12" s="1"/>
  <c r="H157" i="12"/>
  <c r="G156" i="12"/>
  <c r="H156" i="12" s="1"/>
  <c r="I155" i="12"/>
  <c r="F155" i="12"/>
  <c r="E155" i="12"/>
  <c r="D155" i="12"/>
  <c r="C155" i="12"/>
  <c r="G154" i="12"/>
  <c r="H154" i="12" s="1"/>
  <c r="G153" i="12"/>
  <c r="H153" i="12" s="1"/>
  <c r="H152" i="12"/>
  <c r="H151" i="12"/>
  <c r="H150" i="12"/>
  <c r="I149" i="12"/>
  <c r="F149" i="12"/>
  <c r="E149" i="12"/>
  <c r="D149" i="12"/>
  <c r="D148" i="12" s="1"/>
  <c r="C149" i="12"/>
  <c r="G147" i="12"/>
  <c r="H147" i="12" s="1"/>
  <c r="G146" i="12"/>
  <c r="H146" i="12" s="1"/>
  <c r="G145" i="12"/>
  <c r="H145" i="12" s="1"/>
  <c r="L144" i="12"/>
  <c r="K144" i="12"/>
  <c r="J144" i="12"/>
  <c r="I144" i="12"/>
  <c r="F144" i="12"/>
  <c r="E144" i="12"/>
  <c r="D144" i="12"/>
  <c r="C144" i="12"/>
  <c r="H143" i="12"/>
  <c r="H142" i="12"/>
  <c r="H141" i="12"/>
  <c r="H140" i="12"/>
  <c r="H139" i="12"/>
  <c r="G138" i="12"/>
  <c r="H138" i="12" s="1"/>
  <c r="G137" i="12"/>
  <c r="H137" i="12" s="1"/>
  <c r="G136" i="12"/>
  <c r="H136" i="12" s="1"/>
  <c r="G135" i="12"/>
  <c r="H135" i="12" s="1"/>
  <c r="G134" i="12"/>
  <c r="H134" i="12" s="1"/>
  <c r="H133" i="12"/>
  <c r="G132" i="12"/>
  <c r="F131" i="12"/>
  <c r="E131" i="12"/>
  <c r="D131" i="12"/>
  <c r="C131" i="12"/>
  <c r="G128" i="12"/>
  <c r="H128" i="12" s="1"/>
  <c r="H127" i="12"/>
  <c r="G126" i="12"/>
  <c r="H126" i="12" s="1"/>
  <c r="I125" i="12"/>
  <c r="F125" i="12"/>
  <c r="E125" i="12"/>
  <c r="D125" i="12"/>
  <c r="C125" i="12"/>
  <c r="G124" i="12"/>
  <c r="H124" i="12" s="1"/>
  <c r="G123" i="12"/>
  <c r="H123" i="12" s="1"/>
  <c r="H122" i="12"/>
  <c r="H121" i="12"/>
  <c r="H120" i="12"/>
  <c r="I119" i="12"/>
  <c r="F119" i="12"/>
  <c r="F118" i="12" s="1"/>
  <c r="E119" i="12"/>
  <c r="D119" i="12"/>
  <c r="C119" i="12"/>
  <c r="G117" i="12"/>
  <c r="H117" i="12" s="1"/>
  <c r="G116" i="12"/>
  <c r="H116" i="12" s="1"/>
  <c r="G115" i="12"/>
  <c r="H115" i="12" s="1"/>
  <c r="L114" i="12"/>
  <c r="K114" i="12"/>
  <c r="J114" i="12"/>
  <c r="I114" i="12"/>
  <c r="F114" i="12"/>
  <c r="E114" i="12"/>
  <c r="D114" i="12"/>
  <c r="C114" i="12"/>
  <c r="H113" i="12"/>
  <c r="H112" i="12"/>
  <c r="H111" i="12"/>
  <c r="H110" i="12"/>
  <c r="G109" i="12"/>
  <c r="H109" i="12" s="1"/>
  <c r="G108" i="12"/>
  <c r="H108" i="12" s="1"/>
  <c r="G107" i="12"/>
  <c r="H107" i="12" s="1"/>
  <c r="G106" i="12"/>
  <c r="H106" i="12" s="1"/>
  <c r="H105" i="12"/>
  <c r="G104" i="12"/>
  <c r="H104" i="12" s="1"/>
  <c r="H103" i="12"/>
  <c r="G102" i="12"/>
  <c r="F101" i="12"/>
  <c r="E101" i="12"/>
  <c r="D101" i="12"/>
  <c r="C101" i="12"/>
  <c r="G98" i="12"/>
  <c r="H98" i="12" s="1"/>
  <c r="H97" i="12"/>
  <c r="G96" i="12"/>
  <c r="H96" i="12" s="1"/>
  <c r="I95" i="12"/>
  <c r="F95" i="12"/>
  <c r="E95" i="12"/>
  <c r="D95" i="12"/>
  <c r="C95" i="12"/>
  <c r="G94" i="12"/>
  <c r="H94" i="12" s="1"/>
  <c r="G93" i="12"/>
  <c r="H93" i="12" s="1"/>
  <c r="H92" i="12"/>
  <c r="H91" i="12"/>
  <c r="H90" i="12"/>
  <c r="I89" i="12"/>
  <c r="F89" i="12"/>
  <c r="E89" i="12"/>
  <c r="D89" i="12"/>
  <c r="C89" i="12"/>
  <c r="C88" i="12" s="1"/>
  <c r="G87" i="12"/>
  <c r="H87" i="12" s="1"/>
  <c r="G86" i="12"/>
  <c r="H86" i="12" s="1"/>
  <c r="G85" i="12"/>
  <c r="H85" i="12" s="1"/>
  <c r="L84" i="12"/>
  <c r="K84" i="12"/>
  <c r="J84" i="12"/>
  <c r="I84" i="12"/>
  <c r="F84" i="12"/>
  <c r="E84" i="12"/>
  <c r="D84" i="12"/>
  <c r="C84" i="12"/>
  <c r="H83" i="12"/>
  <c r="G82" i="12"/>
  <c r="H82" i="12" s="1"/>
  <c r="H81" i="12"/>
  <c r="H80" i="12"/>
  <c r="H79" i="12"/>
  <c r="G78" i="12"/>
  <c r="H78" i="12" s="1"/>
  <c r="G77" i="12"/>
  <c r="H77" i="12" s="1"/>
  <c r="G76" i="12"/>
  <c r="H76" i="12" s="1"/>
  <c r="H75" i="12"/>
  <c r="H74" i="12"/>
  <c r="G73" i="12"/>
  <c r="H73" i="12" s="1"/>
  <c r="G72" i="12"/>
  <c r="H72" i="12" s="1"/>
  <c r="G71" i="12"/>
  <c r="H71" i="12" s="1"/>
  <c r="G70" i="12"/>
  <c r="H70" i="12" s="1"/>
  <c r="F69" i="12"/>
  <c r="E69" i="12"/>
  <c r="E68" i="12" s="1"/>
  <c r="D69" i="12"/>
  <c r="D68" i="12" s="1"/>
  <c r="C69" i="12"/>
  <c r="C68" i="12" s="1"/>
  <c r="F68" i="12"/>
  <c r="G66" i="12"/>
  <c r="H66" i="12" s="1"/>
  <c r="H65" i="12"/>
  <c r="G64" i="12"/>
  <c r="H64" i="12" s="1"/>
  <c r="I63" i="12"/>
  <c r="F63" i="12"/>
  <c r="E63" i="12"/>
  <c r="D63" i="12"/>
  <c r="C63" i="12"/>
  <c r="H62" i="12"/>
  <c r="G61" i="12"/>
  <c r="H61" i="12" s="1"/>
  <c r="G60" i="12"/>
  <c r="H60" i="12" s="1"/>
  <c r="H59" i="12"/>
  <c r="G58" i="12"/>
  <c r="H58" i="12" s="1"/>
  <c r="I57" i="12"/>
  <c r="F57" i="12"/>
  <c r="E57" i="12"/>
  <c r="D57" i="12"/>
  <c r="C57" i="12"/>
  <c r="G55" i="12"/>
  <c r="H55" i="12" s="1"/>
  <c r="G54" i="12"/>
  <c r="H54" i="12" s="1"/>
  <c r="G53" i="12"/>
  <c r="H53" i="12" s="1"/>
  <c r="L52" i="12"/>
  <c r="K52" i="12"/>
  <c r="J52" i="12"/>
  <c r="I52" i="12"/>
  <c r="F52" i="12"/>
  <c r="E52" i="12"/>
  <c r="D52" i="12"/>
  <c r="C52" i="12"/>
  <c r="H51" i="12"/>
  <c r="H50" i="12"/>
  <c r="G49" i="12"/>
  <c r="H49" i="12" s="1"/>
  <c r="H48" i="12"/>
  <c r="G47" i="12"/>
  <c r="H47" i="12" s="1"/>
  <c r="G46" i="12"/>
  <c r="H46" i="12" s="1"/>
  <c r="G45" i="12"/>
  <c r="H45" i="12" s="1"/>
  <c r="G44" i="12"/>
  <c r="H44" i="12" s="1"/>
  <c r="H43" i="12"/>
  <c r="G42" i="12"/>
  <c r="H42" i="12" s="1"/>
  <c r="H41" i="12"/>
  <c r="G40" i="12"/>
  <c r="L40" i="12" s="1"/>
  <c r="F39" i="12"/>
  <c r="E39" i="12"/>
  <c r="D39" i="12"/>
  <c r="C39" i="12"/>
  <c r="G36" i="12"/>
  <c r="H36" i="12" s="1"/>
  <c r="G35" i="12"/>
  <c r="H35" i="12" s="1"/>
  <c r="G34" i="12"/>
  <c r="H34" i="12" s="1"/>
  <c r="I33" i="12"/>
  <c r="F33" i="12"/>
  <c r="E33" i="12"/>
  <c r="D33" i="12"/>
  <c r="C33" i="12"/>
  <c r="G32" i="12"/>
  <c r="H32" i="12" s="1"/>
  <c r="G31" i="12"/>
  <c r="H31" i="12" s="1"/>
  <c r="G30" i="12"/>
  <c r="H30" i="12" s="1"/>
  <c r="G29" i="12"/>
  <c r="H29" i="12" s="1"/>
  <c r="G28" i="12"/>
  <c r="H28" i="12" s="1"/>
  <c r="G27" i="12"/>
  <c r="H27" i="12" s="1"/>
  <c r="I26" i="12"/>
  <c r="F26" i="12"/>
  <c r="E26" i="12"/>
  <c r="E25" i="12" s="1"/>
  <c r="D26" i="12"/>
  <c r="C26" i="12"/>
  <c r="G24" i="12"/>
  <c r="H24" i="12" s="1"/>
  <c r="G23" i="12"/>
  <c r="H23" i="12" s="1"/>
  <c r="G22" i="12"/>
  <c r="H22" i="12" s="1"/>
  <c r="L21" i="12"/>
  <c r="K21" i="12"/>
  <c r="J21" i="12"/>
  <c r="I21" i="12"/>
  <c r="F21" i="12"/>
  <c r="E21" i="12"/>
  <c r="D21" i="12"/>
  <c r="C21" i="12"/>
  <c r="H20" i="12"/>
  <c r="H19" i="12"/>
  <c r="H18" i="12"/>
  <c r="H17" i="12"/>
  <c r="G16" i="12"/>
  <c r="H16" i="12" s="1"/>
  <c r="G15" i="12"/>
  <c r="H15" i="12" s="1"/>
  <c r="G14" i="12"/>
  <c r="H14" i="12" s="1"/>
  <c r="G13" i="12"/>
  <c r="H13" i="12" s="1"/>
  <c r="H12" i="12"/>
  <c r="G11" i="12"/>
  <c r="H11" i="12" s="1"/>
  <c r="H10" i="12"/>
  <c r="G9" i="12"/>
  <c r="H9" i="12" s="1"/>
  <c r="F8" i="12"/>
  <c r="E8" i="12"/>
  <c r="D8" i="12"/>
  <c r="C8" i="12"/>
  <c r="L30" i="11"/>
  <c r="N29" i="11"/>
  <c r="J29" i="11"/>
  <c r="I29" i="11"/>
  <c r="G29" i="11"/>
  <c r="E29" i="11"/>
  <c r="B29" i="11"/>
  <c r="N28" i="11"/>
  <c r="M28" i="11"/>
  <c r="M30" i="11" s="1"/>
  <c r="J28" i="11"/>
  <c r="I28" i="11"/>
  <c r="G28" i="11"/>
  <c r="E28" i="11"/>
  <c r="B28" i="11"/>
  <c r="K27" i="11"/>
  <c r="J27" i="11"/>
  <c r="H27" i="11"/>
  <c r="H30" i="11" s="1"/>
  <c r="F27" i="11"/>
  <c r="F30" i="11" s="1"/>
  <c r="D27" i="11"/>
  <c r="D30" i="11" s="1"/>
  <c r="C27" i="11"/>
  <c r="G27" i="11" s="1"/>
  <c r="N26" i="11"/>
  <c r="J26" i="11"/>
  <c r="I26" i="11"/>
  <c r="G26" i="11"/>
  <c r="E26" i="11"/>
  <c r="B26" i="11"/>
  <c r="N25" i="11"/>
  <c r="J25" i="11"/>
  <c r="I25" i="11"/>
  <c r="G25" i="11"/>
  <c r="E25" i="11"/>
  <c r="B25" i="11"/>
  <c r="N24" i="11"/>
  <c r="J24" i="11"/>
  <c r="I24" i="11"/>
  <c r="G24" i="11"/>
  <c r="E24" i="11"/>
  <c r="B24" i="11"/>
  <c r="N23" i="11"/>
  <c r="J23" i="11"/>
  <c r="I23" i="11"/>
  <c r="G23" i="11"/>
  <c r="E23" i="11"/>
  <c r="B23" i="11"/>
  <c r="N22" i="11"/>
  <c r="J22" i="11"/>
  <c r="I22" i="11"/>
  <c r="G22" i="11"/>
  <c r="E22" i="11"/>
  <c r="B22" i="11"/>
  <c r="N21" i="11"/>
  <c r="J21" i="11"/>
  <c r="I21" i="11"/>
  <c r="G21" i="11"/>
  <c r="E21" i="11"/>
  <c r="B21" i="11"/>
  <c r="N20" i="11"/>
  <c r="J20" i="11"/>
  <c r="I20" i="11"/>
  <c r="G20" i="11"/>
  <c r="E20" i="11"/>
  <c r="B20" i="11"/>
  <c r="N19" i="11"/>
  <c r="J19" i="11"/>
  <c r="I19" i="11"/>
  <c r="G19" i="11"/>
  <c r="E19" i="11"/>
  <c r="B19" i="11"/>
  <c r="N18" i="11"/>
  <c r="J18" i="11"/>
  <c r="I18" i="11"/>
  <c r="G18" i="11"/>
  <c r="E18" i="11"/>
  <c r="B18" i="11"/>
  <c r="N17" i="11"/>
  <c r="J17" i="11"/>
  <c r="I17" i="11"/>
  <c r="G17" i="11"/>
  <c r="E17" i="11"/>
  <c r="B17" i="11"/>
  <c r="N16" i="11"/>
  <c r="J16" i="11"/>
  <c r="I16" i="11"/>
  <c r="G16" i="11"/>
  <c r="E16" i="11"/>
  <c r="B16" i="11"/>
  <c r="N15" i="11"/>
  <c r="J15" i="11"/>
  <c r="I15" i="11"/>
  <c r="G15" i="11"/>
  <c r="E15" i="11"/>
  <c r="B15" i="11"/>
  <c r="N14" i="11"/>
  <c r="J14" i="11"/>
  <c r="I14" i="11"/>
  <c r="G14" i="11"/>
  <c r="E14" i="11"/>
  <c r="B14" i="11"/>
  <c r="N13" i="11"/>
  <c r="J13" i="11"/>
  <c r="I13" i="11"/>
  <c r="G13" i="11"/>
  <c r="E13" i="11"/>
  <c r="B13" i="11"/>
  <c r="N12" i="11"/>
  <c r="J12" i="11"/>
  <c r="I12" i="11"/>
  <c r="G12" i="11"/>
  <c r="E12" i="11"/>
  <c r="B12" i="11"/>
  <c r="N11" i="11"/>
  <c r="J11" i="11"/>
  <c r="I11" i="11"/>
  <c r="G11" i="11"/>
  <c r="E11" i="11"/>
  <c r="B11" i="11"/>
  <c r="N10" i="11"/>
  <c r="J10" i="11"/>
  <c r="I10" i="11"/>
  <c r="G10" i="11"/>
  <c r="E10" i="11"/>
  <c r="B10" i="11"/>
  <c r="N9" i="11"/>
  <c r="J9" i="11"/>
  <c r="I9" i="11"/>
  <c r="G9" i="11"/>
  <c r="E9" i="11"/>
  <c r="E27" i="11" s="1"/>
  <c r="E30" i="11" s="1"/>
  <c r="B9" i="11"/>
  <c r="B27" i="11" s="1"/>
  <c r="B30" i="11" s="1"/>
  <c r="M8" i="13" l="1"/>
  <c r="L8" i="13"/>
  <c r="M7" i="13"/>
  <c r="M6" i="13" s="1"/>
  <c r="L7" i="13"/>
  <c r="C251" i="12"/>
  <c r="C250" i="12" s="1"/>
  <c r="D251" i="12"/>
  <c r="D250" i="12" s="1"/>
  <c r="D268" i="12"/>
  <c r="D299" i="12"/>
  <c r="H299" i="12" s="1"/>
  <c r="E419" i="12"/>
  <c r="D542" i="12"/>
  <c r="R624" i="12"/>
  <c r="R628" i="12"/>
  <c r="C25" i="12"/>
  <c r="E118" i="12"/>
  <c r="G131" i="12"/>
  <c r="D480" i="12"/>
  <c r="R621" i="12"/>
  <c r="H125" i="12"/>
  <c r="J125" i="12" s="1"/>
  <c r="K125" i="12" s="1"/>
  <c r="L125" i="12" s="1"/>
  <c r="F299" i="12"/>
  <c r="F449" i="12"/>
  <c r="F431" i="12" s="1"/>
  <c r="E572" i="12"/>
  <c r="R360" i="12"/>
  <c r="R456" i="12"/>
  <c r="R538" i="12"/>
  <c r="R635" i="12"/>
  <c r="F178" i="12"/>
  <c r="F160" i="12" s="1"/>
  <c r="E329" i="12"/>
  <c r="D511" i="12"/>
  <c r="H518" i="12"/>
  <c r="J518" i="12" s="1"/>
  <c r="D160" i="12"/>
  <c r="H252" i="12"/>
  <c r="F268" i="12"/>
  <c r="H373" i="12"/>
  <c r="F371" i="12"/>
  <c r="F238" i="12"/>
  <c r="E449" i="12"/>
  <c r="E542" i="12"/>
  <c r="D572" i="12"/>
  <c r="H572" i="12" s="1"/>
  <c r="R125" i="12"/>
  <c r="D56" i="12"/>
  <c r="D38" i="12" s="1"/>
  <c r="C118" i="12"/>
  <c r="C148" i="12"/>
  <c r="E238" i="12"/>
  <c r="C238" i="12"/>
  <c r="E56" i="12"/>
  <c r="D88" i="12"/>
  <c r="C178" i="12"/>
  <c r="E190" i="12"/>
  <c r="E88" i="12"/>
  <c r="F190" i="12"/>
  <c r="O493" i="12"/>
  <c r="H512" i="12"/>
  <c r="J512" i="12" s="1"/>
  <c r="Q13" i="12"/>
  <c r="S13" i="12" s="1"/>
  <c r="Q17" i="12"/>
  <c r="S17" i="12" s="1"/>
  <c r="O21" i="12"/>
  <c r="Q28" i="12"/>
  <c r="S28" i="12" s="1"/>
  <c r="Q32" i="12"/>
  <c r="S32" i="12" s="1"/>
  <c r="Q41" i="12"/>
  <c r="S41" i="12" s="1"/>
  <c r="Q45" i="12"/>
  <c r="S45" i="12" s="1"/>
  <c r="Q49" i="12"/>
  <c r="S49" i="12" s="1"/>
  <c r="Q54" i="12"/>
  <c r="S54" i="12" s="1"/>
  <c r="O57" i="12"/>
  <c r="Q65" i="12"/>
  <c r="S65" i="12" s="1"/>
  <c r="Q73" i="12"/>
  <c r="S73" i="12" s="1"/>
  <c r="Q77" i="12"/>
  <c r="S77" i="12" s="1"/>
  <c r="Q81" i="12"/>
  <c r="S81" i="12" s="1"/>
  <c r="Q86" i="12"/>
  <c r="S86" i="12" s="1"/>
  <c r="Q92" i="12"/>
  <c r="S92" i="12" s="1"/>
  <c r="Q97" i="12"/>
  <c r="S97" i="12" s="1"/>
  <c r="Q105" i="12"/>
  <c r="S105" i="12" s="1"/>
  <c r="Q109" i="12"/>
  <c r="S109" i="12" s="1"/>
  <c r="Q113" i="12"/>
  <c r="S113" i="12"/>
  <c r="O119" i="12"/>
  <c r="Q124" i="12"/>
  <c r="S124" i="12" s="1"/>
  <c r="Q133" i="12"/>
  <c r="S133" i="12" s="1"/>
  <c r="Q137" i="12"/>
  <c r="S137" i="12"/>
  <c r="Q141" i="12"/>
  <c r="S141" i="12" s="1"/>
  <c r="Q146" i="12"/>
  <c r="S146" i="12" s="1"/>
  <c r="Q152" i="12"/>
  <c r="S152" i="12" s="1"/>
  <c r="Q157" i="12"/>
  <c r="S157" i="12" s="1"/>
  <c r="Q165" i="12"/>
  <c r="S165" i="12" s="1"/>
  <c r="Q169" i="12"/>
  <c r="S169" i="12" s="1"/>
  <c r="Q173" i="12"/>
  <c r="S173" i="12" s="1"/>
  <c r="O179" i="12"/>
  <c r="Q184" i="12"/>
  <c r="S184" i="12" s="1"/>
  <c r="Q193" i="12"/>
  <c r="S193" i="12" s="1"/>
  <c r="Q197" i="12"/>
  <c r="S197" i="12" s="1"/>
  <c r="Q201" i="12"/>
  <c r="S201" i="12" s="1"/>
  <c r="Q206" i="12"/>
  <c r="S206" i="12" s="1"/>
  <c r="Q212" i="12"/>
  <c r="S212" i="12" s="1"/>
  <c r="Q217" i="12"/>
  <c r="S217" i="12" s="1"/>
  <c r="Q225" i="12"/>
  <c r="S225" i="12" s="1"/>
  <c r="Q229" i="12"/>
  <c r="S229" i="12" s="1"/>
  <c r="Q233" i="12"/>
  <c r="S233" i="12" s="1"/>
  <c r="O239" i="12"/>
  <c r="Q244" i="12"/>
  <c r="S244" i="12" s="1"/>
  <c r="Q253" i="12"/>
  <c r="S253" i="12" s="1"/>
  <c r="Q257" i="12"/>
  <c r="S257" i="12" s="1"/>
  <c r="Q261" i="12"/>
  <c r="S261" i="12" s="1"/>
  <c r="Q266" i="12"/>
  <c r="S266" i="12" s="1"/>
  <c r="Q272" i="12"/>
  <c r="S272" i="12" s="1"/>
  <c r="Q277" i="12"/>
  <c r="S277" i="12" s="1"/>
  <c r="Q285" i="12"/>
  <c r="S285" i="12" s="1"/>
  <c r="Q289" i="12"/>
  <c r="S289" i="12" s="1"/>
  <c r="Q293" i="12"/>
  <c r="S293" i="12" s="1"/>
  <c r="Q298" i="12"/>
  <c r="S298" i="12" s="1"/>
  <c r="Q309" i="12"/>
  <c r="S309" i="12" s="1"/>
  <c r="Q317" i="12"/>
  <c r="S317" i="12" s="1"/>
  <c r="Q321" i="12"/>
  <c r="S321" i="12" s="1"/>
  <c r="Q332" i="12"/>
  <c r="S332" i="12" s="1"/>
  <c r="Q345" i="12"/>
  <c r="S345" i="12" s="1"/>
  <c r="Q349" i="12"/>
  <c r="S349" i="12" s="1"/>
  <c r="Q353" i="12"/>
  <c r="S353" i="12" s="1"/>
  <c r="Q358" i="12"/>
  <c r="S358" i="12" s="1"/>
  <c r="Q369" i="12"/>
  <c r="S369" i="12" s="1"/>
  <c r="Q377" i="12"/>
  <c r="S377" i="12" s="1"/>
  <c r="Q381" i="12"/>
  <c r="S381" i="12" s="1"/>
  <c r="Q386" i="12"/>
  <c r="S386" i="12" s="1"/>
  <c r="Q392" i="12"/>
  <c r="S392" i="12" s="1"/>
  <c r="Q405" i="12"/>
  <c r="S405" i="12" s="1"/>
  <c r="Q409" i="12"/>
  <c r="S409" i="12" s="1"/>
  <c r="Q413" i="12"/>
  <c r="S413" i="12" s="1"/>
  <c r="Q418" i="12"/>
  <c r="S418" i="12" s="1"/>
  <c r="Q424" i="12"/>
  <c r="S424" i="12" s="1"/>
  <c r="Q429" i="12"/>
  <c r="S429" i="12" s="1"/>
  <c r="Q437" i="12"/>
  <c r="S437" i="12" s="1"/>
  <c r="Q441" i="12"/>
  <c r="S441" i="12" s="1"/>
  <c r="Q452" i="12"/>
  <c r="S452" i="12" s="1"/>
  <c r="Q465" i="12"/>
  <c r="S465" i="12"/>
  <c r="Q469" i="12"/>
  <c r="S469" i="12"/>
  <c r="Q473" i="12"/>
  <c r="S473" i="12"/>
  <c r="Q478" i="12"/>
  <c r="S478" i="12"/>
  <c r="Q489" i="12"/>
  <c r="S489" i="12" s="1"/>
  <c r="Q497" i="12"/>
  <c r="S497" i="12" s="1"/>
  <c r="Q501" i="12"/>
  <c r="S501" i="12" s="1"/>
  <c r="Q505" i="12"/>
  <c r="S505" i="12" s="1"/>
  <c r="Q516" i="12"/>
  <c r="S516" i="12"/>
  <c r="C268" i="12"/>
  <c r="D329" i="12"/>
  <c r="F359" i="12"/>
  <c r="D389" i="12"/>
  <c r="H389" i="12" s="1"/>
  <c r="E389" i="12"/>
  <c r="E371" i="12" s="1"/>
  <c r="F480" i="12"/>
  <c r="H543" i="12"/>
  <c r="J543" i="12" s="1"/>
  <c r="F542" i="12"/>
  <c r="F572" i="12"/>
  <c r="C602" i="12"/>
  <c r="R618" i="12"/>
  <c r="R619" i="12"/>
  <c r="R627" i="12"/>
  <c r="C630" i="12"/>
  <c r="H633" i="12"/>
  <c r="D635" i="12"/>
  <c r="R21" i="12"/>
  <c r="R40" i="12"/>
  <c r="R39" i="12" s="1"/>
  <c r="R52" i="12"/>
  <c r="R63" i="12"/>
  <c r="R89" i="12"/>
  <c r="R144" i="12"/>
  <c r="R185" i="12"/>
  <c r="R209" i="12"/>
  <c r="R222" i="12"/>
  <c r="R234" i="12"/>
  <c r="R264" i="12"/>
  <c r="R330" i="12"/>
  <c r="R373" i="12"/>
  <c r="R372" i="12" s="1"/>
  <c r="R385" i="12"/>
  <c r="R396" i="12"/>
  <c r="R450" i="12"/>
  <c r="P573" i="12"/>
  <c r="R574" i="12"/>
  <c r="R573" i="12" s="1"/>
  <c r="P585" i="12"/>
  <c r="R598" i="12"/>
  <c r="P609" i="12"/>
  <c r="R610" i="12"/>
  <c r="R609" i="12" s="1"/>
  <c r="P630" i="12"/>
  <c r="R630" i="12"/>
  <c r="Q10" i="12"/>
  <c r="S10" i="12" s="1"/>
  <c r="Q14" i="12"/>
  <c r="S14" i="12" s="1"/>
  <c r="Q18" i="12"/>
  <c r="S18" i="12" s="1"/>
  <c r="Q23" i="12"/>
  <c r="S23" i="12" s="1"/>
  <c r="Q29" i="12"/>
  <c r="S29" i="12" s="1"/>
  <c r="Q42" i="12"/>
  <c r="S42" i="12" s="1"/>
  <c r="Q46" i="12"/>
  <c r="S46" i="12" s="1"/>
  <c r="Q50" i="12"/>
  <c r="S50" i="12" s="1"/>
  <c r="Q55" i="12"/>
  <c r="S55" i="12" s="1"/>
  <c r="Q61" i="12"/>
  <c r="S61" i="12" s="1"/>
  <c r="Q66" i="12"/>
  <c r="S66" i="12" s="1"/>
  <c r="Q74" i="12"/>
  <c r="S74" i="12" s="1"/>
  <c r="Q78" i="12"/>
  <c r="S78" i="12" s="1"/>
  <c r="Q82" i="12"/>
  <c r="S82" i="12" s="1"/>
  <c r="Q87" i="12"/>
  <c r="S87" i="12" s="1"/>
  <c r="Q93" i="12"/>
  <c r="S93" i="12" s="1"/>
  <c r="Q106" i="12"/>
  <c r="S106" i="12" s="1"/>
  <c r="Q110" i="12"/>
  <c r="S110" i="12" s="1"/>
  <c r="O114" i="12"/>
  <c r="Q121" i="12"/>
  <c r="S121" i="12" s="1"/>
  <c r="Q126" i="12"/>
  <c r="S126" i="12" s="1"/>
  <c r="Q138" i="12"/>
  <c r="S138" i="12" s="1"/>
  <c r="Q142" i="12"/>
  <c r="S142" i="12" s="1"/>
  <c r="Q147" i="12"/>
  <c r="S147" i="12" s="1"/>
  <c r="Q153" i="12"/>
  <c r="S153" i="12" s="1"/>
  <c r="Q166" i="12"/>
  <c r="S166" i="12" s="1"/>
  <c r="Q170" i="12"/>
  <c r="S170" i="12" s="1"/>
  <c r="O174" i="12"/>
  <c r="Q181" i="12"/>
  <c r="S181" i="12" s="1"/>
  <c r="Q186" i="12"/>
  <c r="S186" i="12" s="1"/>
  <c r="Q198" i="12"/>
  <c r="S198" i="12" s="1"/>
  <c r="Q202" i="12"/>
  <c r="S202" i="12" s="1"/>
  <c r="Q207" i="12"/>
  <c r="S207" i="12" s="1"/>
  <c r="Q213" i="12"/>
  <c r="S213" i="12" s="1"/>
  <c r="Q226" i="12"/>
  <c r="S226" i="12" s="1"/>
  <c r="Q230" i="12"/>
  <c r="S230" i="12" s="1"/>
  <c r="O234" i="12"/>
  <c r="Q241" i="12"/>
  <c r="S241" i="12" s="1"/>
  <c r="Q246" i="12"/>
  <c r="S246" i="12" s="1"/>
  <c r="Q258" i="12"/>
  <c r="S258" i="12" s="1"/>
  <c r="Q262" i="12"/>
  <c r="S262" i="12" s="1"/>
  <c r="Q267" i="12"/>
  <c r="S267" i="12" s="1"/>
  <c r="Q273" i="12"/>
  <c r="S273" i="12" s="1"/>
  <c r="Q286" i="12"/>
  <c r="S286" i="12" s="1"/>
  <c r="Q290" i="12"/>
  <c r="S290" i="12" s="1"/>
  <c r="Q294" i="12"/>
  <c r="S294" i="12" s="1"/>
  <c r="Q301" i="12"/>
  <c r="S301" i="12" s="1"/>
  <c r="Q305" i="12"/>
  <c r="S305" i="12" s="1"/>
  <c r="Q314" i="12"/>
  <c r="S314" i="12" s="1"/>
  <c r="Q318" i="12"/>
  <c r="S318" i="12" s="1"/>
  <c r="Q322" i="12"/>
  <c r="S322" i="12" s="1"/>
  <c r="Q327" i="12"/>
  <c r="S327" i="12" s="1"/>
  <c r="Q333" i="12"/>
  <c r="S333" i="12" s="1"/>
  <c r="Q338" i="12"/>
  <c r="S338" i="12" s="1"/>
  <c r="Q346" i="12"/>
  <c r="S346" i="12" s="1"/>
  <c r="Q350" i="12"/>
  <c r="S350" i="12" s="1"/>
  <c r="Q354" i="12"/>
  <c r="S354" i="12" s="1"/>
  <c r="Q361" i="12"/>
  <c r="S361" i="12" s="1"/>
  <c r="Q365" i="12"/>
  <c r="S365" i="12" s="1"/>
  <c r="Q374" i="12"/>
  <c r="S374" i="12"/>
  <c r="Q378" i="12"/>
  <c r="S378" i="12"/>
  <c r="Q382" i="12"/>
  <c r="S382" i="12"/>
  <c r="Q387" i="12"/>
  <c r="S387" i="12"/>
  <c r="Q393" i="12"/>
  <c r="S393" i="12"/>
  <c r="Q398" i="12"/>
  <c r="S398" i="12"/>
  <c r="Q406" i="12"/>
  <c r="S406" i="12"/>
  <c r="Q410" i="12"/>
  <c r="S410" i="12"/>
  <c r="Q414" i="12"/>
  <c r="S414" i="12"/>
  <c r="Q421" i="12"/>
  <c r="S421" i="12" s="1"/>
  <c r="Q425" i="12"/>
  <c r="S425" i="12"/>
  <c r="Q434" i="12"/>
  <c r="S434" i="12" s="1"/>
  <c r="Q438" i="12"/>
  <c r="S438" i="12"/>
  <c r="Q442" i="12"/>
  <c r="S442" i="12" s="1"/>
  <c r="Q447" i="12"/>
  <c r="S447" i="12"/>
  <c r="Q453" i="12"/>
  <c r="S453" i="12" s="1"/>
  <c r="Q458" i="12"/>
  <c r="S458" i="12"/>
  <c r="Q466" i="12"/>
  <c r="S466" i="12" s="1"/>
  <c r="Q470" i="12"/>
  <c r="S470" i="12" s="1"/>
  <c r="Q474" i="12"/>
  <c r="S474" i="12" s="1"/>
  <c r="Q479" i="12"/>
  <c r="S479" i="12" s="1"/>
  <c r="Q485" i="12"/>
  <c r="S485" i="12" s="1"/>
  <c r="Q490" i="12"/>
  <c r="S490" i="12" s="1"/>
  <c r="Q498" i="12"/>
  <c r="S498" i="12" s="1"/>
  <c r="Q502" i="12"/>
  <c r="S502" i="12" s="1"/>
  <c r="Q506" i="12"/>
  <c r="S506" i="12" s="1"/>
  <c r="Q513" i="12"/>
  <c r="S513" i="12" s="1"/>
  <c r="Q517" i="12"/>
  <c r="S517" i="12" s="1"/>
  <c r="Q526" i="12"/>
  <c r="S526" i="12" s="1"/>
  <c r="Q530" i="12"/>
  <c r="S530" i="12" s="1"/>
  <c r="C299" i="12"/>
  <c r="C329" i="12"/>
  <c r="C311" i="12" s="1"/>
  <c r="C480" i="12"/>
  <c r="E480" i="12"/>
  <c r="H480" i="12" s="1"/>
  <c r="E511" i="12"/>
  <c r="F511" i="12"/>
  <c r="F602" i="12"/>
  <c r="F584" i="12" s="1"/>
  <c r="H645" i="12"/>
  <c r="P33" i="12"/>
  <c r="R34" i="12"/>
  <c r="R33" i="12" s="1"/>
  <c r="R57" i="12"/>
  <c r="R114" i="12"/>
  <c r="P131" i="12"/>
  <c r="R134" i="12"/>
  <c r="R155" i="12"/>
  <c r="R179" i="12"/>
  <c r="P245" i="12"/>
  <c r="R247" i="12"/>
  <c r="R275" i="12"/>
  <c r="R300" i="12"/>
  <c r="P342" i="12"/>
  <c r="R355" i="12"/>
  <c r="P366" i="12"/>
  <c r="R367" i="12"/>
  <c r="R366" i="12" s="1"/>
  <c r="R420" i="12"/>
  <c r="R463" i="12"/>
  <c r="R481" i="12"/>
  <c r="R494" i="12"/>
  <c r="R493" i="12" s="1"/>
  <c r="R512" i="12"/>
  <c r="R543" i="12"/>
  <c r="R556" i="12"/>
  <c r="R555" i="12" s="1"/>
  <c r="R568" i="12"/>
  <c r="R579" i="12"/>
  <c r="R642" i="12"/>
  <c r="Q11" i="12"/>
  <c r="S11" i="12" s="1"/>
  <c r="Q15" i="12"/>
  <c r="S15" i="12" s="1"/>
  <c r="Q19" i="12"/>
  <c r="S19" i="12" s="1"/>
  <c r="Q24" i="12"/>
  <c r="S24" i="12" s="1"/>
  <c r="Q35" i="12"/>
  <c r="S35" i="12" s="1"/>
  <c r="Q43" i="12"/>
  <c r="S43" i="12" s="1"/>
  <c r="Q47" i="12"/>
  <c r="S47" i="12" s="1"/>
  <c r="Q51" i="12"/>
  <c r="S51" i="12" s="1"/>
  <c r="Q58" i="12"/>
  <c r="S58" i="12" s="1"/>
  <c r="Q62" i="12"/>
  <c r="S62" i="12" s="1"/>
  <c r="Q71" i="12"/>
  <c r="S71" i="12" s="1"/>
  <c r="Q75" i="12"/>
  <c r="S75" i="12" s="1"/>
  <c r="Q79" i="12"/>
  <c r="S79" i="12" s="1"/>
  <c r="Q83" i="12"/>
  <c r="S83" i="12" s="1"/>
  <c r="O89" i="12"/>
  <c r="Q94" i="12"/>
  <c r="S94" i="12"/>
  <c r="Q103" i="12"/>
  <c r="S103" i="12" s="1"/>
  <c r="Q107" i="12"/>
  <c r="S107" i="12"/>
  <c r="Q111" i="12"/>
  <c r="S111" i="12" s="1"/>
  <c r="Q116" i="12"/>
  <c r="S116" i="12"/>
  <c r="Q122" i="12"/>
  <c r="S122" i="12" s="1"/>
  <c r="Q127" i="12"/>
  <c r="S127" i="12"/>
  <c r="Q135" i="12"/>
  <c r="S135" i="12" s="1"/>
  <c r="Q139" i="12"/>
  <c r="S139" i="12"/>
  <c r="Q143" i="12"/>
  <c r="S143" i="12" s="1"/>
  <c r="O149" i="12"/>
  <c r="Q154" i="12"/>
  <c r="S154" i="12" s="1"/>
  <c r="Q163" i="12"/>
  <c r="S163" i="12" s="1"/>
  <c r="Q167" i="12"/>
  <c r="S167" i="12" s="1"/>
  <c r="Q171" i="12"/>
  <c r="S171" i="12" s="1"/>
  <c r="Q176" i="12"/>
  <c r="S176" i="12" s="1"/>
  <c r="Q182" i="12"/>
  <c r="S182" i="12" s="1"/>
  <c r="Q187" i="12"/>
  <c r="S187" i="12" s="1"/>
  <c r="Q195" i="12"/>
  <c r="S195" i="12" s="1"/>
  <c r="Q199" i="12"/>
  <c r="S199" i="12" s="1"/>
  <c r="Q203" i="12"/>
  <c r="S203" i="12" s="1"/>
  <c r="O209" i="12"/>
  <c r="Q214" i="12"/>
  <c r="S214" i="12"/>
  <c r="Q223" i="12"/>
  <c r="S223" i="12" s="1"/>
  <c r="Q227" i="12"/>
  <c r="S227" i="12"/>
  <c r="Q231" i="12"/>
  <c r="S231" i="12" s="1"/>
  <c r="Q236" i="12"/>
  <c r="S236" i="12"/>
  <c r="Q242" i="12"/>
  <c r="S242" i="12" s="1"/>
  <c r="Q247" i="12"/>
  <c r="S247" i="12"/>
  <c r="Q255" i="12"/>
  <c r="S255" i="12" s="1"/>
  <c r="Q259" i="12"/>
  <c r="S259" i="12"/>
  <c r="Q263" i="12"/>
  <c r="S263" i="12" s="1"/>
  <c r="Q274" i="12"/>
  <c r="S274" i="12" s="1"/>
  <c r="Q283" i="12"/>
  <c r="S283" i="12" s="1"/>
  <c r="Q287" i="12"/>
  <c r="S287" i="12" s="1"/>
  <c r="Q291" i="12"/>
  <c r="S291" i="12" s="1"/>
  <c r="Q302" i="12"/>
  <c r="S302" i="12"/>
  <c r="Q315" i="12"/>
  <c r="S315" i="12" s="1"/>
  <c r="Q319" i="12"/>
  <c r="S319" i="12" s="1"/>
  <c r="Q323" i="12"/>
  <c r="S323" i="12" s="1"/>
  <c r="Q328" i="12"/>
  <c r="S328" i="12" s="1"/>
  <c r="Q334" i="12"/>
  <c r="S334" i="12" s="1"/>
  <c r="Q339" i="12"/>
  <c r="S339" i="12" s="1"/>
  <c r="Q347" i="12"/>
  <c r="S347" i="12" s="1"/>
  <c r="Q351" i="12"/>
  <c r="S351" i="12" s="1"/>
  <c r="Q362" i="12"/>
  <c r="S362" i="12" s="1"/>
  <c r="Q375" i="12"/>
  <c r="S375" i="12" s="1"/>
  <c r="Q379" i="12"/>
  <c r="S379" i="12" s="1"/>
  <c r="Q383" i="12"/>
  <c r="S383" i="12" s="1"/>
  <c r="Q388" i="12"/>
  <c r="S388" i="12" s="1"/>
  <c r="Q399" i="12"/>
  <c r="S399" i="12"/>
  <c r="Q407" i="12"/>
  <c r="S407" i="12" s="1"/>
  <c r="Q411" i="12"/>
  <c r="S411" i="12" s="1"/>
  <c r="Q422" i="12"/>
  <c r="S422" i="12" s="1"/>
  <c r="Q435" i="12"/>
  <c r="S435" i="12" s="1"/>
  <c r="Q439" i="12"/>
  <c r="S439" i="12" s="1"/>
  <c r="Q443" i="12"/>
  <c r="S443" i="12" s="1"/>
  <c r="Q448" i="12"/>
  <c r="S448" i="12" s="1"/>
  <c r="Q459" i="12"/>
  <c r="S459" i="12" s="1"/>
  <c r="Q467" i="12"/>
  <c r="S467" i="12" s="1"/>
  <c r="Q471" i="12"/>
  <c r="S471" i="12" s="1"/>
  <c r="Q475" i="12"/>
  <c r="S475" i="12" s="1"/>
  <c r="Q482" i="12"/>
  <c r="S482" i="12" s="1"/>
  <c r="Q486" i="12"/>
  <c r="S486" i="12" s="1"/>
  <c r="Q495" i="12"/>
  <c r="S495" i="12" s="1"/>
  <c r="Q499" i="12"/>
  <c r="S499" i="12" s="1"/>
  <c r="Q503" i="12"/>
  <c r="S503" i="12" s="1"/>
  <c r="Q508" i="12"/>
  <c r="S508" i="12" s="1"/>
  <c r="Q519" i="12"/>
  <c r="S519" i="12" s="1"/>
  <c r="Q527" i="12"/>
  <c r="S527" i="12" s="1"/>
  <c r="F311" i="12"/>
  <c r="E431" i="12"/>
  <c r="R616" i="12"/>
  <c r="F635" i="12"/>
  <c r="R84" i="12"/>
  <c r="R149" i="12"/>
  <c r="R204" i="12"/>
  <c r="R221" i="12"/>
  <c r="R245" i="12"/>
  <c r="R269" i="12"/>
  <c r="R313" i="12"/>
  <c r="R312" i="12" s="1"/>
  <c r="R325" i="12"/>
  <c r="R336" i="12"/>
  <c r="R390" i="12"/>
  <c r="R445" i="12"/>
  <c r="R462" i="12"/>
  <c r="P476" i="12"/>
  <c r="R477" i="12"/>
  <c r="R476" i="12" s="1"/>
  <c r="R487" i="12"/>
  <c r="R507" i="12"/>
  <c r="R518" i="12"/>
  <c r="R549" i="12"/>
  <c r="Q12" i="12"/>
  <c r="S12" i="12" s="1"/>
  <c r="Q16" i="12"/>
  <c r="S16" i="12" s="1"/>
  <c r="Q20" i="12"/>
  <c r="S20" i="12" s="1"/>
  <c r="Q27" i="12"/>
  <c r="S27" i="12" s="1"/>
  <c r="Q31" i="12"/>
  <c r="S31" i="12" s="1"/>
  <c r="Q36" i="12"/>
  <c r="S36" i="12" s="1"/>
  <c r="Q44" i="12"/>
  <c r="S44" i="12" s="1"/>
  <c r="Q48" i="12"/>
  <c r="S48" i="12" s="1"/>
  <c r="Q53" i="12"/>
  <c r="S53" i="12" s="1"/>
  <c r="Q59" i="12"/>
  <c r="S59" i="12" s="1"/>
  <c r="Q72" i="12"/>
  <c r="S72" i="12" s="1"/>
  <c r="Q76" i="12"/>
  <c r="S76" i="12" s="1"/>
  <c r="Q80" i="12"/>
  <c r="S80" i="12" s="1"/>
  <c r="O84" i="12"/>
  <c r="Q91" i="12"/>
  <c r="S91" i="12" s="1"/>
  <c r="Q96" i="12"/>
  <c r="S96" i="12" s="1"/>
  <c r="Q108" i="12"/>
  <c r="S108" i="12" s="1"/>
  <c r="Q112" i="12"/>
  <c r="S112" i="12" s="1"/>
  <c r="Q117" i="12"/>
  <c r="S117" i="12" s="1"/>
  <c r="Q123" i="12"/>
  <c r="S123" i="12" s="1"/>
  <c r="Q136" i="12"/>
  <c r="S136" i="12" s="1"/>
  <c r="Q140" i="12"/>
  <c r="S140" i="12" s="1"/>
  <c r="O144" i="12"/>
  <c r="Q151" i="12"/>
  <c r="S151" i="12" s="1"/>
  <c r="Q156" i="12"/>
  <c r="S156" i="12" s="1"/>
  <c r="Q168" i="12"/>
  <c r="S168" i="12"/>
  <c r="Q172" i="12"/>
  <c r="S172" i="12" s="1"/>
  <c r="Q177" i="12"/>
  <c r="S177" i="12"/>
  <c r="Q183" i="12"/>
  <c r="S183" i="12" s="1"/>
  <c r="Q196" i="12"/>
  <c r="S196" i="12" s="1"/>
  <c r="Q200" i="12"/>
  <c r="S200" i="12" s="1"/>
  <c r="O204" i="12"/>
  <c r="Q211" i="12"/>
  <c r="S211" i="12" s="1"/>
  <c r="Q216" i="12"/>
  <c r="S216" i="12" s="1"/>
  <c r="Q228" i="12"/>
  <c r="S228" i="12" s="1"/>
  <c r="Q232" i="12"/>
  <c r="S232" i="12" s="1"/>
  <c r="Q237" i="12"/>
  <c r="S237" i="12" s="1"/>
  <c r="Q243" i="12"/>
  <c r="S243" i="12" s="1"/>
  <c r="Q256" i="12"/>
  <c r="S256" i="12" s="1"/>
  <c r="Q260" i="12"/>
  <c r="S260" i="12" s="1"/>
  <c r="Q271" i="12"/>
  <c r="S271" i="12" s="1"/>
  <c r="Q276" i="12"/>
  <c r="S276" i="12" s="1"/>
  <c r="Q288" i="12"/>
  <c r="S288" i="12" s="1"/>
  <c r="Q292" i="12"/>
  <c r="S292" i="12" s="1"/>
  <c r="Q297" i="12"/>
  <c r="S297" i="12" s="1"/>
  <c r="Q303" i="12"/>
  <c r="S303" i="12" s="1"/>
  <c r="Q308" i="12"/>
  <c r="S308" i="12" s="1"/>
  <c r="Q316" i="12"/>
  <c r="S316" i="12" s="1"/>
  <c r="Q320" i="12"/>
  <c r="S320" i="12" s="1"/>
  <c r="Q324" i="12"/>
  <c r="S324" i="12" s="1"/>
  <c r="Q331" i="12"/>
  <c r="Q335" i="12"/>
  <c r="S335" i="12" s="1"/>
  <c r="Q344" i="12"/>
  <c r="S344" i="12" s="1"/>
  <c r="Q348" i="12"/>
  <c r="S348" i="12" s="1"/>
  <c r="Q352" i="12"/>
  <c r="S352" i="12" s="1"/>
  <c r="Q357" i="12"/>
  <c r="S357" i="12" s="1"/>
  <c r="Q363" i="12"/>
  <c r="S363" i="12" s="1"/>
  <c r="Q368" i="12"/>
  <c r="S368" i="12" s="1"/>
  <c r="Q376" i="12"/>
  <c r="S376" i="12" s="1"/>
  <c r="Q380" i="12"/>
  <c r="S380" i="12" s="1"/>
  <c r="Q384" i="12"/>
  <c r="S384" i="12" s="1"/>
  <c r="Q391" i="12"/>
  <c r="S391" i="12" s="1"/>
  <c r="Q395" i="12"/>
  <c r="S395" i="12" s="1"/>
  <c r="Q404" i="12"/>
  <c r="S404" i="12" s="1"/>
  <c r="Q408" i="12"/>
  <c r="S408" i="12" s="1"/>
  <c r="Q412" i="12"/>
  <c r="S412" i="12" s="1"/>
  <c r="Q417" i="12"/>
  <c r="S417" i="12" s="1"/>
  <c r="Q423" i="12"/>
  <c r="S423" i="12" s="1"/>
  <c r="Q428" i="12"/>
  <c r="S428" i="12" s="1"/>
  <c r="Q436" i="12"/>
  <c r="S436" i="12" s="1"/>
  <c r="Q440" i="12"/>
  <c r="S440" i="12" s="1"/>
  <c r="Q444" i="12"/>
  <c r="S444" i="12" s="1"/>
  <c r="Q451" i="12"/>
  <c r="S451" i="12" s="1"/>
  <c r="Q455" i="12"/>
  <c r="S455" i="12" s="1"/>
  <c r="Q464" i="12"/>
  <c r="S464" i="12" s="1"/>
  <c r="Q468" i="12"/>
  <c r="S468" i="12" s="1"/>
  <c r="Q472" i="12"/>
  <c r="S472" i="12" s="1"/>
  <c r="Q483" i="12"/>
  <c r="S483" i="12" s="1"/>
  <c r="Q496" i="12"/>
  <c r="S496" i="12" s="1"/>
  <c r="Q500" i="12"/>
  <c r="S500" i="12" s="1"/>
  <c r="Q504" i="12"/>
  <c r="S504" i="12" s="1"/>
  <c r="Q509" i="12"/>
  <c r="S509" i="12" s="1"/>
  <c r="Q515" i="12"/>
  <c r="S515" i="12" s="1"/>
  <c r="Q520" i="12"/>
  <c r="S520" i="12" s="1"/>
  <c r="Q532" i="12"/>
  <c r="S532" i="12" s="1"/>
  <c r="Q536" i="12"/>
  <c r="S536" i="12" s="1"/>
  <c r="Q529" i="12"/>
  <c r="S529" i="12" s="1"/>
  <c r="Q533" i="12"/>
  <c r="S533" i="12" s="1"/>
  <c r="Q537" i="12"/>
  <c r="S537" i="12" s="1"/>
  <c r="Q548" i="12"/>
  <c r="S548" i="12"/>
  <c r="Q557" i="12"/>
  <c r="S557" i="12"/>
  <c r="Q561" i="12"/>
  <c r="S561" i="12"/>
  <c r="Q565" i="12"/>
  <c r="S565" i="12"/>
  <c r="Q576" i="12"/>
  <c r="S576" i="12" s="1"/>
  <c r="Q581" i="12"/>
  <c r="S581" i="12" s="1"/>
  <c r="Q589" i="12"/>
  <c r="S589" i="12" s="1"/>
  <c r="Q593" i="12"/>
  <c r="S593" i="12" s="1"/>
  <c r="Q597" i="12"/>
  <c r="S597" i="12" s="1"/>
  <c r="Q608" i="12"/>
  <c r="S608" i="12" s="1"/>
  <c r="Q534" i="12"/>
  <c r="S534" i="12" s="1"/>
  <c r="Q539" i="12"/>
  <c r="S539" i="12" s="1"/>
  <c r="Q545" i="12"/>
  <c r="S545" i="12" s="1"/>
  <c r="Q550" i="12"/>
  <c r="S550" i="12" s="1"/>
  <c r="Q562" i="12"/>
  <c r="S562" i="12" s="1"/>
  <c r="Q566" i="12"/>
  <c r="S566" i="12" s="1"/>
  <c r="Q571" i="12"/>
  <c r="S571" i="12" s="1"/>
  <c r="Q577" i="12"/>
  <c r="S577" i="12" s="1"/>
  <c r="Q590" i="12"/>
  <c r="S590" i="12" s="1"/>
  <c r="Q594" i="12"/>
  <c r="S594" i="12" s="1"/>
  <c r="Q605" i="12"/>
  <c r="S605" i="12" s="1"/>
  <c r="Q610" i="12"/>
  <c r="S610" i="12" s="1"/>
  <c r="Q531" i="12"/>
  <c r="S531" i="12" s="1"/>
  <c r="Q535" i="12"/>
  <c r="S535" i="12" s="1"/>
  <c r="O538" i="12"/>
  <c r="Q546" i="12"/>
  <c r="S546" i="12" s="1"/>
  <c r="Q551" i="12"/>
  <c r="S551" i="12" s="1"/>
  <c r="Q559" i="12"/>
  <c r="S559" i="12" s="1"/>
  <c r="Q563" i="12"/>
  <c r="S563" i="12" s="1"/>
  <c r="Q567" i="12"/>
  <c r="S567" i="12" s="1"/>
  <c r="Q578" i="12"/>
  <c r="S578" i="12" s="1"/>
  <c r="Q587" i="12"/>
  <c r="S587" i="12" s="1"/>
  <c r="Q591" i="12"/>
  <c r="S591" i="12" s="1"/>
  <c r="Q595" i="12"/>
  <c r="S595" i="12" s="1"/>
  <c r="S600" i="12"/>
  <c r="Q606" i="12"/>
  <c r="S606" i="12" s="1"/>
  <c r="Q611" i="12"/>
  <c r="S611" i="12" s="1"/>
  <c r="O642" i="12"/>
  <c r="Q541" i="12"/>
  <c r="S541" i="12" s="1"/>
  <c r="Q547" i="12"/>
  <c r="S547" i="12" s="1"/>
  <c r="Q560" i="12"/>
  <c r="S560" i="12" s="1"/>
  <c r="Q564" i="12"/>
  <c r="S564" i="12" s="1"/>
  <c r="Q569" i="12"/>
  <c r="S569" i="12" s="1"/>
  <c r="Q575" i="12"/>
  <c r="S575" i="12" s="1"/>
  <c r="Q580" i="12"/>
  <c r="S580" i="12" s="1"/>
  <c r="Q592" i="12"/>
  <c r="S592" i="12" s="1"/>
  <c r="Q596" i="12"/>
  <c r="S596" i="12" s="1"/>
  <c r="Q601" i="12"/>
  <c r="S601" i="12" s="1"/>
  <c r="Q642" i="12"/>
  <c r="Q521" i="12"/>
  <c r="S521" i="12" s="1"/>
  <c r="R603" i="12"/>
  <c r="G6" i="14"/>
  <c r="I6" i="14" s="1"/>
  <c r="C6" i="13"/>
  <c r="R615" i="12"/>
  <c r="S615" i="12" s="1"/>
  <c r="T615" i="12" s="1"/>
  <c r="O373" i="12"/>
  <c r="H88" i="12"/>
  <c r="O313" i="12"/>
  <c r="C130" i="12"/>
  <c r="C220" i="12"/>
  <c r="P616" i="12"/>
  <c r="Q616" i="12"/>
  <c r="Q625" i="12"/>
  <c r="P625" i="12"/>
  <c r="O222" i="12"/>
  <c r="O221" i="12" s="1"/>
  <c r="Q210" i="12"/>
  <c r="Q209" i="12" s="1"/>
  <c r="D25" i="12"/>
  <c r="H25" i="12" s="1"/>
  <c r="C100" i="12"/>
  <c r="D130" i="12"/>
  <c r="E148" i="12"/>
  <c r="E130" i="12" s="1"/>
  <c r="H222" i="12"/>
  <c r="H221" i="12" s="1"/>
  <c r="J221" i="12" s="1"/>
  <c r="H313" i="12"/>
  <c r="H330" i="12"/>
  <c r="J330" i="12" s="1"/>
  <c r="C359" i="12"/>
  <c r="C341" i="12" s="1"/>
  <c r="D419" i="12"/>
  <c r="D401" i="12" s="1"/>
  <c r="H426" i="12"/>
  <c r="J426" i="12" s="1"/>
  <c r="H538" i="12"/>
  <c r="H542" i="12"/>
  <c r="H568" i="12"/>
  <c r="D602" i="12"/>
  <c r="D584" i="12" s="1"/>
  <c r="H603" i="12"/>
  <c r="J603" i="12" s="1"/>
  <c r="Q617" i="12"/>
  <c r="P617" i="12"/>
  <c r="P622" i="12"/>
  <c r="Q622" i="12"/>
  <c r="H626" i="12"/>
  <c r="Q626" i="12"/>
  <c r="P626" i="12"/>
  <c r="H627" i="12"/>
  <c r="O627" i="12"/>
  <c r="O615" i="12" s="1"/>
  <c r="P101" i="12"/>
  <c r="P221" i="12"/>
  <c r="P312" i="12"/>
  <c r="P325" i="12"/>
  <c r="P336" i="12"/>
  <c r="P420" i="12"/>
  <c r="P450" i="12"/>
  <c r="P462" i="12"/>
  <c r="P543" i="12"/>
  <c r="P555" i="12"/>
  <c r="P579" i="12"/>
  <c r="P598" i="12"/>
  <c r="P642" i="12"/>
  <c r="O40" i="12"/>
  <c r="O52" i="12"/>
  <c r="O295" i="12"/>
  <c r="Q296" i="12"/>
  <c r="Q295" i="12" s="1"/>
  <c r="O325" i="12"/>
  <c r="O330" i="12"/>
  <c r="O360" i="12"/>
  <c r="Q364" i="12"/>
  <c r="Q360" i="12" s="1"/>
  <c r="O568" i="12"/>
  <c r="Q570" i="12"/>
  <c r="Q115" i="12"/>
  <c r="Q175" i="12"/>
  <c r="Q174" i="12" s="1"/>
  <c r="Q235" i="12"/>
  <c r="Q234" i="12" s="1"/>
  <c r="Q385" i="12"/>
  <c r="Q540" i="12"/>
  <c r="S540" i="12" s="1"/>
  <c r="O269" i="12"/>
  <c r="Q270" i="12"/>
  <c r="Q269" i="12" s="1"/>
  <c r="O390" i="12"/>
  <c r="Q394" i="12"/>
  <c r="Q390" i="12" s="1"/>
  <c r="C56" i="12"/>
  <c r="C38" i="12" s="1"/>
  <c r="D118" i="12"/>
  <c r="D100" i="12" s="1"/>
  <c r="E178" i="12"/>
  <c r="E160" i="12" s="1"/>
  <c r="C208" i="12"/>
  <c r="E268" i="12"/>
  <c r="H268" i="12" s="1"/>
  <c r="E299" i="12"/>
  <c r="G342" i="12"/>
  <c r="C419" i="12"/>
  <c r="D449" i="12"/>
  <c r="H449" i="12" s="1"/>
  <c r="H456" i="12"/>
  <c r="J456" i="12" s="1"/>
  <c r="K456" i="12" s="1"/>
  <c r="L456" i="12" s="1"/>
  <c r="O463" i="12"/>
  <c r="Q494" i="12"/>
  <c r="H511" i="12"/>
  <c r="H618" i="12"/>
  <c r="P618" i="12"/>
  <c r="Q619" i="12"/>
  <c r="P619" i="12"/>
  <c r="Q623" i="12"/>
  <c r="P623" i="12"/>
  <c r="Q627" i="12"/>
  <c r="P627" i="12"/>
  <c r="H631" i="12"/>
  <c r="H643" i="12"/>
  <c r="C642" i="12"/>
  <c r="P69" i="12"/>
  <c r="P191" i="12"/>
  <c r="P281" i="12"/>
  <c r="P295" i="12"/>
  <c r="P306" i="12"/>
  <c r="P402" i="12"/>
  <c r="P518" i="12"/>
  <c r="P549" i="12"/>
  <c r="O33" i="12"/>
  <c r="Q34" i="12"/>
  <c r="Q52" i="12"/>
  <c r="Q104" i="12"/>
  <c r="S104" i="12" s="1"/>
  <c r="Q134" i="12"/>
  <c r="S134" i="12" s="1"/>
  <c r="Q164" i="12"/>
  <c r="S164" i="12" s="1"/>
  <c r="Q194" i="12"/>
  <c r="S194" i="12" s="1"/>
  <c r="Q224" i="12"/>
  <c r="S224" i="12" s="1"/>
  <c r="Q254" i="12"/>
  <c r="S254" i="12" s="1"/>
  <c r="Q284" i="12"/>
  <c r="S284" i="12" s="1"/>
  <c r="O306" i="12"/>
  <c r="Q307" i="12"/>
  <c r="O396" i="12"/>
  <c r="Q397" i="12"/>
  <c r="Q396" i="12" s="1"/>
  <c r="Q477" i="12"/>
  <c r="O476" i="12"/>
  <c r="Q630" i="12"/>
  <c r="Q22" i="12"/>
  <c r="Q21" i="12" s="1"/>
  <c r="Q60" i="12"/>
  <c r="S60" i="12" s="1"/>
  <c r="Q120" i="12"/>
  <c r="Q119" i="12" s="1"/>
  <c r="Q180" i="12"/>
  <c r="Q179" i="12" s="1"/>
  <c r="Q240" i="12"/>
  <c r="Q239" i="12" s="1"/>
  <c r="Q326" i="12"/>
  <c r="Q618" i="12"/>
  <c r="H114" i="12"/>
  <c r="Q621" i="12"/>
  <c r="P621" i="12"/>
  <c r="O264" i="12"/>
  <c r="Q265" i="12"/>
  <c r="Q264" i="12" s="1"/>
  <c r="O300" i="12"/>
  <c r="Q304" i="12"/>
  <c r="Q300" i="12" s="1"/>
  <c r="Q90" i="12"/>
  <c r="Q150" i="12"/>
  <c r="H33" i="12"/>
  <c r="J33" i="12" s="1"/>
  <c r="C7" i="12"/>
  <c r="L70" i="12"/>
  <c r="R70" i="12" s="1"/>
  <c r="R69" i="12" s="1"/>
  <c r="F88" i="12"/>
  <c r="H155" i="12"/>
  <c r="J155" i="12" s="1"/>
  <c r="C160" i="12"/>
  <c r="H336" i="12"/>
  <c r="J336" i="12" s="1"/>
  <c r="D341" i="12"/>
  <c r="L343" i="12"/>
  <c r="R343" i="12" s="1"/>
  <c r="R342" i="12" s="1"/>
  <c r="E359" i="12"/>
  <c r="E341" i="12" s="1"/>
  <c r="H385" i="12"/>
  <c r="C389" i="12"/>
  <c r="C371" i="12" s="1"/>
  <c r="L403" i="12"/>
  <c r="R403" i="12" s="1"/>
  <c r="R402" i="12" s="1"/>
  <c r="F419" i="12"/>
  <c r="F401" i="12" s="1"/>
  <c r="G432" i="12"/>
  <c r="H494" i="12"/>
  <c r="H493" i="12" s="1"/>
  <c r="J493" i="12" s="1"/>
  <c r="K493" i="12" s="1"/>
  <c r="L493" i="12" s="1"/>
  <c r="E554" i="12"/>
  <c r="O556" i="12"/>
  <c r="L586" i="12"/>
  <c r="R586" i="12" s="1"/>
  <c r="R585" i="12" s="1"/>
  <c r="H620" i="12"/>
  <c r="Q620" i="12"/>
  <c r="P620" i="12"/>
  <c r="H624" i="12"/>
  <c r="Q624" i="12"/>
  <c r="P624" i="12"/>
  <c r="H628" i="12"/>
  <c r="Q628" i="12"/>
  <c r="P628" i="12"/>
  <c r="E630" i="12"/>
  <c r="H640" i="12"/>
  <c r="E642" i="12"/>
  <c r="P52" i="12"/>
  <c r="P161" i="12"/>
  <c r="P360" i="12"/>
  <c r="P372" i="12"/>
  <c r="P385" i="12"/>
  <c r="P396" i="12"/>
  <c r="P635" i="12"/>
  <c r="O26" i="12"/>
  <c r="Q30" i="12"/>
  <c r="Q26" i="12" s="1"/>
  <c r="O63" i="12"/>
  <c r="Q64" i="12"/>
  <c r="Q63" i="12" s="1"/>
  <c r="O95" i="12"/>
  <c r="Q98" i="12"/>
  <c r="S98" i="12" s="1"/>
  <c r="O125" i="12"/>
  <c r="Q128" i="12"/>
  <c r="Q125" i="12" s="1"/>
  <c r="O155" i="12"/>
  <c r="Q158" i="12"/>
  <c r="Q155" i="12" s="1"/>
  <c r="O185" i="12"/>
  <c r="Q188" i="12"/>
  <c r="Q185" i="12" s="1"/>
  <c r="O215" i="12"/>
  <c r="Q218" i="12"/>
  <c r="S218" i="12" s="1"/>
  <c r="O245" i="12"/>
  <c r="Q248" i="12"/>
  <c r="Q245" i="12" s="1"/>
  <c r="O275" i="12"/>
  <c r="Q278" i="12"/>
  <c r="Q275" i="12" s="1"/>
  <c r="O336" i="12"/>
  <c r="Q337" i="12"/>
  <c r="Q336" i="12" s="1"/>
  <c r="O366" i="12"/>
  <c r="Q367" i="12"/>
  <c r="Q366" i="12" s="1"/>
  <c r="O635" i="12"/>
  <c r="Q638" i="12"/>
  <c r="Q635" i="12" s="1"/>
  <c r="Q85" i="12"/>
  <c r="Q145" i="12"/>
  <c r="Q144" i="12" s="1"/>
  <c r="Q205" i="12"/>
  <c r="Q204" i="12" s="1"/>
  <c r="O355" i="12"/>
  <c r="O385" i="12"/>
  <c r="O415" i="12"/>
  <c r="O420" i="12"/>
  <c r="O450" i="12"/>
  <c r="O487" i="12"/>
  <c r="Q528" i="12"/>
  <c r="S528" i="12" s="1"/>
  <c r="Q558" i="12"/>
  <c r="S558" i="12" s="1"/>
  <c r="Q588" i="12"/>
  <c r="S588" i="12" s="1"/>
  <c r="O630" i="12"/>
  <c r="Q488" i="12"/>
  <c r="Q487" i="12" s="1"/>
  <c r="O445" i="12"/>
  <c r="Q446" i="12"/>
  <c r="Q445" i="12" s="1"/>
  <c r="O481" i="12"/>
  <c r="Q484" i="12"/>
  <c r="Q481" i="12" s="1"/>
  <c r="O512" i="12"/>
  <c r="Q514" i="12"/>
  <c r="S514" i="12" s="1"/>
  <c r="O518" i="12"/>
  <c r="O549" i="12"/>
  <c r="Q552" i="12"/>
  <c r="O579" i="12"/>
  <c r="Q582" i="12"/>
  <c r="O609" i="12"/>
  <c r="Q612" i="12"/>
  <c r="Q356" i="12"/>
  <c r="Q355" i="12" s="1"/>
  <c r="Q416" i="12"/>
  <c r="Q454" i="12"/>
  <c r="Q450" i="12" s="1"/>
  <c r="O426" i="12"/>
  <c r="Q427" i="12"/>
  <c r="O456" i="12"/>
  <c r="Q457" i="12"/>
  <c r="Q456" i="12" s="1"/>
  <c r="O507" i="12"/>
  <c r="Q510" i="12"/>
  <c r="Q507" i="12" s="1"/>
  <c r="O543" i="12"/>
  <c r="Q544" i="12"/>
  <c r="Q543" i="12" s="1"/>
  <c r="O573" i="12"/>
  <c r="Q574" i="12"/>
  <c r="O598" i="12"/>
  <c r="Q599" i="12"/>
  <c r="Q598" i="12" s="1"/>
  <c r="O603" i="12"/>
  <c r="Q604" i="12"/>
  <c r="H144" i="12"/>
  <c r="H359" i="12"/>
  <c r="F25" i="12"/>
  <c r="F7" i="12" s="1"/>
  <c r="H52" i="12"/>
  <c r="H57" i="12"/>
  <c r="J57" i="12" s="1"/>
  <c r="H63" i="12"/>
  <c r="J63" i="12" s="1"/>
  <c r="K63" i="12" s="1"/>
  <c r="L63" i="12" s="1"/>
  <c r="F148" i="12"/>
  <c r="F130" i="12" s="1"/>
  <c r="H174" i="12"/>
  <c r="H179" i="12"/>
  <c r="J179" i="12" s="1"/>
  <c r="F220" i="12"/>
  <c r="H251" i="12"/>
  <c r="J251" i="12" s="1"/>
  <c r="K251" i="12" s="1"/>
  <c r="L251" i="12" s="1"/>
  <c r="H295" i="12"/>
  <c r="F341" i="12"/>
  <c r="H476" i="12"/>
  <c r="H507" i="12"/>
  <c r="H609" i="12"/>
  <c r="J609" i="12" s="1"/>
  <c r="J602" i="12" s="1"/>
  <c r="P275" i="12"/>
  <c r="P415" i="12"/>
  <c r="P456" i="12"/>
  <c r="P481" i="12"/>
  <c r="P493" i="12"/>
  <c r="P538" i="12"/>
  <c r="P568" i="12"/>
  <c r="F56" i="12"/>
  <c r="F38" i="12" s="1"/>
  <c r="H89" i="12"/>
  <c r="J89" i="12" s="1"/>
  <c r="H191" i="12"/>
  <c r="J191" i="12" s="1"/>
  <c r="K191" i="12" s="1"/>
  <c r="L191" i="12" s="1"/>
  <c r="D208" i="12"/>
  <c r="D190" i="12" s="1"/>
  <c r="H300" i="12"/>
  <c r="J300" i="12" s="1"/>
  <c r="K300" i="12" s="1"/>
  <c r="L300" i="12" s="1"/>
  <c r="H343" i="12"/>
  <c r="H342" i="12" s="1"/>
  <c r="J342" i="12" s="1"/>
  <c r="D371" i="12"/>
  <c r="H433" i="12"/>
  <c r="H450" i="12"/>
  <c r="J450" i="12" s="1"/>
  <c r="J449" i="12" s="1"/>
  <c r="H463" i="12"/>
  <c r="H481" i="12"/>
  <c r="J481" i="12" s="1"/>
  <c r="K481" i="12" s="1"/>
  <c r="H487" i="12"/>
  <c r="J487" i="12" s="1"/>
  <c r="G524" i="12"/>
  <c r="C584" i="12"/>
  <c r="H619" i="12"/>
  <c r="H622" i="12"/>
  <c r="H623" i="12"/>
  <c r="H644" i="12"/>
  <c r="P26" i="12"/>
  <c r="P63" i="12"/>
  <c r="P95" i="12"/>
  <c r="P125" i="12"/>
  <c r="P155" i="12"/>
  <c r="P185" i="12"/>
  <c r="P215" i="12"/>
  <c r="P432" i="12"/>
  <c r="P445" i="12"/>
  <c r="P487" i="12"/>
  <c r="P507" i="12"/>
  <c r="P524" i="12"/>
  <c r="D7" i="12"/>
  <c r="E7" i="12"/>
  <c r="H95" i="12"/>
  <c r="J95" i="12" s="1"/>
  <c r="K95" i="12" s="1"/>
  <c r="L95" i="12" s="1"/>
  <c r="F100" i="12"/>
  <c r="L192" i="12"/>
  <c r="R192" i="12" s="1"/>
  <c r="R191" i="12" s="1"/>
  <c r="D220" i="12"/>
  <c r="H245" i="12"/>
  <c r="J245" i="12" s="1"/>
  <c r="K245" i="12" s="1"/>
  <c r="H275" i="12"/>
  <c r="J275" i="12" s="1"/>
  <c r="D311" i="12"/>
  <c r="H366" i="12"/>
  <c r="J366" i="12" s="1"/>
  <c r="H390" i="12"/>
  <c r="J390" i="12" s="1"/>
  <c r="K390" i="12" s="1"/>
  <c r="H396" i="12"/>
  <c r="J396" i="12" s="1"/>
  <c r="K396" i="12" s="1"/>
  <c r="L396" i="12" s="1"/>
  <c r="L433" i="12"/>
  <c r="R433" i="12" s="1"/>
  <c r="R432" i="12" s="1"/>
  <c r="H445" i="12"/>
  <c r="H555" i="12"/>
  <c r="J555" i="12" s="1"/>
  <c r="K555" i="12" s="1"/>
  <c r="L555" i="12" s="1"/>
  <c r="F554" i="12"/>
  <c r="D630" i="12"/>
  <c r="C635" i="12"/>
  <c r="H639" i="12"/>
  <c r="D642" i="12"/>
  <c r="D634" i="12" s="1"/>
  <c r="F642" i="12"/>
  <c r="F634" i="12" s="1"/>
  <c r="P21" i="12"/>
  <c r="P57" i="12"/>
  <c r="P89" i="12"/>
  <c r="P119" i="12"/>
  <c r="P149" i="12"/>
  <c r="P179" i="12"/>
  <c r="P209" i="12"/>
  <c r="P234" i="12"/>
  <c r="P239" i="12"/>
  <c r="P264" i="12"/>
  <c r="P269" i="12"/>
  <c r="P300" i="12"/>
  <c r="P330" i="12"/>
  <c r="P426" i="12"/>
  <c r="P512" i="12"/>
  <c r="H21" i="12"/>
  <c r="E38" i="12"/>
  <c r="H84" i="12"/>
  <c r="H239" i="12"/>
  <c r="J239" i="12" s="1"/>
  <c r="K239" i="12" s="1"/>
  <c r="L252" i="12"/>
  <c r="R252" i="12" s="1"/>
  <c r="R251" i="12" s="1"/>
  <c r="H269" i="12"/>
  <c r="J269" i="12" s="1"/>
  <c r="K269" i="12" s="1"/>
  <c r="L269" i="12" s="1"/>
  <c r="C401" i="12"/>
  <c r="C431" i="12"/>
  <c r="C511" i="12"/>
  <c r="H549" i="12"/>
  <c r="J549" i="12" s="1"/>
  <c r="J542" i="12" s="1"/>
  <c r="C554" i="12"/>
  <c r="H573" i="12"/>
  <c r="J573" i="12" s="1"/>
  <c r="H598" i="12"/>
  <c r="H621" i="12"/>
  <c r="H625" i="12"/>
  <c r="P8" i="12"/>
  <c r="P39" i="12"/>
  <c r="P84" i="12"/>
  <c r="P114" i="12"/>
  <c r="P144" i="12"/>
  <c r="P174" i="12"/>
  <c r="P204" i="12"/>
  <c r="P251" i="12"/>
  <c r="P355" i="12"/>
  <c r="P390" i="12"/>
  <c r="P603" i="12"/>
  <c r="K330" i="12"/>
  <c r="L330" i="12" s="1"/>
  <c r="K33" i="12"/>
  <c r="L33" i="12" s="1"/>
  <c r="H8" i="12"/>
  <c r="J8" i="12" s="1"/>
  <c r="H26" i="12"/>
  <c r="J26" i="12" s="1"/>
  <c r="K57" i="12"/>
  <c r="H118" i="12"/>
  <c r="E100" i="12"/>
  <c r="H208" i="12"/>
  <c r="G101" i="12"/>
  <c r="L102" i="12"/>
  <c r="R102" i="12" s="1"/>
  <c r="R101" i="12" s="1"/>
  <c r="K179" i="12"/>
  <c r="L179" i="12" s="1"/>
  <c r="H329" i="12"/>
  <c r="E311" i="12"/>
  <c r="H178" i="12"/>
  <c r="H234" i="12"/>
  <c r="K487" i="12"/>
  <c r="L487" i="12" s="1"/>
  <c r="K603" i="12"/>
  <c r="L603" i="12" s="1"/>
  <c r="G39" i="12"/>
  <c r="K450" i="12"/>
  <c r="G8" i="12"/>
  <c r="H102" i="12"/>
  <c r="H101" i="12" s="1"/>
  <c r="J101" i="12" s="1"/>
  <c r="H185" i="12"/>
  <c r="J185" i="12" s="1"/>
  <c r="J178" i="12" s="1"/>
  <c r="L132" i="12"/>
  <c r="R132" i="12" s="1"/>
  <c r="H132" i="12"/>
  <c r="H131" i="12" s="1"/>
  <c r="J131" i="12" s="1"/>
  <c r="H40" i="12"/>
  <c r="H39" i="12" s="1"/>
  <c r="J39" i="12" s="1"/>
  <c r="H148" i="12"/>
  <c r="H264" i="12"/>
  <c r="E401" i="12"/>
  <c r="K512" i="12"/>
  <c r="L512" i="12" s="1"/>
  <c r="J511" i="12"/>
  <c r="H636" i="12"/>
  <c r="E635" i="12"/>
  <c r="L9" i="12"/>
  <c r="R9" i="12" s="1"/>
  <c r="R8" i="12" s="1"/>
  <c r="H209" i="12"/>
  <c r="J209" i="12" s="1"/>
  <c r="H215" i="12"/>
  <c r="J215" i="12" s="1"/>
  <c r="G281" i="12"/>
  <c r="H325" i="12"/>
  <c r="H407" i="12"/>
  <c r="H402" i="12" s="1"/>
  <c r="J402" i="12" s="1"/>
  <c r="G402" i="12"/>
  <c r="E602" i="12"/>
  <c r="H69" i="12"/>
  <c r="J69" i="12" s="1"/>
  <c r="H119" i="12"/>
  <c r="J119" i="12" s="1"/>
  <c r="K155" i="12"/>
  <c r="L155" i="12" s="1"/>
  <c r="C190" i="12"/>
  <c r="G191" i="12"/>
  <c r="H204" i="12"/>
  <c r="H238" i="12"/>
  <c r="E220" i="12"/>
  <c r="H306" i="12"/>
  <c r="J306" i="12" s="1"/>
  <c r="H312" i="12"/>
  <c r="J312" i="12" s="1"/>
  <c r="G372" i="12"/>
  <c r="H378" i="12"/>
  <c r="H372" i="12" s="1"/>
  <c r="J372" i="12" s="1"/>
  <c r="H149" i="12"/>
  <c r="J149" i="12" s="1"/>
  <c r="L162" i="12"/>
  <c r="R162" i="12" s="1"/>
  <c r="R161" i="12" s="1"/>
  <c r="H162" i="12"/>
  <c r="H161" i="12" s="1"/>
  <c r="J161" i="12" s="1"/>
  <c r="C615" i="12"/>
  <c r="H355" i="12"/>
  <c r="H415" i="12"/>
  <c r="H524" i="12"/>
  <c r="J524" i="12" s="1"/>
  <c r="K543" i="12"/>
  <c r="H616" i="12"/>
  <c r="H632" i="12"/>
  <c r="H630" i="12" s="1"/>
  <c r="G161" i="12"/>
  <c r="G221" i="12"/>
  <c r="D615" i="12"/>
  <c r="L282" i="12"/>
  <c r="R282" i="12" s="1"/>
  <c r="R281" i="12" s="1"/>
  <c r="H282" i="12"/>
  <c r="H281" i="12" s="1"/>
  <c r="J281" i="12" s="1"/>
  <c r="G312" i="12"/>
  <c r="H360" i="12"/>
  <c r="J360" i="12" s="1"/>
  <c r="H420" i="12"/>
  <c r="J420" i="12" s="1"/>
  <c r="K426" i="12"/>
  <c r="L426" i="12" s="1"/>
  <c r="K518" i="12"/>
  <c r="L518" i="12" s="1"/>
  <c r="D554" i="12"/>
  <c r="H466" i="12"/>
  <c r="G462" i="12"/>
  <c r="K573" i="12"/>
  <c r="L573" i="12" s="1"/>
  <c r="H579" i="12"/>
  <c r="J579" i="12" s="1"/>
  <c r="H585" i="12"/>
  <c r="J585" i="12" s="1"/>
  <c r="F615" i="12"/>
  <c r="H617" i="12"/>
  <c r="F630" i="12"/>
  <c r="H637" i="12"/>
  <c r="H641" i="12"/>
  <c r="H432" i="12"/>
  <c r="J432" i="12" s="1"/>
  <c r="L525" i="12"/>
  <c r="R525" i="12" s="1"/>
  <c r="R524" i="12" s="1"/>
  <c r="E615" i="12"/>
  <c r="N30" i="11"/>
  <c r="I27" i="11"/>
  <c r="C30" i="11"/>
  <c r="G30" i="11" s="1"/>
  <c r="L6" i="13" l="1"/>
  <c r="H642" i="12"/>
  <c r="Q415" i="12"/>
  <c r="Q579" i="12"/>
  <c r="Q84" i="12"/>
  <c r="J329" i="12"/>
  <c r="Q89" i="12"/>
  <c r="Q306" i="12"/>
  <c r="Q493" i="12"/>
  <c r="Q114" i="12"/>
  <c r="Q330" i="12"/>
  <c r="Q149" i="12"/>
  <c r="Q603" i="12"/>
  <c r="Q573" i="12"/>
  <c r="Q426" i="12"/>
  <c r="Q325" i="12"/>
  <c r="Q476" i="12"/>
  <c r="H419" i="12"/>
  <c r="Q609" i="12"/>
  <c r="Q549" i="12"/>
  <c r="Q33" i="12"/>
  <c r="J88" i="12"/>
  <c r="H56" i="12"/>
  <c r="S477" i="12"/>
  <c r="S476" i="12" s="1"/>
  <c r="K609" i="12"/>
  <c r="L609" i="12" s="1"/>
  <c r="Q538" i="12"/>
  <c r="Q615" i="12"/>
  <c r="S512" i="12"/>
  <c r="Q57" i="12"/>
  <c r="S538" i="12"/>
  <c r="S265" i="12"/>
  <c r="S264" i="12" s="1"/>
  <c r="S215" i="12"/>
  <c r="S95" i="12"/>
  <c r="Q215" i="12"/>
  <c r="S612" i="12"/>
  <c r="S609" i="12" s="1"/>
  <c r="S582" i="12"/>
  <c r="S579" i="12" s="1"/>
  <c r="S604" i="12"/>
  <c r="S603" i="12" s="1"/>
  <c r="S544" i="12"/>
  <c r="S543" i="12" s="1"/>
  <c r="S518" i="12"/>
  <c r="S427" i="12"/>
  <c r="S426" i="12" s="1"/>
  <c r="S210" i="12"/>
  <c r="S209" i="12" s="1"/>
  <c r="S90" i="12"/>
  <c r="S89" i="12" s="1"/>
  <c r="S57" i="12"/>
  <c r="S235" i="12"/>
  <c r="S234" i="12" s="1"/>
  <c r="S175" i="12"/>
  <c r="S174" i="12" s="1"/>
  <c r="S115" i="12"/>
  <c r="S510" i="12"/>
  <c r="S507" i="12" s="1"/>
  <c r="S304" i="12"/>
  <c r="S494" i="12"/>
  <c r="S493" i="12" s="1"/>
  <c r="D614" i="12"/>
  <c r="K336" i="12"/>
  <c r="L336" i="12" s="1"/>
  <c r="Q518" i="12"/>
  <c r="O555" i="12"/>
  <c r="Q556" i="12"/>
  <c r="S556" i="12" s="1"/>
  <c r="S555" i="12" s="1"/>
  <c r="Q95" i="12"/>
  <c r="O312" i="12"/>
  <c r="S488" i="12"/>
  <c r="S487" i="12" s="1"/>
  <c r="S331" i="12"/>
  <c r="S330" i="12" s="1"/>
  <c r="S248" i="12"/>
  <c r="S245" i="12" s="1"/>
  <c r="S188" i="12"/>
  <c r="S185" i="12" s="1"/>
  <c r="S128" i="12"/>
  <c r="S125" i="12" s="1"/>
  <c r="S34" i="12"/>
  <c r="S33" i="12" s="1"/>
  <c r="S484" i="12"/>
  <c r="S481" i="12" s="1"/>
  <c r="S446" i="12"/>
  <c r="S445" i="12" s="1"/>
  <c r="S364" i="12"/>
  <c r="S360" i="12" s="1"/>
  <c r="S326" i="12"/>
  <c r="S325" i="12" s="1"/>
  <c r="S180" i="12"/>
  <c r="S179" i="12" s="1"/>
  <c r="J268" i="12"/>
  <c r="Q222" i="12"/>
  <c r="Q221" i="12" s="1"/>
  <c r="S574" i="12"/>
  <c r="S573" i="12" s="1"/>
  <c r="S52" i="12"/>
  <c r="S394" i="12"/>
  <c r="S390" i="12" s="1"/>
  <c r="S356" i="12"/>
  <c r="S355" i="12" s="1"/>
  <c r="S296" i="12"/>
  <c r="S295" i="12" s="1"/>
  <c r="S150" i="12"/>
  <c r="S149" i="12" s="1"/>
  <c r="S114" i="12"/>
  <c r="S30" i="12"/>
  <c r="S26" i="12" s="1"/>
  <c r="S420" i="12"/>
  <c r="S300" i="12"/>
  <c r="S278" i="12"/>
  <c r="S275" i="12" s="1"/>
  <c r="S158" i="12"/>
  <c r="S155" i="12" s="1"/>
  <c r="S457" i="12"/>
  <c r="S456" i="12" s="1"/>
  <c r="S397" i="12"/>
  <c r="S396" i="12" s="1"/>
  <c r="S385" i="12"/>
  <c r="S337" i="12"/>
  <c r="S336" i="12" s="1"/>
  <c r="J238" i="12"/>
  <c r="K275" i="12"/>
  <c r="L275" i="12" s="1"/>
  <c r="L268" i="12" s="1"/>
  <c r="Q512" i="12"/>
  <c r="O462" i="12"/>
  <c r="Q568" i="12"/>
  <c r="O39" i="12"/>
  <c r="O372" i="12"/>
  <c r="S552" i="12"/>
  <c r="S549" i="12" s="1"/>
  <c r="S599" i="12"/>
  <c r="S598" i="12" s="1"/>
  <c r="S570" i="12"/>
  <c r="S568" i="12" s="1"/>
  <c r="S205" i="12"/>
  <c r="S204" i="12" s="1"/>
  <c r="S145" i="12"/>
  <c r="S144" i="12" s="1"/>
  <c r="S85" i="12"/>
  <c r="S84" i="12" s="1"/>
  <c r="S64" i="12"/>
  <c r="S63" i="12" s="1"/>
  <c r="S454" i="12"/>
  <c r="S450" i="12" s="1"/>
  <c r="S416" i="12"/>
  <c r="S415" i="12" s="1"/>
  <c r="S367" i="12"/>
  <c r="S366" i="12" s="1"/>
  <c r="S307" i="12"/>
  <c r="S306" i="12" s="1"/>
  <c r="S270" i="12"/>
  <c r="S269" i="12" s="1"/>
  <c r="R131" i="12"/>
  <c r="Q420" i="12"/>
  <c r="S240" i="12"/>
  <c r="S239" i="12" s="1"/>
  <c r="S120" i="12"/>
  <c r="S119" i="12" s="1"/>
  <c r="S22" i="12"/>
  <c r="S21" i="12" s="1"/>
  <c r="N6" i="13"/>
  <c r="K6" i="13"/>
  <c r="H6" i="13"/>
  <c r="O6" i="13"/>
  <c r="O282" i="12"/>
  <c r="O162" i="12"/>
  <c r="O132" i="12"/>
  <c r="Q132" i="12" s="1"/>
  <c r="Q131" i="12" s="1"/>
  <c r="O252" i="12"/>
  <c r="C634" i="12"/>
  <c r="C614" i="12" s="1"/>
  <c r="J389" i="12"/>
  <c r="L245" i="12"/>
  <c r="O70" i="12"/>
  <c r="O525" i="12"/>
  <c r="D431" i="12"/>
  <c r="Q555" i="12"/>
  <c r="Q463" i="12"/>
  <c r="Q462" i="12" s="1"/>
  <c r="P615" i="12"/>
  <c r="Q313" i="12"/>
  <c r="Q312" i="12" s="1"/>
  <c r="Q373" i="12"/>
  <c r="Q372" i="12" s="1"/>
  <c r="O586" i="12"/>
  <c r="Q586" i="12" s="1"/>
  <c r="Q585" i="12" s="1"/>
  <c r="J480" i="12"/>
  <c r="K389" i="12"/>
  <c r="P389" i="12" s="1"/>
  <c r="O9" i="12"/>
  <c r="Q9" i="12" s="1"/>
  <c r="Q8" i="12" s="1"/>
  <c r="E634" i="12"/>
  <c r="H634" i="12" s="1"/>
  <c r="O102" i="12"/>
  <c r="Q102" i="12" s="1"/>
  <c r="Q101" i="12" s="1"/>
  <c r="O433" i="12"/>
  <c r="O192" i="12"/>
  <c r="O403" i="12"/>
  <c r="O343" i="12"/>
  <c r="Q343" i="12" s="1"/>
  <c r="Q342" i="12" s="1"/>
  <c r="Q40" i="12"/>
  <c r="Q39" i="12" s="1"/>
  <c r="L511" i="12"/>
  <c r="K366" i="12"/>
  <c r="L366" i="12" s="1"/>
  <c r="K56" i="12"/>
  <c r="H615" i="12"/>
  <c r="J615" i="12" s="1"/>
  <c r="K615" i="12" s="1"/>
  <c r="L615" i="12" s="1"/>
  <c r="K89" i="12"/>
  <c r="K88" i="12" s="1"/>
  <c r="P88" i="12" s="1"/>
  <c r="J56" i="12"/>
  <c r="H462" i="12"/>
  <c r="J462" i="12" s="1"/>
  <c r="K462" i="12" s="1"/>
  <c r="L462" i="12" s="1"/>
  <c r="L57" i="12"/>
  <c r="L56" i="12" s="1"/>
  <c r="K549" i="12"/>
  <c r="K542" i="12" s="1"/>
  <c r="P542" i="12" s="1"/>
  <c r="K372" i="12"/>
  <c r="L372" i="12" s="1"/>
  <c r="K402" i="12"/>
  <c r="L402" i="12" s="1"/>
  <c r="J148" i="12"/>
  <c r="K149" i="12"/>
  <c r="K148" i="12" s="1"/>
  <c r="K215" i="12"/>
  <c r="L215" i="12" s="1"/>
  <c r="K8" i="12"/>
  <c r="L8" i="12" s="1"/>
  <c r="L329" i="12"/>
  <c r="O329" i="12" s="1"/>
  <c r="K480" i="12"/>
  <c r="P480" i="12" s="1"/>
  <c r="L481" i="12"/>
  <c r="L480" i="12" s="1"/>
  <c r="J359" i="12"/>
  <c r="K360" i="12"/>
  <c r="L360" i="12" s="1"/>
  <c r="L543" i="12"/>
  <c r="K69" i="12"/>
  <c r="L69" i="12" s="1"/>
  <c r="K209" i="12"/>
  <c r="L209" i="12" s="1"/>
  <c r="J208" i="12"/>
  <c r="K39" i="12"/>
  <c r="L39" i="12" s="1"/>
  <c r="K579" i="12"/>
  <c r="K572" i="12" s="1"/>
  <c r="J572" i="12"/>
  <c r="J419" i="12"/>
  <c r="K420" i="12"/>
  <c r="K419" i="12" s="1"/>
  <c r="K524" i="12"/>
  <c r="L524" i="12" s="1"/>
  <c r="K131" i="12"/>
  <c r="L131" i="12" s="1"/>
  <c r="F614" i="12"/>
  <c r="K161" i="12"/>
  <c r="L161" i="12" s="1"/>
  <c r="K312" i="12"/>
  <c r="L312" i="12" s="1"/>
  <c r="E584" i="12"/>
  <c r="H602" i="12"/>
  <c r="K185" i="12"/>
  <c r="L185" i="12" s="1"/>
  <c r="L178" i="12" s="1"/>
  <c r="O178" i="12" s="1"/>
  <c r="K449" i="12"/>
  <c r="P449" i="12" s="1"/>
  <c r="L602" i="12"/>
  <c r="O602" i="12" s="1"/>
  <c r="K238" i="12"/>
  <c r="P238" i="12" s="1"/>
  <c r="K342" i="12"/>
  <c r="L342" i="12" s="1"/>
  <c r="J118" i="12"/>
  <c r="K119" i="12"/>
  <c r="K118" i="12" s="1"/>
  <c r="K432" i="12"/>
  <c r="L432" i="12" s="1"/>
  <c r="K585" i="12"/>
  <c r="L585" i="12" s="1"/>
  <c r="M615" i="12"/>
  <c r="K281" i="12"/>
  <c r="L281" i="12" s="1"/>
  <c r="L390" i="12"/>
  <c r="L389" i="12" s="1"/>
  <c r="K306" i="12"/>
  <c r="K299" i="12" s="1"/>
  <c r="J299" i="12"/>
  <c r="K221" i="12"/>
  <c r="L221" i="12" s="1"/>
  <c r="H635" i="12"/>
  <c r="J634" i="12" s="1"/>
  <c r="K511" i="12"/>
  <c r="P511" i="12" s="1"/>
  <c r="K101" i="12"/>
  <c r="L101" i="12" s="1"/>
  <c r="L450" i="12"/>
  <c r="L449" i="12" s="1"/>
  <c r="K26" i="12"/>
  <c r="K25" i="12" s="1"/>
  <c r="J25" i="12"/>
  <c r="K268" i="12"/>
  <c r="P268" i="12" s="1"/>
  <c r="L239" i="12"/>
  <c r="K329" i="12"/>
  <c r="P329" i="12" s="1"/>
  <c r="I30" i="11"/>
  <c r="B4" i="10"/>
  <c r="R329" i="12" l="1"/>
  <c r="P25" i="12"/>
  <c r="K602" i="12"/>
  <c r="P602" i="12" s="1"/>
  <c r="R602" i="12" s="1"/>
  <c r="R511" i="12"/>
  <c r="L238" i="12"/>
  <c r="O238" i="12" s="1"/>
  <c r="R480" i="12"/>
  <c r="R389" i="12"/>
  <c r="R449" i="12"/>
  <c r="O342" i="12"/>
  <c r="S343" i="12"/>
  <c r="S342" i="12" s="1"/>
  <c r="O191" i="12"/>
  <c r="O432" i="12"/>
  <c r="O524" i="12"/>
  <c r="O131" i="12"/>
  <c r="S132" i="12"/>
  <c r="S131" i="12" s="1"/>
  <c r="S373" i="12"/>
  <c r="S372" i="12" s="1"/>
  <c r="S222" i="12"/>
  <c r="S221" i="12" s="1"/>
  <c r="S313" i="12"/>
  <c r="S312" i="12" s="1"/>
  <c r="O402" i="12"/>
  <c r="Q433" i="12"/>
  <c r="Q432" i="12" s="1"/>
  <c r="O480" i="12"/>
  <c r="O69" i="12"/>
  <c r="O161" i="12"/>
  <c r="S463" i="12"/>
  <c r="S462" i="12" s="1"/>
  <c r="R238" i="12"/>
  <c r="R268" i="12"/>
  <c r="L549" i="12"/>
  <c r="L542" i="12" s="1"/>
  <c r="R542" i="12" s="1"/>
  <c r="Q403" i="12"/>
  <c r="Q402" i="12" s="1"/>
  <c r="O101" i="12"/>
  <c r="S102" i="12"/>
  <c r="S101" i="12" s="1"/>
  <c r="O8" i="12"/>
  <c r="S9" i="12"/>
  <c r="S8" i="12" s="1"/>
  <c r="O585" i="12"/>
  <c r="S586" i="12"/>
  <c r="S585" i="12" s="1"/>
  <c r="Q70" i="12"/>
  <c r="Q69" i="12" s="1"/>
  <c r="O251" i="12"/>
  <c r="O281" i="12"/>
  <c r="S40" i="12"/>
  <c r="S39" i="12" s="1"/>
  <c r="P419" i="12"/>
  <c r="Q329" i="12"/>
  <c r="S329" i="12" s="1"/>
  <c r="P148" i="12"/>
  <c r="Q252" i="12"/>
  <c r="Q251" i="12" s="1"/>
  <c r="Q282" i="12"/>
  <c r="Q281" i="12" s="1"/>
  <c r="P634" i="12"/>
  <c r="R634" i="12" s="1"/>
  <c r="O634" i="12"/>
  <c r="Q634" i="12" s="1"/>
  <c r="Q525" i="12"/>
  <c r="Q524" i="12" s="1"/>
  <c r="O389" i="12"/>
  <c r="O268" i="12"/>
  <c r="O56" i="12"/>
  <c r="P299" i="12"/>
  <c r="Q602" i="12"/>
  <c r="S602" i="12" s="1"/>
  <c r="Q480" i="12"/>
  <c r="P56" i="12"/>
  <c r="R56" i="12" s="1"/>
  <c r="Q192" i="12"/>
  <c r="Q191" i="12" s="1"/>
  <c r="E614" i="12"/>
  <c r="O511" i="12"/>
  <c r="O449" i="12"/>
  <c r="Q162" i="12"/>
  <c r="Q161" i="12" s="1"/>
  <c r="L359" i="12"/>
  <c r="K178" i="12"/>
  <c r="P178" i="12" s="1"/>
  <c r="R178" i="12" s="1"/>
  <c r="L306" i="12"/>
  <c r="L299" i="12" s="1"/>
  <c r="L208" i="12"/>
  <c r="L26" i="12"/>
  <c r="L25" i="12" s="1"/>
  <c r="O25" i="12" s="1"/>
  <c r="P118" i="12"/>
  <c r="L420" i="12"/>
  <c r="L419" i="12" s="1"/>
  <c r="O419" i="12" s="1"/>
  <c r="L579" i="12"/>
  <c r="L572" i="12" s="1"/>
  <c r="L149" i="12"/>
  <c r="L148" i="12" s="1"/>
  <c r="P572" i="12"/>
  <c r="K359" i="12"/>
  <c r="P359" i="12" s="1"/>
  <c r="L89" i="12"/>
  <c r="L88" i="12" s="1"/>
  <c r="R88" i="12" s="1"/>
  <c r="L119" i="12"/>
  <c r="L118" i="12" s="1"/>
  <c r="O118" i="12" s="1"/>
  <c r="K208" i="12"/>
  <c r="P208" i="12" s="1"/>
  <c r="C8" i="1"/>
  <c r="D8" i="1"/>
  <c r="E8" i="1"/>
  <c r="F8" i="1"/>
  <c r="C39" i="1"/>
  <c r="D39" i="1"/>
  <c r="E39" i="1"/>
  <c r="F39" i="1"/>
  <c r="C101" i="1"/>
  <c r="D101" i="1"/>
  <c r="E101" i="1"/>
  <c r="F101" i="1"/>
  <c r="C131" i="1"/>
  <c r="D131" i="1"/>
  <c r="E131" i="1"/>
  <c r="F131" i="1"/>
  <c r="C161" i="1"/>
  <c r="D161" i="1"/>
  <c r="E161" i="1"/>
  <c r="F161" i="1"/>
  <c r="C191" i="1"/>
  <c r="D191" i="1"/>
  <c r="E191" i="1"/>
  <c r="F191" i="1"/>
  <c r="C221" i="1"/>
  <c r="D221" i="1"/>
  <c r="E221" i="1"/>
  <c r="F221" i="1"/>
  <c r="C281" i="1"/>
  <c r="D281" i="1"/>
  <c r="E281" i="1"/>
  <c r="F281" i="1"/>
  <c r="C312" i="1"/>
  <c r="D312" i="1"/>
  <c r="E312" i="1"/>
  <c r="F312" i="1"/>
  <c r="C342" i="1"/>
  <c r="D342" i="1"/>
  <c r="E342" i="1"/>
  <c r="F342" i="1"/>
  <c r="C372" i="1"/>
  <c r="D372" i="1"/>
  <c r="E372" i="1"/>
  <c r="F372" i="1"/>
  <c r="C402" i="1"/>
  <c r="D402" i="1"/>
  <c r="E402" i="1"/>
  <c r="F402" i="1"/>
  <c r="C432" i="1"/>
  <c r="D432" i="1"/>
  <c r="E432" i="1"/>
  <c r="F432" i="1"/>
  <c r="C462" i="1"/>
  <c r="D462" i="1"/>
  <c r="E462" i="1"/>
  <c r="F462" i="1"/>
  <c r="C493" i="1"/>
  <c r="D493" i="1"/>
  <c r="E493" i="1"/>
  <c r="F493" i="1"/>
  <c r="C524" i="1"/>
  <c r="D524" i="1"/>
  <c r="E524" i="1"/>
  <c r="F524" i="1"/>
  <c r="D555" i="1"/>
  <c r="E555" i="1"/>
  <c r="F555" i="1"/>
  <c r="C555" i="1"/>
  <c r="C585" i="1"/>
  <c r="D585" i="1"/>
  <c r="F585" i="1"/>
  <c r="E585" i="1"/>
  <c r="R359" i="12" l="1"/>
  <c r="R208" i="12"/>
  <c r="R572" i="12"/>
  <c r="R299" i="12"/>
  <c r="S282" i="12"/>
  <c r="S281" i="12" s="1"/>
  <c r="S192" i="12"/>
  <c r="S191" i="12" s="1"/>
  <c r="Q449" i="12"/>
  <c r="S449" i="12"/>
  <c r="Q56" i="12"/>
  <c r="S56" i="12" s="1"/>
  <c r="R419" i="12"/>
  <c r="S162" i="12"/>
  <c r="S161" i="12" s="1"/>
  <c r="S480" i="12"/>
  <c r="S433" i="12"/>
  <c r="S432" i="12" s="1"/>
  <c r="R118" i="12"/>
  <c r="Q511" i="12"/>
  <c r="S511" i="12" s="1"/>
  <c r="Q268" i="12"/>
  <c r="S268" i="12" s="1"/>
  <c r="Q238" i="12"/>
  <c r="S238" i="12" s="1"/>
  <c r="S252" i="12"/>
  <c r="S251" i="12" s="1"/>
  <c r="Q389" i="12"/>
  <c r="S389" i="12" s="1"/>
  <c r="R148" i="12"/>
  <c r="S70" i="12"/>
  <c r="S69" i="12" s="1"/>
  <c r="S403" i="12"/>
  <c r="S402" i="12" s="1"/>
  <c r="S525" i="12"/>
  <c r="S524" i="12" s="1"/>
  <c r="R25" i="12"/>
  <c r="Q419" i="12"/>
  <c r="S419" i="12" s="1"/>
  <c r="Q118" i="12"/>
  <c r="S118" i="12" s="1"/>
  <c r="O148" i="12"/>
  <c r="Q178" i="12"/>
  <c r="S178" i="12" s="1"/>
  <c r="O88" i="12"/>
  <c r="O542" i="12"/>
  <c r="Q25" i="12"/>
  <c r="S25" i="12" s="1"/>
  <c r="O572" i="12"/>
  <c r="O299" i="12"/>
  <c r="O359" i="12"/>
  <c r="Q359" i="12" s="1"/>
  <c r="O208" i="12"/>
  <c r="H600" i="1"/>
  <c r="H41" i="1"/>
  <c r="H43" i="1"/>
  <c r="H48" i="1"/>
  <c r="H50" i="1"/>
  <c r="H51" i="1"/>
  <c r="H10" i="1"/>
  <c r="H12" i="1"/>
  <c r="H17" i="1"/>
  <c r="H18" i="1"/>
  <c r="H19" i="1"/>
  <c r="H20" i="1"/>
  <c r="D643" i="1"/>
  <c r="E643" i="1"/>
  <c r="F643" i="1"/>
  <c r="D644" i="1"/>
  <c r="E644" i="1"/>
  <c r="F644" i="1"/>
  <c r="D645" i="1"/>
  <c r="E645" i="1"/>
  <c r="F645" i="1"/>
  <c r="C644" i="1"/>
  <c r="C645" i="1"/>
  <c r="C643" i="1"/>
  <c r="D639" i="1"/>
  <c r="E639" i="1"/>
  <c r="F639" i="1"/>
  <c r="C639" i="1"/>
  <c r="D640" i="1"/>
  <c r="E640" i="1"/>
  <c r="F640" i="1"/>
  <c r="C640" i="1"/>
  <c r="D641" i="1"/>
  <c r="E641" i="1"/>
  <c r="F641" i="1"/>
  <c r="C641" i="1"/>
  <c r="C632" i="1"/>
  <c r="D632" i="1"/>
  <c r="E632" i="1"/>
  <c r="F632" i="1"/>
  <c r="C633" i="1"/>
  <c r="D633" i="1"/>
  <c r="E633" i="1"/>
  <c r="F633" i="1"/>
  <c r="C637" i="1"/>
  <c r="D637" i="1"/>
  <c r="E637" i="1"/>
  <c r="F637" i="1"/>
  <c r="C638" i="1"/>
  <c r="D638" i="1"/>
  <c r="E638" i="1"/>
  <c r="F638" i="1"/>
  <c r="F636" i="1"/>
  <c r="E636" i="1"/>
  <c r="D636" i="1"/>
  <c r="C636" i="1"/>
  <c r="F631" i="1"/>
  <c r="E631" i="1"/>
  <c r="D631" i="1"/>
  <c r="C631" i="1"/>
  <c r="C622" i="1"/>
  <c r="D622" i="1"/>
  <c r="E622" i="1"/>
  <c r="F622" i="1"/>
  <c r="C623" i="1"/>
  <c r="D623" i="1"/>
  <c r="E623" i="1"/>
  <c r="F623" i="1"/>
  <c r="C624" i="1"/>
  <c r="D624" i="1"/>
  <c r="E624" i="1"/>
  <c r="F624" i="1"/>
  <c r="C625" i="1"/>
  <c r="D625" i="1"/>
  <c r="E625" i="1"/>
  <c r="F625" i="1"/>
  <c r="C626" i="1"/>
  <c r="D626" i="1"/>
  <c r="E626" i="1"/>
  <c r="F626" i="1"/>
  <c r="C627" i="1"/>
  <c r="D627" i="1"/>
  <c r="E627" i="1"/>
  <c r="C628" i="1"/>
  <c r="D628" i="1"/>
  <c r="E628" i="1"/>
  <c r="F628" i="1"/>
  <c r="C629" i="1"/>
  <c r="D629" i="1"/>
  <c r="E629" i="1"/>
  <c r="F629" i="1"/>
  <c r="C621" i="1"/>
  <c r="D621" i="1"/>
  <c r="E621" i="1"/>
  <c r="F621" i="1"/>
  <c r="D620" i="1"/>
  <c r="E620" i="1"/>
  <c r="F620" i="1"/>
  <c r="C620" i="1"/>
  <c r="D619" i="1"/>
  <c r="E619" i="1"/>
  <c r="F619" i="1"/>
  <c r="C619" i="1"/>
  <c r="D618" i="1"/>
  <c r="E618" i="1"/>
  <c r="H618" i="1" s="1"/>
  <c r="F618" i="1"/>
  <c r="C618" i="1"/>
  <c r="C617" i="1"/>
  <c r="D617" i="1"/>
  <c r="E617" i="1"/>
  <c r="F617" i="1"/>
  <c r="E616" i="1"/>
  <c r="F616" i="1"/>
  <c r="Q299" i="12" l="1"/>
  <c r="S299" i="12" s="1"/>
  <c r="Q542" i="12"/>
  <c r="S542" i="12"/>
  <c r="Q148" i="12"/>
  <c r="S148" i="12" s="1"/>
  <c r="Q88" i="12"/>
  <c r="S88" i="12" s="1"/>
  <c r="Q208" i="12"/>
  <c r="S208" i="12" s="1"/>
  <c r="Q572" i="12"/>
  <c r="S572" i="12" s="1"/>
  <c r="S359" i="12"/>
  <c r="F615" i="1"/>
  <c r="E615" i="1"/>
  <c r="C252" i="1"/>
  <c r="C616" i="1" s="1"/>
  <c r="C615" i="1" s="1"/>
  <c r="D252" i="1"/>
  <c r="D616" i="1" s="1"/>
  <c r="D615" i="1" s="1"/>
  <c r="F251" i="1" l="1"/>
  <c r="F250" i="1" s="1"/>
  <c r="E251" i="1"/>
  <c r="E250" i="1" s="1"/>
  <c r="D251" i="1"/>
  <c r="D250" i="1" s="1"/>
  <c r="C251" i="1"/>
  <c r="C250" i="1" s="1"/>
  <c r="D69" i="1"/>
  <c r="D68" i="1" s="1"/>
  <c r="E69" i="1"/>
  <c r="E68" i="1" s="1"/>
  <c r="F69" i="1"/>
  <c r="F68" i="1" s="1"/>
  <c r="C69" i="1"/>
  <c r="C68" i="1" s="1"/>
  <c r="L630" i="1"/>
  <c r="K630" i="1"/>
  <c r="J630" i="1"/>
  <c r="I630" i="1"/>
  <c r="F630" i="1"/>
  <c r="E630" i="1"/>
  <c r="D630" i="1"/>
  <c r="C630" i="1"/>
  <c r="L598" i="1"/>
  <c r="K598" i="1"/>
  <c r="J598" i="1"/>
  <c r="I598" i="1"/>
  <c r="F598" i="1"/>
  <c r="E598" i="1"/>
  <c r="D598" i="1"/>
  <c r="C598" i="1"/>
  <c r="L568" i="1"/>
  <c r="K568" i="1"/>
  <c r="J568" i="1"/>
  <c r="I568" i="1"/>
  <c r="F568" i="1"/>
  <c r="E568" i="1"/>
  <c r="D568" i="1"/>
  <c r="C568" i="1"/>
  <c r="L538" i="1"/>
  <c r="K538" i="1"/>
  <c r="J538" i="1"/>
  <c r="I538" i="1"/>
  <c r="F538" i="1"/>
  <c r="F523" i="1" s="1"/>
  <c r="E538" i="1"/>
  <c r="E523" i="1" s="1"/>
  <c r="D538" i="1"/>
  <c r="D523" i="1" s="1"/>
  <c r="C538" i="1"/>
  <c r="C523" i="1" s="1"/>
  <c r="L507" i="1"/>
  <c r="K507" i="1"/>
  <c r="J507" i="1"/>
  <c r="I507" i="1"/>
  <c r="F507" i="1"/>
  <c r="F492" i="1" s="1"/>
  <c r="E507" i="1"/>
  <c r="E492" i="1" s="1"/>
  <c r="D507" i="1"/>
  <c r="D492" i="1" s="1"/>
  <c r="C507" i="1"/>
  <c r="C492" i="1" s="1"/>
  <c r="L476" i="1"/>
  <c r="K476" i="1"/>
  <c r="J476" i="1"/>
  <c r="I476" i="1"/>
  <c r="F476" i="1"/>
  <c r="F461" i="1" s="1"/>
  <c r="E476" i="1"/>
  <c r="E461" i="1" s="1"/>
  <c r="D476" i="1"/>
  <c r="D461" i="1" s="1"/>
  <c r="C476" i="1"/>
  <c r="C461" i="1" s="1"/>
  <c r="L445" i="1"/>
  <c r="K445" i="1"/>
  <c r="J445" i="1"/>
  <c r="I445" i="1"/>
  <c r="F445" i="1"/>
  <c r="E445" i="1"/>
  <c r="D445" i="1"/>
  <c r="C445" i="1"/>
  <c r="L415" i="1"/>
  <c r="K415" i="1"/>
  <c r="J415" i="1"/>
  <c r="I415" i="1"/>
  <c r="F415" i="1"/>
  <c r="E415" i="1"/>
  <c r="D415" i="1"/>
  <c r="C415" i="1"/>
  <c r="L385" i="1"/>
  <c r="K385" i="1"/>
  <c r="J385" i="1"/>
  <c r="I385" i="1"/>
  <c r="F385" i="1"/>
  <c r="E385" i="1"/>
  <c r="D385" i="1"/>
  <c r="C385" i="1"/>
  <c r="L355" i="1"/>
  <c r="K355" i="1"/>
  <c r="J355" i="1"/>
  <c r="I355" i="1"/>
  <c r="F355" i="1"/>
  <c r="E355" i="1"/>
  <c r="D355" i="1"/>
  <c r="C355" i="1"/>
  <c r="L325" i="1"/>
  <c r="K325" i="1"/>
  <c r="J325" i="1"/>
  <c r="I325" i="1"/>
  <c r="F325" i="1"/>
  <c r="E325" i="1"/>
  <c r="D325" i="1"/>
  <c r="C325" i="1"/>
  <c r="L295" i="1"/>
  <c r="K295" i="1"/>
  <c r="J295" i="1"/>
  <c r="I295" i="1"/>
  <c r="F295" i="1"/>
  <c r="F280" i="1" s="1"/>
  <c r="E295" i="1"/>
  <c r="E280" i="1" s="1"/>
  <c r="D295" i="1"/>
  <c r="D280" i="1" s="1"/>
  <c r="C295" i="1"/>
  <c r="C280" i="1" s="1"/>
  <c r="L264" i="1"/>
  <c r="K264" i="1"/>
  <c r="J264" i="1"/>
  <c r="I264" i="1"/>
  <c r="F264" i="1"/>
  <c r="E264" i="1"/>
  <c r="D264" i="1"/>
  <c r="C264" i="1"/>
  <c r="L234" i="1"/>
  <c r="K234" i="1"/>
  <c r="J234" i="1"/>
  <c r="I234" i="1"/>
  <c r="F234" i="1"/>
  <c r="E234" i="1"/>
  <c r="D234" i="1"/>
  <c r="C234" i="1"/>
  <c r="L204" i="1"/>
  <c r="K204" i="1"/>
  <c r="J204" i="1"/>
  <c r="I204" i="1"/>
  <c r="F204" i="1"/>
  <c r="E204" i="1"/>
  <c r="D204" i="1"/>
  <c r="C204" i="1"/>
  <c r="L174" i="1"/>
  <c r="K174" i="1"/>
  <c r="J174" i="1"/>
  <c r="I174" i="1"/>
  <c r="F174" i="1"/>
  <c r="E174" i="1"/>
  <c r="D174" i="1"/>
  <c r="C174" i="1"/>
  <c r="L144" i="1"/>
  <c r="K144" i="1"/>
  <c r="J144" i="1"/>
  <c r="I144" i="1"/>
  <c r="F144" i="1"/>
  <c r="E144" i="1"/>
  <c r="D144" i="1"/>
  <c r="C144" i="1"/>
  <c r="L114" i="1"/>
  <c r="K114" i="1"/>
  <c r="J114" i="1"/>
  <c r="I114" i="1"/>
  <c r="F114" i="1"/>
  <c r="E114" i="1"/>
  <c r="D114" i="1"/>
  <c r="C114" i="1"/>
  <c r="L84" i="1"/>
  <c r="K84" i="1"/>
  <c r="J84" i="1"/>
  <c r="I84" i="1"/>
  <c r="F84" i="1"/>
  <c r="E84" i="1"/>
  <c r="D84" i="1"/>
  <c r="C84" i="1"/>
  <c r="I52" i="1"/>
  <c r="J52" i="1"/>
  <c r="K52" i="1"/>
  <c r="L52" i="1"/>
  <c r="F52" i="1"/>
  <c r="E52" i="1"/>
  <c r="D52" i="1"/>
  <c r="C52" i="1"/>
  <c r="D21" i="1"/>
  <c r="E21" i="1"/>
  <c r="F21" i="1"/>
  <c r="I21" i="1"/>
  <c r="J21" i="1"/>
  <c r="K21" i="1"/>
  <c r="L21" i="1"/>
  <c r="C21" i="1"/>
  <c r="H120" i="1" l="1"/>
  <c r="H121" i="1"/>
  <c r="H122" i="1"/>
  <c r="H152" i="1" l="1"/>
  <c r="H151" i="1"/>
  <c r="H150" i="1"/>
  <c r="H182" i="1"/>
  <c r="H181" i="1"/>
  <c r="H180" i="1"/>
  <c r="H212" i="1"/>
  <c r="H211" i="1"/>
  <c r="H210" i="1"/>
  <c r="H242" i="1"/>
  <c r="H241" i="1"/>
  <c r="H240" i="1"/>
  <c r="H272" i="1"/>
  <c r="H271" i="1"/>
  <c r="H270" i="1"/>
  <c r="H303" i="1"/>
  <c r="H302" i="1"/>
  <c r="H301" i="1"/>
  <c r="H333" i="1"/>
  <c r="H332" i="1"/>
  <c r="H331" i="1"/>
  <c r="H363" i="1"/>
  <c r="H362" i="1"/>
  <c r="H361" i="1"/>
  <c r="H393" i="1"/>
  <c r="H392" i="1"/>
  <c r="H391" i="1"/>
  <c r="H423" i="1"/>
  <c r="H422" i="1"/>
  <c r="H421" i="1"/>
  <c r="H453" i="1"/>
  <c r="H452" i="1"/>
  <c r="H451" i="1"/>
  <c r="H484" i="1"/>
  <c r="H483" i="1"/>
  <c r="H482" i="1"/>
  <c r="H515" i="1"/>
  <c r="H514" i="1"/>
  <c r="H513" i="1"/>
  <c r="H546" i="1"/>
  <c r="H545" i="1"/>
  <c r="H544" i="1"/>
  <c r="H576" i="1"/>
  <c r="H575" i="1"/>
  <c r="H574" i="1"/>
  <c r="H605" i="1"/>
  <c r="H606" i="1"/>
  <c r="H604" i="1"/>
  <c r="H611" i="1"/>
  <c r="H581" i="1"/>
  <c r="H551" i="1"/>
  <c r="H520" i="1"/>
  <c r="H458" i="1"/>
  <c r="H428" i="1"/>
  <c r="H398" i="1"/>
  <c r="H368" i="1"/>
  <c r="H367" i="1"/>
  <c r="H338" i="1" l="1"/>
  <c r="H277" i="1"/>
  <c r="H247" i="1"/>
  <c r="H217" i="1"/>
  <c r="H187" i="1"/>
  <c r="H157" i="1"/>
  <c r="H127" i="1"/>
  <c r="H91" i="1" l="1"/>
  <c r="H92" i="1"/>
  <c r="H90" i="1"/>
  <c r="H97" i="1"/>
  <c r="H65" i="1"/>
  <c r="H59" i="1"/>
  <c r="H62" i="1"/>
  <c r="H286" i="1" l="1"/>
  <c r="H292" i="1"/>
  <c r="H294" i="1"/>
  <c r="H22" i="2"/>
  <c r="F22" i="2"/>
  <c r="D22" i="2"/>
  <c r="J22" i="2" l="1"/>
  <c r="I22" i="2"/>
  <c r="K22" i="2" s="1"/>
  <c r="G73" i="1" l="1"/>
  <c r="G619" i="1"/>
  <c r="H619" i="1" s="1"/>
  <c r="H12" i="2"/>
  <c r="F12" i="2"/>
  <c r="D12" i="2"/>
  <c r="F95" i="1"/>
  <c r="F89" i="1"/>
  <c r="H73" i="1"/>
  <c r="H74" i="1"/>
  <c r="I12" i="2" l="1"/>
  <c r="J12" i="2"/>
  <c r="K12" i="2" s="1"/>
  <c r="G617" i="1" s="1"/>
  <c r="H617" i="1" s="1"/>
  <c r="G495" i="1" l="1"/>
  <c r="H495" i="1" s="1"/>
  <c r="G464" i="1"/>
  <c r="H464" i="1" s="1"/>
  <c r="G71" i="1"/>
  <c r="H71" i="1" s="1"/>
  <c r="G263" i="2"/>
  <c r="G283" i="1"/>
  <c r="H283" i="1" s="1"/>
  <c r="H596" i="1" l="1"/>
  <c r="H593" i="1"/>
  <c r="H589" i="1"/>
  <c r="H587" i="1"/>
  <c r="H566" i="1"/>
  <c r="H565" i="1"/>
  <c r="H563" i="1"/>
  <c r="H559" i="1"/>
  <c r="H557" i="1"/>
  <c r="H535" i="1"/>
  <c r="H529" i="1"/>
  <c r="H527" i="1"/>
  <c r="H504" i="1"/>
  <c r="H498" i="1"/>
  <c r="H496" i="1"/>
  <c r="H473" i="1"/>
  <c r="H467" i="1"/>
  <c r="H465" i="1"/>
  <c r="H443" i="1"/>
  <c r="H442" i="1"/>
  <c r="H436" i="1"/>
  <c r="H434" i="1"/>
  <c r="H413" i="1"/>
  <c r="H412" i="1"/>
  <c r="H409" i="1"/>
  <c r="H406" i="1"/>
  <c r="H404" i="1"/>
  <c r="H383" i="1"/>
  <c r="H382" i="1"/>
  <c r="H380" i="1"/>
  <c r="H379" i="1"/>
  <c r="H376" i="1"/>
  <c r="H374" i="1"/>
  <c r="H353" i="1"/>
  <c r="H352" i="1"/>
  <c r="H346" i="1"/>
  <c r="H344" i="1"/>
  <c r="H322" i="1"/>
  <c r="H316" i="1"/>
  <c r="H314" i="1"/>
  <c r="H261" i="1"/>
  <c r="H255" i="1"/>
  <c r="H231" i="1"/>
  <c r="H225" i="1"/>
  <c r="H223" i="1"/>
  <c r="H202" i="1"/>
  <c r="H201" i="1"/>
  <c r="H195" i="1"/>
  <c r="H193" i="1"/>
  <c r="H172" i="1"/>
  <c r="H171" i="1"/>
  <c r="H165" i="1"/>
  <c r="H163" i="1"/>
  <c r="H142" i="1"/>
  <c r="H141" i="1"/>
  <c r="H139" i="1"/>
  <c r="H133" i="1"/>
  <c r="H112" i="1"/>
  <c r="H111" i="1"/>
  <c r="H105" i="1"/>
  <c r="H103" i="1"/>
  <c r="H81" i="1"/>
  <c r="H79" i="1"/>
  <c r="H75" i="1"/>
  <c r="F609" i="1" l="1"/>
  <c r="E609" i="1"/>
  <c r="D609" i="1"/>
  <c r="C609" i="1"/>
  <c r="F603" i="1"/>
  <c r="F602" i="1" s="1"/>
  <c r="F584" i="1" s="1"/>
  <c r="E603" i="1"/>
  <c r="E602" i="1" s="1"/>
  <c r="D603" i="1"/>
  <c r="C603" i="1"/>
  <c r="F579" i="1"/>
  <c r="E579" i="1"/>
  <c r="D579" i="1"/>
  <c r="C579" i="1"/>
  <c r="F573" i="1"/>
  <c r="F572" i="1" s="1"/>
  <c r="F554" i="1" s="1"/>
  <c r="E573" i="1"/>
  <c r="E572" i="1" s="1"/>
  <c r="D573" i="1"/>
  <c r="D572" i="1" s="1"/>
  <c r="D554" i="1" s="1"/>
  <c r="C573" i="1"/>
  <c r="F549" i="1"/>
  <c r="E549" i="1"/>
  <c r="D549" i="1"/>
  <c r="C549" i="1"/>
  <c r="F543" i="1"/>
  <c r="F542" i="1" s="1"/>
  <c r="E543" i="1"/>
  <c r="E542" i="1" s="1"/>
  <c r="D543" i="1"/>
  <c r="D542" i="1" s="1"/>
  <c r="C543" i="1"/>
  <c r="F518" i="1"/>
  <c r="E518" i="1"/>
  <c r="D518" i="1"/>
  <c r="C518" i="1"/>
  <c r="F512" i="1"/>
  <c r="F511" i="1" s="1"/>
  <c r="E512" i="1"/>
  <c r="D512" i="1"/>
  <c r="D511" i="1" s="1"/>
  <c r="C512" i="1"/>
  <c r="F487" i="1"/>
  <c r="E487" i="1"/>
  <c r="D487" i="1"/>
  <c r="C487" i="1"/>
  <c r="F481" i="1"/>
  <c r="F480" i="1" s="1"/>
  <c r="E481" i="1"/>
  <c r="E480" i="1" s="1"/>
  <c r="D481" i="1"/>
  <c r="C481" i="1"/>
  <c r="C480" i="1" s="1"/>
  <c r="F426" i="1"/>
  <c r="E426" i="1"/>
  <c r="D426" i="1"/>
  <c r="C426" i="1"/>
  <c r="F420" i="1"/>
  <c r="E420" i="1"/>
  <c r="D420" i="1"/>
  <c r="C420" i="1"/>
  <c r="C419" i="1" s="1"/>
  <c r="C401" i="1" s="1"/>
  <c r="I426" i="1"/>
  <c r="I420" i="1"/>
  <c r="H414" i="1"/>
  <c r="F456" i="1"/>
  <c r="E456" i="1"/>
  <c r="D456" i="1"/>
  <c r="C456" i="1"/>
  <c r="F450" i="1"/>
  <c r="F449" i="1" s="1"/>
  <c r="F431" i="1" s="1"/>
  <c r="E450" i="1"/>
  <c r="D450" i="1"/>
  <c r="D449" i="1" s="1"/>
  <c r="D431" i="1" s="1"/>
  <c r="C450" i="1"/>
  <c r="F396" i="1"/>
  <c r="E396" i="1"/>
  <c r="D396" i="1"/>
  <c r="C396" i="1"/>
  <c r="F390" i="1"/>
  <c r="F389" i="1" s="1"/>
  <c r="F371" i="1" s="1"/>
  <c r="E390" i="1"/>
  <c r="E389" i="1" s="1"/>
  <c r="D390" i="1"/>
  <c r="C390" i="1"/>
  <c r="F366" i="1"/>
  <c r="E366" i="1"/>
  <c r="D366" i="1"/>
  <c r="C366" i="1"/>
  <c r="F360" i="1"/>
  <c r="F359" i="1" s="1"/>
  <c r="F341" i="1" s="1"/>
  <c r="E360" i="1"/>
  <c r="D360" i="1"/>
  <c r="C360" i="1"/>
  <c r="E359" i="1"/>
  <c r="F336" i="1"/>
  <c r="E336" i="1"/>
  <c r="D336" i="1"/>
  <c r="C336" i="1"/>
  <c r="F330" i="1"/>
  <c r="E330" i="1"/>
  <c r="D330" i="1"/>
  <c r="C330" i="1"/>
  <c r="F329" i="1"/>
  <c r="F311" i="1" s="1"/>
  <c r="F306" i="1"/>
  <c r="E306" i="1"/>
  <c r="D306" i="1"/>
  <c r="C306" i="1"/>
  <c r="F300" i="1"/>
  <c r="F299" i="1" s="1"/>
  <c r="E300" i="1"/>
  <c r="D300" i="1"/>
  <c r="C300" i="1"/>
  <c r="C299" i="1" s="1"/>
  <c r="F275" i="1"/>
  <c r="E275" i="1"/>
  <c r="D275" i="1"/>
  <c r="C275" i="1"/>
  <c r="F269" i="1"/>
  <c r="E269" i="1"/>
  <c r="D269" i="1"/>
  <c r="C269" i="1"/>
  <c r="C268" i="1" s="1"/>
  <c r="F215" i="1"/>
  <c r="E215" i="1"/>
  <c r="D215" i="1"/>
  <c r="C215" i="1"/>
  <c r="F209" i="1"/>
  <c r="F208" i="1" s="1"/>
  <c r="F190" i="1" s="1"/>
  <c r="E209" i="1"/>
  <c r="E208" i="1" s="1"/>
  <c r="D209" i="1"/>
  <c r="D208" i="1" s="1"/>
  <c r="D190" i="1" s="1"/>
  <c r="C209" i="1"/>
  <c r="F245" i="1"/>
  <c r="E245" i="1"/>
  <c r="D245" i="1"/>
  <c r="C245" i="1"/>
  <c r="F239" i="1"/>
  <c r="E239" i="1"/>
  <c r="E238" i="1" s="1"/>
  <c r="D239" i="1"/>
  <c r="C239" i="1"/>
  <c r="F185" i="1"/>
  <c r="E185" i="1"/>
  <c r="D185" i="1"/>
  <c r="C185" i="1"/>
  <c r="F179" i="1"/>
  <c r="F178" i="1" s="1"/>
  <c r="F160" i="1" s="1"/>
  <c r="E179" i="1"/>
  <c r="E178" i="1" s="1"/>
  <c r="D179" i="1"/>
  <c r="C179" i="1"/>
  <c r="F155" i="1"/>
  <c r="E155" i="1"/>
  <c r="D155" i="1"/>
  <c r="C155" i="1"/>
  <c r="F149" i="1"/>
  <c r="F148" i="1" s="1"/>
  <c r="F130" i="1" s="1"/>
  <c r="E149" i="1"/>
  <c r="D149" i="1"/>
  <c r="C149" i="1"/>
  <c r="F125" i="1"/>
  <c r="E125" i="1"/>
  <c r="D125" i="1"/>
  <c r="C125" i="1"/>
  <c r="F119" i="1"/>
  <c r="E119" i="1"/>
  <c r="D119" i="1"/>
  <c r="C119" i="1"/>
  <c r="E95" i="1"/>
  <c r="D95" i="1"/>
  <c r="C95" i="1"/>
  <c r="F88" i="1"/>
  <c r="E89" i="1"/>
  <c r="D89" i="1"/>
  <c r="C89" i="1"/>
  <c r="F63" i="1"/>
  <c r="E63" i="1"/>
  <c r="D63" i="1"/>
  <c r="C63" i="1"/>
  <c r="F57" i="1"/>
  <c r="E57" i="1"/>
  <c r="D57" i="1"/>
  <c r="C57" i="1"/>
  <c r="E220" i="1" l="1"/>
  <c r="H542" i="1"/>
  <c r="E554" i="1"/>
  <c r="H572" i="1"/>
  <c r="E584" i="1"/>
  <c r="E341" i="1"/>
  <c r="E160" i="1"/>
  <c r="E190" i="1"/>
  <c r="H208" i="1"/>
  <c r="E371" i="1"/>
  <c r="F268" i="1"/>
  <c r="D268" i="1"/>
  <c r="C602" i="1"/>
  <c r="C584" i="1" s="1"/>
  <c r="E268" i="1"/>
  <c r="H268" i="1" s="1"/>
  <c r="C572" i="1"/>
  <c r="C554" i="1" s="1"/>
  <c r="C178" i="1"/>
  <c r="C160" i="1" s="1"/>
  <c r="C148" i="1"/>
  <c r="C130" i="1" s="1"/>
  <c r="C389" i="1"/>
  <c r="C371" i="1" s="1"/>
  <c r="D602" i="1"/>
  <c r="D584" i="1" s="1"/>
  <c r="D299" i="1"/>
  <c r="C88" i="1"/>
  <c r="D118" i="1"/>
  <c r="D100" i="1" s="1"/>
  <c r="F238" i="1"/>
  <c r="F220" i="1" s="1"/>
  <c r="E299" i="1"/>
  <c r="H299" i="1" s="1"/>
  <c r="D329" i="1"/>
  <c r="D311" i="1" s="1"/>
  <c r="D419" i="1"/>
  <c r="D401" i="1" s="1"/>
  <c r="C329" i="1"/>
  <c r="C311" i="1" s="1"/>
  <c r="C56" i="1"/>
  <c r="C38" i="1" s="1"/>
  <c r="D56" i="1"/>
  <c r="D38" i="1" s="1"/>
  <c r="D88" i="1"/>
  <c r="E118" i="1"/>
  <c r="D148" i="1"/>
  <c r="D130" i="1" s="1"/>
  <c r="E329" i="1"/>
  <c r="D359" i="1"/>
  <c r="D341" i="1" s="1"/>
  <c r="E419" i="1"/>
  <c r="E56" i="1"/>
  <c r="E88" i="1"/>
  <c r="D238" i="1"/>
  <c r="D220" i="1" s="1"/>
  <c r="C449" i="1"/>
  <c r="C431" i="1" s="1"/>
  <c r="C542" i="1"/>
  <c r="E511" i="1"/>
  <c r="H511" i="1" s="1"/>
  <c r="D480" i="1"/>
  <c r="H480" i="1" s="1"/>
  <c r="E449" i="1"/>
  <c r="F419" i="1"/>
  <c r="F401" i="1" s="1"/>
  <c r="C359" i="1"/>
  <c r="C341" i="1" s="1"/>
  <c r="C238" i="1"/>
  <c r="C220" i="1" s="1"/>
  <c r="E148" i="1"/>
  <c r="C118" i="1"/>
  <c r="C100" i="1" s="1"/>
  <c r="F118" i="1"/>
  <c r="F100" i="1" s="1"/>
  <c r="F56" i="1"/>
  <c r="F38" i="1" s="1"/>
  <c r="C511" i="1"/>
  <c r="D178" i="1"/>
  <c r="D160" i="1" s="1"/>
  <c r="C208" i="1"/>
  <c r="C190" i="1" s="1"/>
  <c r="D389" i="1"/>
  <c r="D371" i="1" s="1"/>
  <c r="L642" i="1"/>
  <c r="K642" i="1"/>
  <c r="J642" i="1"/>
  <c r="I642" i="1"/>
  <c r="F642" i="1"/>
  <c r="E642" i="1"/>
  <c r="D642" i="1"/>
  <c r="C642" i="1"/>
  <c r="L635" i="1"/>
  <c r="K635" i="1"/>
  <c r="J635" i="1"/>
  <c r="I635" i="1"/>
  <c r="F635" i="1"/>
  <c r="E635" i="1"/>
  <c r="D635" i="1"/>
  <c r="C635" i="1"/>
  <c r="H629" i="1"/>
  <c r="I609" i="1"/>
  <c r="I603" i="1"/>
  <c r="H597" i="1"/>
  <c r="I579" i="1"/>
  <c r="I573" i="1"/>
  <c r="H567" i="1"/>
  <c r="I549" i="1"/>
  <c r="I543" i="1"/>
  <c r="H537" i="1"/>
  <c r="I518" i="1"/>
  <c r="I512" i="1"/>
  <c r="H506" i="1"/>
  <c r="I487" i="1"/>
  <c r="I481" i="1"/>
  <c r="H475" i="1"/>
  <c r="I456" i="1"/>
  <c r="I450" i="1"/>
  <c r="H444" i="1"/>
  <c r="I396" i="1"/>
  <c r="I390" i="1"/>
  <c r="H384" i="1"/>
  <c r="I366" i="1"/>
  <c r="I360" i="1"/>
  <c r="H354" i="1"/>
  <c r="I336" i="1"/>
  <c r="I330" i="1"/>
  <c r="H324" i="1"/>
  <c r="I306" i="1"/>
  <c r="I300" i="1"/>
  <c r="I275" i="1"/>
  <c r="I269" i="1"/>
  <c r="H263" i="1"/>
  <c r="I245" i="1"/>
  <c r="I239" i="1"/>
  <c r="H233" i="1"/>
  <c r="I215" i="1"/>
  <c r="I209" i="1"/>
  <c r="H203" i="1"/>
  <c r="I185" i="1"/>
  <c r="I179" i="1"/>
  <c r="H173" i="1"/>
  <c r="I155" i="1"/>
  <c r="I149" i="1"/>
  <c r="H143" i="1"/>
  <c r="I125" i="1"/>
  <c r="I119" i="1"/>
  <c r="H113" i="1"/>
  <c r="I95" i="1"/>
  <c r="I89" i="1"/>
  <c r="H83" i="1"/>
  <c r="I63" i="1"/>
  <c r="I57" i="1"/>
  <c r="F33" i="1"/>
  <c r="E33" i="1"/>
  <c r="D33" i="1"/>
  <c r="C33" i="1"/>
  <c r="F26" i="1"/>
  <c r="E26" i="1"/>
  <c r="D26" i="1"/>
  <c r="C26" i="1"/>
  <c r="I26" i="1"/>
  <c r="I33" i="1"/>
  <c r="D6" i="2"/>
  <c r="H16" i="2"/>
  <c r="F16" i="2"/>
  <c r="D16" i="2"/>
  <c r="F46" i="2"/>
  <c r="I46" i="2" s="1"/>
  <c r="D46" i="2"/>
  <c r="H46" i="2" s="1"/>
  <c r="H44" i="2"/>
  <c r="F44" i="2"/>
  <c r="D44" i="2"/>
  <c r="H42" i="2"/>
  <c r="F42" i="2"/>
  <c r="D42" i="2"/>
  <c r="H40" i="2"/>
  <c r="F40" i="2"/>
  <c r="D40" i="2"/>
  <c r="H38" i="2"/>
  <c r="F38" i="2"/>
  <c r="D38" i="2"/>
  <c r="H36" i="2"/>
  <c r="F36" i="2"/>
  <c r="D36" i="2"/>
  <c r="H34" i="2"/>
  <c r="F34" i="2"/>
  <c r="D34" i="2"/>
  <c r="H32" i="2"/>
  <c r="F32" i="2"/>
  <c r="D32" i="2"/>
  <c r="H30" i="2"/>
  <c r="F30" i="2"/>
  <c r="D30" i="2"/>
  <c r="H28" i="2"/>
  <c r="F28" i="2"/>
  <c r="D28" i="2"/>
  <c r="H26" i="2"/>
  <c r="F26" i="2"/>
  <c r="D26" i="2"/>
  <c r="H24" i="2"/>
  <c r="F24" i="2"/>
  <c r="D24" i="2"/>
  <c r="H20" i="2"/>
  <c r="F20" i="2"/>
  <c r="D20" i="2"/>
  <c r="H18" i="2"/>
  <c r="F18" i="2"/>
  <c r="D18" i="2"/>
  <c r="H14" i="2"/>
  <c r="F14" i="2"/>
  <c r="D14" i="2"/>
  <c r="H10" i="2"/>
  <c r="F10" i="2"/>
  <c r="D10" i="2"/>
  <c r="H8" i="2"/>
  <c r="F8" i="2"/>
  <c r="D8" i="2"/>
  <c r="H6" i="2"/>
  <c r="F6" i="2"/>
  <c r="H602" i="1" l="1"/>
  <c r="H178" i="1"/>
  <c r="E311" i="1"/>
  <c r="H329" i="1"/>
  <c r="E38" i="1"/>
  <c r="H56" i="1"/>
  <c r="H359" i="1"/>
  <c r="H238" i="1"/>
  <c r="H389" i="1"/>
  <c r="H88" i="1"/>
  <c r="E130" i="1"/>
  <c r="H148" i="1"/>
  <c r="E431" i="1"/>
  <c r="H449" i="1"/>
  <c r="E401" i="1"/>
  <c r="H419" i="1"/>
  <c r="E100" i="1"/>
  <c r="H118" i="1"/>
  <c r="J36" i="2"/>
  <c r="D25" i="1"/>
  <c r="D7" i="1" s="1"/>
  <c r="E25" i="1"/>
  <c r="I28" i="2"/>
  <c r="K28" i="2" s="1"/>
  <c r="F25" i="1"/>
  <c r="F7" i="1" s="1"/>
  <c r="C634" i="1"/>
  <c r="C614" i="1" s="1"/>
  <c r="F634" i="1"/>
  <c r="F614" i="1" s="1"/>
  <c r="I42" i="2"/>
  <c r="I26" i="2"/>
  <c r="I6" i="2"/>
  <c r="J40" i="2"/>
  <c r="I32" i="2"/>
  <c r="I14" i="2"/>
  <c r="I38" i="2"/>
  <c r="I18" i="2"/>
  <c r="J10" i="2"/>
  <c r="J28" i="2"/>
  <c r="I40" i="2"/>
  <c r="C25" i="1"/>
  <c r="C7" i="1" s="1"/>
  <c r="I10" i="2"/>
  <c r="K10" i="2" s="1"/>
  <c r="J18" i="2"/>
  <c r="I30" i="2"/>
  <c r="I36" i="2"/>
  <c r="K36" i="2" s="1"/>
  <c r="I8" i="2"/>
  <c r="I34" i="2"/>
  <c r="J6" i="2"/>
  <c r="J32" i="2"/>
  <c r="D634" i="1"/>
  <c r="D614" i="1" s="1"/>
  <c r="E634" i="1"/>
  <c r="J24" i="2"/>
  <c r="I24" i="2"/>
  <c r="I20" i="2"/>
  <c r="J44" i="2"/>
  <c r="I44" i="2"/>
  <c r="J16" i="2"/>
  <c r="I16" i="2"/>
  <c r="J8" i="2"/>
  <c r="J14" i="2"/>
  <c r="J20" i="2"/>
  <c r="J26" i="2"/>
  <c r="J30" i="2"/>
  <c r="J34" i="2"/>
  <c r="J38" i="2"/>
  <c r="K38" i="2" s="1"/>
  <c r="J42" i="2"/>
  <c r="J46" i="2"/>
  <c r="K46" i="2" s="1"/>
  <c r="G472" i="1" l="1"/>
  <c r="G624" i="1"/>
  <c r="H624" i="1" s="1"/>
  <c r="G626" i="1"/>
  <c r="H626" i="1" s="1"/>
  <c r="G616" i="1"/>
  <c r="E614" i="1"/>
  <c r="H634" i="1"/>
  <c r="G30" i="1"/>
  <c r="H30" i="1" s="1"/>
  <c r="G640" i="1"/>
  <c r="H640" i="1" s="1"/>
  <c r="E7" i="1"/>
  <c r="H25" i="1"/>
  <c r="K40" i="2"/>
  <c r="G479" i="1" s="1"/>
  <c r="H479" i="1" s="1"/>
  <c r="G645" i="1"/>
  <c r="H645" i="1" s="1"/>
  <c r="G644" i="1"/>
  <c r="H644" i="1" s="1"/>
  <c r="G621" i="1"/>
  <c r="H621" i="1" s="1"/>
  <c r="G620" i="1"/>
  <c r="H620" i="1" s="1"/>
  <c r="G224" i="1"/>
  <c r="H224" i="1" s="1"/>
  <c r="G36" i="1"/>
  <c r="H36" i="1" s="1"/>
  <c r="G298" i="1"/>
  <c r="H298" i="1" s="1"/>
  <c r="G418" i="1"/>
  <c r="H418" i="1" s="1"/>
  <c r="G55" i="1"/>
  <c r="H55" i="1" s="1"/>
  <c r="G358" i="1"/>
  <c r="H358" i="1" s="1"/>
  <c r="G87" i="1"/>
  <c r="H87" i="1" s="1"/>
  <c r="G177" i="1"/>
  <c r="H177" i="1" s="1"/>
  <c r="G388" i="1"/>
  <c r="H388" i="1" s="1"/>
  <c r="G510" i="1"/>
  <c r="H510" i="1" s="1"/>
  <c r="G147" i="1"/>
  <c r="H147" i="1" s="1"/>
  <c r="G448" i="1"/>
  <c r="H448" i="1" s="1"/>
  <c r="K6" i="2"/>
  <c r="H411" i="1"/>
  <c r="H441" i="1"/>
  <c r="H534" i="1"/>
  <c r="H594" i="1"/>
  <c r="H503" i="1"/>
  <c r="H472" i="1"/>
  <c r="H564" i="1"/>
  <c r="H140" i="1"/>
  <c r="H381" i="1"/>
  <c r="H260" i="1"/>
  <c r="H170" i="1"/>
  <c r="H110" i="1"/>
  <c r="H230" i="1"/>
  <c r="H291" i="1"/>
  <c r="H80" i="1"/>
  <c r="H200" i="1"/>
  <c r="H351" i="1"/>
  <c r="H321" i="1"/>
  <c r="G562" i="1"/>
  <c r="H562" i="1" s="1"/>
  <c r="G525" i="1"/>
  <c r="G501" i="1"/>
  <c r="H501" i="1" s="1"/>
  <c r="G586" i="1"/>
  <c r="G463" i="1"/>
  <c r="G433" i="1"/>
  <c r="G526" i="1"/>
  <c r="H526" i="1" s="1"/>
  <c r="G556" i="1"/>
  <c r="G439" i="1"/>
  <c r="H439" i="1" s="1"/>
  <c r="G470" i="1"/>
  <c r="H470" i="1" s="1"/>
  <c r="G532" i="1"/>
  <c r="H532" i="1" s="1"/>
  <c r="G592" i="1"/>
  <c r="H592" i="1" s="1"/>
  <c r="G494" i="1"/>
  <c r="G282" i="1"/>
  <c r="G228" i="1"/>
  <c r="H228" i="1" s="1"/>
  <c r="G192" i="1"/>
  <c r="G138" i="1"/>
  <c r="H138" i="1" s="1"/>
  <c r="G102" i="1"/>
  <c r="G40" i="1"/>
  <c r="G162" i="1"/>
  <c r="G108" i="1"/>
  <c r="H108" i="1" s="1"/>
  <c r="G349" i="1"/>
  <c r="H349" i="1" s="1"/>
  <c r="G403" i="1"/>
  <c r="G343" i="1"/>
  <c r="G70" i="1"/>
  <c r="G168" i="1"/>
  <c r="H168" i="1" s="1"/>
  <c r="G319" i="1"/>
  <c r="H319" i="1" s="1"/>
  <c r="G252" i="1"/>
  <c r="G222" i="1"/>
  <c r="G132" i="1"/>
  <c r="G258" i="1"/>
  <c r="H258" i="1" s="1"/>
  <c r="G78" i="1"/>
  <c r="H78" i="1" s="1"/>
  <c r="G198" i="1"/>
  <c r="H198" i="1" s="1"/>
  <c r="G46" i="1"/>
  <c r="H46" i="1" s="1"/>
  <c r="G313" i="1"/>
  <c r="G373" i="1"/>
  <c r="G289" i="1"/>
  <c r="H289" i="1" s="1"/>
  <c r="G15" i="1"/>
  <c r="H15" i="1" s="1"/>
  <c r="G9" i="1"/>
  <c r="K42" i="2"/>
  <c r="G490" i="1"/>
  <c r="H490" i="1" s="1"/>
  <c r="G459" i="1"/>
  <c r="H459" i="1" s="1"/>
  <c r="G582" i="1"/>
  <c r="H582" i="1" s="1"/>
  <c r="G612" i="1"/>
  <c r="H612" i="1" s="1"/>
  <c r="G558" i="1"/>
  <c r="H558" i="1" s="1"/>
  <c r="G521" i="1"/>
  <c r="H521" i="1" s="1"/>
  <c r="G489" i="1"/>
  <c r="H489" i="1" s="1"/>
  <c r="G429" i="1"/>
  <c r="H429" i="1" s="1"/>
  <c r="G528" i="1"/>
  <c r="H528" i="1" s="1"/>
  <c r="G552" i="1"/>
  <c r="H552" i="1" s="1"/>
  <c r="G435" i="1"/>
  <c r="H435" i="1" s="1"/>
  <c r="G588" i="1"/>
  <c r="H588" i="1" s="1"/>
  <c r="G497" i="1"/>
  <c r="H497" i="1" s="1"/>
  <c r="G466" i="1"/>
  <c r="H466" i="1" s="1"/>
  <c r="G405" i="1"/>
  <c r="H405" i="1" s="1"/>
  <c r="G345" i="1"/>
  <c r="H345" i="1" s="1"/>
  <c r="G309" i="1"/>
  <c r="H309" i="1" s="1"/>
  <c r="G248" i="1"/>
  <c r="H248" i="1" s="1"/>
  <c r="G254" i="1"/>
  <c r="H254" i="1" s="1"/>
  <c r="G164" i="1"/>
  <c r="H164" i="1" s="1"/>
  <c r="G285" i="1"/>
  <c r="H285" i="1" s="1"/>
  <c r="G194" i="1"/>
  <c r="H194" i="1" s="1"/>
  <c r="G42" i="1"/>
  <c r="H42" i="1" s="1"/>
  <c r="G308" i="1"/>
  <c r="H308" i="1" s="1"/>
  <c r="G278" i="1"/>
  <c r="H278" i="1" s="1"/>
  <c r="G188" i="1"/>
  <c r="H188" i="1" s="1"/>
  <c r="G135" i="1"/>
  <c r="H135" i="1" s="1"/>
  <c r="G98" i="1"/>
  <c r="H98" i="1" s="1"/>
  <c r="G35" i="1"/>
  <c r="H35" i="1" s="1"/>
  <c r="G128" i="1"/>
  <c r="H128" i="1" s="1"/>
  <c r="G339" i="1"/>
  <c r="H339" i="1" s="1"/>
  <c r="G134" i="1"/>
  <c r="H134" i="1" s="1"/>
  <c r="G66" i="1"/>
  <c r="H66" i="1" s="1"/>
  <c r="G218" i="1"/>
  <c r="H218" i="1" s="1"/>
  <c r="G315" i="1"/>
  <c r="H315" i="1" s="1"/>
  <c r="G158" i="1"/>
  <c r="H158" i="1" s="1"/>
  <c r="G375" i="1"/>
  <c r="H375" i="1" s="1"/>
  <c r="G369" i="1"/>
  <c r="H369" i="1" s="1"/>
  <c r="H366" i="1" s="1"/>
  <c r="J366" i="1" s="1"/>
  <c r="K366" i="1" s="1"/>
  <c r="L366" i="1" s="1"/>
  <c r="G104" i="1"/>
  <c r="H104" i="1" s="1"/>
  <c r="G11" i="1"/>
  <c r="H11" i="1" s="1"/>
  <c r="K26" i="2"/>
  <c r="K34" i="2"/>
  <c r="K32" i="2"/>
  <c r="G214" i="1"/>
  <c r="H214" i="1" s="1"/>
  <c r="K8" i="2"/>
  <c r="K44" i="2"/>
  <c r="K30" i="2"/>
  <c r="K18" i="2"/>
  <c r="G638" i="1" s="1"/>
  <c r="H638" i="1" s="1"/>
  <c r="K14" i="2"/>
  <c r="G636" i="1" s="1"/>
  <c r="H636" i="1" s="1"/>
  <c r="K16" i="2"/>
  <c r="K24" i="2"/>
  <c r="K20" i="2"/>
  <c r="G625" i="1" s="1"/>
  <c r="H625" i="1" s="1"/>
  <c r="G628" i="1" l="1"/>
  <c r="H628" i="1" s="1"/>
  <c r="G536" i="1"/>
  <c r="H536" i="1" s="1"/>
  <c r="G262" i="1"/>
  <c r="H262" i="1" s="1"/>
  <c r="G561" i="1"/>
  <c r="H561" i="1" s="1"/>
  <c r="G623" i="1"/>
  <c r="H623" i="1" s="1"/>
  <c r="G627" i="1"/>
  <c r="H627" i="1" s="1"/>
  <c r="G643" i="1"/>
  <c r="H643" i="1" s="1"/>
  <c r="H642" i="1" s="1"/>
  <c r="G622" i="1"/>
  <c r="H622" i="1" s="1"/>
  <c r="G156" i="1"/>
  <c r="H156" i="1" s="1"/>
  <c r="H155" i="1" s="1"/>
  <c r="J155" i="1" s="1"/>
  <c r="K155" i="1" s="1"/>
  <c r="L155" i="1" s="1"/>
  <c r="G641" i="1"/>
  <c r="H641" i="1" s="1"/>
  <c r="G639" i="1"/>
  <c r="H639" i="1" s="1"/>
  <c r="G54" i="1"/>
  <c r="H54" i="1" s="1"/>
  <c r="G116" i="1"/>
  <c r="H116" i="1" s="1"/>
  <c r="G205" i="1"/>
  <c r="H205" i="1" s="1"/>
  <c r="G266" i="1"/>
  <c r="H266" i="1" s="1"/>
  <c r="G327" i="1"/>
  <c r="H327" i="1" s="1"/>
  <c r="G387" i="1"/>
  <c r="H387" i="1" s="1"/>
  <c r="G477" i="1"/>
  <c r="H477" i="1" s="1"/>
  <c r="G540" i="1"/>
  <c r="H540" i="1" s="1"/>
  <c r="G569" i="1"/>
  <c r="H569" i="1" s="1"/>
  <c r="G86" i="1"/>
  <c r="H86" i="1" s="1"/>
  <c r="G235" i="1"/>
  <c r="H235" i="1" s="1"/>
  <c r="G357" i="1"/>
  <c r="H357" i="1" s="1"/>
  <c r="G447" i="1"/>
  <c r="H447" i="1" s="1"/>
  <c r="G570" i="1"/>
  <c r="H570" i="1" s="1"/>
  <c r="G145" i="1"/>
  <c r="H145" i="1" s="1"/>
  <c r="H144" i="1" s="1"/>
  <c r="G356" i="1"/>
  <c r="H356" i="1" s="1"/>
  <c r="G478" i="1"/>
  <c r="H478" i="1" s="1"/>
  <c r="G599" i="1"/>
  <c r="H599" i="1" s="1"/>
  <c r="G53" i="1"/>
  <c r="H53" i="1" s="1"/>
  <c r="H52" i="1" s="1"/>
  <c r="G115" i="1"/>
  <c r="H115" i="1" s="1"/>
  <c r="G176" i="1"/>
  <c r="H176" i="1" s="1"/>
  <c r="G236" i="1"/>
  <c r="H236" i="1" s="1"/>
  <c r="G265" i="1"/>
  <c r="H265" i="1" s="1"/>
  <c r="G326" i="1"/>
  <c r="H326" i="1" s="1"/>
  <c r="G386" i="1"/>
  <c r="H386" i="1" s="1"/>
  <c r="G446" i="1"/>
  <c r="H446" i="1" s="1"/>
  <c r="G509" i="1"/>
  <c r="H509" i="1" s="1"/>
  <c r="G146" i="1"/>
  <c r="H146" i="1" s="1"/>
  <c r="G175" i="1"/>
  <c r="H175" i="1" s="1"/>
  <c r="H174" i="1" s="1"/>
  <c r="G297" i="1"/>
  <c r="H297" i="1" s="1"/>
  <c r="G417" i="1"/>
  <c r="H417" i="1" s="1"/>
  <c r="G508" i="1"/>
  <c r="H508" i="1" s="1"/>
  <c r="H507" i="1" s="1"/>
  <c r="G85" i="1"/>
  <c r="H85" i="1" s="1"/>
  <c r="H84" i="1" s="1"/>
  <c r="G206" i="1"/>
  <c r="H206" i="1" s="1"/>
  <c r="G296" i="1"/>
  <c r="H296" i="1" s="1"/>
  <c r="G416" i="1"/>
  <c r="H416" i="1" s="1"/>
  <c r="H415" i="1" s="1"/>
  <c r="G539" i="1"/>
  <c r="H539" i="1" s="1"/>
  <c r="G24" i="1"/>
  <c r="H24" i="1" s="1"/>
  <c r="G207" i="1"/>
  <c r="H207" i="1" s="1"/>
  <c r="H204" i="1" s="1"/>
  <c r="G267" i="1"/>
  <c r="H267" i="1" s="1"/>
  <c r="G571" i="1"/>
  <c r="H571" i="1" s="1"/>
  <c r="G541" i="1"/>
  <c r="H541" i="1" s="1"/>
  <c r="G117" i="1"/>
  <c r="H117" i="1" s="1"/>
  <c r="G28" i="1"/>
  <c r="H28" i="1" s="1"/>
  <c r="G637" i="1"/>
  <c r="H637" i="1" s="1"/>
  <c r="H9" i="1"/>
  <c r="H355" i="1"/>
  <c r="H616" i="1"/>
  <c r="L616" i="1"/>
  <c r="H385" i="1"/>
  <c r="H295" i="1"/>
  <c r="G633" i="1"/>
  <c r="H633" i="1" s="1"/>
  <c r="G601" i="1"/>
  <c r="H601" i="1" s="1"/>
  <c r="H598" i="1" s="1"/>
  <c r="G237" i="1"/>
  <c r="H237" i="1" s="1"/>
  <c r="H234" i="1" s="1"/>
  <c r="G328" i="1"/>
  <c r="H328" i="1" s="1"/>
  <c r="G23" i="1"/>
  <c r="H23" i="1" s="1"/>
  <c r="G632" i="1"/>
  <c r="H632" i="1" s="1"/>
  <c r="G22" i="1"/>
  <c r="H22" i="1" s="1"/>
  <c r="G631" i="1"/>
  <c r="H631" i="1" s="1"/>
  <c r="G61" i="1"/>
  <c r="H61" i="1" s="1"/>
  <c r="G455" i="1"/>
  <c r="H455" i="1" s="1"/>
  <c r="G123" i="1"/>
  <c r="G213" i="1"/>
  <c r="H213" i="1" s="1"/>
  <c r="H209" i="1" s="1"/>
  <c r="J209" i="1" s="1"/>
  <c r="G485" i="1"/>
  <c r="H485" i="1" s="1"/>
  <c r="G399" i="1"/>
  <c r="H399" i="1" s="1"/>
  <c r="G274" i="1"/>
  <c r="H274" i="1" s="1"/>
  <c r="G547" i="1"/>
  <c r="H547" i="1" s="1"/>
  <c r="G31" i="1"/>
  <c r="H31" i="1" s="1"/>
  <c r="G578" i="1"/>
  <c r="H578" i="1" s="1"/>
  <c r="G32" i="1"/>
  <c r="H32" i="1" s="1"/>
  <c r="G153" i="1"/>
  <c r="H153" i="1" s="1"/>
  <c r="G486" i="1"/>
  <c r="H486" i="1" s="1"/>
  <c r="G137" i="1"/>
  <c r="H137" i="1" s="1"/>
  <c r="G197" i="1"/>
  <c r="H197" i="1" s="1"/>
  <c r="G438" i="1"/>
  <c r="H438" i="1" s="1"/>
  <c r="H373" i="1"/>
  <c r="L373" i="1"/>
  <c r="H162" i="1"/>
  <c r="L162" i="1"/>
  <c r="H586" i="1"/>
  <c r="L586" i="1"/>
  <c r="H313" i="1"/>
  <c r="L313" i="1"/>
  <c r="H102" i="1"/>
  <c r="L102" i="1"/>
  <c r="G58" i="1"/>
  <c r="H58" i="1" s="1"/>
  <c r="G27" i="1"/>
  <c r="H27" i="1" s="1"/>
  <c r="G335" i="1"/>
  <c r="H335" i="1" s="1"/>
  <c r="G93" i="1"/>
  <c r="H93" i="1" s="1"/>
  <c r="G577" i="1"/>
  <c r="H577" i="1" s="1"/>
  <c r="G454" i="1"/>
  <c r="H454" i="1" s="1"/>
  <c r="H70" i="1"/>
  <c r="L70" i="1"/>
  <c r="H123" i="1"/>
  <c r="H525" i="1"/>
  <c r="L525" i="1"/>
  <c r="G408" i="1"/>
  <c r="H408" i="1" s="1"/>
  <c r="G29" i="1"/>
  <c r="H29" i="1" s="1"/>
  <c r="G60" i="1"/>
  <c r="H60" i="1" s="1"/>
  <c r="G77" i="1"/>
  <c r="H77" i="1" s="1"/>
  <c r="G94" i="1"/>
  <c r="H94" i="1" s="1"/>
  <c r="G305" i="1"/>
  <c r="H305" i="1" s="1"/>
  <c r="G243" i="1"/>
  <c r="G124" i="1"/>
  <c r="H124" i="1" s="1"/>
  <c r="G364" i="1"/>
  <c r="G608" i="1"/>
  <c r="H608" i="1" s="1"/>
  <c r="H343" i="1"/>
  <c r="L343" i="1"/>
  <c r="H192" i="1"/>
  <c r="L192" i="1"/>
  <c r="H556" i="1"/>
  <c r="L556" i="1"/>
  <c r="G318" i="1"/>
  <c r="H318" i="1" s="1"/>
  <c r="L9" i="1"/>
  <c r="H403" i="1"/>
  <c r="L403" i="1"/>
  <c r="H252" i="1"/>
  <c r="L252" i="1"/>
  <c r="G591" i="1"/>
  <c r="H591" i="1" s="1"/>
  <c r="G394" i="1"/>
  <c r="G548" i="1"/>
  <c r="H548" i="1" s="1"/>
  <c r="H132" i="1"/>
  <c r="L132" i="1"/>
  <c r="H282" i="1"/>
  <c r="L282" i="1"/>
  <c r="H433" i="1"/>
  <c r="L433" i="1"/>
  <c r="H40" i="1"/>
  <c r="L40" i="1"/>
  <c r="G304" i="1"/>
  <c r="H304" i="1" s="1"/>
  <c r="G288" i="1"/>
  <c r="H288" i="1" s="1"/>
  <c r="G334" i="1"/>
  <c r="G184" i="1"/>
  <c r="H184" i="1" s="1"/>
  <c r="G273" i="1"/>
  <c r="G607" i="1"/>
  <c r="H607" i="1" s="1"/>
  <c r="G517" i="1"/>
  <c r="H517" i="1" s="1"/>
  <c r="G505" i="1"/>
  <c r="H505" i="1" s="1"/>
  <c r="G474" i="1"/>
  <c r="H474" i="1" s="1"/>
  <c r="G293" i="1"/>
  <c r="H293" i="1" s="1"/>
  <c r="G82" i="1"/>
  <c r="H82" i="1" s="1"/>
  <c r="G232" i="1"/>
  <c r="H232" i="1" s="1"/>
  <c r="G323" i="1"/>
  <c r="H323" i="1" s="1"/>
  <c r="G365" i="1"/>
  <c r="H365" i="1" s="1"/>
  <c r="G154" i="1"/>
  <c r="H154" i="1" s="1"/>
  <c r="G425" i="1"/>
  <c r="H425" i="1" s="1"/>
  <c r="G107" i="1"/>
  <c r="H107" i="1" s="1"/>
  <c r="G469" i="1"/>
  <c r="H469" i="1" s="1"/>
  <c r="G183" i="1"/>
  <c r="H183" i="1" s="1"/>
  <c r="G395" i="1"/>
  <c r="H395" i="1" s="1"/>
  <c r="G244" i="1"/>
  <c r="H244" i="1" s="1"/>
  <c r="G424" i="1"/>
  <c r="H424" i="1" s="1"/>
  <c r="G516" i="1"/>
  <c r="H516" i="1" s="1"/>
  <c r="H222" i="1"/>
  <c r="H221" i="1" s="1"/>
  <c r="L222" i="1"/>
  <c r="H494" i="1"/>
  <c r="L494" i="1"/>
  <c r="H463" i="1"/>
  <c r="L463" i="1"/>
  <c r="G560" i="1"/>
  <c r="H560" i="1" s="1"/>
  <c r="G488" i="1"/>
  <c r="G427" i="1"/>
  <c r="G530" i="1"/>
  <c r="H530" i="1" s="1"/>
  <c r="G457" i="1"/>
  <c r="G550" i="1"/>
  <c r="G519" i="1"/>
  <c r="G499" i="1"/>
  <c r="H499" i="1" s="1"/>
  <c r="G610" i="1"/>
  <c r="G590" i="1"/>
  <c r="H590" i="1" s="1"/>
  <c r="G580" i="1"/>
  <c r="G595" i="1"/>
  <c r="H595" i="1" s="1"/>
  <c r="G468" i="1"/>
  <c r="H468" i="1" s="1"/>
  <c r="G437" i="1"/>
  <c r="H437" i="1" s="1"/>
  <c r="G407" i="1"/>
  <c r="H407" i="1" s="1"/>
  <c r="G307" i="1"/>
  <c r="G287" i="1"/>
  <c r="H287" i="1" s="1"/>
  <c r="G226" i="1"/>
  <c r="H226" i="1" s="1"/>
  <c r="G166" i="1"/>
  <c r="H166" i="1" s="1"/>
  <c r="G49" i="1"/>
  <c r="H49" i="1" s="1"/>
  <c r="G377" i="1"/>
  <c r="H377" i="1" s="1"/>
  <c r="G196" i="1"/>
  <c r="H196" i="1" s="1"/>
  <c r="G186" i="1"/>
  <c r="G64" i="1"/>
  <c r="G13" i="1"/>
  <c r="H13" i="1" s="1"/>
  <c r="G44" i="1"/>
  <c r="H44" i="1" s="1"/>
  <c r="G256" i="1"/>
  <c r="H256" i="1" s="1"/>
  <c r="G216" i="1"/>
  <c r="G136" i="1"/>
  <c r="H136" i="1" s="1"/>
  <c r="G106" i="1"/>
  <c r="H106" i="1" s="1"/>
  <c r="G96" i="1"/>
  <c r="G76" i="1"/>
  <c r="H76" i="1" s="1"/>
  <c r="G397" i="1"/>
  <c r="H397" i="1" s="1"/>
  <c r="G347" i="1"/>
  <c r="H347" i="1" s="1"/>
  <c r="G337" i="1"/>
  <c r="G317" i="1"/>
  <c r="H317" i="1" s="1"/>
  <c r="G276" i="1"/>
  <c r="G246" i="1"/>
  <c r="G126" i="1"/>
  <c r="G34" i="1"/>
  <c r="H34" i="1" s="1"/>
  <c r="G471" i="1"/>
  <c r="H471" i="1" s="1"/>
  <c r="G502" i="1"/>
  <c r="H502" i="1" s="1"/>
  <c r="G440" i="1"/>
  <c r="H440" i="1" s="1"/>
  <c r="G533" i="1"/>
  <c r="H533" i="1" s="1"/>
  <c r="G410" i="1"/>
  <c r="H410" i="1" s="1"/>
  <c r="G320" i="1"/>
  <c r="H320" i="1" s="1"/>
  <c r="G284" i="1"/>
  <c r="H284" i="1" s="1"/>
  <c r="G253" i="1"/>
  <c r="H253" i="1" s="1"/>
  <c r="G199" i="1"/>
  <c r="H199" i="1" s="1"/>
  <c r="G169" i="1"/>
  <c r="H169" i="1" s="1"/>
  <c r="G72" i="1"/>
  <c r="H72" i="1" s="1"/>
  <c r="G229" i="1"/>
  <c r="H229" i="1" s="1"/>
  <c r="G16" i="1"/>
  <c r="H16" i="1" s="1"/>
  <c r="G290" i="1"/>
  <c r="H290" i="1" s="1"/>
  <c r="G259" i="1"/>
  <c r="H259" i="1" s="1"/>
  <c r="G47" i="1"/>
  <c r="H47" i="1" s="1"/>
  <c r="G350" i="1"/>
  <c r="H350" i="1" s="1"/>
  <c r="G109" i="1"/>
  <c r="H109" i="1" s="1"/>
  <c r="G348" i="1"/>
  <c r="H348" i="1" s="1"/>
  <c r="G227" i="1"/>
  <c r="H227" i="1" s="1"/>
  <c r="G14" i="1"/>
  <c r="G378" i="1"/>
  <c r="H378" i="1" s="1"/>
  <c r="G500" i="1"/>
  <c r="H500" i="1" s="1"/>
  <c r="G167" i="1"/>
  <c r="H167" i="1" s="1"/>
  <c r="G257" i="1"/>
  <c r="H257" i="1" s="1"/>
  <c r="G45" i="1"/>
  <c r="H45" i="1" s="1"/>
  <c r="G531" i="1"/>
  <c r="H531" i="1" s="1"/>
  <c r="H372" i="1" l="1"/>
  <c r="H481" i="1"/>
  <c r="J481" i="1" s="1"/>
  <c r="G8" i="1"/>
  <c r="H114" i="1"/>
  <c r="H476" i="1"/>
  <c r="H396" i="1"/>
  <c r="J396" i="1" s="1"/>
  <c r="H402" i="1"/>
  <c r="H555" i="1"/>
  <c r="H450" i="1"/>
  <c r="J450" i="1" s="1"/>
  <c r="G191" i="1"/>
  <c r="H131" i="1"/>
  <c r="H573" i="1"/>
  <c r="J573" i="1" s="1"/>
  <c r="K573" i="1" s="1"/>
  <c r="G372" i="1"/>
  <c r="H615" i="1"/>
  <c r="H635" i="1"/>
  <c r="J634" i="1" s="1"/>
  <c r="H445" i="1"/>
  <c r="H69" i="1"/>
  <c r="H585" i="1"/>
  <c r="H462" i="1"/>
  <c r="H325" i="1"/>
  <c r="G432" i="1"/>
  <c r="G524" i="1"/>
  <c r="H251" i="1"/>
  <c r="J251" i="1" s="1"/>
  <c r="H191" i="1"/>
  <c r="J191" i="1" s="1"/>
  <c r="H57" i="1"/>
  <c r="H312" i="1"/>
  <c r="J312" i="1" s="1"/>
  <c r="H161" i="1"/>
  <c r="J161" i="1" s="1"/>
  <c r="H21" i="1"/>
  <c r="G161" i="1"/>
  <c r="G281" i="1"/>
  <c r="H568" i="1"/>
  <c r="G462" i="1"/>
  <c r="G101" i="1"/>
  <c r="G39" i="1"/>
  <c r="H342" i="1"/>
  <c r="J342" i="1" s="1"/>
  <c r="H524" i="1"/>
  <c r="J524" i="1" s="1"/>
  <c r="H101" i="1"/>
  <c r="H432" i="1"/>
  <c r="J432" i="1" s="1"/>
  <c r="H630" i="1"/>
  <c r="H538" i="1"/>
  <c r="H493" i="1"/>
  <c r="H39" i="1"/>
  <c r="H281" i="1"/>
  <c r="J281" i="1" s="1"/>
  <c r="G342" i="1"/>
  <c r="G402" i="1"/>
  <c r="H264" i="1"/>
  <c r="G221" i="1"/>
  <c r="G131" i="1"/>
  <c r="G312" i="1"/>
  <c r="H26" i="1"/>
  <c r="H14" i="1"/>
  <c r="H300" i="1"/>
  <c r="J300" i="1" s="1"/>
  <c r="K300" i="1" s="1"/>
  <c r="J493" i="1"/>
  <c r="J402" i="1"/>
  <c r="J555" i="1"/>
  <c r="J462" i="1"/>
  <c r="J131" i="1"/>
  <c r="J585" i="1"/>
  <c r="J372" i="1"/>
  <c r="J221" i="1"/>
  <c r="J101" i="1"/>
  <c r="J69" i="1"/>
  <c r="J39" i="1"/>
  <c r="H420" i="1"/>
  <c r="J420" i="1" s="1"/>
  <c r="K420" i="1" s="1"/>
  <c r="H89" i="1"/>
  <c r="J89" i="1" s="1"/>
  <c r="K89" i="1" s="1"/>
  <c r="H119" i="1"/>
  <c r="J119" i="1" s="1"/>
  <c r="K119" i="1" s="1"/>
  <c r="H603" i="1"/>
  <c r="J603" i="1" s="1"/>
  <c r="K603" i="1" s="1"/>
  <c r="H512" i="1"/>
  <c r="J512" i="1" s="1"/>
  <c r="K512" i="1" s="1"/>
  <c r="H179" i="1"/>
  <c r="J179" i="1" s="1"/>
  <c r="K179" i="1" s="1"/>
  <c r="J26" i="1"/>
  <c r="K26" i="1" s="1"/>
  <c r="H149" i="1"/>
  <c r="J149" i="1" s="1"/>
  <c r="J148" i="1" s="1"/>
  <c r="J57" i="1"/>
  <c r="H543" i="1"/>
  <c r="J543" i="1" s="1"/>
  <c r="K543" i="1" s="1"/>
  <c r="L543" i="1" s="1"/>
  <c r="K481" i="1"/>
  <c r="L481" i="1" s="1"/>
  <c r="H33" i="1"/>
  <c r="J33" i="1" s="1"/>
  <c r="H307" i="1"/>
  <c r="H306" i="1" s="1"/>
  <c r="J306" i="1" s="1"/>
  <c r="H246" i="1"/>
  <c r="H245" i="1" s="1"/>
  <c r="J245" i="1" s="1"/>
  <c r="K245" i="1" s="1"/>
  <c r="L245" i="1" s="1"/>
  <c r="H457" i="1"/>
  <c r="H456" i="1" s="1"/>
  <c r="J456" i="1" s="1"/>
  <c r="H273" i="1"/>
  <c r="H269" i="1" s="1"/>
  <c r="J269" i="1" s="1"/>
  <c r="H126" i="1"/>
  <c r="H125" i="1" s="1"/>
  <c r="J125" i="1" s="1"/>
  <c r="H550" i="1"/>
  <c r="H549" i="1" s="1"/>
  <c r="J549" i="1" s="1"/>
  <c r="H276" i="1"/>
  <c r="H275" i="1" s="1"/>
  <c r="J275" i="1" s="1"/>
  <c r="K275" i="1" s="1"/>
  <c r="L275" i="1" s="1"/>
  <c r="H216" i="1"/>
  <c r="H215" i="1" s="1"/>
  <c r="J215" i="1" s="1"/>
  <c r="H64" i="1"/>
  <c r="H63" i="1" s="1"/>
  <c r="J63" i="1" s="1"/>
  <c r="H96" i="1"/>
  <c r="H95" i="1" s="1"/>
  <c r="J95" i="1" s="1"/>
  <c r="H337" i="1"/>
  <c r="H336" i="1" s="1"/>
  <c r="J336" i="1" s="1"/>
  <c r="H580" i="1"/>
  <c r="H579" i="1" s="1"/>
  <c r="J579" i="1" s="1"/>
  <c r="H427" i="1"/>
  <c r="H426" i="1" s="1"/>
  <c r="J426" i="1" s="1"/>
  <c r="H334" i="1"/>
  <c r="H330" i="1" s="1"/>
  <c r="J330" i="1" s="1"/>
  <c r="H364" i="1"/>
  <c r="H360" i="1" s="1"/>
  <c r="J360" i="1" s="1"/>
  <c r="H186" i="1"/>
  <c r="H185" i="1" s="1"/>
  <c r="J185" i="1" s="1"/>
  <c r="H488" i="1"/>
  <c r="H487" i="1" s="1"/>
  <c r="J487" i="1" s="1"/>
  <c r="H519" i="1"/>
  <c r="H518" i="1" s="1"/>
  <c r="J518" i="1" s="1"/>
  <c r="H610" i="1"/>
  <c r="H609" i="1" s="1"/>
  <c r="J609" i="1" s="1"/>
  <c r="H394" i="1"/>
  <c r="H390" i="1" s="1"/>
  <c r="J390" i="1" s="1"/>
  <c r="H243" i="1"/>
  <c r="H239" i="1" s="1"/>
  <c r="J239" i="1" s="1"/>
  <c r="K396" i="1"/>
  <c r="K450" i="1"/>
  <c r="K209" i="1"/>
  <c r="H8" i="1" l="1"/>
  <c r="J8" i="1" s="1"/>
  <c r="J615" i="1"/>
  <c r="K615" i="1" s="1"/>
  <c r="L615" i="1" s="1"/>
  <c r="C4" i="10"/>
  <c r="D4" i="10" s="1"/>
  <c r="K312" i="1"/>
  <c r="L312" i="1" s="1"/>
  <c r="K432" i="1"/>
  <c r="L432" i="1" s="1"/>
  <c r="K281" i="1"/>
  <c r="L281" i="1" s="1"/>
  <c r="K402" i="1"/>
  <c r="L402" i="1" s="1"/>
  <c r="K493" i="1"/>
  <c r="L493" i="1" s="1"/>
  <c r="K149" i="1"/>
  <c r="K148" i="1" s="1"/>
  <c r="K39" i="1"/>
  <c r="L39" i="1" s="1"/>
  <c r="L119" i="1"/>
  <c r="J542" i="1"/>
  <c r="K585" i="1"/>
  <c r="L585" i="1" s="1"/>
  <c r="K57" i="1"/>
  <c r="L57" i="1" s="1"/>
  <c r="K372" i="1"/>
  <c r="L372" i="1" s="1"/>
  <c r="K462" i="1"/>
  <c r="L462" i="1" s="1"/>
  <c r="K101" i="1"/>
  <c r="L101" i="1" s="1"/>
  <c r="J480" i="1"/>
  <c r="K487" i="1"/>
  <c r="L487" i="1" s="1"/>
  <c r="L480" i="1" s="1"/>
  <c r="K555" i="1"/>
  <c r="L555" i="1" s="1"/>
  <c r="K191" i="1"/>
  <c r="L191" i="1" s="1"/>
  <c r="K161" i="1"/>
  <c r="L161" i="1" s="1"/>
  <c r="K524" i="1"/>
  <c r="L524" i="1" s="1"/>
  <c r="K131" i="1"/>
  <c r="L131" i="1" s="1"/>
  <c r="K609" i="1"/>
  <c r="L609" i="1" s="1"/>
  <c r="J602" i="1"/>
  <c r="K221" i="1"/>
  <c r="L221" i="1" s="1"/>
  <c r="K33" i="1"/>
  <c r="L33" i="1" s="1"/>
  <c r="J25" i="1"/>
  <c r="J56" i="1"/>
  <c r="K63" i="1"/>
  <c r="L63" i="1" s="1"/>
  <c r="K125" i="1"/>
  <c r="J118" i="1"/>
  <c r="J359" i="1"/>
  <c r="K360" i="1"/>
  <c r="K359" i="1" s="1"/>
  <c r="K239" i="1"/>
  <c r="K238" i="1" s="1"/>
  <c r="J238" i="1"/>
  <c r="K215" i="1"/>
  <c r="L215" i="1" s="1"/>
  <c r="J208" i="1"/>
  <c r="K426" i="1"/>
  <c r="L426" i="1" s="1"/>
  <c r="J419" i="1"/>
  <c r="K185" i="1"/>
  <c r="L185" i="1" s="1"/>
  <c r="J178" i="1"/>
  <c r="K269" i="1"/>
  <c r="K268" i="1" s="1"/>
  <c r="J268" i="1"/>
  <c r="K518" i="1"/>
  <c r="L518" i="1" s="1"/>
  <c r="J511" i="1"/>
  <c r="K95" i="1"/>
  <c r="L95" i="1" s="1"/>
  <c r="J88" i="1"/>
  <c r="K456" i="1"/>
  <c r="L456" i="1" s="1"/>
  <c r="J449" i="1"/>
  <c r="K390" i="1"/>
  <c r="L390" i="1" s="1"/>
  <c r="J389" i="1"/>
  <c r="K579" i="1"/>
  <c r="L579" i="1" s="1"/>
  <c r="J572" i="1"/>
  <c r="K336" i="1"/>
  <c r="L336" i="1" s="1"/>
  <c r="J329" i="1"/>
  <c r="K306" i="1"/>
  <c r="L306" i="1" s="1"/>
  <c r="J299" i="1"/>
  <c r="K549" i="1"/>
  <c r="L549" i="1" s="1"/>
  <c r="L542" i="1" s="1"/>
  <c r="K330" i="1"/>
  <c r="L330" i="1" s="1"/>
  <c r="K69" i="1"/>
  <c r="L69" i="1" s="1"/>
  <c r="L573" i="1"/>
  <c r="K342" i="1"/>
  <c r="L342" i="1" s="1"/>
  <c r="L603" i="1"/>
  <c r="L396" i="1"/>
  <c r="K251" i="1"/>
  <c r="L251" i="1" s="1"/>
  <c r="L512" i="1"/>
  <c r="L26" i="1"/>
  <c r="L450" i="1"/>
  <c r="L209" i="1"/>
  <c r="L420" i="1"/>
  <c r="L89" i="1"/>
  <c r="L179" i="1"/>
  <c r="L300" i="1"/>
  <c r="M615" i="1" l="1"/>
  <c r="K8" i="1"/>
  <c r="L8" i="1" s="1"/>
  <c r="L149" i="1"/>
  <c r="L148" i="1" s="1"/>
  <c r="K480" i="1"/>
  <c r="K329" i="1"/>
  <c r="K88" i="1"/>
  <c r="K389" i="1"/>
  <c r="L56" i="1"/>
  <c r="L511" i="1"/>
  <c r="L299" i="1"/>
  <c r="K449" i="1"/>
  <c r="K56" i="1"/>
  <c r="K178" i="1"/>
  <c r="K25" i="1"/>
  <c r="K602" i="1"/>
  <c r="L572" i="1"/>
  <c r="L88" i="1"/>
  <c r="L449" i="1"/>
  <c r="L602" i="1"/>
  <c r="L25" i="1"/>
  <c r="K572" i="1"/>
  <c r="K299" i="1"/>
  <c r="L329" i="1"/>
  <c r="L269" i="1"/>
  <c r="L268" i="1" s="1"/>
  <c r="L125" i="1"/>
  <c r="L118" i="1" s="1"/>
  <c r="K118" i="1"/>
  <c r="K419" i="1"/>
  <c r="L389" i="1"/>
  <c r="L239" i="1"/>
  <c r="L238" i="1" s="1"/>
  <c r="L419" i="1"/>
  <c r="K208" i="1"/>
  <c r="K542" i="1"/>
  <c r="L178" i="1"/>
  <c r="L208" i="1"/>
  <c r="K511" i="1"/>
  <c r="L360" i="1"/>
  <c r="L359" i="1" s="1"/>
</calcChain>
</file>

<file path=xl/comments1.xml><?xml version="1.0" encoding="utf-8"?>
<comments xmlns="http://schemas.openxmlformats.org/spreadsheetml/2006/main">
  <authors>
    <author>Степаненко Елена</author>
    <author>admin</author>
  </authors>
  <commentList>
    <comment ref="P617" authorId="0" shapeId="0">
      <text>
        <r>
          <rPr>
            <b/>
            <sz val="9"/>
            <color indexed="81"/>
            <rFont val="Tahoma"/>
            <family val="2"/>
            <charset val="204"/>
          </rPr>
          <t>Степаненко Елена:</t>
        </r>
        <r>
          <rPr>
            <sz val="9"/>
            <color indexed="81"/>
            <rFont val="Tahoma"/>
            <family val="2"/>
            <charset val="204"/>
          </rPr>
          <t xml:space="preserve">
+15% Полож. Об опл.тр №232 п.2.4.3</t>
        </r>
      </text>
    </comment>
    <comment ref="P619" authorId="0" shapeId="0">
      <text>
        <r>
          <rPr>
            <b/>
            <sz val="9"/>
            <color indexed="81"/>
            <rFont val="Tahoma"/>
            <family val="2"/>
            <charset val="204"/>
          </rPr>
          <t>Степаненко Елена:</t>
        </r>
        <r>
          <rPr>
            <sz val="9"/>
            <color indexed="81"/>
            <rFont val="Tahoma"/>
            <family val="2"/>
            <charset val="204"/>
          </rPr>
          <t xml:space="preserve">
+15% Полож. Об опл.тр №232 п.2.4.3
</t>
        </r>
      </text>
    </comment>
    <comment ref="R620" authorId="1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нет вредности
</t>
        </r>
      </text>
    </comment>
    <comment ref="R623" authorId="1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49,42 ст-ть 1 часа * 15дней праздников *24 часа в сутках * штатную числ / 3               17,30 ст-ть доплаты за ночной час * 12 часов * 365 дней * штатную /3
</t>
        </r>
      </text>
    </comment>
    <comment ref="N630" authorId="0" shapeId="0">
      <text>
        <r>
          <rPr>
            <b/>
            <sz val="9"/>
            <color indexed="81"/>
            <rFont val="Tahoma"/>
            <family val="2"/>
            <charset val="204"/>
          </rPr>
          <t>Степаненко Елена:</t>
        </r>
        <r>
          <rPr>
            <sz val="9"/>
            <color indexed="81"/>
            <rFont val="Tahoma"/>
            <family val="2"/>
            <charset val="204"/>
          </rPr>
          <t xml:space="preserve">
из методики по Род плате на з/пл запланировано</t>
        </r>
      </text>
    </comment>
  </commentList>
</comments>
</file>

<file path=xl/comments2.xml><?xml version="1.0" encoding="utf-8"?>
<comments xmlns="http://schemas.openxmlformats.org/spreadsheetml/2006/main">
  <authors>
    <author>Степаненко Елена</author>
  </authors>
  <commentList>
    <comment ref="F7" authorId="0" shapeId="0">
      <text>
        <r>
          <rPr>
            <b/>
            <sz val="9"/>
            <color indexed="81"/>
            <rFont val="Tahoma"/>
            <family val="2"/>
            <charset val="204"/>
          </rPr>
          <t>Степаненко Елена:</t>
        </r>
        <r>
          <rPr>
            <sz val="9"/>
            <color indexed="81"/>
            <rFont val="Tahoma"/>
            <family val="2"/>
            <charset val="204"/>
          </rPr>
          <t xml:space="preserve">
цифра взята из предоставленной инфо к бюджету</t>
        </r>
      </text>
    </comment>
    <comment ref="J7" authorId="0" shapeId="0">
      <text>
        <r>
          <rPr>
            <b/>
            <sz val="9"/>
            <color indexed="81"/>
            <rFont val="Tahoma"/>
            <family val="2"/>
            <charset val="204"/>
          </rPr>
          <t>Степаненко Елена:</t>
        </r>
        <r>
          <rPr>
            <sz val="9"/>
            <color indexed="81"/>
            <rFont val="Tahoma"/>
            <family val="2"/>
            <charset val="204"/>
          </rPr>
          <t xml:space="preserve">
без учета 3х ставок на шк 1500 мест с 01.06.23 - 565,5т.р.
</t>
        </r>
      </text>
    </comment>
    <comment ref="F8" authorId="0" shapeId="0">
      <text>
        <r>
          <rPr>
            <b/>
            <sz val="9"/>
            <color indexed="81"/>
            <rFont val="Tahoma"/>
            <family val="2"/>
            <charset val="204"/>
          </rPr>
          <t>Степаненко Елена:</t>
        </r>
        <r>
          <rPr>
            <sz val="9"/>
            <color indexed="81"/>
            <rFont val="Tahoma"/>
            <family val="2"/>
            <charset val="204"/>
          </rPr>
          <t xml:space="preserve">
поставила как в садах</t>
        </r>
      </text>
    </comment>
    <comment ref="J8" authorId="0" shapeId="0">
      <text>
        <r>
          <rPr>
            <b/>
            <sz val="9"/>
            <color indexed="81"/>
            <rFont val="Tahoma"/>
            <family val="2"/>
            <charset val="204"/>
          </rPr>
          <t>Степаненко Елена:</t>
        </r>
        <r>
          <rPr>
            <sz val="9"/>
            <color indexed="81"/>
            <rFont val="Tahoma"/>
            <family val="2"/>
            <charset val="204"/>
          </rPr>
          <t xml:space="preserve">
без учета 2шт ед школа на 1500 мест - 399,2т.р</t>
        </r>
      </text>
    </comment>
  </commentList>
</comments>
</file>

<file path=xl/comments3.xml><?xml version="1.0" encoding="utf-8"?>
<comments xmlns="http://schemas.openxmlformats.org/spreadsheetml/2006/main">
  <authors>
    <author>Степаненко Елена</author>
  </authors>
  <commentList>
    <comment ref="F4" authorId="0" shapeId="0">
      <text>
        <r>
          <rPr>
            <b/>
            <sz val="9"/>
            <color indexed="81"/>
            <rFont val="Tahoma"/>
            <family val="2"/>
            <charset val="204"/>
          </rPr>
          <t>Степаненко Елена:</t>
        </r>
        <r>
          <rPr>
            <sz val="9"/>
            <color indexed="81"/>
            <rFont val="Tahoma"/>
            <family val="2"/>
            <charset val="204"/>
          </rPr>
          <t xml:space="preserve">
поставила как в садах</t>
        </r>
      </text>
    </comment>
    <comment ref="B7" authorId="0" shapeId="0">
      <text>
        <r>
          <rPr>
            <b/>
            <sz val="9"/>
            <color indexed="81"/>
            <rFont val="Tahoma"/>
            <family val="2"/>
            <charset val="204"/>
          </rPr>
          <t>Степаненко Елена:</t>
        </r>
        <r>
          <rPr>
            <sz val="9"/>
            <color indexed="81"/>
            <rFont val="Tahoma"/>
            <family val="2"/>
            <charset val="204"/>
          </rPr>
          <t xml:space="preserve">
все кто был с окладом 7650р, сторож в неуказных</t>
        </r>
      </text>
    </comment>
  </commentList>
</comments>
</file>

<file path=xl/sharedStrings.xml><?xml version="1.0" encoding="utf-8"?>
<sst xmlns="http://schemas.openxmlformats.org/spreadsheetml/2006/main" count="1679" uniqueCount="226">
  <si>
    <t>Наименование должности</t>
  </si>
  <si>
    <t xml:space="preserve">количество штатных единиц </t>
  </si>
  <si>
    <t xml:space="preserve">занятые штатные единицы </t>
  </si>
  <si>
    <t>численность работников, чел.</t>
  </si>
  <si>
    <t>Потребность на 211</t>
  </si>
  <si>
    <t>Итого</t>
  </si>
  <si>
    <t>МАОУ "Прогимназия г.Благовещенска"</t>
  </si>
  <si>
    <t xml:space="preserve">Вспомогательный персонал </t>
  </si>
  <si>
    <t>городской бюджет +родительская плата</t>
  </si>
  <si>
    <t>Помощник воспитателя</t>
  </si>
  <si>
    <t>Младший воспитатель</t>
  </si>
  <si>
    <t>Кастелянша</t>
  </si>
  <si>
    <t>Кладовщик</t>
  </si>
  <si>
    <t>Кухонный рабочий</t>
  </si>
  <si>
    <t>Оператор хлораторной установки</t>
  </si>
  <si>
    <t>Повар</t>
  </si>
  <si>
    <t xml:space="preserve">Сторож </t>
  </si>
  <si>
    <t>Рабочий по комплексному обслуживанию и ремонту зданий</t>
  </si>
  <si>
    <t>Заведующий производством (шеф-повар)</t>
  </si>
  <si>
    <t>Машинист по стирке и ремонту спецодежды</t>
  </si>
  <si>
    <t>Водитель автомобиля</t>
  </si>
  <si>
    <t>Администратор административно-хозяйственной части</t>
  </si>
  <si>
    <t>Юрисконсульт</t>
  </si>
  <si>
    <t>областной бюджет</t>
  </si>
  <si>
    <t>Персонал, численность которого зависит от количества зданий и помещений</t>
  </si>
  <si>
    <t xml:space="preserve">Бухгалтер </t>
  </si>
  <si>
    <t>Бухгалтер 1 категории</t>
  </si>
  <si>
    <t>Ведущий бухгалтер</t>
  </si>
  <si>
    <t xml:space="preserve">Уборщик  служебных помещений </t>
  </si>
  <si>
    <t xml:space="preserve">Дворник </t>
  </si>
  <si>
    <t>Персонал, численность которого не зависит от количества зданий и помещений</t>
  </si>
  <si>
    <t xml:space="preserve">Заведующий хозяйством </t>
  </si>
  <si>
    <t>Секретарь</t>
  </si>
  <si>
    <t xml:space="preserve">Делопроизводитель </t>
  </si>
  <si>
    <t>Должностной оклад</t>
  </si>
  <si>
    <t>Доплата по учреждению</t>
  </si>
  <si>
    <t>Компенсационные выплаты</t>
  </si>
  <si>
    <t>Стимулирующие выплаты</t>
  </si>
  <si>
    <t>Районный коэффициент</t>
  </si>
  <si>
    <t xml:space="preserve">Дальневосточный коэффициент </t>
  </si>
  <si>
    <t>Итого начисленная зарплата</t>
  </si>
  <si>
    <t>%</t>
  </si>
  <si>
    <t>сумма</t>
  </si>
  <si>
    <t xml:space="preserve">Гардеробщик </t>
  </si>
  <si>
    <t>Инженер (электроник, програмист)</t>
  </si>
  <si>
    <t>Экономист</t>
  </si>
  <si>
    <t>Секретарь машинистка</t>
  </si>
  <si>
    <t>Бухгалтер 1 кат</t>
  </si>
  <si>
    <t>Заведующий хозяйством, водитель, повар</t>
  </si>
  <si>
    <t>Машинист по стирке и ремонту спецодежды, мойщик посуды</t>
  </si>
  <si>
    <t xml:space="preserve">Машинист по стирке и ремонту спецодежды, </t>
  </si>
  <si>
    <t>Заведующий производством (шеф-повар), младший воспитатель</t>
  </si>
  <si>
    <t xml:space="preserve">Администратор административно-хозяйственной части, </t>
  </si>
  <si>
    <t>Заместитель главного бухгалтера</t>
  </si>
  <si>
    <t>Бухгалтер</t>
  </si>
  <si>
    <t xml:space="preserve">Сторож, </t>
  </si>
  <si>
    <t>Вахтер дворник, уборщик, кастелянша, кладовщик</t>
  </si>
  <si>
    <t>Родительская плата</t>
  </si>
  <si>
    <t>Потребность город 211</t>
  </si>
  <si>
    <t>Потребность город на 213</t>
  </si>
  <si>
    <t>МАДОУ "ЦРР-ДС № 4 г.Благовещенска"</t>
  </si>
  <si>
    <t>МАДОУ "ДС № 3 г.Благовещенска"</t>
  </si>
  <si>
    <t>МАДОУ "ДС № 5 г.Благовещенска"</t>
  </si>
  <si>
    <t>МАДОУ "ДС № 14 г.Благовещенска"</t>
  </si>
  <si>
    <t>МАДОУ "ДС № 15 г.Благовещенска"</t>
  </si>
  <si>
    <t>МАДОУ "ДС № 19 г.Благовещенска"</t>
  </si>
  <si>
    <t>МАДОУ "ДС № 28 г.Благовещенска"</t>
  </si>
  <si>
    <t>МАДОУ "ДС № 32 г.Благовещенска"</t>
  </si>
  <si>
    <t>МАДОУ "ДС № 35 г.Благовещенска"</t>
  </si>
  <si>
    <t>МАДОУ "ДС № 40 г.Благовещенска"</t>
  </si>
  <si>
    <t>МАДОУ "ДС № 47 г.Благовещенска"</t>
  </si>
  <si>
    <t>МАДОУ "ДС № 49 г.Благовещенска"</t>
  </si>
  <si>
    <t>МАДОУ "ДС № 50 г.Благовещенска"</t>
  </si>
  <si>
    <t>МАДОУ "ДС № 55 г.Благовещенска"</t>
  </si>
  <si>
    <t>МАДОУ "ДС № 60 г.Благовещенска"</t>
  </si>
  <si>
    <t>МАДОУ "ДС № 67 г.Благовещенска"</t>
  </si>
  <si>
    <t>МАДОУ "ЦРР-ДС № 68 г.Благовещенска"</t>
  </si>
  <si>
    <t>МАОУ "Школа № 23 г.Благовещенска"</t>
  </si>
  <si>
    <t>МАОУ "Школа № 24 г.Благовещенска"</t>
  </si>
  <si>
    <t>Помощник воспитателя спецгр</t>
  </si>
  <si>
    <t>Младший воспитатель спец</t>
  </si>
  <si>
    <t>Помощник воспитателя спецгрупп</t>
  </si>
  <si>
    <t>Помощник воспитателя спецгруппы</t>
  </si>
  <si>
    <t xml:space="preserve"> младший воспитатель спецгруппы</t>
  </si>
  <si>
    <t>Заведующий учебной частью</t>
  </si>
  <si>
    <t xml:space="preserve">среднесписочная численность работников за январь-сентябрь </t>
  </si>
  <si>
    <t>Размер заработной платы в 2023</t>
  </si>
  <si>
    <t>Рабочий по комплексному обслуживанию и ремонту зданий, помощник воспитателя, Ассистент (помощник) по оказанию технической помощи инвалидам и лицам с ограниченными возможностями здоровья</t>
  </si>
  <si>
    <t>Секретарь, делопроизводитель, кухонный рабочий, оператор хлораторной установки</t>
  </si>
  <si>
    <t xml:space="preserve">городской бюджет </t>
  </si>
  <si>
    <t>Сравнительная таблица по начислению заработной платы в дошкольных учреждениях при установлении новых должностных окладов и процентов с 01.01.2023</t>
  </si>
  <si>
    <t xml:space="preserve">Ассистент (помощник) по оказанию технической помощи инвалидам </t>
  </si>
  <si>
    <t>Помощник воспитателя спец гр</t>
  </si>
  <si>
    <t>Младший воспитатель спецгр</t>
  </si>
  <si>
    <t>Заведующий по учебной части</t>
  </si>
  <si>
    <t>Плановые поступления на 2023  год, всего</t>
  </si>
  <si>
    <t>Заработная плата (9,89%)</t>
  </si>
  <si>
    <t>Потребность на зарплату</t>
  </si>
  <si>
    <t>Отклонение</t>
  </si>
  <si>
    <t>Расчёт обеспеченности заработной платой за счёт родительской платы</t>
  </si>
  <si>
    <t>Плановые поступления родительской платы на 2023 год, из них оплата труда вспомогательного персонала</t>
  </si>
  <si>
    <t>Наименование учреждения</t>
  </si>
  <si>
    <t>плановое число детей в ДОУ (согласно муниц. заданию)</t>
  </si>
  <si>
    <t>Плановые поступления на 2023  год (271)</t>
  </si>
  <si>
    <t>Плановые поступления на 2023  год (271н)</t>
  </si>
  <si>
    <t>Из них:</t>
  </si>
  <si>
    <t>Потребность на оплаты труда</t>
  </si>
  <si>
    <t>211 ФОТ обсл перс (возмещение с города на льготников), рублей в год</t>
  </si>
  <si>
    <r>
      <t xml:space="preserve">Заработная плата </t>
    </r>
    <r>
      <rPr>
        <b/>
        <u/>
        <sz val="8"/>
        <rFont val="Times New Roman"/>
        <family val="1"/>
        <charset val="204"/>
      </rPr>
      <t>(9,89%)</t>
    </r>
  </si>
  <si>
    <t xml:space="preserve">% </t>
  </si>
  <si>
    <r>
      <t>Начисления на выплаты по оплате труда</t>
    </r>
    <r>
      <rPr>
        <b/>
        <u/>
        <sz val="8"/>
        <rFont val="Times New Roman"/>
        <family val="1"/>
        <charset val="204"/>
      </rPr>
      <t xml:space="preserve"> (2,99%)</t>
    </r>
  </si>
  <si>
    <t>МАДОУ ДС № 3</t>
  </si>
  <si>
    <t>МАДОУ ДС № 5</t>
  </si>
  <si>
    <t>МАДОУ ДС № 14</t>
  </si>
  <si>
    <t>МАДОУ ДС № 15</t>
  </si>
  <si>
    <t>МАДОУ ДС № 19</t>
  </si>
  <si>
    <t>МАДОУ ДС № 28</t>
  </si>
  <si>
    <t>МАДОУ ДС № 32</t>
  </si>
  <si>
    <t>МАДОУ ДС № 35</t>
  </si>
  <si>
    <t>МАДОУ ДС № 40</t>
  </si>
  <si>
    <t>МАДОУ ДС № 47</t>
  </si>
  <si>
    <t>МАДОУ ДС № 49</t>
  </si>
  <si>
    <t>МАДОУ ДС № 50</t>
  </si>
  <si>
    <t>МАДОУ ДС № 55</t>
  </si>
  <si>
    <t>МАДОУ ДС № 60</t>
  </si>
  <si>
    <t>МАДОУ ДС № 67</t>
  </si>
  <si>
    <t>МАДОУ ЦРР-ДС № 68</t>
  </si>
  <si>
    <t>МАОУ Школа № 23</t>
  </si>
  <si>
    <t>МАОУ Школа № 24</t>
  </si>
  <si>
    <t>ИТОГО:</t>
  </si>
  <si>
    <t>МАДОУ "ЦРР-ДС № 4"</t>
  </si>
  <si>
    <t>МАОУ Прогимназия</t>
  </si>
  <si>
    <t>Всего</t>
  </si>
  <si>
    <t>Расчет потребности ФУ по среднесписочной</t>
  </si>
  <si>
    <t>Расчет потребности ФУ по занятой</t>
  </si>
  <si>
    <t>итого</t>
  </si>
  <si>
    <t xml:space="preserve">Расчет потребности ФУ по среднесписочной и занятой, с учетом совмещения </t>
  </si>
  <si>
    <t>Расчет потребности ФУ по среднесписочной и занятой, с учетом совмещения +6т.р к празникам на среднесписочную</t>
  </si>
  <si>
    <t>среднесписочная численность работников представленная к бюджету</t>
  </si>
  <si>
    <t>Размер заработной платы в 2023 по УО</t>
  </si>
  <si>
    <t>Потребность на 211 по ФУ</t>
  </si>
  <si>
    <t xml:space="preserve">В бюджете предусмотрено на 2023 г </t>
  </si>
  <si>
    <t>Размер заработной платы в 2023 по ФУ по новому окладу</t>
  </si>
  <si>
    <t>занятая численность работников представленная к бюджету</t>
  </si>
  <si>
    <t>Расчет потребности ФУ по среднесписочной (211)</t>
  </si>
  <si>
    <t>Потребность на 211 по УО по среднесписочной</t>
  </si>
  <si>
    <t>Недостаток средств (211) от Расчета потребности ФУ по среднесписочной и занятой, с учетом совмещения +6т.р к празникам на среднесписочную и предусмотрено в бюджете</t>
  </si>
  <si>
    <t>Итого недостаток средств по школам 211+213</t>
  </si>
  <si>
    <t>Сторож ( к бюджету рассчитывали как МРОт)</t>
  </si>
  <si>
    <t>МРОт - дворники, уборщики служ. помещ., вахтер)</t>
  </si>
  <si>
    <t xml:space="preserve">Неуказные </t>
  </si>
  <si>
    <t>ИТОГО без ровесникоа</t>
  </si>
  <si>
    <t>Инженер - электроник (инженер)</t>
  </si>
  <si>
    <t xml:space="preserve">Заведующий структурным подразделением  </t>
  </si>
  <si>
    <t>Дворник МРОТ</t>
  </si>
  <si>
    <t xml:space="preserve">Рабочий по комплексному обслуживанию и ремонту зданий </t>
  </si>
  <si>
    <t xml:space="preserve">Уборщик служебных помещений </t>
  </si>
  <si>
    <t xml:space="preserve">Администратор </t>
  </si>
  <si>
    <t>Гардеробщик</t>
  </si>
  <si>
    <t>пдд</t>
  </si>
  <si>
    <t>экономист</t>
  </si>
  <si>
    <t>Специалист по кадрам</t>
  </si>
  <si>
    <t>художник-модельер театрального костюма</t>
  </si>
  <si>
    <t>Главный художник-модельер театрального костюма</t>
  </si>
  <si>
    <t>костюмер</t>
  </si>
  <si>
    <t>архивариус</t>
  </si>
  <si>
    <t>Звукорежиссер</t>
  </si>
  <si>
    <t>Светооператор</t>
  </si>
  <si>
    <t>специалист по охране труда</t>
  </si>
  <si>
    <t>Врач</t>
  </si>
  <si>
    <t>фельдшер</t>
  </si>
  <si>
    <t>Электромеханик</t>
  </si>
  <si>
    <t>Слесарь-электрик по ремонту электрооборудования</t>
  </si>
  <si>
    <t>Ведущий юристконсульт (Юрисконсульт)</t>
  </si>
  <si>
    <t xml:space="preserve">Руководитель (Начальник, Заведующий) структурного подразделения </t>
  </si>
  <si>
    <t xml:space="preserve">Вахтер </t>
  </si>
  <si>
    <t>Капитан</t>
  </si>
  <si>
    <t>Механик</t>
  </si>
  <si>
    <t>Второй штурман</t>
  </si>
  <si>
    <t>Моторист рулевой</t>
  </si>
  <si>
    <t>среднесписочная численность работников за январь-апрель 2022 год</t>
  </si>
  <si>
    <t>Потребность на 213</t>
  </si>
  <si>
    <t>Школа № 12</t>
  </si>
  <si>
    <t>с Ровесниками</t>
  </si>
  <si>
    <t>Школа № 16</t>
  </si>
  <si>
    <t>Школа № 26</t>
  </si>
  <si>
    <t xml:space="preserve">Лаборант </t>
  </si>
  <si>
    <t>Сторож</t>
  </si>
  <si>
    <t>ЦЭВД</t>
  </si>
  <si>
    <t>Художественный руководитель</t>
  </si>
  <si>
    <t>Дирижер</t>
  </si>
  <si>
    <t>ДЮСШ 1</t>
  </si>
  <si>
    <t>Диспетчер образовательного учреждения</t>
  </si>
  <si>
    <t>Специалист по связям с общественностью</t>
  </si>
  <si>
    <t>Дежурный по залу</t>
  </si>
  <si>
    <t>ДЮСШ 3</t>
  </si>
  <si>
    <t xml:space="preserve">Секретарь - машинистка </t>
  </si>
  <si>
    <t>Рабочий по обслуживанию спортивных сооружений и оборудования</t>
  </si>
  <si>
    <t>ДЮСШ 5</t>
  </si>
  <si>
    <t>ДЮСШ 7</t>
  </si>
  <si>
    <t xml:space="preserve">принят с 01.08.22 + совмещ 0,5 ст дворник по декабрь </t>
  </si>
  <si>
    <t>Лицей № 6</t>
  </si>
  <si>
    <t>Фельдшер</t>
  </si>
  <si>
    <t>Итого:</t>
  </si>
  <si>
    <t>категории до мрот</t>
  </si>
  <si>
    <t>остальные категории</t>
  </si>
  <si>
    <t>категории мрот</t>
  </si>
  <si>
    <t>ЦЭВД ровесники</t>
  </si>
  <si>
    <t xml:space="preserve">методист </t>
  </si>
  <si>
    <t>инструктор по физической культуры</t>
  </si>
  <si>
    <t>балетмейстер постановщик</t>
  </si>
  <si>
    <t>концертмейстер</t>
  </si>
  <si>
    <t>Художник-модельер театрального костюма</t>
  </si>
  <si>
    <t>пдо</t>
  </si>
  <si>
    <t>Размер заработной платы в 2023 году на новые оклады Расчет ФУ</t>
  </si>
  <si>
    <t>Вахтер (МРОТ)</t>
  </si>
  <si>
    <t>минус Мрот</t>
  </si>
  <si>
    <t>итого Мрот</t>
  </si>
  <si>
    <t>неуказные</t>
  </si>
  <si>
    <t>Сторож, неуказник</t>
  </si>
  <si>
    <t>пдд Цэвд 9, Лиц 6 МРОТ</t>
  </si>
  <si>
    <t>Расчет потребности ФУ по среднесписочной и занятой, с учетом совмещения +6т.р к празникам на среднесписочную (211)</t>
  </si>
  <si>
    <t>Потребность на  УО 211</t>
  </si>
  <si>
    <t>В бюджете предусмотрено на 2023 год (211)</t>
  </si>
  <si>
    <t>Недостаток средств по расчету потребности с совмещением и праздничными (211)</t>
  </si>
  <si>
    <t>Недостаток средств по расчету потребности с совмещением и праздничными (211+213)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</si>
</sst>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₽_-;\-* #,##0.00\ _₽_-;_-* &quot;-&quot;??\ _₽_-;_-@_-"/>
    <numFmt numFmtId="164" formatCode="_-* #,##0.00_р_._-;\-* #,##0.00_р_._-;_-* &quot;-&quot;??_р_._-;_-@_-"/>
    <numFmt numFmtId="165" formatCode="#,##0.00_ ;\-#,##0.00\ "/>
    <numFmt numFmtId="166" formatCode="_-* #,##0.00&quot;р.&quot;_-;\-* #,##0.00&quot;р.&quot;_-;_-* &quot;-&quot;??&quot;р.&quot;_-;_-@_-"/>
    <numFmt numFmtId="167" formatCode="_(* #,##0.00_);_(* \(#,##0.00\);_(* &quot;-&quot;??_);_(@_)"/>
  </numFmts>
  <fonts count="3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0"/>
      <name val="Arial Cyr"/>
      <charset val="204"/>
    </font>
    <font>
      <sz val="11"/>
      <color indexed="8"/>
      <name val="Calibri"/>
      <family val="2"/>
    </font>
    <font>
      <sz val="10"/>
      <name val="Arial Cyr"/>
      <family val="2"/>
      <charset val="204"/>
    </font>
    <font>
      <sz val="11"/>
      <color indexed="8"/>
      <name val="Calibri"/>
      <family val="2"/>
      <charset val="204"/>
    </font>
    <font>
      <sz val="10"/>
      <name val="Arial"/>
      <family val="2"/>
      <charset val="204"/>
    </font>
    <font>
      <b/>
      <sz val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u/>
      <sz val="8"/>
      <name val="Times New Roman"/>
      <family val="1"/>
      <charset val="204"/>
    </font>
    <font>
      <sz val="8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1"/>
      <color theme="1"/>
      <name val="Times New Roman"/>
      <family val="2"/>
      <charset val="204"/>
    </font>
    <font>
      <sz val="11"/>
      <color rgb="FFFF0000"/>
      <name val="Times New Roman"/>
      <family val="2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2"/>
      <charset val="204"/>
    </font>
    <font>
      <b/>
      <sz val="11"/>
      <color rgb="FFFF0000"/>
      <name val="Times New Roman"/>
      <family val="2"/>
      <charset val="204"/>
    </font>
    <font>
      <b/>
      <sz val="11"/>
      <color rgb="FFFF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rgb="FFFF000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92D05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7">
    <xf numFmtId="0" fontId="0" fillId="0" borderId="0"/>
    <xf numFmtId="164" fontId="1" fillId="0" borderId="0" applyFont="0" applyFill="0" applyBorder="0" applyAlignment="0" applyProtection="0"/>
    <xf numFmtId="0" fontId="7" fillId="0" borderId="0"/>
    <xf numFmtId="164" fontId="7" fillId="0" borderId="0" applyFont="0" applyFill="0" applyBorder="0" applyAlignment="0" applyProtection="0"/>
    <xf numFmtId="0" fontId="9" fillId="0" borderId="0"/>
    <xf numFmtId="43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7" fillId="0" borderId="0" applyFont="0" applyFill="0" applyBorder="0" applyAlignment="0" applyProtection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6" fontId="11" fillId="0" borderId="0" applyFont="0" applyFill="0" applyBorder="0" applyAlignment="0" applyProtection="0"/>
    <xf numFmtId="0" fontId="1" fillId="0" borderId="0"/>
    <xf numFmtId="0" fontId="1" fillId="0" borderId="0"/>
    <xf numFmtId="164" fontId="11" fillId="0" borderId="0" applyFont="0" applyFill="0" applyBorder="0" applyAlignment="0" applyProtection="0"/>
    <xf numFmtId="0" fontId="1" fillId="0" borderId="0"/>
    <xf numFmtId="0" fontId="12" fillId="0" borderId="0"/>
    <xf numFmtId="0" fontId="12" fillId="0" borderId="0"/>
    <xf numFmtId="167" fontId="12" fillId="0" borderId="0" applyFont="0" applyFill="0" applyBorder="0" applyAlignment="0" applyProtection="0"/>
  </cellStyleXfs>
  <cellXfs count="158">
    <xf numFmtId="0" fontId="0" fillId="0" borderId="0" xfId="0"/>
    <xf numFmtId="0" fontId="0" fillId="0" borderId="1" xfId="0" applyBorder="1"/>
    <xf numFmtId="0" fontId="0" fillId="0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/>
    </xf>
    <xf numFmtId="0" fontId="4" fillId="0" borderId="1" xfId="0" applyFont="1" applyFill="1" applyBorder="1" applyAlignment="1">
      <alignment wrapText="1"/>
    </xf>
    <xf numFmtId="0" fontId="5" fillId="0" borderId="1" xfId="0" applyFont="1" applyBorder="1" applyAlignment="1">
      <alignment horizontal="justify" vertical="center"/>
    </xf>
    <xf numFmtId="0" fontId="3" fillId="0" borderId="1" xfId="0" applyFont="1" applyFill="1" applyBorder="1" applyAlignment="1">
      <alignment horizontal="center"/>
    </xf>
    <xf numFmtId="0" fontId="3" fillId="3" borderId="1" xfId="0" applyFont="1" applyFill="1" applyBorder="1" applyAlignment="1">
      <alignment horizontal="center"/>
    </xf>
    <xf numFmtId="0" fontId="4" fillId="3" borderId="1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0" fontId="7" fillId="0" borderId="0" xfId="2"/>
    <xf numFmtId="0" fontId="7" fillId="0" borderId="1" xfId="2" applyBorder="1" applyAlignment="1">
      <alignment horizontal="center" vertical="center" wrapText="1"/>
    </xf>
    <xf numFmtId="0" fontId="7" fillId="0" borderId="0" xfId="2" applyAlignment="1">
      <alignment horizontal="center" vertical="center" wrapText="1"/>
    </xf>
    <xf numFmtId="0" fontId="4" fillId="5" borderId="1" xfId="0" applyFont="1" applyFill="1" applyBorder="1" applyAlignment="1">
      <alignment wrapText="1"/>
    </xf>
    <xf numFmtId="0" fontId="7" fillId="4" borderId="1" xfId="2" applyFill="1" applyBorder="1"/>
    <xf numFmtId="164" fontId="0" fillId="4" borderId="1" xfId="3" applyFont="1" applyFill="1" applyBorder="1"/>
    <xf numFmtId="9" fontId="7" fillId="4" borderId="1" xfId="2" applyNumberFormat="1" applyFill="1" applyBorder="1"/>
    <xf numFmtId="0" fontId="5" fillId="5" borderId="1" xfId="0" applyFont="1" applyFill="1" applyBorder="1" applyAlignment="1">
      <alignment horizontal="justify" vertical="center"/>
    </xf>
    <xf numFmtId="164" fontId="0" fillId="0" borderId="1" xfId="1" applyFont="1" applyBorder="1"/>
    <xf numFmtId="164" fontId="2" fillId="0" borderId="1" xfId="1" applyFont="1" applyBorder="1"/>
    <xf numFmtId="0" fontId="3" fillId="6" borderId="1" xfId="0" applyFont="1" applyFill="1" applyBorder="1" applyAlignment="1">
      <alignment horizontal="center"/>
    </xf>
    <xf numFmtId="0" fontId="4" fillId="6" borderId="1" xfId="0" applyFont="1" applyFill="1" applyBorder="1" applyAlignment="1">
      <alignment horizontal="center" vertical="center"/>
    </xf>
    <xf numFmtId="0" fontId="3" fillId="7" borderId="1" xfId="0" applyFont="1" applyFill="1" applyBorder="1" applyAlignment="1">
      <alignment horizontal="center"/>
    </xf>
    <xf numFmtId="0" fontId="4" fillId="7" borderId="1" xfId="0" applyFont="1" applyFill="1" applyBorder="1" applyAlignment="1">
      <alignment horizontal="center" vertical="center"/>
    </xf>
    <xf numFmtId="0" fontId="3" fillId="8" borderId="1" xfId="0" applyFont="1" applyFill="1" applyBorder="1" applyAlignment="1">
      <alignment horizontal="center"/>
    </xf>
    <xf numFmtId="0" fontId="4" fillId="8" borderId="1" xfId="0" applyFont="1" applyFill="1" applyBorder="1" applyAlignment="1">
      <alignment horizontal="center" vertical="center"/>
    </xf>
    <xf numFmtId="0" fontId="3" fillId="9" borderId="1" xfId="0" applyFont="1" applyFill="1" applyBorder="1" applyAlignment="1">
      <alignment horizontal="center"/>
    </xf>
    <xf numFmtId="0" fontId="4" fillId="9" borderId="1" xfId="0" applyFont="1" applyFill="1" applyBorder="1" applyAlignment="1">
      <alignment horizontal="center" vertical="center"/>
    </xf>
    <xf numFmtId="0" fontId="3" fillId="10" borderId="1" xfId="0" applyFont="1" applyFill="1" applyBorder="1" applyAlignment="1">
      <alignment horizontal="center"/>
    </xf>
    <xf numFmtId="0" fontId="4" fillId="10" borderId="1" xfId="0" applyFont="1" applyFill="1" applyBorder="1" applyAlignment="1">
      <alignment horizontal="center" vertical="center"/>
    </xf>
    <xf numFmtId="0" fontId="3" fillId="11" borderId="1" xfId="0" applyFont="1" applyFill="1" applyBorder="1" applyAlignment="1">
      <alignment horizontal="center"/>
    </xf>
    <xf numFmtId="0" fontId="4" fillId="11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43" fontId="0" fillId="0" borderId="0" xfId="0" applyNumberFormat="1"/>
    <xf numFmtId="164" fontId="7" fillId="0" borderId="0" xfId="2" applyNumberFormat="1"/>
    <xf numFmtId="164" fontId="0" fillId="4" borderId="1" xfId="1" applyFont="1" applyFill="1" applyBorder="1"/>
    <xf numFmtId="0" fontId="0" fillId="4" borderId="0" xfId="0" applyFill="1"/>
    <xf numFmtId="0" fontId="3" fillId="0" borderId="1" xfId="0" applyFont="1" applyFill="1" applyBorder="1" applyAlignment="1">
      <alignment horizontal="left"/>
    </xf>
    <xf numFmtId="0" fontId="3" fillId="0" borderId="1" xfId="0" applyFont="1" applyFill="1" applyBorder="1" applyAlignment="1">
      <alignment horizontal="left" wrapText="1"/>
    </xf>
    <xf numFmtId="164" fontId="3" fillId="3" borderId="1" xfId="1" applyFont="1" applyFill="1" applyBorder="1" applyAlignment="1">
      <alignment horizontal="center"/>
    </xf>
    <xf numFmtId="0" fontId="3" fillId="3" borderId="1" xfId="0" applyFont="1" applyFill="1" applyBorder="1" applyAlignment="1">
      <alignment horizontal="center" vertical="center"/>
    </xf>
    <xf numFmtId="164" fontId="3" fillId="3" borderId="1" xfId="1" applyFont="1" applyFill="1" applyBorder="1" applyAlignment="1">
      <alignment horizontal="center" vertical="center"/>
    </xf>
    <xf numFmtId="0" fontId="4" fillId="4" borderId="1" xfId="0" applyFont="1" applyFill="1" applyBorder="1" applyAlignment="1">
      <alignment wrapText="1"/>
    </xf>
    <xf numFmtId="0" fontId="14" fillId="0" borderId="0" xfId="0" applyFont="1" applyAlignment="1"/>
    <xf numFmtId="0" fontId="17" fillId="0" borderId="0" xfId="0" applyFont="1" applyAlignment="1"/>
    <xf numFmtId="49" fontId="18" fillId="0" borderId="1" xfId="0" applyNumberFormat="1" applyFont="1" applyFill="1" applyBorder="1" applyAlignment="1">
      <alignment horizontal="center" vertical="center" wrapText="1"/>
    </xf>
    <xf numFmtId="0" fontId="17" fillId="0" borderId="1" xfId="0" applyFont="1" applyBorder="1" applyAlignment="1">
      <alignment horizontal="center" wrapText="1"/>
    </xf>
    <xf numFmtId="164" fontId="18" fillId="0" borderId="1" xfId="1" applyFont="1" applyFill="1" applyBorder="1" applyAlignment="1">
      <alignment horizontal="center" vertical="center"/>
    </xf>
    <xf numFmtId="164" fontId="17" fillId="0" borderId="1" xfId="1" applyFont="1" applyBorder="1" applyAlignment="1">
      <alignment horizontal="center"/>
    </xf>
    <xf numFmtId="0" fontId="19" fillId="0" borderId="0" xfId="0" applyFont="1"/>
    <xf numFmtId="0" fontId="5" fillId="0" borderId="0" xfId="25" applyFont="1" applyFill="1"/>
    <xf numFmtId="0" fontId="5" fillId="0" borderId="5" xfId="25" applyFont="1" applyFill="1" applyBorder="1" applyAlignment="1">
      <alignment vertical="top" wrapText="1"/>
    </xf>
    <xf numFmtId="49" fontId="13" fillId="0" borderId="1" xfId="25" applyNumberFormat="1" applyFont="1" applyFill="1" applyBorder="1" applyAlignment="1">
      <alignment horizontal="center" vertical="center" wrapText="1"/>
    </xf>
    <xf numFmtId="49" fontId="13" fillId="0" borderId="1" xfId="25" applyNumberFormat="1" applyFont="1" applyFill="1" applyBorder="1" applyAlignment="1">
      <alignment horizontal="center" vertical="top" wrapText="1"/>
    </xf>
    <xf numFmtId="0" fontId="5" fillId="0" borderId="1" xfId="25" applyFont="1" applyFill="1" applyBorder="1" applyAlignment="1">
      <alignment horizontal="center"/>
    </xf>
    <xf numFmtId="0" fontId="5" fillId="0" borderId="1" xfId="25" applyFont="1" applyFill="1" applyBorder="1"/>
    <xf numFmtId="0" fontId="15" fillId="0" borderId="1" xfId="25" applyFont="1" applyFill="1" applyBorder="1"/>
    <xf numFmtId="0" fontId="15" fillId="0" borderId="1" xfId="25" applyFont="1" applyFill="1" applyBorder="1" applyAlignment="1">
      <alignment horizontal="center"/>
    </xf>
    <xf numFmtId="4" fontId="5" fillId="0" borderId="1" xfId="25" applyNumberFormat="1" applyFont="1" applyFill="1" applyBorder="1" applyAlignment="1">
      <alignment horizontal="center"/>
    </xf>
    <xf numFmtId="4" fontId="5" fillId="4" borderId="1" xfId="25" applyNumberFormat="1" applyFont="1" applyFill="1" applyBorder="1" applyAlignment="1">
      <alignment horizontal="center"/>
    </xf>
    <xf numFmtId="4" fontId="5" fillId="0" borderId="0" xfId="25" applyNumberFormat="1" applyFont="1" applyFill="1"/>
    <xf numFmtId="167" fontId="5" fillId="0" borderId="1" xfId="26" applyFont="1" applyFill="1" applyBorder="1"/>
    <xf numFmtId="43" fontId="5" fillId="0" borderId="1" xfId="25" applyNumberFormat="1" applyFont="1" applyFill="1" applyBorder="1"/>
    <xf numFmtId="0" fontId="15" fillId="0" borderId="1" xfId="25" applyFont="1" applyFill="1" applyBorder="1" applyAlignment="1">
      <alignment horizontal="center" vertical="center" wrapText="1"/>
    </xf>
    <xf numFmtId="3" fontId="15" fillId="0" borderId="1" xfId="25" applyNumberFormat="1" applyFont="1" applyFill="1" applyBorder="1" applyAlignment="1">
      <alignment horizontal="center" vertical="center" wrapText="1"/>
    </xf>
    <xf numFmtId="4" fontId="15" fillId="0" borderId="1" xfId="25" applyNumberFormat="1" applyFont="1" applyFill="1" applyBorder="1" applyAlignment="1">
      <alignment horizontal="center" vertical="center" wrapText="1"/>
    </xf>
    <xf numFmtId="4" fontId="5" fillId="0" borderId="0" xfId="25" applyNumberFormat="1" applyFont="1" applyFill="1" applyAlignment="1">
      <alignment horizontal="center" vertical="center" wrapText="1"/>
    </xf>
    <xf numFmtId="167" fontId="5" fillId="0" borderId="1" xfId="26" applyFont="1" applyFill="1" applyBorder="1" applyAlignment="1">
      <alignment horizontal="center" vertical="center" wrapText="1"/>
    </xf>
    <xf numFmtId="0" fontId="5" fillId="0" borderId="0" xfId="25" applyFont="1" applyFill="1" applyAlignment="1">
      <alignment horizontal="center" vertical="center" wrapText="1"/>
    </xf>
    <xf numFmtId="0" fontId="15" fillId="0" borderId="1" xfId="25" applyFont="1" applyFill="1" applyBorder="1" applyAlignment="1">
      <alignment horizontal="left" vertical="top" wrapText="1"/>
    </xf>
    <xf numFmtId="0" fontId="15" fillId="0" borderId="1" xfId="25" applyFont="1" applyFill="1" applyBorder="1" applyAlignment="1">
      <alignment horizontal="center" wrapText="1"/>
    </xf>
    <xf numFmtId="4" fontId="5" fillId="0" borderId="1" xfId="25" applyNumberFormat="1" applyFont="1" applyFill="1" applyBorder="1"/>
    <xf numFmtId="4" fontId="15" fillId="0" borderId="1" xfId="25" applyNumberFormat="1" applyFont="1" applyFill="1" applyBorder="1" applyAlignment="1">
      <alignment horizontal="center" vertical="center"/>
    </xf>
    <xf numFmtId="3" fontId="15" fillId="0" borderId="1" xfId="25" applyNumberFormat="1" applyFont="1" applyFill="1" applyBorder="1" applyAlignment="1">
      <alignment horizontal="center" vertical="center"/>
    </xf>
    <xf numFmtId="4" fontId="5" fillId="0" borderId="0" xfId="25" applyNumberFormat="1" applyFont="1" applyFill="1" applyAlignment="1">
      <alignment horizontal="center" vertical="center"/>
    </xf>
    <xf numFmtId="0" fontId="4" fillId="0" borderId="0" xfId="25" applyFont="1" applyFill="1"/>
    <xf numFmtId="0" fontId="21" fillId="0" borderId="0" xfId="25" applyFont="1" applyFill="1"/>
    <xf numFmtId="0" fontId="0" fillId="2" borderId="1" xfId="0" applyFill="1" applyBorder="1" applyAlignment="1">
      <alignment horizontal="center" vertical="center" wrapText="1"/>
    </xf>
    <xf numFmtId="0" fontId="7" fillId="0" borderId="1" xfId="2" applyBorder="1" applyAlignment="1">
      <alignment horizontal="center" vertical="center" wrapText="1"/>
    </xf>
    <xf numFmtId="0" fontId="7" fillId="12" borderId="0" xfId="2" applyFill="1"/>
    <xf numFmtId="0" fontId="7" fillId="13" borderId="1" xfId="2" applyFill="1" applyBorder="1" applyAlignment="1">
      <alignment wrapText="1"/>
    </xf>
    <xf numFmtId="0" fontId="7" fillId="0" borderId="1" xfId="2" applyBorder="1" applyAlignment="1">
      <alignment horizontal="center" vertical="center"/>
    </xf>
    <xf numFmtId="164" fontId="24" fillId="0" borderId="1" xfId="9" applyFont="1" applyBorder="1" applyAlignment="1">
      <alignment horizontal="center" vertical="center"/>
    </xf>
    <xf numFmtId="0" fontId="7" fillId="0" borderId="1" xfId="2" applyBorder="1"/>
    <xf numFmtId="0" fontId="7" fillId="13" borderId="2" xfId="2" applyFill="1" applyBorder="1" applyAlignment="1">
      <alignment wrapText="1"/>
    </xf>
    <xf numFmtId="164" fontId="24" fillId="4" borderId="1" xfId="9" applyFont="1" applyFill="1" applyBorder="1" applyAlignment="1">
      <alignment horizontal="center" vertical="center"/>
    </xf>
    <xf numFmtId="0" fontId="25" fillId="2" borderId="2" xfId="2" applyFont="1" applyFill="1" applyBorder="1" applyAlignment="1">
      <alignment wrapText="1"/>
    </xf>
    <xf numFmtId="0" fontId="25" fillId="0" borderId="1" xfId="2" applyFont="1" applyBorder="1" applyAlignment="1">
      <alignment horizontal="center" vertical="center"/>
    </xf>
    <xf numFmtId="164" fontId="25" fillId="4" borderId="1" xfId="9" applyFont="1" applyFill="1" applyBorder="1" applyAlignment="1">
      <alignment horizontal="center" vertical="center"/>
    </xf>
    <xf numFmtId="164" fontId="25" fillId="0" borderId="1" xfId="9" applyFont="1" applyBorder="1" applyAlignment="1">
      <alignment horizontal="center" vertical="center"/>
    </xf>
    <xf numFmtId="0" fontId="25" fillId="0" borderId="0" xfId="2" applyFont="1"/>
    <xf numFmtId="0" fontId="25" fillId="2" borderId="1" xfId="2" applyFont="1" applyFill="1" applyBorder="1"/>
    <xf numFmtId="164" fontId="24" fillId="0" borderId="0" xfId="1" applyFont="1"/>
    <xf numFmtId="164" fontId="24" fillId="2" borderId="1" xfId="9" applyFont="1" applyFill="1" applyBorder="1" applyAlignment="1">
      <alignment horizontal="center" vertical="center"/>
    </xf>
    <xf numFmtId="0" fontId="26" fillId="13" borderId="2" xfId="2" applyFont="1" applyFill="1" applyBorder="1" applyAlignment="1">
      <alignment wrapText="1"/>
    </xf>
    <xf numFmtId="0" fontId="26" fillId="0" borderId="1" xfId="2" applyFont="1" applyBorder="1" applyAlignment="1">
      <alignment horizontal="center" vertical="center"/>
    </xf>
    <xf numFmtId="164" fontId="26" fillId="0" borderId="1" xfId="9" applyFont="1" applyBorder="1" applyAlignment="1">
      <alignment horizontal="center" vertical="center"/>
    </xf>
    <xf numFmtId="0" fontId="26" fillId="0" borderId="0" xfId="2" applyFont="1"/>
    <xf numFmtId="43" fontId="26" fillId="0" borderId="0" xfId="2" applyNumberFormat="1" applyFont="1"/>
    <xf numFmtId="0" fontId="3" fillId="0" borderId="0" xfId="2" applyFont="1"/>
    <xf numFmtId="0" fontId="25" fillId="13" borderId="2" xfId="2" applyFont="1" applyFill="1" applyBorder="1" applyAlignment="1">
      <alignment wrapText="1"/>
    </xf>
    <xf numFmtId="43" fontId="27" fillId="0" borderId="0" xfId="2" applyNumberFormat="1" applyFont="1"/>
    <xf numFmtId="0" fontId="7" fillId="0" borderId="1" xfId="2" applyBorder="1" applyAlignment="1">
      <alignment wrapText="1"/>
    </xf>
    <xf numFmtId="0" fontId="25" fillId="0" borderId="1" xfId="2" applyFont="1" applyBorder="1"/>
    <xf numFmtId="0" fontId="25" fillId="13" borderId="1" xfId="2" applyFont="1" applyFill="1" applyBorder="1" applyAlignment="1">
      <alignment wrapText="1"/>
    </xf>
    <xf numFmtId="164" fontId="28" fillId="0" borderId="3" xfId="9" applyFont="1" applyBorder="1" applyAlignment="1">
      <alignment horizontal="center" vertical="center"/>
    </xf>
    <xf numFmtId="164" fontId="28" fillId="0" borderId="4" xfId="9" applyFont="1" applyBorder="1" applyAlignment="1">
      <alignment horizontal="center" vertical="center"/>
    </xf>
    <xf numFmtId="0" fontId="25" fillId="0" borderId="3" xfId="2" applyFont="1" applyBorder="1" applyAlignment="1">
      <alignment horizontal="center" vertical="center"/>
    </xf>
    <xf numFmtId="164" fontId="25" fillId="0" borderId="3" xfId="9" applyFont="1" applyBorder="1" applyAlignment="1">
      <alignment horizontal="center" vertical="center"/>
    </xf>
    <xf numFmtId="164" fontId="29" fillId="0" borderId="3" xfId="1" applyFont="1" applyBorder="1" applyAlignment="1">
      <alignment horizontal="center" vertical="center"/>
    </xf>
    <xf numFmtId="164" fontId="25" fillId="2" borderId="1" xfId="9" applyFont="1" applyFill="1" applyBorder="1" applyAlignment="1">
      <alignment horizontal="center" vertical="center"/>
    </xf>
    <xf numFmtId="43" fontId="25" fillId="0" borderId="1" xfId="2" applyNumberFormat="1" applyFont="1" applyBorder="1" applyAlignment="1">
      <alignment horizontal="center"/>
    </xf>
    <xf numFmtId="0" fontId="25" fillId="0" borderId="1" xfId="2" applyFont="1" applyBorder="1" applyAlignment="1">
      <alignment horizontal="center"/>
    </xf>
    <xf numFmtId="164" fontId="30" fillId="4" borderId="1" xfId="9" applyFont="1" applyFill="1" applyBorder="1" applyAlignment="1">
      <alignment horizontal="center" vertical="center"/>
    </xf>
    <xf numFmtId="164" fontId="30" fillId="0" borderId="1" xfId="9" applyFont="1" applyBorder="1" applyAlignment="1">
      <alignment horizontal="center" vertical="center"/>
    </xf>
    <xf numFmtId="43" fontId="7" fillId="0" borderId="0" xfId="2" applyNumberFormat="1"/>
    <xf numFmtId="0" fontId="7" fillId="4" borderId="2" xfId="2" applyFill="1" applyBorder="1" applyAlignment="1">
      <alignment wrapText="1"/>
    </xf>
    <xf numFmtId="0" fontId="7" fillId="4" borderId="1" xfId="2" applyFill="1" applyBorder="1" applyAlignment="1">
      <alignment horizontal="center" vertical="center"/>
    </xf>
    <xf numFmtId="0" fontId="7" fillId="4" borderId="1" xfId="2" applyFill="1" applyBorder="1" applyAlignment="1">
      <alignment wrapText="1"/>
    </xf>
    <xf numFmtId="164" fontId="26" fillId="0" borderId="1" xfId="1" applyFont="1" applyBorder="1"/>
    <xf numFmtId="43" fontId="7" fillId="0" borderId="1" xfId="2" applyNumberFormat="1" applyBorder="1" applyAlignment="1">
      <alignment horizontal="center" vertical="center"/>
    </xf>
    <xf numFmtId="0" fontId="31" fillId="2" borderId="1" xfId="2" applyFont="1" applyFill="1" applyBorder="1" applyAlignment="1">
      <alignment wrapText="1"/>
    </xf>
    <xf numFmtId="0" fontId="7" fillId="2" borderId="0" xfId="2" applyFill="1"/>
    <xf numFmtId="0" fontId="25" fillId="2" borderId="0" xfId="2" applyFont="1" applyFill="1"/>
    <xf numFmtId="164" fontId="24" fillId="2" borderId="0" xfId="1" applyFont="1" applyFill="1"/>
    <xf numFmtId="43" fontId="25" fillId="0" borderId="0" xfId="2" applyNumberFormat="1" applyFont="1"/>
    <xf numFmtId="43" fontId="2" fillId="0" borderId="0" xfId="0" applyNumberFormat="1" applyFont="1"/>
    <xf numFmtId="164" fontId="0" fillId="2" borderId="1" xfId="1" applyFont="1" applyFill="1" applyBorder="1"/>
    <xf numFmtId="164" fontId="0" fillId="5" borderId="1" xfId="1" applyFont="1" applyFill="1" applyBorder="1"/>
    <xf numFmtId="0" fontId="8" fillId="4" borderId="2" xfId="2" applyFont="1" applyFill="1" applyBorder="1" applyAlignment="1">
      <alignment horizontal="center"/>
    </xf>
    <xf numFmtId="0" fontId="8" fillId="4" borderId="3" xfId="2" applyFont="1" applyFill="1" applyBorder="1" applyAlignment="1">
      <alignment horizontal="center"/>
    </xf>
    <xf numFmtId="0" fontId="8" fillId="4" borderId="4" xfId="2" applyFont="1" applyFill="1" applyBorder="1" applyAlignment="1">
      <alignment horizontal="center"/>
    </xf>
    <xf numFmtId="0" fontId="3" fillId="0" borderId="1" xfId="0" applyFont="1" applyFill="1" applyBorder="1" applyAlignment="1">
      <alignment wrapText="1"/>
    </xf>
    <xf numFmtId="0" fontId="0" fillId="0" borderId="1" xfId="0" applyBorder="1" applyAlignment="1"/>
    <xf numFmtId="0" fontId="6" fillId="0" borderId="1" xfId="0" applyFont="1" applyBorder="1" applyAlignment="1">
      <alignment wrapText="1"/>
    </xf>
    <xf numFmtId="0" fontId="2" fillId="0" borderId="1" xfId="0" applyFont="1" applyBorder="1" applyAlignment="1">
      <alignment wrapText="1"/>
    </xf>
    <xf numFmtId="164" fontId="8" fillId="4" borderId="1" xfId="3" applyFont="1" applyFill="1" applyBorder="1" applyAlignment="1">
      <alignment horizontal="center"/>
    </xf>
    <xf numFmtId="165" fontId="8" fillId="4" borderId="1" xfId="3" applyNumberFormat="1" applyFont="1" applyFill="1" applyBorder="1" applyAlignment="1">
      <alignment horizontal="center" wrapText="1"/>
    </xf>
    <xf numFmtId="0" fontId="8" fillId="0" borderId="0" xfId="2" applyFont="1" applyAlignment="1">
      <alignment horizontal="center" wrapText="1"/>
    </xf>
    <xf numFmtId="0" fontId="7" fillId="0" borderId="1" xfId="2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/>
    </xf>
    <xf numFmtId="0" fontId="26" fillId="14" borderId="2" xfId="2" applyFont="1" applyFill="1" applyBorder="1" applyAlignment="1">
      <alignment horizontal="center"/>
    </xf>
    <xf numFmtId="0" fontId="26" fillId="14" borderId="3" xfId="2" applyFont="1" applyFill="1" applyBorder="1" applyAlignment="1">
      <alignment horizontal="center"/>
    </xf>
    <xf numFmtId="0" fontId="26" fillId="14" borderId="4" xfId="2" applyFont="1" applyFill="1" applyBorder="1" applyAlignment="1">
      <alignment horizontal="center"/>
    </xf>
    <xf numFmtId="0" fontId="26" fillId="14" borderId="1" xfId="2" applyFont="1" applyFill="1" applyBorder="1" applyAlignment="1">
      <alignment horizontal="center"/>
    </xf>
    <xf numFmtId="0" fontId="16" fillId="0" borderId="0" xfId="25" applyFont="1" applyFill="1" applyAlignment="1">
      <alignment horizontal="center" vertical="top" wrapText="1"/>
    </xf>
    <xf numFmtId="49" fontId="13" fillId="0" borderId="6" xfId="25" applyNumberFormat="1" applyFont="1" applyFill="1" applyBorder="1" applyAlignment="1">
      <alignment horizontal="center" vertical="center" wrapText="1"/>
    </xf>
    <xf numFmtId="49" fontId="13" fillId="0" borderId="7" xfId="25" applyNumberFormat="1" applyFont="1" applyFill="1" applyBorder="1" applyAlignment="1">
      <alignment horizontal="center" vertical="center"/>
    </xf>
    <xf numFmtId="49" fontId="13" fillId="0" borderId="7" xfId="25" applyNumberFormat="1" applyFont="1" applyFill="1" applyBorder="1" applyAlignment="1">
      <alignment horizontal="center" vertical="center" wrapText="1"/>
    </xf>
    <xf numFmtId="49" fontId="13" fillId="0" borderId="1" xfId="25" applyNumberFormat="1" applyFont="1" applyFill="1" applyBorder="1" applyAlignment="1">
      <alignment horizontal="center" vertical="center" wrapText="1"/>
    </xf>
    <xf numFmtId="49" fontId="13" fillId="0" borderId="1" xfId="25" applyNumberFormat="1" applyFont="1" applyFill="1" applyBorder="1" applyAlignment="1">
      <alignment horizontal="center" vertical="center"/>
    </xf>
    <xf numFmtId="49" fontId="13" fillId="0" borderId="2" xfId="25" applyNumberFormat="1" applyFont="1" applyFill="1" applyBorder="1" applyAlignment="1">
      <alignment horizontal="center" vertical="center"/>
    </xf>
    <xf numFmtId="49" fontId="13" fillId="0" borderId="3" xfId="25" applyNumberFormat="1" applyFont="1" applyFill="1" applyBorder="1" applyAlignment="1">
      <alignment horizontal="center" vertical="center"/>
    </xf>
    <xf numFmtId="0" fontId="5" fillId="0" borderId="1" xfId="25" applyFont="1" applyFill="1" applyBorder="1" applyAlignment="1">
      <alignment horizontal="center" wrapText="1"/>
    </xf>
    <xf numFmtId="0" fontId="5" fillId="0" borderId="1" xfId="25" applyFont="1" applyFill="1" applyBorder="1" applyAlignment="1">
      <alignment horizontal="center" vertical="top" wrapText="1"/>
    </xf>
    <xf numFmtId="0" fontId="5" fillId="0" borderId="6" xfId="25" applyFont="1" applyFill="1" applyBorder="1" applyAlignment="1">
      <alignment horizontal="center"/>
    </xf>
    <xf numFmtId="0" fontId="5" fillId="0" borderId="7" xfId="25" applyFont="1" applyFill="1" applyBorder="1" applyAlignment="1">
      <alignment horizontal="center"/>
    </xf>
  </cellXfs>
  <cellStyles count="27">
    <cellStyle name="Excel Built-in Normal" xfId="12"/>
    <cellStyle name="Normal" xfId="24"/>
    <cellStyle name="Денежный 2" xfId="19"/>
    <cellStyle name="Обычный" xfId="0" builtinId="0"/>
    <cellStyle name="Обычный 2" xfId="2"/>
    <cellStyle name="Обычный 2 2" xfId="4"/>
    <cellStyle name="Обычный 2 2 2" xfId="17"/>
    <cellStyle name="Обычный 2 2 2 2" xfId="21"/>
    <cellStyle name="Обычный 2 2 3" xfId="20"/>
    <cellStyle name="Обычный 2 3" xfId="6"/>
    <cellStyle name="Обычный 3" xfId="13"/>
    <cellStyle name="Обычный 3 2" xfId="14"/>
    <cellStyle name="Обычный 3 2 2" xfId="15"/>
    <cellStyle name="Обычный 3 2 2 2" xfId="16"/>
    <cellStyle name="Обычный 4" xfId="18"/>
    <cellStyle name="Обычный 4 2" xfId="23"/>
    <cellStyle name="Обычный 5" xfId="25"/>
    <cellStyle name="Финансовый" xfId="1" builtinId="3"/>
    <cellStyle name="Финансовый 2" xfId="3"/>
    <cellStyle name="Финансовый 2 2" xfId="7"/>
    <cellStyle name="Финансовый 2 3" xfId="22"/>
    <cellStyle name="Финансовый 3" xfId="9"/>
    <cellStyle name="Финансовый 4" xfId="8"/>
    <cellStyle name="Финансовый 5" xfId="10"/>
    <cellStyle name="Финансовый 6" xfId="11"/>
    <cellStyle name="Финансовый 7" xfId="5"/>
    <cellStyle name="Финансовый 8" xfId="2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63"/>
  <sheetViews>
    <sheetView workbookViewId="0">
      <selection activeCell="G38" sqref="G38"/>
    </sheetView>
  </sheetViews>
  <sheetFormatPr defaultColWidth="8.88671875" defaultRowHeight="13.2" x14ac:dyDescent="0.25"/>
  <cols>
    <col min="1" max="1" width="7.88671875" style="11" customWidth="1"/>
    <col min="2" max="4" width="14.33203125" style="11" customWidth="1"/>
    <col min="5" max="5" width="12.33203125" style="11" customWidth="1"/>
    <col min="6" max="6" width="11.109375" style="11" customWidth="1"/>
    <col min="7" max="7" width="9" style="11" customWidth="1"/>
    <col min="8" max="8" width="13.6640625" style="11" customWidth="1"/>
    <col min="9" max="9" width="15.6640625" style="11" customWidth="1"/>
    <col min="10" max="10" width="14.44140625" style="11" customWidth="1"/>
    <col min="11" max="11" width="13.6640625" style="11" customWidth="1"/>
    <col min="12" max="12" width="8.88671875" style="11"/>
    <col min="13" max="13" width="12.6640625" style="11" customWidth="1"/>
    <col min="14" max="14" width="30.6640625" style="11" customWidth="1"/>
    <col min="15" max="16384" width="8.88671875" style="11"/>
  </cols>
  <sheetData>
    <row r="1" spans="1:21" ht="27.6" customHeight="1" x14ac:dyDescent="0.25">
      <c r="A1" s="139" t="s">
        <v>90</v>
      </c>
      <c r="B1" s="139"/>
      <c r="C1" s="139"/>
      <c r="D1" s="139"/>
      <c r="E1" s="139"/>
      <c r="F1" s="139"/>
      <c r="G1" s="139"/>
      <c r="H1" s="139"/>
      <c r="I1" s="139"/>
      <c r="J1" s="139"/>
      <c r="K1" s="139"/>
    </row>
    <row r="3" spans="1:21" ht="39.6" x14ac:dyDescent="0.25">
      <c r="A3" s="12"/>
      <c r="B3" s="12" t="s">
        <v>34</v>
      </c>
      <c r="C3" s="140" t="s">
        <v>35</v>
      </c>
      <c r="D3" s="140"/>
      <c r="E3" s="140" t="s">
        <v>36</v>
      </c>
      <c r="F3" s="140"/>
      <c r="G3" s="140" t="s">
        <v>37</v>
      </c>
      <c r="H3" s="140"/>
      <c r="I3" s="12" t="s">
        <v>38</v>
      </c>
      <c r="J3" s="12" t="s">
        <v>39</v>
      </c>
      <c r="K3" s="12" t="s">
        <v>40</v>
      </c>
      <c r="L3" s="13"/>
      <c r="M3" s="13"/>
      <c r="N3" s="13"/>
      <c r="O3" s="13"/>
      <c r="P3" s="13"/>
      <c r="Q3" s="13"/>
      <c r="R3" s="13"/>
      <c r="S3" s="13"/>
      <c r="T3" s="13"/>
      <c r="U3" s="13"/>
    </row>
    <row r="4" spans="1:21" x14ac:dyDescent="0.25">
      <c r="A4" s="12"/>
      <c r="B4" s="12"/>
      <c r="C4" s="12" t="s">
        <v>41</v>
      </c>
      <c r="D4" s="12" t="s">
        <v>42</v>
      </c>
      <c r="E4" s="12" t="s">
        <v>41</v>
      </c>
      <c r="F4" s="12" t="s">
        <v>42</v>
      </c>
      <c r="G4" s="12" t="s">
        <v>41</v>
      </c>
      <c r="H4" s="12" t="s">
        <v>42</v>
      </c>
      <c r="I4" s="12"/>
      <c r="J4" s="12"/>
      <c r="K4" s="12"/>
      <c r="L4" s="13"/>
      <c r="M4" s="13"/>
      <c r="N4" s="13"/>
      <c r="O4" s="13"/>
      <c r="P4" s="13"/>
      <c r="Q4" s="13"/>
      <c r="R4" s="13"/>
      <c r="S4" s="13"/>
      <c r="T4" s="13"/>
      <c r="U4" s="13"/>
    </row>
    <row r="5" spans="1:21" ht="14.4" customHeight="1" x14ac:dyDescent="0.3">
      <c r="A5" s="137" t="s">
        <v>53</v>
      </c>
      <c r="B5" s="137"/>
      <c r="C5" s="137"/>
      <c r="D5" s="137"/>
      <c r="E5" s="137"/>
      <c r="F5" s="137"/>
      <c r="G5" s="137"/>
      <c r="H5" s="137"/>
      <c r="I5" s="137"/>
      <c r="J5" s="137"/>
      <c r="K5" s="137"/>
      <c r="M5" s="133" t="s">
        <v>8</v>
      </c>
      <c r="N5" s="134"/>
    </row>
    <row r="6" spans="1:21" ht="14.4" x14ac:dyDescent="0.3">
      <c r="A6" s="15"/>
      <c r="B6" s="16">
        <v>12800</v>
      </c>
      <c r="C6" s="17">
        <v>1</v>
      </c>
      <c r="D6" s="16">
        <f>B6*C6</f>
        <v>12800</v>
      </c>
      <c r="E6" s="17"/>
      <c r="F6" s="16">
        <f>B6*E6</f>
        <v>0</v>
      </c>
      <c r="G6" s="17">
        <v>0.3</v>
      </c>
      <c r="H6" s="16">
        <f>B6*G6</f>
        <v>3840</v>
      </c>
      <c r="I6" s="16">
        <f>(B6+F6+D6+H6)*30%</f>
        <v>8832</v>
      </c>
      <c r="J6" s="16">
        <f>(B6+F6+D6+H6)*30%</f>
        <v>8832</v>
      </c>
      <c r="K6" s="16">
        <f>B6+F6+I6+J6+H6+D6</f>
        <v>47104</v>
      </c>
      <c r="M6" s="4"/>
      <c r="N6" s="14" t="s">
        <v>9</v>
      </c>
    </row>
    <row r="7" spans="1:21" ht="21.6" customHeight="1" x14ac:dyDescent="0.25">
      <c r="A7" s="130" t="s">
        <v>55</v>
      </c>
      <c r="B7" s="131"/>
      <c r="C7" s="131"/>
      <c r="D7" s="131"/>
      <c r="E7" s="131"/>
      <c r="F7" s="131"/>
      <c r="G7" s="131"/>
      <c r="H7" s="131"/>
      <c r="I7" s="131"/>
      <c r="J7" s="131"/>
      <c r="K7" s="132"/>
      <c r="M7" s="4"/>
      <c r="N7" s="14" t="s">
        <v>10</v>
      </c>
    </row>
    <row r="8" spans="1:21" ht="14.4" x14ac:dyDescent="0.3">
      <c r="A8" s="15"/>
      <c r="B8" s="16">
        <v>8125</v>
      </c>
      <c r="C8" s="17">
        <v>1</v>
      </c>
      <c r="D8" s="16">
        <f>B8*C8</f>
        <v>8125</v>
      </c>
      <c r="E8" s="17">
        <v>0.15</v>
      </c>
      <c r="F8" s="16">
        <f>B8*E8</f>
        <v>1218.75</v>
      </c>
      <c r="G8" s="17">
        <v>0.05</v>
      </c>
      <c r="H8" s="16">
        <f>B8*G8</f>
        <v>406.25</v>
      </c>
      <c r="I8" s="16">
        <f>(B8+F8+D8+H8)*30%</f>
        <v>5362.5</v>
      </c>
      <c r="J8" s="16">
        <f>(B8+F8+D8+H8)*30%</f>
        <v>5362.5</v>
      </c>
      <c r="K8" s="16">
        <f>B8+F8+I8+J8+H8+D8</f>
        <v>28600</v>
      </c>
      <c r="M8" s="4"/>
      <c r="N8" s="14" t="s">
        <v>11</v>
      </c>
    </row>
    <row r="9" spans="1:21" ht="29.4" customHeight="1" x14ac:dyDescent="0.25">
      <c r="A9" s="138" t="s">
        <v>87</v>
      </c>
      <c r="B9" s="138"/>
      <c r="C9" s="138"/>
      <c r="D9" s="138"/>
      <c r="E9" s="138"/>
      <c r="F9" s="138"/>
      <c r="G9" s="138"/>
      <c r="H9" s="138"/>
      <c r="I9" s="138"/>
      <c r="J9" s="138"/>
      <c r="K9" s="138"/>
      <c r="M9" s="4"/>
      <c r="N9" s="14" t="s">
        <v>12</v>
      </c>
    </row>
    <row r="10" spans="1:21" ht="14.4" x14ac:dyDescent="0.3">
      <c r="A10" s="15"/>
      <c r="B10" s="16">
        <v>8600</v>
      </c>
      <c r="C10" s="17">
        <v>1</v>
      </c>
      <c r="D10" s="16">
        <f>B10*C10</f>
        <v>8600</v>
      </c>
      <c r="E10" s="17"/>
      <c r="F10" s="16">
        <f>B10*E10</f>
        <v>0</v>
      </c>
      <c r="G10" s="17">
        <v>0.05</v>
      </c>
      <c r="H10" s="16">
        <f>B10*G10</f>
        <v>430</v>
      </c>
      <c r="I10" s="16">
        <f>(B10+F10+D10+H10)*30%</f>
        <v>5289</v>
      </c>
      <c r="J10" s="16">
        <f>(B10+F10+D10+H10)*30%</f>
        <v>5289</v>
      </c>
      <c r="K10" s="16">
        <f>B10+F10+I10+J10+H10+D10</f>
        <v>28208</v>
      </c>
      <c r="M10" s="4"/>
      <c r="N10" s="14" t="s">
        <v>13</v>
      </c>
    </row>
    <row r="11" spans="1:21" ht="13.8" x14ac:dyDescent="0.25">
      <c r="A11" s="137" t="s">
        <v>82</v>
      </c>
      <c r="B11" s="137"/>
      <c r="C11" s="137"/>
      <c r="D11" s="137"/>
      <c r="E11" s="137"/>
      <c r="F11" s="137"/>
      <c r="G11" s="137"/>
      <c r="H11" s="137"/>
      <c r="I11" s="137"/>
      <c r="J11" s="137"/>
      <c r="K11" s="137"/>
      <c r="M11" s="4"/>
      <c r="N11" s="14"/>
    </row>
    <row r="12" spans="1:21" ht="14.4" x14ac:dyDescent="0.3">
      <c r="A12" s="15"/>
      <c r="B12" s="16">
        <v>8600</v>
      </c>
      <c r="C12" s="17">
        <v>1</v>
      </c>
      <c r="D12" s="16">
        <f>B12*C12</f>
        <v>8600</v>
      </c>
      <c r="E12" s="17">
        <v>0.15</v>
      </c>
      <c r="F12" s="16">
        <f>B12*E12</f>
        <v>1290</v>
      </c>
      <c r="G12" s="17">
        <v>0.1</v>
      </c>
      <c r="H12" s="16">
        <f>B12*G12</f>
        <v>860</v>
      </c>
      <c r="I12" s="16">
        <f>(B12+F12+D12+H12)*30%</f>
        <v>5805</v>
      </c>
      <c r="J12" s="16">
        <f>(B12+F12+D12+H12)*30%</f>
        <v>5805</v>
      </c>
      <c r="K12" s="16">
        <f>B12+F12+I12+J12+H12+D12</f>
        <v>30960</v>
      </c>
      <c r="M12" s="4"/>
      <c r="N12" s="14"/>
    </row>
    <row r="13" spans="1:21" ht="13.8" x14ac:dyDescent="0.25">
      <c r="A13" s="130" t="s">
        <v>54</v>
      </c>
      <c r="B13" s="131"/>
      <c r="C13" s="131"/>
      <c r="D13" s="131"/>
      <c r="E13" s="131"/>
      <c r="F13" s="131"/>
      <c r="G13" s="131"/>
      <c r="H13" s="131"/>
      <c r="I13" s="131"/>
      <c r="J13" s="131"/>
      <c r="K13" s="132"/>
      <c r="M13" s="4"/>
      <c r="N13" s="14" t="s">
        <v>14</v>
      </c>
    </row>
    <row r="14" spans="1:21" ht="14.4" x14ac:dyDescent="0.3">
      <c r="A14" s="15"/>
      <c r="B14" s="16">
        <v>9600</v>
      </c>
      <c r="C14" s="17">
        <v>1</v>
      </c>
      <c r="D14" s="16">
        <f>B14*C14</f>
        <v>9600</v>
      </c>
      <c r="E14" s="17"/>
      <c r="F14" s="16">
        <f>B14*E14</f>
        <v>0</v>
      </c>
      <c r="G14" s="17">
        <v>0.2</v>
      </c>
      <c r="H14" s="16">
        <f>B14*G14</f>
        <v>1920</v>
      </c>
      <c r="I14" s="16">
        <f>(B14+F14+D14+H14)*30%</f>
        <v>6336</v>
      </c>
      <c r="J14" s="16">
        <f>(B14+F14+D14+H14)*30%</f>
        <v>6336</v>
      </c>
      <c r="K14" s="16">
        <f>B14+F14+I14+J14+H14+D14</f>
        <v>33792</v>
      </c>
      <c r="M14" s="4"/>
      <c r="N14" s="14" t="s">
        <v>15</v>
      </c>
    </row>
    <row r="15" spans="1:21" ht="13.8" x14ac:dyDescent="0.25">
      <c r="A15" s="130" t="s">
        <v>47</v>
      </c>
      <c r="B15" s="131"/>
      <c r="C15" s="131"/>
      <c r="D15" s="131"/>
      <c r="E15" s="131"/>
      <c r="F15" s="131"/>
      <c r="G15" s="131"/>
      <c r="H15" s="131"/>
      <c r="I15" s="131"/>
      <c r="J15" s="131"/>
      <c r="K15" s="132"/>
      <c r="M15" s="4"/>
      <c r="N15" s="5"/>
    </row>
    <row r="16" spans="1:21" ht="14.4" x14ac:dyDescent="0.3">
      <c r="A16" s="15"/>
      <c r="B16" s="16">
        <v>10400</v>
      </c>
      <c r="C16" s="17">
        <v>1</v>
      </c>
      <c r="D16" s="16">
        <f>B16*C16</f>
        <v>10400</v>
      </c>
      <c r="E16" s="17"/>
      <c r="F16" s="16">
        <f>B16*E16</f>
        <v>0</v>
      </c>
      <c r="G16" s="17">
        <v>0.2</v>
      </c>
      <c r="H16" s="16">
        <f>B16*G16</f>
        <v>2080</v>
      </c>
      <c r="I16" s="16">
        <f>(B16+F16+D16+H16)*30%</f>
        <v>6864</v>
      </c>
      <c r="J16" s="16">
        <f>(B16+F16+D16+H16)*30%</f>
        <v>6864</v>
      </c>
      <c r="K16" s="16">
        <f>B16+F16+I16+J16+H16+D16</f>
        <v>36608</v>
      </c>
      <c r="M16" s="4"/>
      <c r="N16" s="5"/>
    </row>
    <row r="17" spans="1:14" ht="13.8" x14ac:dyDescent="0.25">
      <c r="A17" s="137" t="s">
        <v>27</v>
      </c>
      <c r="B17" s="137"/>
      <c r="C17" s="137"/>
      <c r="D17" s="137"/>
      <c r="E17" s="137"/>
      <c r="F17" s="137"/>
      <c r="G17" s="137"/>
      <c r="H17" s="137"/>
      <c r="I17" s="137"/>
      <c r="J17" s="137"/>
      <c r="K17" s="137"/>
      <c r="M17" s="4"/>
      <c r="N17" s="14" t="s">
        <v>16</v>
      </c>
    </row>
    <row r="18" spans="1:14" ht="15.6" customHeight="1" x14ac:dyDescent="0.3">
      <c r="A18" s="15"/>
      <c r="B18" s="16">
        <v>11200</v>
      </c>
      <c r="C18" s="17">
        <v>1</v>
      </c>
      <c r="D18" s="16">
        <f>B18*C18</f>
        <v>11200</v>
      </c>
      <c r="E18" s="17"/>
      <c r="F18" s="16">
        <f>B18*E18</f>
        <v>0</v>
      </c>
      <c r="G18" s="17">
        <v>0.2</v>
      </c>
      <c r="H18" s="16">
        <f>B18*G18</f>
        <v>2240</v>
      </c>
      <c r="I18" s="16">
        <f>(B18+F18+D18+H18)*30%</f>
        <v>7392</v>
      </c>
      <c r="J18" s="16">
        <f>(B18+F18+D18+H18)*30%</f>
        <v>7392</v>
      </c>
      <c r="K18" s="16">
        <f>B18+F18+I18+J18+H18+D18</f>
        <v>39424</v>
      </c>
      <c r="M18" s="4"/>
      <c r="N18" s="14" t="s">
        <v>17</v>
      </c>
    </row>
    <row r="19" spans="1:14" ht="27" customHeight="1" x14ac:dyDescent="0.25">
      <c r="A19" s="130" t="s">
        <v>51</v>
      </c>
      <c r="B19" s="131"/>
      <c r="C19" s="131"/>
      <c r="D19" s="131"/>
      <c r="E19" s="131"/>
      <c r="F19" s="131"/>
      <c r="G19" s="131"/>
      <c r="H19" s="131"/>
      <c r="I19" s="131"/>
      <c r="J19" s="131"/>
      <c r="K19" s="132"/>
      <c r="M19" s="4"/>
      <c r="N19" s="14" t="s">
        <v>18</v>
      </c>
    </row>
    <row r="20" spans="1:14" ht="28.2" customHeight="1" x14ac:dyDescent="0.3">
      <c r="A20" s="15"/>
      <c r="B20" s="16">
        <v>9200</v>
      </c>
      <c r="C20" s="17">
        <v>1</v>
      </c>
      <c r="D20" s="16">
        <f>B20*C20</f>
        <v>9200</v>
      </c>
      <c r="E20" s="17">
        <v>0.05</v>
      </c>
      <c r="F20" s="16">
        <f>B20*E20</f>
        <v>460</v>
      </c>
      <c r="G20" s="17">
        <v>0.1</v>
      </c>
      <c r="H20" s="16">
        <f>B20*G20</f>
        <v>920</v>
      </c>
      <c r="I20" s="16">
        <f>(B20+F20+D20+H20)*30%</f>
        <v>5934</v>
      </c>
      <c r="J20" s="16">
        <f>(B20+F20+D20+H20)*30%</f>
        <v>5934</v>
      </c>
      <c r="K20" s="16">
        <f>B20+F20+I20+J20+H20+D20</f>
        <v>31648</v>
      </c>
      <c r="M20" s="4"/>
      <c r="N20" s="14" t="s">
        <v>50</v>
      </c>
    </row>
    <row r="21" spans="1:14" ht="28.2" customHeight="1" x14ac:dyDescent="0.25">
      <c r="A21" s="130" t="s">
        <v>83</v>
      </c>
      <c r="B21" s="131"/>
      <c r="C21" s="131"/>
      <c r="D21" s="131"/>
      <c r="E21" s="131"/>
      <c r="F21" s="131"/>
      <c r="G21" s="131"/>
      <c r="H21" s="131"/>
      <c r="I21" s="131"/>
      <c r="J21" s="131"/>
      <c r="K21" s="132"/>
      <c r="M21" s="4"/>
      <c r="N21" s="14"/>
    </row>
    <row r="22" spans="1:14" ht="28.2" customHeight="1" x14ac:dyDescent="0.3">
      <c r="A22" s="15"/>
      <c r="B22" s="16">
        <v>9200</v>
      </c>
      <c r="C22" s="17">
        <v>1</v>
      </c>
      <c r="D22" s="16">
        <f>B22*C22</f>
        <v>9200</v>
      </c>
      <c r="E22" s="17">
        <v>0.1</v>
      </c>
      <c r="F22" s="16">
        <f>B22*E22</f>
        <v>920</v>
      </c>
      <c r="G22" s="17">
        <v>0.1</v>
      </c>
      <c r="H22" s="16">
        <f>B22*G22</f>
        <v>920</v>
      </c>
      <c r="I22" s="16">
        <f>(B22+F22+D22+H22)*30%</f>
        <v>6072</v>
      </c>
      <c r="J22" s="16">
        <f>(B22+F22+D22+H22)*30%</f>
        <v>6072</v>
      </c>
      <c r="K22" s="16">
        <f>B22+F22+I22+J22+H22+D22</f>
        <v>32384</v>
      </c>
      <c r="M22" s="4"/>
      <c r="N22" s="14"/>
    </row>
    <row r="23" spans="1:14" ht="13.8" x14ac:dyDescent="0.25">
      <c r="A23" s="137" t="s">
        <v>22</v>
      </c>
      <c r="B23" s="137"/>
      <c r="C23" s="137"/>
      <c r="D23" s="137"/>
      <c r="E23" s="137"/>
      <c r="F23" s="137"/>
      <c r="G23" s="137"/>
      <c r="H23" s="137"/>
      <c r="I23" s="137"/>
      <c r="J23" s="137"/>
      <c r="K23" s="137"/>
      <c r="M23" s="4"/>
      <c r="N23" s="14" t="s">
        <v>20</v>
      </c>
    </row>
    <row r="24" spans="1:14" ht="28.2" customHeight="1" x14ac:dyDescent="0.3">
      <c r="A24" s="15"/>
      <c r="B24" s="16">
        <v>9600</v>
      </c>
      <c r="C24" s="17">
        <v>1</v>
      </c>
      <c r="D24" s="16">
        <f>B24*C24</f>
        <v>9600</v>
      </c>
      <c r="E24" s="17"/>
      <c r="F24" s="16">
        <f>B24*E24</f>
        <v>0</v>
      </c>
      <c r="G24" s="17">
        <v>0.4</v>
      </c>
      <c r="H24" s="16">
        <f>B24*G24</f>
        <v>3840</v>
      </c>
      <c r="I24" s="16">
        <f>(B24+F24+D24+H24)*30%</f>
        <v>6912</v>
      </c>
      <c r="J24" s="16">
        <f>(B24+F24+D24+H24)*30%</f>
        <v>6912</v>
      </c>
      <c r="K24" s="16">
        <f>B24+F24+I24+J24+H24+D24</f>
        <v>36864</v>
      </c>
      <c r="M24" s="4"/>
      <c r="N24" s="18" t="s">
        <v>21</v>
      </c>
    </row>
    <row r="25" spans="1:14" ht="13.8" x14ac:dyDescent="0.25">
      <c r="A25" s="130" t="s">
        <v>56</v>
      </c>
      <c r="B25" s="131"/>
      <c r="C25" s="131"/>
      <c r="D25" s="131"/>
      <c r="E25" s="131"/>
      <c r="F25" s="131"/>
      <c r="G25" s="131"/>
      <c r="H25" s="131"/>
      <c r="I25" s="131"/>
      <c r="J25" s="131"/>
      <c r="K25" s="132"/>
      <c r="M25" s="4"/>
      <c r="N25" s="14" t="s">
        <v>22</v>
      </c>
    </row>
    <row r="26" spans="1:14" ht="14.4" customHeight="1" x14ac:dyDescent="0.3">
      <c r="A26" s="15"/>
      <c r="B26" s="16">
        <v>8125</v>
      </c>
      <c r="C26" s="17">
        <v>1</v>
      </c>
      <c r="D26" s="16">
        <f>B26*C26</f>
        <v>8125</v>
      </c>
      <c r="E26" s="17"/>
      <c r="F26" s="16">
        <f>B26*E26</f>
        <v>0</v>
      </c>
      <c r="G26" s="17">
        <v>0.1</v>
      </c>
      <c r="H26" s="16">
        <f>B26*G26</f>
        <v>812.5</v>
      </c>
      <c r="I26" s="16">
        <f>(B26+F26+D26+H26)*30%</f>
        <v>5118.75</v>
      </c>
      <c r="J26" s="16">
        <f>(B26+F26+D26+H26)*30%</f>
        <v>5118.75</v>
      </c>
      <c r="K26" s="16">
        <f>B26+F26+I26+J26+H26+D26</f>
        <v>27300</v>
      </c>
      <c r="M26" s="135" t="s">
        <v>23</v>
      </c>
      <c r="N26" s="135"/>
    </row>
    <row r="27" spans="1:14" ht="14.4" customHeight="1" x14ac:dyDescent="0.3">
      <c r="A27" s="137" t="s">
        <v>43</v>
      </c>
      <c r="B27" s="137"/>
      <c r="C27" s="137"/>
      <c r="D27" s="137"/>
      <c r="E27" s="137"/>
      <c r="F27" s="137"/>
      <c r="G27" s="137"/>
      <c r="H27" s="137"/>
      <c r="I27" s="137"/>
      <c r="J27" s="137"/>
      <c r="K27" s="137"/>
      <c r="M27" s="136" t="s">
        <v>24</v>
      </c>
      <c r="N27" s="136"/>
    </row>
    <row r="28" spans="1:14" ht="14.4" x14ac:dyDescent="0.3">
      <c r="A28" s="15"/>
      <c r="B28" s="16"/>
      <c r="C28" s="17">
        <v>1</v>
      </c>
      <c r="D28" s="16">
        <f>B28*C28</f>
        <v>0</v>
      </c>
      <c r="E28" s="17">
        <v>0.15</v>
      </c>
      <c r="F28" s="16">
        <f>B28*E28</f>
        <v>0</v>
      </c>
      <c r="G28" s="17">
        <v>0.1</v>
      </c>
      <c r="H28" s="16">
        <f>B28*G28</f>
        <v>0</v>
      </c>
      <c r="I28" s="16">
        <f>(B28+F28+D28+H28)*30%</f>
        <v>0</v>
      </c>
      <c r="J28" s="16">
        <f>(B28+F28+D28+H28)*30%</f>
        <v>0</v>
      </c>
      <c r="K28" s="16">
        <f>B28+F28+I28+J28+H28+D28</f>
        <v>0</v>
      </c>
      <c r="M28" s="4"/>
      <c r="N28" s="14" t="s">
        <v>25</v>
      </c>
    </row>
    <row r="29" spans="1:14" ht="13.8" x14ac:dyDescent="0.25">
      <c r="A29" s="130" t="s">
        <v>44</v>
      </c>
      <c r="B29" s="131"/>
      <c r="C29" s="131"/>
      <c r="D29" s="131"/>
      <c r="E29" s="131"/>
      <c r="F29" s="131"/>
      <c r="G29" s="131"/>
      <c r="H29" s="131"/>
      <c r="I29" s="131"/>
      <c r="J29" s="131"/>
      <c r="K29" s="132"/>
      <c r="M29" s="4"/>
      <c r="N29" s="14" t="s">
        <v>26</v>
      </c>
    </row>
    <row r="30" spans="1:14" ht="14.4" x14ac:dyDescent="0.3">
      <c r="A30" s="15"/>
      <c r="B30" s="16"/>
      <c r="C30" s="17">
        <v>1</v>
      </c>
      <c r="D30" s="16">
        <f>B30*C30</f>
        <v>0</v>
      </c>
      <c r="E30" s="17"/>
      <c r="F30" s="16">
        <f>B30*E30</f>
        <v>0</v>
      </c>
      <c r="G30" s="17">
        <v>0.2</v>
      </c>
      <c r="H30" s="16">
        <f>B30*G30</f>
        <v>0</v>
      </c>
      <c r="I30" s="16">
        <f>(B30+F30+D30+H30)*30%</f>
        <v>0</v>
      </c>
      <c r="J30" s="16">
        <f>(B30+F30+D30+H30)*30%</f>
        <v>0</v>
      </c>
      <c r="K30" s="16">
        <f>B30+F30+I30+J30+H30+D30</f>
        <v>0</v>
      </c>
      <c r="M30" s="4"/>
      <c r="N30" s="14" t="s">
        <v>27</v>
      </c>
    </row>
    <row r="31" spans="1:14" ht="27.6" x14ac:dyDescent="0.25">
      <c r="A31" s="137" t="s">
        <v>45</v>
      </c>
      <c r="B31" s="137"/>
      <c r="C31" s="137"/>
      <c r="D31" s="137"/>
      <c r="E31" s="137"/>
      <c r="F31" s="137"/>
      <c r="G31" s="137"/>
      <c r="H31" s="137"/>
      <c r="I31" s="137"/>
      <c r="J31" s="137"/>
      <c r="K31" s="137"/>
      <c r="M31" s="4"/>
      <c r="N31" s="14" t="s">
        <v>28</v>
      </c>
    </row>
    <row r="32" spans="1:14" ht="14.4" x14ac:dyDescent="0.3">
      <c r="A32" s="15"/>
      <c r="B32" s="16">
        <v>9600</v>
      </c>
      <c r="C32" s="17">
        <v>1</v>
      </c>
      <c r="D32" s="16">
        <f>B32*C32</f>
        <v>9600</v>
      </c>
      <c r="E32" s="17"/>
      <c r="F32" s="16">
        <f>B32*E32</f>
        <v>0</v>
      </c>
      <c r="G32" s="17">
        <v>0.5</v>
      </c>
      <c r="H32" s="16">
        <f>B32*G32</f>
        <v>4800</v>
      </c>
      <c r="I32" s="16">
        <f>(B32+F32+D32+H32)*30%</f>
        <v>7200</v>
      </c>
      <c r="J32" s="16">
        <f>(B32+F32+D32+H32)*30%</f>
        <v>7200</v>
      </c>
      <c r="K32" s="16">
        <f>B32+F32+I32+J32+H32+D32</f>
        <v>38400</v>
      </c>
      <c r="M32" s="4"/>
      <c r="N32" s="14" t="s">
        <v>29</v>
      </c>
    </row>
    <row r="33" spans="1:14" ht="14.4" customHeight="1" x14ac:dyDescent="0.3">
      <c r="A33" s="130" t="s">
        <v>48</v>
      </c>
      <c r="B33" s="131"/>
      <c r="C33" s="131"/>
      <c r="D33" s="131"/>
      <c r="E33" s="131"/>
      <c r="F33" s="131"/>
      <c r="G33" s="131"/>
      <c r="H33" s="131"/>
      <c r="I33" s="131"/>
      <c r="J33" s="131"/>
      <c r="K33" s="132"/>
      <c r="M33" s="136" t="s">
        <v>30</v>
      </c>
      <c r="N33" s="136"/>
    </row>
    <row r="34" spans="1:14" ht="14.4" x14ac:dyDescent="0.3">
      <c r="A34" s="15"/>
      <c r="B34" s="16">
        <v>8800</v>
      </c>
      <c r="C34" s="17">
        <v>1</v>
      </c>
      <c r="D34" s="16">
        <f>B34*C34</f>
        <v>8800</v>
      </c>
      <c r="E34" s="17">
        <v>0.1</v>
      </c>
      <c r="F34" s="16">
        <f>B34*E34</f>
        <v>880</v>
      </c>
      <c r="G34" s="17">
        <v>0.1</v>
      </c>
      <c r="H34" s="16">
        <f>B34*G34</f>
        <v>880</v>
      </c>
      <c r="I34" s="16">
        <f>(B34+F34+D34+H34)*30%</f>
        <v>5808</v>
      </c>
      <c r="J34" s="16">
        <f>(B34+F34+D34+H34)*30%</f>
        <v>5808</v>
      </c>
      <c r="K34" s="16">
        <f>B34+F34+I34+J34+H34+D34</f>
        <v>30976</v>
      </c>
      <c r="M34" s="4"/>
      <c r="N34" s="14" t="s">
        <v>31</v>
      </c>
    </row>
    <row r="35" spans="1:14" ht="27.6" customHeight="1" x14ac:dyDescent="0.25">
      <c r="A35" s="137" t="s">
        <v>94</v>
      </c>
      <c r="B35" s="137"/>
      <c r="C35" s="137"/>
      <c r="D35" s="137"/>
      <c r="E35" s="137"/>
      <c r="F35" s="137"/>
      <c r="G35" s="137"/>
      <c r="H35" s="137"/>
      <c r="I35" s="137"/>
      <c r="J35" s="137"/>
      <c r="K35" s="137"/>
      <c r="M35" s="4"/>
      <c r="N35" s="5" t="s">
        <v>32</v>
      </c>
    </row>
    <row r="36" spans="1:14" ht="42" customHeight="1" x14ac:dyDescent="0.3">
      <c r="A36" s="15"/>
      <c r="B36" s="16">
        <v>12800</v>
      </c>
      <c r="C36" s="17">
        <v>1</v>
      </c>
      <c r="D36" s="16">
        <f>B36*C36</f>
        <v>12800</v>
      </c>
      <c r="E36" s="17"/>
      <c r="F36" s="16">
        <f>B36*E36</f>
        <v>0</v>
      </c>
      <c r="G36" s="17">
        <v>0.2</v>
      </c>
      <c r="H36" s="16">
        <f>B36*G36</f>
        <v>2560</v>
      </c>
      <c r="I36" s="16">
        <f>(B36+F36+D36+H36)*30%</f>
        <v>8448</v>
      </c>
      <c r="J36" s="16">
        <f>(B36+F36+D36+H36)*30%</f>
        <v>8448</v>
      </c>
      <c r="K36" s="16">
        <f>B36+F36+I36+J36+H36+D36</f>
        <v>45056</v>
      </c>
      <c r="M36" s="4"/>
      <c r="N36" s="5" t="s">
        <v>33</v>
      </c>
    </row>
    <row r="37" spans="1:14" x14ac:dyDescent="0.25">
      <c r="A37" s="130" t="s">
        <v>88</v>
      </c>
      <c r="B37" s="131"/>
      <c r="C37" s="131"/>
      <c r="D37" s="131"/>
      <c r="E37" s="131"/>
      <c r="F37" s="131"/>
      <c r="G37" s="131"/>
      <c r="H37" s="131"/>
      <c r="I37" s="131"/>
      <c r="J37" s="131"/>
      <c r="K37" s="132"/>
    </row>
    <row r="38" spans="1:14" ht="14.4" x14ac:dyDescent="0.3">
      <c r="A38" s="15"/>
      <c r="B38" s="16">
        <v>8600</v>
      </c>
      <c r="C38" s="17">
        <v>1</v>
      </c>
      <c r="D38" s="16">
        <f>B38*C38</f>
        <v>8600</v>
      </c>
      <c r="E38" s="17"/>
      <c r="F38" s="16">
        <f>B38*E38</f>
        <v>0</v>
      </c>
      <c r="G38" s="17">
        <v>0.1</v>
      </c>
      <c r="H38" s="16">
        <f>B38*G38</f>
        <v>860</v>
      </c>
      <c r="I38" s="16">
        <f>(B38+F38+D38+H38)*30%</f>
        <v>5418</v>
      </c>
      <c r="J38" s="16">
        <f>(B38+F38+D38+H38)*30%</f>
        <v>5418</v>
      </c>
      <c r="K38" s="16">
        <f>B38+F38+I38+J38+H38+D38</f>
        <v>28896</v>
      </c>
    </row>
    <row r="39" spans="1:14" x14ac:dyDescent="0.25">
      <c r="A39" s="137" t="s">
        <v>49</v>
      </c>
      <c r="B39" s="137"/>
      <c r="C39" s="137"/>
      <c r="D39" s="137"/>
      <c r="E39" s="137"/>
      <c r="F39" s="137"/>
      <c r="G39" s="137"/>
      <c r="H39" s="137"/>
      <c r="I39" s="137"/>
      <c r="J39" s="137"/>
      <c r="K39" s="137"/>
    </row>
    <row r="40" spans="1:14" ht="14.4" x14ac:dyDescent="0.3">
      <c r="A40" s="15"/>
      <c r="B40" s="16">
        <v>8400</v>
      </c>
      <c r="C40" s="17">
        <v>1</v>
      </c>
      <c r="D40" s="16">
        <f>B40*C40</f>
        <v>8400</v>
      </c>
      <c r="E40" s="17"/>
      <c r="F40" s="16">
        <f>B40*E40</f>
        <v>0</v>
      </c>
      <c r="G40" s="17">
        <v>0.1</v>
      </c>
      <c r="H40" s="16">
        <f>B40*G40</f>
        <v>840</v>
      </c>
      <c r="I40" s="16">
        <f>(B40+F40+D40+H40)*30%</f>
        <v>5292</v>
      </c>
      <c r="J40" s="16">
        <f>(B40+F40+D40+H40)*30%</f>
        <v>5292</v>
      </c>
      <c r="K40" s="16">
        <f>B40+F40+I40+J40+H40+D40</f>
        <v>28224</v>
      </c>
    </row>
    <row r="41" spans="1:14" hidden="1" x14ac:dyDescent="0.25">
      <c r="A41" s="130" t="s">
        <v>46</v>
      </c>
      <c r="B41" s="131"/>
      <c r="C41" s="131"/>
      <c r="D41" s="131"/>
      <c r="E41" s="131"/>
      <c r="F41" s="131"/>
      <c r="G41" s="131"/>
      <c r="H41" s="131"/>
      <c r="I41" s="131"/>
      <c r="J41" s="131"/>
      <c r="K41" s="132"/>
    </row>
    <row r="42" spans="1:14" ht="14.4" hidden="1" x14ac:dyDescent="0.3">
      <c r="A42" s="15"/>
      <c r="B42" s="16"/>
      <c r="C42" s="17">
        <v>1</v>
      </c>
      <c r="D42" s="16">
        <f>B42*C42</f>
        <v>0</v>
      </c>
      <c r="E42" s="17"/>
      <c r="F42" s="16">
        <f>B42*E42</f>
        <v>0</v>
      </c>
      <c r="G42" s="17"/>
      <c r="H42" s="16">
        <f>B42*G42</f>
        <v>0</v>
      </c>
      <c r="I42" s="16">
        <f>(B42+F42+D42+H42)*30%</f>
        <v>0</v>
      </c>
      <c r="J42" s="16">
        <f>(B42+F42+D42+H42)*30%</f>
        <v>0</v>
      </c>
      <c r="K42" s="16">
        <f>B42+F42+I42+J42+H42+D42</f>
        <v>0</v>
      </c>
    </row>
    <row r="43" spans="1:14" x14ac:dyDescent="0.25">
      <c r="A43" s="137" t="s">
        <v>52</v>
      </c>
      <c r="B43" s="137"/>
      <c r="C43" s="137"/>
      <c r="D43" s="137"/>
      <c r="E43" s="137"/>
      <c r="F43" s="137"/>
      <c r="G43" s="137"/>
      <c r="H43" s="137"/>
      <c r="I43" s="137"/>
      <c r="J43" s="137"/>
      <c r="K43" s="137"/>
    </row>
    <row r="44" spans="1:14" ht="14.4" x14ac:dyDescent="0.3">
      <c r="A44" s="15"/>
      <c r="B44" s="16">
        <v>12800</v>
      </c>
      <c r="C44" s="17">
        <v>1</v>
      </c>
      <c r="D44" s="16">
        <f>B44*C44</f>
        <v>12800</v>
      </c>
      <c r="E44" s="17"/>
      <c r="F44" s="16">
        <f>B44*E44</f>
        <v>0</v>
      </c>
      <c r="G44" s="17">
        <v>0.2</v>
      </c>
      <c r="H44" s="16">
        <f>B44*G44</f>
        <v>2560</v>
      </c>
      <c r="I44" s="16">
        <f>(B44+F44+D44+H44)*30%</f>
        <v>8448</v>
      </c>
      <c r="J44" s="16">
        <f>(B44+F44+D44+H44)*30%</f>
        <v>8448</v>
      </c>
      <c r="K44" s="16">
        <f>B44+F44+I44+J44+H44+D44</f>
        <v>45056</v>
      </c>
    </row>
    <row r="45" spans="1:14" x14ac:dyDescent="0.25">
      <c r="A45" s="130"/>
      <c r="B45" s="131"/>
      <c r="C45" s="131"/>
      <c r="D45" s="131"/>
      <c r="E45" s="131"/>
      <c r="F45" s="131"/>
      <c r="G45" s="131"/>
      <c r="H45" s="131"/>
      <c r="I45" s="131"/>
      <c r="J45" s="131"/>
      <c r="K45" s="132"/>
    </row>
    <row r="46" spans="1:14" ht="14.4" x14ac:dyDescent="0.3">
      <c r="A46" s="15"/>
      <c r="B46" s="16"/>
      <c r="C46" s="15"/>
      <c r="D46" s="16">
        <f>B46*C46</f>
        <v>0</v>
      </c>
      <c r="E46" s="17"/>
      <c r="F46" s="16">
        <f>B46*E46</f>
        <v>0</v>
      </c>
      <c r="G46" s="17"/>
      <c r="H46" s="16">
        <f>D46*G46</f>
        <v>0</v>
      </c>
      <c r="I46" s="16">
        <f>(B46+F46)*30%</f>
        <v>0</v>
      </c>
      <c r="J46" s="16">
        <f>(B46+F46)*30%</f>
        <v>0</v>
      </c>
      <c r="K46" s="16">
        <f>B46+F46+I46+J46</f>
        <v>0</v>
      </c>
    </row>
    <row r="263" spans="7:7" x14ac:dyDescent="0.25">
      <c r="G263" s="35">
        <f>'расчёт зарплаты'!K12</f>
        <v>30960</v>
      </c>
    </row>
  </sheetData>
  <mergeCells count="29">
    <mergeCell ref="A1:K1"/>
    <mergeCell ref="C3:D3"/>
    <mergeCell ref="E3:F3"/>
    <mergeCell ref="G3:H3"/>
    <mergeCell ref="A5:K5"/>
    <mergeCell ref="A41:K41"/>
    <mergeCell ref="A43:K43"/>
    <mergeCell ref="A11:K11"/>
    <mergeCell ref="A21:K21"/>
    <mergeCell ref="A7:K7"/>
    <mergeCell ref="A13:K13"/>
    <mergeCell ref="A17:K17"/>
    <mergeCell ref="A19:K19"/>
    <mergeCell ref="A45:K45"/>
    <mergeCell ref="M5:N5"/>
    <mergeCell ref="M26:N26"/>
    <mergeCell ref="M27:N27"/>
    <mergeCell ref="M33:N33"/>
    <mergeCell ref="A15:K15"/>
    <mergeCell ref="A27:K27"/>
    <mergeCell ref="A29:K29"/>
    <mergeCell ref="A31:K31"/>
    <mergeCell ref="A33:K33"/>
    <mergeCell ref="A35:K35"/>
    <mergeCell ref="A37:K37"/>
    <mergeCell ref="A9:K9"/>
    <mergeCell ref="A23:K23"/>
    <mergeCell ref="A25:K25"/>
    <mergeCell ref="A39:K39"/>
  </mergeCells>
  <pageMargins left="0.31496062992125984" right="0.31496062992125984" top="0.55118110236220474" bottom="0.74803149606299213" header="0.31496062992125984" footer="0.31496062992125984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M782"/>
  <sheetViews>
    <sheetView workbookViewId="0">
      <pane ySplit="4" topLeftCell="A587" activePane="bottomLeft" state="frozen"/>
      <selection pane="bottomLeft" activeCell="G591" sqref="G591"/>
    </sheetView>
  </sheetViews>
  <sheetFormatPr defaultRowHeight="14.4" x14ac:dyDescent="0.3"/>
  <cols>
    <col min="1" max="1" width="4.109375" customWidth="1"/>
    <col min="2" max="2" width="27.109375" customWidth="1"/>
    <col min="3" max="3" width="10.6640625" customWidth="1"/>
    <col min="4" max="4" width="10.109375" customWidth="1"/>
    <col min="5" max="5" width="18.5546875" customWidth="1"/>
    <col min="6" max="6" width="13" customWidth="1"/>
    <col min="7" max="7" width="14.44140625" customWidth="1"/>
    <col min="8" max="8" width="20.109375" customWidth="1"/>
    <col min="9" max="9" width="17.33203125" customWidth="1"/>
    <col min="10" max="11" width="18.5546875" customWidth="1"/>
    <col min="12" max="12" width="20" customWidth="1"/>
    <col min="13" max="13" width="16.5546875" customWidth="1"/>
  </cols>
  <sheetData>
    <row r="4" spans="1:12" ht="76.2" customHeight="1" x14ac:dyDescent="0.3">
      <c r="A4" s="1"/>
      <c r="B4" s="3" t="s">
        <v>0</v>
      </c>
      <c r="C4" s="2" t="s">
        <v>1</v>
      </c>
      <c r="D4" s="2" t="s">
        <v>2</v>
      </c>
      <c r="E4" s="2" t="s">
        <v>85</v>
      </c>
      <c r="F4" s="2" t="s">
        <v>3</v>
      </c>
      <c r="G4" s="2" t="s">
        <v>86</v>
      </c>
      <c r="H4" s="2" t="s">
        <v>4</v>
      </c>
      <c r="I4" s="2" t="s">
        <v>57</v>
      </c>
      <c r="J4" s="2" t="s">
        <v>58</v>
      </c>
      <c r="K4" s="2" t="s">
        <v>59</v>
      </c>
      <c r="L4" s="2" t="s">
        <v>5</v>
      </c>
    </row>
    <row r="5" spans="1:12" ht="21" customHeight="1" x14ac:dyDescent="0.3">
      <c r="A5" s="1"/>
      <c r="B5" s="3"/>
      <c r="C5" s="2"/>
      <c r="D5" s="2"/>
      <c r="E5" s="2"/>
      <c r="F5" s="2"/>
      <c r="G5" s="2"/>
      <c r="H5" s="2"/>
      <c r="I5" s="2"/>
      <c r="J5" s="2"/>
      <c r="K5" s="2"/>
      <c r="L5" s="2"/>
    </row>
    <row r="6" spans="1:12" x14ac:dyDescent="0.3">
      <c r="A6" s="141" t="s">
        <v>6</v>
      </c>
      <c r="B6" s="141"/>
      <c r="C6" s="141"/>
      <c r="D6" s="141"/>
      <c r="E6" s="141"/>
      <c r="F6" s="141"/>
      <c r="G6" s="141"/>
      <c r="H6" s="141"/>
      <c r="I6" s="141"/>
      <c r="J6" s="141"/>
      <c r="K6" s="141"/>
      <c r="L6" s="141"/>
    </row>
    <row r="7" spans="1:12" ht="14.4" customHeight="1" x14ac:dyDescent="0.3">
      <c r="A7" s="133" t="s">
        <v>7</v>
      </c>
      <c r="B7" s="134"/>
      <c r="C7" s="8">
        <f>C8+C25+C21</f>
        <v>214.25</v>
      </c>
      <c r="D7" s="8">
        <f>D8+D25+D21</f>
        <v>185</v>
      </c>
      <c r="E7" s="8">
        <f>E8+E25+E21</f>
        <v>152</v>
      </c>
      <c r="F7" s="8">
        <f>F8+F25+F21</f>
        <v>185</v>
      </c>
      <c r="G7" s="19"/>
      <c r="H7" s="19"/>
      <c r="I7" s="19"/>
      <c r="J7" s="19"/>
      <c r="K7" s="19"/>
      <c r="L7" s="19"/>
    </row>
    <row r="8" spans="1:12" ht="27.6" customHeight="1" x14ac:dyDescent="0.3">
      <c r="A8" s="133" t="s">
        <v>89</v>
      </c>
      <c r="B8" s="134"/>
      <c r="C8" s="40">
        <f t="shared" ref="C8:G8" si="0">SUM(C9:C20)</f>
        <v>149.25</v>
      </c>
      <c r="D8" s="40">
        <f t="shared" si="0"/>
        <v>139</v>
      </c>
      <c r="E8" s="40">
        <f t="shared" si="0"/>
        <v>113</v>
      </c>
      <c r="F8" s="40">
        <f t="shared" si="0"/>
        <v>139</v>
      </c>
      <c r="G8" s="40">
        <f t="shared" si="0"/>
        <v>202398.4</v>
      </c>
      <c r="H8" s="40">
        <f>SUM(H9:H20)</f>
        <v>43473840</v>
      </c>
      <c r="I8" s="20"/>
      <c r="J8" s="20">
        <f>H8-I8</f>
        <v>43473840</v>
      </c>
      <c r="K8" s="20">
        <f>J8*30.2%</f>
        <v>13129099.68</v>
      </c>
      <c r="L8" s="20">
        <f>J8+K8</f>
        <v>56602939.68</v>
      </c>
    </row>
    <row r="9" spans="1:12" x14ac:dyDescent="0.3">
      <c r="A9" s="4"/>
      <c r="B9" s="5" t="s">
        <v>9</v>
      </c>
      <c r="C9" s="9">
        <v>77.75</v>
      </c>
      <c r="D9" s="9">
        <v>76</v>
      </c>
      <c r="E9" s="9">
        <v>67</v>
      </c>
      <c r="F9" s="9">
        <v>76</v>
      </c>
      <c r="G9" s="19">
        <f>'расчёт зарплаты'!K10</f>
        <v>28208</v>
      </c>
      <c r="H9" s="19">
        <f>E9*G9*12+ ((D9-E9)*G9/2*12)</f>
        <v>24202464</v>
      </c>
      <c r="I9" s="19"/>
      <c r="J9" s="19"/>
      <c r="K9" s="19"/>
      <c r="L9" s="19">
        <f>G9*K9*12</f>
        <v>0</v>
      </c>
    </row>
    <row r="10" spans="1:12" x14ac:dyDescent="0.3">
      <c r="A10" s="4"/>
      <c r="B10" s="5" t="s">
        <v>10</v>
      </c>
      <c r="C10" s="9">
        <v>0</v>
      </c>
      <c r="D10" s="9">
        <v>0</v>
      </c>
      <c r="E10" s="9">
        <v>0</v>
      </c>
      <c r="F10" s="9">
        <v>0</v>
      </c>
      <c r="G10" s="19">
        <v>25862.400000000001</v>
      </c>
      <c r="H10" s="19">
        <f t="shared" ref="H10:H25" si="1">E10*G10*12+ ((D10-E10)*G10/2*12)</f>
        <v>0</v>
      </c>
      <c r="I10" s="19"/>
      <c r="J10" s="19"/>
      <c r="K10" s="19"/>
      <c r="L10" s="19"/>
    </row>
    <row r="11" spans="1:12" x14ac:dyDescent="0.3">
      <c r="A11" s="4"/>
      <c r="B11" s="5" t="s">
        <v>13</v>
      </c>
      <c r="C11" s="9">
        <v>15.5</v>
      </c>
      <c r="D11" s="9">
        <v>12</v>
      </c>
      <c r="E11" s="9">
        <v>7</v>
      </c>
      <c r="F11" s="9">
        <v>12</v>
      </c>
      <c r="G11" s="19">
        <f>'расчёт зарплаты'!K38</f>
        <v>28896</v>
      </c>
      <c r="H11" s="19">
        <f t="shared" si="1"/>
        <v>3294144</v>
      </c>
      <c r="I11" s="19"/>
      <c r="J11" s="19"/>
      <c r="K11" s="19"/>
      <c r="L11" s="19"/>
    </row>
    <row r="12" spans="1:12" ht="28.2" x14ac:dyDescent="0.3">
      <c r="A12" s="4"/>
      <c r="B12" s="5" t="s">
        <v>14</v>
      </c>
      <c r="C12" s="9"/>
      <c r="D12" s="9"/>
      <c r="E12" s="9"/>
      <c r="F12" s="9"/>
      <c r="G12" s="19"/>
      <c r="H12" s="19">
        <f t="shared" si="1"/>
        <v>0</v>
      </c>
      <c r="I12" s="19"/>
      <c r="J12" s="19"/>
      <c r="K12" s="19"/>
      <c r="L12" s="19"/>
    </row>
    <row r="13" spans="1:12" x14ac:dyDescent="0.3">
      <c r="A13" s="4"/>
      <c r="B13" s="5" t="s">
        <v>15</v>
      </c>
      <c r="C13" s="9">
        <v>19</v>
      </c>
      <c r="D13" s="9">
        <v>14</v>
      </c>
      <c r="E13" s="9">
        <v>9</v>
      </c>
      <c r="F13" s="9">
        <v>14</v>
      </c>
      <c r="G13" s="19">
        <f>'расчёт зарплаты'!K34</f>
        <v>30976</v>
      </c>
      <c r="H13" s="19">
        <f t="shared" si="1"/>
        <v>4274688</v>
      </c>
      <c r="I13" s="19"/>
      <c r="J13" s="19"/>
      <c r="K13" s="19"/>
      <c r="L13" s="19"/>
    </row>
    <row r="14" spans="1:12" x14ac:dyDescent="0.3">
      <c r="A14" s="4"/>
      <c r="B14" s="5" t="s">
        <v>16</v>
      </c>
      <c r="C14" s="9">
        <v>27</v>
      </c>
      <c r="D14" s="9">
        <v>27</v>
      </c>
      <c r="E14" s="9">
        <v>22</v>
      </c>
      <c r="F14" s="9">
        <v>27</v>
      </c>
      <c r="G14" s="19">
        <f>'расчёт зарплаты'!K8</f>
        <v>28600</v>
      </c>
      <c r="H14" s="19">
        <f t="shared" si="1"/>
        <v>8408400</v>
      </c>
      <c r="I14" s="19"/>
      <c r="J14" s="19"/>
      <c r="K14" s="19"/>
      <c r="L14" s="19"/>
    </row>
    <row r="15" spans="1:12" ht="42" x14ac:dyDescent="0.3">
      <c r="A15" s="4"/>
      <c r="B15" s="5" t="s">
        <v>17</v>
      </c>
      <c r="C15" s="9">
        <v>4</v>
      </c>
      <c r="D15" s="9">
        <v>4</v>
      </c>
      <c r="E15" s="9">
        <v>2</v>
      </c>
      <c r="F15" s="9">
        <v>4</v>
      </c>
      <c r="G15" s="19">
        <f>'расчёт зарплаты'!K10</f>
        <v>28208</v>
      </c>
      <c r="H15" s="19">
        <f t="shared" si="1"/>
        <v>1015488</v>
      </c>
      <c r="I15" s="19"/>
      <c r="J15" s="19"/>
      <c r="K15" s="19"/>
      <c r="L15" s="19"/>
    </row>
    <row r="16" spans="1:12" ht="28.2" x14ac:dyDescent="0.3">
      <c r="A16" s="4"/>
      <c r="B16" s="5" t="s">
        <v>18</v>
      </c>
      <c r="C16" s="9">
        <v>6</v>
      </c>
      <c r="D16" s="9">
        <v>6</v>
      </c>
      <c r="E16" s="9">
        <v>6</v>
      </c>
      <c r="F16" s="9">
        <v>6</v>
      </c>
      <c r="G16" s="19">
        <f>'расчёт зарплаты'!K20</f>
        <v>31648</v>
      </c>
      <c r="H16" s="19">
        <f t="shared" si="1"/>
        <v>2278656</v>
      </c>
      <c r="I16" s="19"/>
      <c r="J16" s="19"/>
      <c r="K16" s="19"/>
      <c r="L16" s="19"/>
    </row>
    <row r="17" spans="1:13" ht="42" x14ac:dyDescent="0.3">
      <c r="A17" s="4"/>
      <c r="B17" s="5" t="s">
        <v>91</v>
      </c>
      <c r="C17" s="9"/>
      <c r="D17" s="9"/>
      <c r="E17" s="9"/>
      <c r="F17" s="9"/>
      <c r="G17" s="19"/>
      <c r="H17" s="19">
        <f t="shared" si="1"/>
        <v>0</v>
      </c>
      <c r="I17" s="19"/>
      <c r="J17" s="19"/>
      <c r="K17" s="19"/>
      <c r="L17" s="19"/>
    </row>
    <row r="18" spans="1:13" x14ac:dyDescent="0.3">
      <c r="A18" s="4"/>
      <c r="B18" s="5" t="s">
        <v>20</v>
      </c>
      <c r="C18" s="9">
        <v>0</v>
      </c>
      <c r="D18" s="9">
        <v>0</v>
      </c>
      <c r="E18" s="9">
        <v>0</v>
      </c>
      <c r="F18" s="9">
        <v>0</v>
      </c>
      <c r="G18" s="19"/>
      <c r="H18" s="19">
        <f t="shared" si="1"/>
        <v>0</v>
      </c>
      <c r="I18" s="19"/>
      <c r="J18" s="19"/>
      <c r="K18" s="19"/>
      <c r="L18" s="19"/>
    </row>
    <row r="19" spans="1:13" ht="39.6" x14ac:dyDescent="0.3">
      <c r="A19" s="4"/>
      <c r="B19" s="6" t="s">
        <v>21</v>
      </c>
      <c r="C19" s="9"/>
      <c r="D19" s="9"/>
      <c r="E19" s="9"/>
      <c r="F19" s="9"/>
      <c r="G19" s="19"/>
      <c r="H19" s="19">
        <f t="shared" si="1"/>
        <v>0</v>
      </c>
      <c r="I19" s="19"/>
      <c r="J19" s="19"/>
      <c r="K19" s="19"/>
      <c r="L19" s="19"/>
    </row>
    <row r="20" spans="1:13" x14ac:dyDescent="0.3">
      <c r="A20" s="4"/>
      <c r="B20" s="5" t="s">
        <v>22</v>
      </c>
      <c r="C20" s="9"/>
      <c r="D20" s="9"/>
      <c r="E20" s="9"/>
      <c r="F20" s="9"/>
      <c r="G20" s="19"/>
      <c r="H20" s="19">
        <f t="shared" si="1"/>
        <v>0</v>
      </c>
      <c r="I20" s="19"/>
      <c r="J20" s="19"/>
      <c r="K20" s="19"/>
      <c r="L20" s="19"/>
    </row>
    <row r="21" spans="1:13" x14ac:dyDescent="0.3">
      <c r="A21" s="38" t="s">
        <v>57</v>
      </c>
      <c r="B21" s="39"/>
      <c r="C21" s="41">
        <f>C22+C23+C24</f>
        <v>28</v>
      </c>
      <c r="D21" s="41">
        <f t="shared" ref="D21:L21" si="2">D22+D23+D24</f>
        <v>16</v>
      </c>
      <c r="E21" s="41">
        <f t="shared" si="2"/>
        <v>16</v>
      </c>
      <c r="F21" s="41">
        <f t="shared" si="2"/>
        <v>16</v>
      </c>
      <c r="G21" s="41"/>
      <c r="H21" s="42">
        <f t="shared" si="2"/>
        <v>5297040</v>
      </c>
      <c r="I21" s="42">
        <f t="shared" si="2"/>
        <v>0</v>
      </c>
      <c r="J21" s="42">
        <f t="shared" si="2"/>
        <v>0</v>
      </c>
      <c r="K21" s="42">
        <f t="shared" si="2"/>
        <v>0</v>
      </c>
      <c r="L21" s="42">
        <f t="shared" si="2"/>
        <v>0</v>
      </c>
    </row>
    <row r="22" spans="1:13" x14ac:dyDescent="0.3">
      <c r="A22" s="4"/>
      <c r="B22" s="5" t="s">
        <v>11</v>
      </c>
      <c r="C22" s="9">
        <v>8.25</v>
      </c>
      <c r="D22" s="9">
        <v>6</v>
      </c>
      <c r="E22" s="9">
        <v>4</v>
      </c>
      <c r="F22" s="9">
        <v>6</v>
      </c>
      <c r="G22" s="19">
        <f>'расчёт зарплаты'!K26</f>
        <v>27300</v>
      </c>
      <c r="H22" s="19">
        <f t="shared" si="1"/>
        <v>1638000</v>
      </c>
      <c r="I22" s="19"/>
      <c r="J22" s="19"/>
      <c r="K22" s="19"/>
      <c r="L22" s="19"/>
    </row>
    <row r="23" spans="1:13" x14ac:dyDescent="0.3">
      <c r="A23" s="4"/>
      <c r="B23" s="5" t="s">
        <v>12</v>
      </c>
      <c r="C23" s="9">
        <v>8.5</v>
      </c>
      <c r="D23" s="9">
        <v>6</v>
      </c>
      <c r="E23" s="9">
        <v>6</v>
      </c>
      <c r="F23" s="9">
        <v>6</v>
      </c>
      <c r="G23" s="19">
        <f>'расчёт зарплаты'!K26</f>
        <v>27300</v>
      </c>
      <c r="H23" s="19">
        <f t="shared" si="1"/>
        <v>1965600</v>
      </c>
      <c r="I23" s="19"/>
      <c r="J23" s="19"/>
      <c r="K23" s="19"/>
      <c r="L23" s="19"/>
    </row>
    <row r="24" spans="1:13" ht="28.2" x14ac:dyDescent="0.3">
      <c r="A24" s="4"/>
      <c r="B24" s="5" t="s">
        <v>19</v>
      </c>
      <c r="C24" s="9">
        <v>11.25</v>
      </c>
      <c r="D24" s="9">
        <v>4</v>
      </c>
      <c r="E24" s="9">
        <v>6</v>
      </c>
      <c r="F24" s="9">
        <v>4</v>
      </c>
      <c r="G24" s="19">
        <f>'расчёт зарплаты'!K40</f>
        <v>28224</v>
      </c>
      <c r="H24" s="19">
        <f t="shared" si="1"/>
        <v>1693440</v>
      </c>
      <c r="I24" s="19"/>
      <c r="J24" s="19"/>
      <c r="K24" s="19"/>
      <c r="L24" s="19"/>
    </row>
    <row r="25" spans="1:13" x14ac:dyDescent="0.3">
      <c r="A25" s="135" t="s">
        <v>23</v>
      </c>
      <c r="B25" s="135"/>
      <c r="C25" s="8">
        <f t="shared" ref="C25:F25" si="3">C26+C33</f>
        <v>37</v>
      </c>
      <c r="D25" s="8">
        <f t="shared" si="3"/>
        <v>30</v>
      </c>
      <c r="E25" s="8">
        <f t="shared" si="3"/>
        <v>23</v>
      </c>
      <c r="F25" s="8">
        <f t="shared" si="3"/>
        <v>30</v>
      </c>
      <c r="G25" s="19"/>
      <c r="H25" s="19">
        <f t="shared" si="1"/>
        <v>0</v>
      </c>
      <c r="I25" s="19"/>
      <c r="J25" s="20">
        <f t="shared" ref="J25:K25" si="4">J26+J33</f>
        <v>13512576</v>
      </c>
      <c r="K25" s="20">
        <f t="shared" si="4"/>
        <v>4080797.952</v>
      </c>
      <c r="L25" s="20">
        <f>L26+L33</f>
        <v>17593373.952</v>
      </c>
    </row>
    <row r="26" spans="1:13" x14ac:dyDescent="0.3">
      <c r="A26" s="136" t="s">
        <v>24</v>
      </c>
      <c r="B26" s="136"/>
      <c r="C26" s="8">
        <f t="shared" ref="C26:F26" si="5">C27+C28+C29+C31+C32</f>
        <v>26.5</v>
      </c>
      <c r="D26" s="8">
        <f t="shared" si="5"/>
        <v>21</v>
      </c>
      <c r="E26" s="8">
        <f t="shared" si="5"/>
        <v>15</v>
      </c>
      <c r="F26" s="8">
        <f t="shared" si="5"/>
        <v>21</v>
      </c>
      <c r="G26" s="20"/>
      <c r="H26" s="20">
        <f>H27+H28+H29+H31+H32+H30</f>
        <v>10377984</v>
      </c>
      <c r="I26" s="20">
        <f t="shared" ref="I26" si="6">I27+I28+I29+I31+I32</f>
        <v>0</v>
      </c>
      <c r="J26" s="20">
        <f>H26</f>
        <v>10377984</v>
      </c>
      <c r="K26" s="20">
        <f>J26*30.2%</f>
        <v>3134151.1680000001</v>
      </c>
      <c r="L26" s="20">
        <f>J26+K26</f>
        <v>13512135.168</v>
      </c>
    </row>
    <row r="27" spans="1:13" x14ac:dyDescent="0.3">
      <c r="A27" s="4"/>
      <c r="B27" s="5" t="s">
        <v>25</v>
      </c>
      <c r="C27" s="9">
        <v>3</v>
      </c>
      <c r="D27" s="9">
        <v>2</v>
      </c>
      <c r="E27" s="9">
        <v>2</v>
      </c>
      <c r="F27" s="9">
        <v>2</v>
      </c>
      <c r="G27" s="19">
        <f>'расчёт зарплаты'!K14</f>
        <v>33792</v>
      </c>
      <c r="H27" s="19">
        <f t="shared" ref="H27:H32" si="7">E27*G27*12+ ((D27-E27)*G27/2*12)</f>
        <v>811008</v>
      </c>
      <c r="I27" s="19"/>
      <c r="J27" s="19"/>
      <c r="K27" s="19"/>
      <c r="L27" s="19"/>
    </row>
    <row r="28" spans="1:13" x14ac:dyDescent="0.3">
      <c r="A28" s="4"/>
      <c r="B28" s="5" t="s">
        <v>26</v>
      </c>
      <c r="C28" s="9"/>
      <c r="D28" s="9"/>
      <c r="E28" s="9"/>
      <c r="F28" s="9"/>
      <c r="G28" s="19">
        <f>'расчёт зарплаты'!K16</f>
        <v>36608</v>
      </c>
      <c r="H28" s="19">
        <f t="shared" si="7"/>
        <v>0</v>
      </c>
      <c r="I28" s="19"/>
      <c r="J28" s="19"/>
      <c r="K28" s="19"/>
      <c r="L28" s="19"/>
    </row>
    <row r="29" spans="1:13" x14ac:dyDescent="0.3">
      <c r="A29" s="4"/>
      <c r="B29" s="5" t="s">
        <v>27</v>
      </c>
      <c r="C29" s="9"/>
      <c r="D29" s="9"/>
      <c r="E29" s="9"/>
      <c r="F29" s="9"/>
      <c r="G29" s="19">
        <f>'расчёт зарплаты'!K18</f>
        <v>39424</v>
      </c>
      <c r="H29" s="19">
        <f t="shared" si="7"/>
        <v>0</v>
      </c>
      <c r="I29" s="19"/>
      <c r="J29" s="19"/>
      <c r="K29" s="19"/>
      <c r="L29" s="19"/>
    </row>
    <row r="30" spans="1:13" x14ac:dyDescent="0.3">
      <c r="A30" s="4"/>
      <c r="B30" s="43" t="s">
        <v>84</v>
      </c>
      <c r="C30" s="10">
        <v>8</v>
      </c>
      <c r="D30" s="10">
        <v>8</v>
      </c>
      <c r="E30" s="10">
        <v>8</v>
      </c>
      <c r="F30" s="10">
        <v>8</v>
      </c>
      <c r="G30" s="36">
        <f>'расчёт зарплаты'!K36</f>
        <v>45056</v>
      </c>
      <c r="H30" s="19">
        <f t="shared" si="7"/>
        <v>4325376</v>
      </c>
      <c r="I30" s="36"/>
      <c r="J30" s="36"/>
      <c r="K30" s="36"/>
      <c r="L30" s="36"/>
    </row>
    <row r="31" spans="1:13" ht="28.2" x14ac:dyDescent="0.3">
      <c r="A31" s="4"/>
      <c r="B31" s="5" t="s">
        <v>28</v>
      </c>
      <c r="C31" s="9">
        <v>8.5</v>
      </c>
      <c r="D31" s="9">
        <v>7</v>
      </c>
      <c r="E31" s="9">
        <v>6</v>
      </c>
      <c r="F31" s="9">
        <v>7</v>
      </c>
      <c r="G31" s="19">
        <f>'расчёт зарплаты'!K26</f>
        <v>27300</v>
      </c>
      <c r="H31" s="19">
        <f t="shared" si="7"/>
        <v>2129400</v>
      </c>
      <c r="I31" s="19"/>
      <c r="J31" s="19"/>
      <c r="K31" s="19"/>
      <c r="L31" s="19"/>
      <c r="M31" s="37"/>
    </row>
    <row r="32" spans="1:13" x14ac:dyDescent="0.3">
      <c r="A32" s="4"/>
      <c r="B32" s="5" t="s">
        <v>29</v>
      </c>
      <c r="C32" s="9">
        <v>15</v>
      </c>
      <c r="D32" s="9">
        <v>12</v>
      </c>
      <c r="E32" s="9">
        <v>7</v>
      </c>
      <c r="F32" s="9">
        <v>12</v>
      </c>
      <c r="G32" s="19">
        <f>'расчёт зарплаты'!K26</f>
        <v>27300</v>
      </c>
      <c r="H32" s="19">
        <f t="shared" si="7"/>
        <v>3112200</v>
      </c>
      <c r="I32" s="19"/>
      <c r="J32" s="19"/>
      <c r="K32" s="19"/>
      <c r="L32" s="19"/>
    </row>
    <row r="33" spans="1:12" x14ac:dyDescent="0.3">
      <c r="A33" s="136" t="s">
        <v>30</v>
      </c>
      <c r="B33" s="136"/>
      <c r="C33" s="8">
        <f t="shared" ref="C33:F33" si="8">C34+C35+C36</f>
        <v>10.5</v>
      </c>
      <c r="D33" s="8">
        <f t="shared" si="8"/>
        <v>9</v>
      </c>
      <c r="E33" s="8">
        <f t="shared" si="8"/>
        <v>8</v>
      </c>
      <c r="F33" s="8">
        <f t="shared" si="8"/>
        <v>9</v>
      </c>
      <c r="G33" s="20"/>
      <c r="H33" s="20">
        <f>H34+H35+H36</f>
        <v>3134592</v>
      </c>
      <c r="I33" s="20">
        <f t="shared" ref="I33" si="9">I34+I35+I36</f>
        <v>0</v>
      </c>
      <c r="J33" s="20">
        <f>H33</f>
        <v>3134592</v>
      </c>
      <c r="K33" s="20">
        <f>J33*30.2%</f>
        <v>946646.78399999999</v>
      </c>
      <c r="L33" s="20">
        <f>J33+K33</f>
        <v>4081238.784</v>
      </c>
    </row>
    <row r="34" spans="1:12" x14ac:dyDescent="0.3">
      <c r="A34" s="4"/>
      <c r="B34" s="5" t="s">
        <v>31</v>
      </c>
      <c r="C34" s="9">
        <v>8</v>
      </c>
      <c r="D34" s="9">
        <v>8</v>
      </c>
      <c r="E34" s="9">
        <v>7</v>
      </c>
      <c r="F34" s="9">
        <v>8</v>
      </c>
      <c r="G34" s="19">
        <f>'расчёт зарплаты'!K34</f>
        <v>30976</v>
      </c>
      <c r="H34" s="19">
        <f t="shared" ref="H34:H36" si="10">E34*G34*12+ ((D34-E34)*G34/2*12)</f>
        <v>2787840</v>
      </c>
      <c r="I34" s="19"/>
      <c r="J34" s="19"/>
      <c r="K34" s="19"/>
      <c r="L34" s="19"/>
    </row>
    <row r="35" spans="1:12" x14ac:dyDescent="0.3">
      <c r="A35" s="4"/>
      <c r="B35" s="5" t="s">
        <v>32</v>
      </c>
      <c r="C35" s="9"/>
      <c r="D35" s="9"/>
      <c r="E35" s="9"/>
      <c r="F35" s="9"/>
      <c r="G35" s="19">
        <f>'расчёт зарплаты'!K38</f>
        <v>28896</v>
      </c>
      <c r="H35" s="19">
        <f t="shared" si="10"/>
        <v>0</v>
      </c>
      <c r="I35" s="19"/>
      <c r="J35" s="19"/>
      <c r="K35" s="19"/>
      <c r="L35" s="19"/>
    </row>
    <row r="36" spans="1:12" x14ac:dyDescent="0.3">
      <c r="A36" s="4"/>
      <c r="B36" s="5" t="s">
        <v>33</v>
      </c>
      <c r="C36" s="9">
        <v>2.5</v>
      </c>
      <c r="D36" s="9">
        <v>1</v>
      </c>
      <c r="E36" s="9">
        <v>1</v>
      </c>
      <c r="F36" s="9">
        <v>1</v>
      </c>
      <c r="G36" s="19">
        <f>'расчёт зарплаты'!K38</f>
        <v>28896</v>
      </c>
      <c r="H36" s="19">
        <f t="shared" si="10"/>
        <v>346752</v>
      </c>
      <c r="I36" s="19"/>
      <c r="J36" s="19"/>
      <c r="K36" s="19"/>
      <c r="L36" s="19"/>
    </row>
    <row r="37" spans="1:12" x14ac:dyDescent="0.3">
      <c r="A37" s="141" t="s">
        <v>60</v>
      </c>
      <c r="B37" s="141"/>
      <c r="C37" s="141"/>
      <c r="D37" s="141"/>
      <c r="E37" s="141"/>
      <c r="F37" s="141"/>
      <c r="G37" s="141"/>
      <c r="H37" s="141"/>
      <c r="I37" s="141"/>
      <c r="J37" s="141"/>
      <c r="K37" s="141"/>
      <c r="L37" s="141"/>
    </row>
    <row r="38" spans="1:12" ht="14.4" customHeight="1" x14ac:dyDescent="0.3">
      <c r="A38" s="133" t="s">
        <v>7</v>
      </c>
      <c r="B38" s="134"/>
      <c r="C38" s="8">
        <f>C39+C56+C52</f>
        <v>79</v>
      </c>
      <c r="D38" s="8">
        <f>D39+D56+D52</f>
        <v>79</v>
      </c>
      <c r="E38" s="8">
        <f>E39+E56+E52</f>
        <v>69</v>
      </c>
      <c r="F38" s="8">
        <f>F39+F56+F52</f>
        <v>69</v>
      </c>
      <c r="G38" s="19"/>
      <c r="H38" s="19"/>
      <c r="I38" s="19"/>
      <c r="J38" s="19"/>
      <c r="K38" s="19"/>
      <c r="L38" s="19"/>
    </row>
    <row r="39" spans="1:12" ht="14.4" customHeight="1" x14ac:dyDescent="0.3">
      <c r="A39" s="133" t="s">
        <v>89</v>
      </c>
      <c r="B39" s="134"/>
      <c r="C39" s="40">
        <f t="shared" ref="C39:G39" si="11">SUM(C40:C51)</f>
        <v>55</v>
      </c>
      <c r="D39" s="40">
        <f t="shared" si="11"/>
        <v>55</v>
      </c>
      <c r="E39" s="40">
        <f t="shared" si="11"/>
        <v>50</v>
      </c>
      <c r="F39" s="40">
        <f t="shared" si="11"/>
        <v>50</v>
      </c>
      <c r="G39" s="40">
        <f t="shared" si="11"/>
        <v>207512</v>
      </c>
      <c r="H39" s="40">
        <f>SUM(H40:H51)</f>
        <v>18118872</v>
      </c>
      <c r="I39" s="20"/>
      <c r="J39" s="20">
        <f>H39-I39</f>
        <v>18118872</v>
      </c>
      <c r="K39" s="20">
        <f>J39*30.2%</f>
        <v>5471899.3439999996</v>
      </c>
      <c r="L39" s="20">
        <f>J39+K39</f>
        <v>23590771.344000001</v>
      </c>
    </row>
    <row r="40" spans="1:12" x14ac:dyDescent="0.3">
      <c r="A40" s="4"/>
      <c r="B40" s="5" t="s">
        <v>9</v>
      </c>
      <c r="C40" s="22">
        <v>30</v>
      </c>
      <c r="D40" s="22">
        <v>30</v>
      </c>
      <c r="E40" s="22">
        <v>30</v>
      </c>
      <c r="F40" s="22">
        <v>30</v>
      </c>
      <c r="G40" s="19">
        <f>'расчёт зарплаты'!K10</f>
        <v>28208</v>
      </c>
      <c r="H40" s="19">
        <f>E40*G40*12+ ((D40-E40)*G40/2*12)</f>
        <v>10154880</v>
      </c>
      <c r="I40" s="19"/>
      <c r="J40" s="19"/>
      <c r="K40" s="19"/>
      <c r="L40" s="19">
        <f>G40*K40*12</f>
        <v>0</v>
      </c>
    </row>
    <row r="41" spans="1:12" x14ac:dyDescent="0.3">
      <c r="A41" s="4"/>
      <c r="B41" s="5" t="s">
        <v>10</v>
      </c>
      <c r="C41" s="22">
        <v>0</v>
      </c>
      <c r="D41" s="22">
        <v>0</v>
      </c>
      <c r="E41" s="22">
        <v>0</v>
      </c>
      <c r="F41" s="22">
        <v>0</v>
      </c>
      <c r="G41" s="19"/>
      <c r="H41" s="19">
        <f t="shared" ref="H41:H56" si="12">E41*G41*12+ ((D41-E41)*G41/2*12)</f>
        <v>0</v>
      </c>
      <c r="I41" s="19"/>
      <c r="J41" s="19"/>
      <c r="K41" s="19"/>
      <c r="L41" s="19"/>
    </row>
    <row r="42" spans="1:12" x14ac:dyDescent="0.3">
      <c r="A42" s="4"/>
      <c r="B42" s="5" t="s">
        <v>13</v>
      </c>
      <c r="C42" s="22">
        <v>5.75</v>
      </c>
      <c r="D42" s="22">
        <v>5.75</v>
      </c>
      <c r="E42" s="22">
        <v>4</v>
      </c>
      <c r="F42" s="22">
        <v>4</v>
      </c>
      <c r="G42" s="19">
        <f>'расчёт зарплаты'!K38</f>
        <v>28896</v>
      </c>
      <c r="H42" s="19">
        <f t="shared" si="12"/>
        <v>1690416</v>
      </c>
      <c r="I42" s="19"/>
      <c r="J42" s="19"/>
      <c r="K42" s="19"/>
      <c r="L42" s="19"/>
    </row>
    <row r="43" spans="1:12" ht="28.2" x14ac:dyDescent="0.3">
      <c r="A43" s="4"/>
      <c r="B43" s="5" t="s">
        <v>14</v>
      </c>
      <c r="C43" s="22"/>
      <c r="D43" s="22"/>
      <c r="E43" s="22"/>
      <c r="F43" s="22"/>
      <c r="G43" s="19"/>
      <c r="H43" s="19">
        <f t="shared" si="12"/>
        <v>0</v>
      </c>
      <c r="I43" s="19"/>
      <c r="J43" s="19"/>
      <c r="K43" s="19"/>
      <c r="L43" s="19"/>
    </row>
    <row r="44" spans="1:12" x14ac:dyDescent="0.3">
      <c r="A44" s="4"/>
      <c r="B44" s="5" t="s">
        <v>15</v>
      </c>
      <c r="C44" s="22">
        <v>6</v>
      </c>
      <c r="D44" s="22">
        <v>6</v>
      </c>
      <c r="E44" s="22">
        <v>3</v>
      </c>
      <c r="F44" s="22">
        <v>3</v>
      </c>
      <c r="G44" s="19">
        <f>'расчёт зарплаты'!K34</f>
        <v>30976</v>
      </c>
      <c r="H44" s="19">
        <f t="shared" si="12"/>
        <v>1672704</v>
      </c>
      <c r="I44" s="19"/>
      <c r="J44" s="19"/>
      <c r="K44" s="19"/>
      <c r="L44" s="19"/>
    </row>
    <row r="45" spans="1:12" x14ac:dyDescent="0.3">
      <c r="A45" s="4"/>
      <c r="B45" s="5" t="s">
        <v>16</v>
      </c>
      <c r="C45" s="22">
        <v>9</v>
      </c>
      <c r="D45" s="22">
        <v>9</v>
      </c>
      <c r="E45" s="22">
        <v>9</v>
      </c>
      <c r="F45" s="22">
        <v>9</v>
      </c>
      <c r="G45" s="19">
        <f>'расчёт зарплаты'!K8</f>
        <v>28600</v>
      </c>
      <c r="H45" s="19">
        <f t="shared" si="12"/>
        <v>3088800</v>
      </c>
      <c r="I45" s="19"/>
      <c r="J45" s="19"/>
      <c r="K45" s="19"/>
      <c r="L45" s="19"/>
    </row>
    <row r="46" spans="1:12" ht="42" x14ac:dyDescent="0.3">
      <c r="A46" s="4"/>
      <c r="B46" s="5" t="s">
        <v>17</v>
      </c>
      <c r="C46" s="22">
        <v>1.25</v>
      </c>
      <c r="D46" s="22">
        <v>1.25</v>
      </c>
      <c r="E46" s="22">
        <v>1</v>
      </c>
      <c r="F46" s="22">
        <v>1</v>
      </c>
      <c r="G46" s="19">
        <f>'расчёт зарплаты'!K10</f>
        <v>28208</v>
      </c>
      <c r="H46" s="19">
        <f t="shared" si="12"/>
        <v>380808</v>
      </c>
      <c r="I46" s="19"/>
      <c r="J46" s="19"/>
      <c r="K46" s="19"/>
      <c r="L46" s="19"/>
    </row>
    <row r="47" spans="1:12" ht="28.2" x14ac:dyDescent="0.3">
      <c r="A47" s="4"/>
      <c r="B47" s="5" t="s">
        <v>18</v>
      </c>
      <c r="C47" s="22">
        <v>2</v>
      </c>
      <c r="D47" s="22">
        <v>2</v>
      </c>
      <c r="E47" s="22">
        <v>2</v>
      </c>
      <c r="F47" s="22">
        <v>2</v>
      </c>
      <c r="G47" s="19">
        <f>'расчёт зарплаты'!K20</f>
        <v>31648</v>
      </c>
      <c r="H47" s="19">
        <f t="shared" si="12"/>
        <v>759552</v>
      </c>
      <c r="I47" s="19"/>
      <c r="J47" s="19"/>
      <c r="K47" s="19"/>
      <c r="L47" s="19"/>
    </row>
    <row r="48" spans="1:12" ht="42" x14ac:dyDescent="0.3">
      <c r="A48" s="4"/>
      <c r="B48" s="5" t="s">
        <v>91</v>
      </c>
      <c r="C48" s="22"/>
      <c r="D48" s="22"/>
      <c r="E48" s="22"/>
      <c r="F48" s="22"/>
      <c r="G48" s="19"/>
      <c r="H48" s="19">
        <f t="shared" si="12"/>
        <v>0</v>
      </c>
      <c r="I48" s="19"/>
      <c r="J48" s="19"/>
      <c r="K48" s="19"/>
      <c r="L48" s="19"/>
    </row>
    <row r="49" spans="1:12" x14ac:dyDescent="0.3">
      <c r="A49" s="4"/>
      <c r="B49" s="5" t="s">
        <v>20</v>
      </c>
      <c r="C49" s="22">
        <v>1</v>
      </c>
      <c r="D49" s="22">
        <v>1</v>
      </c>
      <c r="E49" s="22">
        <v>1</v>
      </c>
      <c r="F49" s="22">
        <v>1</v>
      </c>
      <c r="G49" s="19">
        <f>'расчёт зарплаты'!K34</f>
        <v>30976</v>
      </c>
      <c r="H49" s="19">
        <f t="shared" si="12"/>
        <v>371712</v>
      </c>
      <c r="I49" s="19"/>
      <c r="J49" s="19"/>
      <c r="K49" s="19"/>
      <c r="L49" s="19"/>
    </row>
    <row r="50" spans="1:12" ht="39.6" x14ac:dyDescent="0.3">
      <c r="A50" s="4"/>
      <c r="B50" s="6" t="s">
        <v>21</v>
      </c>
      <c r="C50" s="22"/>
      <c r="D50" s="22"/>
      <c r="E50" s="22"/>
      <c r="F50" s="22"/>
      <c r="G50" s="19"/>
      <c r="H50" s="19">
        <f t="shared" si="12"/>
        <v>0</v>
      </c>
      <c r="I50" s="19"/>
      <c r="J50" s="19"/>
      <c r="K50" s="19"/>
      <c r="L50" s="19"/>
    </row>
    <row r="51" spans="1:12" x14ac:dyDescent="0.3">
      <c r="A51" s="4"/>
      <c r="B51" s="5" t="s">
        <v>22</v>
      </c>
      <c r="C51" s="22"/>
      <c r="D51" s="22"/>
      <c r="E51" s="22"/>
      <c r="F51" s="22"/>
      <c r="G51" s="19"/>
      <c r="H51" s="19">
        <f t="shared" si="12"/>
        <v>0</v>
      </c>
      <c r="I51" s="19"/>
      <c r="J51" s="19"/>
      <c r="K51" s="19"/>
      <c r="L51" s="19"/>
    </row>
    <row r="52" spans="1:12" x14ac:dyDescent="0.3">
      <c r="A52" s="38" t="s">
        <v>57</v>
      </c>
      <c r="B52" s="39"/>
      <c r="C52" s="41">
        <f>C53+C54+C55</f>
        <v>7</v>
      </c>
      <c r="D52" s="41">
        <f t="shared" ref="D52" si="13">D53+D54+D55</f>
        <v>7</v>
      </c>
      <c r="E52" s="41">
        <f t="shared" ref="E52" si="14">E53+E54+E55</f>
        <v>5</v>
      </c>
      <c r="F52" s="41">
        <f t="shared" ref="F52" si="15">F53+F54+F55</f>
        <v>5</v>
      </c>
      <c r="G52" s="41"/>
      <c r="H52" s="42">
        <f t="shared" ref="H52" si="16">H53+H54+H55</f>
        <v>1991934</v>
      </c>
      <c r="I52" s="42">
        <f t="shared" ref="I52" si="17">I53+I54+I55</f>
        <v>0</v>
      </c>
      <c r="J52" s="42">
        <f t="shared" ref="J52" si="18">J53+J54+J55</f>
        <v>0</v>
      </c>
      <c r="K52" s="42">
        <f t="shared" ref="K52" si="19">K53+K54+K55</f>
        <v>0</v>
      </c>
      <c r="L52" s="42">
        <f t="shared" ref="L52" si="20">L53+L54+L55</f>
        <v>0</v>
      </c>
    </row>
    <row r="53" spans="1:12" x14ac:dyDescent="0.3">
      <c r="A53" s="4"/>
      <c r="B53" s="5" t="s">
        <v>11</v>
      </c>
      <c r="C53" s="9">
        <v>1.25</v>
      </c>
      <c r="D53" s="9">
        <v>1.25</v>
      </c>
      <c r="E53" s="9">
        <v>0</v>
      </c>
      <c r="F53" s="9">
        <v>0</v>
      </c>
      <c r="G53" s="19">
        <f>'расчёт зарплаты'!K26</f>
        <v>27300</v>
      </c>
      <c r="H53" s="19">
        <f t="shared" si="12"/>
        <v>204750</v>
      </c>
      <c r="I53" s="19"/>
      <c r="J53" s="19"/>
      <c r="K53" s="19"/>
      <c r="L53" s="19"/>
    </row>
    <row r="54" spans="1:12" x14ac:dyDescent="0.3">
      <c r="A54" s="4"/>
      <c r="B54" s="5" t="s">
        <v>12</v>
      </c>
      <c r="C54" s="9">
        <v>3</v>
      </c>
      <c r="D54" s="9">
        <v>3</v>
      </c>
      <c r="E54" s="9">
        <v>3</v>
      </c>
      <c r="F54" s="9">
        <v>3</v>
      </c>
      <c r="G54" s="19">
        <f>'расчёт зарплаты'!K26</f>
        <v>27300</v>
      </c>
      <c r="H54" s="19">
        <f t="shared" si="12"/>
        <v>982800</v>
      </c>
      <c r="I54" s="19"/>
      <c r="J54" s="19"/>
      <c r="K54" s="19"/>
      <c r="L54" s="19"/>
    </row>
    <row r="55" spans="1:12" ht="28.2" x14ac:dyDescent="0.3">
      <c r="A55" s="4"/>
      <c r="B55" s="5" t="s">
        <v>19</v>
      </c>
      <c r="C55" s="9">
        <v>2.75</v>
      </c>
      <c r="D55" s="9">
        <v>2.75</v>
      </c>
      <c r="E55" s="9">
        <v>2</v>
      </c>
      <c r="F55" s="9">
        <v>2</v>
      </c>
      <c r="G55" s="19">
        <f>'расчёт зарплаты'!K40</f>
        <v>28224</v>
      </c>
      <c r="H55" s="19">
        <f t="shared" si="12"/>
        <v>804384</v>
      </c>
      <c r="I55" s="19"/>
      <c r="J55" s="19"/>
      <c r="K55" s="19"/>
      <c r="L55" s="19"/>
    </row>
    <row r="56" spans="1:12" x14ac:dyDescent="0.3">
      <c r="A56" s="135" t="s">
        <v>23</v>
      </c>
      <c r="B56" s="135"/>
      <c r="C56" s="21">
        <f t="shared" ref="C56:F56" si="21">C57+C63</f>
        <v>17</v>
      </c>
      <c r="D56" s="21">
        <f t="shared" si="21"/>
        <v>17</v>
      </c>
      <c r="E56" s="21">
        <f t="shared" si="21"/>
        <v>14</v>
      </c>
      <c r="F56" s="21">
        <f t="shared" si="21"/>
        <v>14</v>
      </c>
      <c r="G56" s="19"/>
      <c r="H56" s="19">
        <f t="shared" si="12"/>
        <v>0</v>
      </c>
      <c r="I56" s="19"/>
      <c r="J56" s="20">
        <f t="shared" ref="J56:K56" si="22">J57+J63</f>
        <v>5348406</v>
      </c>
      <c r="K56" s="20">
        <f t="shared" si="22"/>
        <v>1615218.612</v>
      </c>
      <c r="L56" s="20">
        <f>L57+L63</f>
        <v>6963624.6119999997</v>
      </c>
    </row>
    <row r="57" spans="1:12" x14ac:dyDescent="0.3">
      <c r="A57" s="136" t="s">
        <v>24</v>
      </c>
      <c r="B57" s="136"/>
      <c r="C57" s="21">
        <f t="shared" ref="C57:F57" si="23">C58+C59+C60+C61+C62</f>
        <v>11.5</v>
      </c>
      <c r="D57" s="21">
        <f t="shared" si="23"/>
        <v>11.5</v>
      </c>
      <c r="E57" s="21">
        <f t="shared" si="23"/>
        <v>9</v>
      </c>
      <c r="F57" s="21">
        <f t="shared" si="23"/>
        <v>9</v>
      </c>
      <c r="G57" s="20"/>
      <c r="H57" s="20">
        <f>H58+H59+H60+H61+H62</f>
        <v>3453078</v>
      </c>
      <c r="I57" s="20">
        <f t="shared" ref="I57" si="24">I58+I59+I60+I61+I62</f>
        <v>0</v>
      </c>
      <c r="J57" s="20">
        <f>H57</f>
        <v>3453078</v>
      </c>
      <c r="K57" s="20">
        <f>J57*30.2%</f>
        <v>1042829.556</v>
      </c>
      <c r="L57" s="20">
        <f>J57+K57</f>
        <v>4495907.5559999999</v>
      </c>
    </row>
    <row r="58" spans="1:12" x14ac:dyDescent="0.3">
      <c r="A58" s="4"/>
      <c r="B58" s="5" t="s">
        <v>25</v>
      </c>
      <c r="C58" s="22">
        <v>3</v>
      </c>
      <c r="D58" s="22">
        <v>3</v>
      </c>
      <c r="E58" s="22">
        <v>2</v>
      </c>
      <c r="F58" s="22">
        <v>2</v>
      </c>
      <c r="G58" s="19">
        <f>'расчёт зарплаты'!K14</f>
        <v>33792</v>
      </c>
      <c r="H58" s="19">
        <f t="shared" ref="H58:H62" si="25">E58*G58*12+ ((D58-E58)*G58/2*12)</f>
        <v>1013760</v>
      </c>
      <c r="I58" s="19"/>
      <c r="J58" s="19"/>
      <c r="K58" s="19"/>
      <c r="L58" s="19"/>
    </row>
    <row r="59" spans="1:12" x14ac:dyDescent="0.3">
      <c r="A59" s="4"/>
      <c r="B59" s="5" t="s">
        <v>26</v>
      </c>
      <c r="C59" s="22"/>
      <c r="D59" s="22"/>
      <c r="E59" s="22"/>
      <c r="F59" s="22"/>
      <c r="G59" s="19"/>
      <c r="H59" s="19">
        <f t="shared" si="25"/>
        <v>0</v>
      </c>
      <c r="I59" s="19"/>
      <c r="J59" s="19"/>
      <c r="K59" s="19"/>
      <c r="L59" s="19"/>
    </row>
    <row r="60" spans="1:12" x14ac:dyDescent="0.3">
      <c r="A60" s="4"/>
      <c r="B60" s="5" t="s">
        <v>27</v>
      </c>
      <c r="C60" s="22">
        <v>1</v>
      </c>
      <c r="D60" s="22">
        <v>1</v>
      </c>
      <c r="E60" s="22">
        <v>1</v>
      </c>
      <c r="F60" s="22">
        <v>1</v>
      </c>
      <c r="G60" s="19">
        <f>'расчёт зарплаты'!K18</f>
        <v>39424</v>
      </c>
      <c r="H60" s="19">
        <f t="shared" si="25"/>
        <v>473088</v>
      </c>
      <c r="I60" s="19"/>
      <c r="J60" s="19"/>
      <c r="K60" s="19"/>
      <c r="L60" s="19"/>
    </row>
    <row r="61" spans="1:12" ht="28.2" x14ac:dyDescent="0.3">
      <c r="A61" s="4"/>
      <c r="B61" s="5" t="s">
        <v>28</v>
      </c>
      <c r="C61" s="22">
        <v>4.25</v>
      </c>
      <c r="D61" s="22">
        <v>4.25</v>
      </c>
      <c r="E61" s="22">
        <v>3</v>
      </c>
      <c r="F61" s="22">
        <v>3</v>
      </c>
      <c r="G61" s="19">
        <f>'расчёт зарплаты'!K26</f>
        <v>27300</v>
      </c>
      <c r="H61" s="19">
        <f t="shared" si="25"/>
        <v>1187550</v>
      </c>
      <c r="I61" s="19"/>
      <c r="J61" s="19"/>
      <c r="K61" s="19"/>
      <c r="L61" s="19"/>
    </row>
    <row r="62" spans="1:12" x14ac:dyDescent="0.3">
      <c r="A62" s="4"/>
      <c r="B62" s="5" t="s">
        <v>29</v>
      </c>
      <c r="C62" s="22">
        <v>3.25</v>
      </c>
      <c r="D62" s="22">
        <v>3.25</v>
      </c>
      <c r="E62" s="22">
        <v>3</v>
      </c>
      <c r="F62" s="22">
        <v>3</v>
      </c>
      <c r="G62" s="19">
        <v>20764.8</v>
      </c>
      <c r="H62" s="19">
        <f t="shared" si="25"/>
        <v>778679.99999999988</v>
      </c>
      <c r="I62" s="19"/>
      <c r="J62" s="19"/>
      <c r="K62" s="19"/>
      <c r="L62" s="19"/>
    </row>
    <row r="63" spans="1:12" x14ac:dyDescent="0.3">
      <c r="A63" s="136" t="s">
        <v>30</v>
      </c>
      <c r="B63" s="136"/>
      <c r="C63" s="21">
        <f t="shared" ref="C63:F63" si="26">C64+C65+C66</f>
        <v>5.5</v>
      </c>
      <c r="D63" s="21">
        <f t="shared" si="26"/>
        <v>5.5</v>
      </c>
      <c r="E63" s="21">
        <f t="shared" si="26"/>
        <v>5</v>
      </c>
      <c r="F63" s="21">
        <f t="shared" si="26"/>
        <v>5</v>
      </c>
      <c r="G63" s="20"/>
      <c r="H63" s="20">
        <f>H64+H65+H66</f>
        <v>1895328</v>
      </c>
      <c r="I63" s="20">
        <f t="shared" ref="I63" si="27">I64+I65+I66</f>
        <v>0</v>
      </c>
      <c r="J63" s="20">
        <f>H63</f>
        <v>1895328</v>
      </c>
      <c r="K63" s="20">
        <f>J63*30.2%</f>
        <v>572389.05599999998</v>
      </c>
      <c r="L63" s="20">
        <f>J63+K63</f>
        <v>2467717.0559999999</v>
      </c>
    </row>
    <row r="64" spans="1:12" x14ac:dyDescent="0.3">
      <c r="A64" s="4"/>
      <c r="B64" s="5" t="s">
        <v>31</v>
      </c>
      <c r="C64" s="22">
        <v>3</v>
      </c>
      <c r="D64" s="22">
        <v>3</v>
      </c>
      <c r="E64" s="22">
        <v>3</v>
      </c>
      <c r="F64" s="22">
        <v>3</v>
      </c>
      <c r="G64" s="19">
        <f>'расчёт зарплаты'!K34</f>
        <v>30976</v>
      </c>
      <c r="H64" s="19">
        <f t="shared" ref="H64:H66" si="28">E64*G64*12+ ((D64-E64)*G64/2*12)</f>
        <v>1115136</v>
      </c>
      <c r="I64" s="19"/>
      <c r="J64" s="19"/>
      <c r="K64" s="19"/>
      <c r="L64" s="19"/>
    </row>
    <row r="65" spans="1:12" x14ac:dyDescent="0.3">
      <c r="A65" s="4"/>
      <c r="B65" s="5" t="s">
        <v>32</v>
      </c>
      <c r="C65" s="22">
        <v>0</v>
      </c>
      <c r="D65" s="22">
        <v>0</v>
      </c>
      <c r="E65" s="22">
        <v>0</v>
      </c>
      <c r="F65" s="22">
        <v>0</v>
      </c>
      <c r="G65" s="19"/>
      <c r="H65" s="19">
        <f t="shared" si="28"/>
        <v>0</v>
      </c>
      <c r="I65" s="19"/>
      <c r="J65" s="19"/>
      <c r="K65" s="19"/>
      <c r="L65" s="19"/>
    </row>
    <row r="66" spans="1:12" x14ac:dyDescent="0.3">
      <c r="A66" s="4"/>
      <c r="B66" s="5" t="s">
        <v>33</v>
      </c>
      <c r="C66" s="22">
        <v>2.5</v>
      </c>
      <c r="D66" s="22">
        <v>2.5</v>
      </c>
      <c r="E66" s="22">
        <v>2</v>
      </c>
      <c r="F66" s="22">
        <v>2</v>
      </c>
      <c r="G66" s="19">
        <f>'расчёт зарплаты'!K38</f>
        <v>28896</v>
      </c>
      <c r="H66" s="19">
        <f t="shared" si="28"/>
        <v>780192</v>
      </c>
      <c r="I66" s="19"/>
      <c r="J66" s="19"/>
      <c r="K66" s="19"/>
      <c r="L66" s="19"/>
    </row>
    <row r="67" spans="1:12" x14ac:dyDescent="0.3">
      <c r="A67" s="141" t="s">
        <v>61</v>
      </c>
      <c r="B67" s="141"/>
      <c r="C67" s="141"/>
      <c r="D67" s="141"/>
      <c r="E67" s="141"/>
      <c r="F67" s="141"/>
      <c r="G67" s="141"/>
      <c r="H67" s="141"/>
      <c r="I67" s="141"/>
      <c r="J67" s="141"/>
      <c r="K67" s="141"/>
      <c r="L67" s="141"/>
    </row>
    <row r="68" spans="1:12" ht="14.4" customHeight="1" x14ac:dyDescent="0.3">
      <c r="A68" s="133" t="s">
        <v>7</v>
      </c>
      <c r="B68" s="134"/>
      <c r="C68" s="8">
        <f>C69+C86+C82</f>
        <v>86.5</v>
      </c>
      <c r="D68" s="8">
        <f>D69+D86+D82</f>
        <v>83</v>
      </c>
      <c r="E68" s="8">
        <f>E69+E86+E82</f>
        <v>73</v>
      </c>
      <c r="F68" s="8">
        <f>F69+F86+F82</f>
        <v>75</v>
      </c>
      <c r="G68" s="19"/>
      <c r="H68" s="19"/>
      <c r="I68" s="19"/>
      <c r="J68" s="19"/>
      <c r="K68" s="19"/>
      <c r="L68" s="19"/>
    </row>
    <row r="69" spans="1:12" ht="14.4" customHeight="1" x14ac:dyDescent="0.3">
      <c r="A69" s="133" t="s">
        <v>89</v>
      </c>
      <c r="B69" s="134"/>
      <c r="C69" s="8">
        <f>SUM(C70:C83)</f>
        <v>81.5</v>
      </c>
      <c r="D69" s="8">
        <f t="shared" ref="D69:F69" si="29">SUM(D70:D83)</f>
        <v>78</v>
      </c>
      <c r="E69" s="8">
        <f t="shared" si="29"/>
        <v>68</v>
      </c>
      <c r="F69" s="8">
        <f t="shared" si="29"/>
        <v>70</v>
      </c>
      <c r="G69" s="8"/>
      <c r="H69" s="40">
        <f>SUM(H70:H83)</f>
        <v>25370246.399999999</v>
      </c>
      <c r="I69" s="20"/>
      <c r="J69" s="20">
        <f>H69-I69</f>
        <v>25370246.399999999</v>
      </c>
      <c r="K69" s="20">
        <f>J69*30.2%</f>
        <v>7661814.4127999991</v>
      </c>
      <c r="L69" s="20">
        <f>J69+K69</f>
        <v>33032060.812799998</v>
      </c>
    </row>
    <row r="70" spans="1:12" x14ac:dyDescent="0.3">
      <c r="A70" s="4"/>
      <c r="B70" s="5" t="s">
        <v>9</v>
      </c>
      <c r="C70" s="24">
        <v>23.75</v>
      </c>
      <c r="D70" s="24">
        <v>22</v>
      </c>
      <c r="E70" s="24">
        <v>17</v>
      </c>
      <c r="F70" s="24">
        <v>19</v>
      </c>
      <c r="G70" s="19">
        <f>'расчёт зарплаты'!K10</f>
        <v>28208</v>
      </c>
      <c r="H70" s="19">
        <f>E70*G70*12+ ((D70-E70)*G70/2*12)</f>
        <v>6600672</v>
      </c>
      <c r="I70" s="19"/>
      <c r="J70" s="19"/>
      <c r="K70" s="19"/>
      <c r="L70" s="19">
        <f>G70*K70*12</f>
        <v>0</v>
      </c>
    </row>
    <row r="71" spans="1:12" ht="28.2" x14ac:dyDescent="0.3">
      <c r="A71" s="4"/>
      <c r="B71" s="5" t="s">
        <v>79</v>
      </c>
      <c r="C71" s="24">
        <v>19</v>
      </c>
      <c r="D71" s="24">
        <v>19</v>
      </c>
      <c r="E71" s="24">
        <v>19</v>
      </c>
      <c r="F71" s="24">
        <v>19</v>
      </c>
      <c r="G71" s="19">
        <f>'расчёт зарплаты'!K12</f>
        <v>30960</v>
      </c>
      <c r="H71" s="19">
        <f t="shared" ref="H71:H74" si="30">E71*G71*12+ ((D71-E71)*G71/2*12)</f>
        <v>7058880</v>
      </c>
      <c r="I71" s="19"/>
      <c r="J71" s="19"/>
      <c r="K71" s="19"/>
      <c r="L71" s="19"/>
    </row>
    <row r="72" spans="1:12" x14ac:dyDescent="0.3">
      <c r="A72" s="4"/>
      <c r="B72" s="5" t="s">
        <v>10</v>
      </c>
      <c r="C72" s="24">
        <v>1.5</v>
      </c>
      <c r="D72" s="24">
        <v>1.5</v>
      </c>
      <c r="E72" s="24">
        <v>0</v>
      </c>
      <c r="F72" s="24">
        <v>0</v>
      </c>
      <c r="G72" s="19">
        <f>'расчёт зарплаты'!K20</f>
        <v>31648</v>
      </c>
      <c r="H72" s="19">
        <f t="shared" si="30"/>
        <v>284832</v>
      </c>
      <c r="I72" s="19"/>
      <c r="J72" s="19"/>
      <c r="K72" s="19"/>
      <c r="L72" s="19"/>
    </row>
    <row r="73" spans="1:12" x14ac:dyDescent="0.3">
      <c r="A73" s="4"/>
      <c r="B73" s="5" t="s">
        <v>80</v>
      </c>
      <c r="C73" s="24">
        <v>2.25</v>
      </c>
      <c r="D73" s="24">
        <v>0.5</v>
      </c>
      <c r="E73" s="24">
        <v>2</v>
      </c>
      <c r="F73" s="24">
        <v>2</v>
      </c>
      <c r="G73" s="19">
        <f>'расчёт зарплаты'!K22</f>
        <v>32384</v>
      </c>
      <c r="H73" s="19">
        <f t="shared" si="30"/>
        <v>485760</v>
      </c>
      <c r="I73" s="19"/>
      <c r="J73" s="19"/>
      <c r="K73" s="19"/>
      <c r="L73" s="19"/>
    </row>
    <row r="74" spans="1:12" x14ac:dyDescent="0.3">
      <c r="A74" s="4"/>
      <c r="B74" s="5" t="s">
        <v>13</v>
      </c>
      <c r="C74" s="24">
        <v>6.5</v>
      </c>
      <c r="D74" s="24">
        <v>6.5</v>
      </c>
      <c r="E74" s="24">
        <v>6</v>
      </c>
      <c r="F74" s="24">
        <v>6</v>
      </c>
      <c r="G74" s="19">
        <v>21971.84</v>
      </c>
      <c r="H74" s="19">
        <f t="shared" si="30"/>
        <v>1647888</v>
      </c>
      <c r="I74" s="19"/>
      <c r="J74" s="19"/>
      <c r="K74" s="19"/>
      <c r="L74" s="19"/>
    </row>
    <row r="75" spans="1:12" ht="28.2" x14ac:dyDescent="0.3">
      <c r="A75" s="4"/>
      <c r="B75" s="5" t="s">
        <v>14</v>
      </c>
      <c r="C75" s="24"/>
      <c r="D75" s="24"/>
      <c r="E75" s="24"/>
      <c r="F75" s="24"/>
      <c r="G75" s="19"/>
      <c r="H75" s="19">
        <f t="shared" ref="H75:H82" si="31">E75*G75*12+ ((D75-E75)*G75/2*12)</f>
        <v>0</v>
      </c>
      <c r="I75" s="19"/>
      <c r="J75" s="19"/>
      <c r="K75" s="19"/>
      <c r="L75" s="19"/>
    </row>
    <row r="76" spans="1:12" x14ac:dyDescent="0.3">
      <c r="A76" s="4"/>
      <c r="B76" s="5" t="s">
        <v>15</v>
      </c>
      <c r="C76" s="24">
        <v>9</v>
      </c>
      <c r="D76" s="24">
        <v>9</v>
      </c>
      <c r="E76" s="24">
        <v>5</v>
      </c>
      <c r="F76" s="24">
        <v>5</v>
      </c>
      <c r="G76" s="19">
        <f>'расчёт зарплаты'!K34</f>
        <v>30976</v>
      </c>
      <c r="H76" s="19">
        <f t="shared" si="31"/>
        <v>2601984</v>
      </c>
      <c r="I76" s="19"/>
      <c r="J76" s="19"/>
      <c r="K76" s="19"/>
      <c r="L76" s="19"/>
    </row>
    <row r="77" spans="1:12" x14ac:dyDescent="0.3">
      <c r="A77" s="4"/>
      <c r="B77" s="5" t="s">
        <v>16</v>
      </c>
      <c r="C77" s="24">
        <v>12</v>
      </c>
      <c r="D77" s="24">
        <v>12</v>
      </c>
      <c r="E77" s="24">
        <v>12</v>
      </c>
      <c r="F77" s="24">
        <v>12</v>
      </c>
      <c r="G77" s="19">
        <f>'расчёт зарплаты'!K8</f>
        <v>28600</v>
      </c>
      <c r="H77" s="19">
        <f t="shared" si="31"/>
        <v>4118400</v>
      </c>
      <c r="I77" s="19"/>
      <c r="J77" s="19"/>
      <c r="K77" s="19"/>
      <c r="L77" s="19"/>
    </row>
    <row r="78" spans="1:12" ht="42" x14ac:dyDescent="0.3">
      <c r="A78" s="4"/>
      <c r="B78" s="5" t="s">
        <v>17</v>
      </c>
      <c r="C78" s="24">
        <v>3.5</v>
      </c>
      <c r="D78" s="24">
        <v>3.5</v>
      </c>
      <c r="E78" s="24">
        <v>3</v>
      </c>
      <c r="F78" s="24">
        <v>3</v>
      </c>
      <c r="G78" s="19">
        <f>'расчёт зарплаты'!K10</f>
        <v>28208</v>
      </c>
      <c r="H78" s="19">
        <f t="shared" si="31"/>
        <v>1100112</v>
      </c>
      <c r="I78" s="19"/>
      <c r="J78" s="19"/>
      <c r="K78" s="19"/>
      <c r="L78" s="19"/>
    </row>
    <row r="79" spans="1:12" ht="28.2" x14ac:dyDescent="0.3">
      <c r="A79" s="4"/>
      <c r="B79" s="5" t="s">
        <v>18</v>
      </c>
      <c r="C79" s="24">
        <v>3</v>
      </c>
      <c r="D79" s="24">
        <v>3</v>
      </c>
      <c r="E79" s="24">
        <v>3</v>
      </c>
      <c r="F79" s="24">
        <v>3</v>
      </c>
      <c r="G79" s="19">
        <v>25862.400000000001</v>
      </c>
      <c r="H79" s="19">
        <f t="shared" si="31"/>
        <v>931046.40000000014</v>
      </c>
      <c r="I79" s="19"/>
      <c r="J79" s="19"/>
      <c r="K79" s="19"/>
      <c r="L79" s="19"/>
    </row>
    <row r="80" spans="1:12" ht="42" x14ac:dyDescent="0.3">
      <c r="A80" s="4"/>
      <c r="B80" s="5" t="s">
        <v>91</v>
      </c>
      <c r="C80" s="24"/>
      <c r="D80" s="24"/>
      <c r="E80" s="24"/>
      <c r="F80" s="24"/>
      <c r="G80" s="19"/>
      <c r="H80" s="19">
        <f t="shared" si="31"/>
        <v>0</v>
      </c>
      <c r="I80" s="19"/>
      <c r="J80" s="19"/>
      <c r="K80" s="19"/>
      <c r="L80" s="19"/>
    </row>
    <row r="81" spans="1:12" x14ac:dyDescent="0.3">
      <c r="A81" s="4"/>
      <c r="B81" s="5" t="s">
        <v>20</v>
      </c>
      <c r="C81" s="24"/>
      <c r="D81" s="24"/>
      <c r="E81" s="24"/>
      <c r="F81" s="24"/>
      <c r="G81" s="19"/>
      <c r="H81" s="19">
        <f t="shared" si="31"/>
        <v>0</v>
      </c>
      <c r="I81" s="19"/>
      <c r="J81" s="19"/>
      <c r="K81" s="19"/>
      <c r="L81" s="19"/>
    </row>
    <row r="82" spans="1:12" ht="39.6" x14ac:dyDescent="0.3">
      <c r="A82" s="4"/>
      <c r="B82" s="6" t="s">
        <v>21</v>
      </c>
      <c r="C82" s="24">
        <v>1</v>
      </c>
      <c r="D82" s="24">
        <v>1</v>
      </c>
      <c r="E82" s="24">
        <v>1</v>
      </c>
      <c r="F82" s="24">
        <v>1</v>
      </c>
      <c r="G82" s="19">
        <f>'расчёт зарплаты'!K44</f>
        <v>45056</v>
      </c>
      <c r="H82" s="19">
        <f t="shared" si="31"/>
        <v>540672</v>
      </c>
      <c r="I82" s="19"/>
      <c r="J82" s="19"/>
      <c r="K82" s="19"/>
      <c r="L82" s="19"/>
    </row>
    <row r="83" spans="1:12" x14ac:dyDescent="0.3">
      <c r="A83" s="4"/>
      <c r="B83" s="5" t="s">
        <v>22</v>
      </c>
      <c r="C83" s="24"/>
      <c r="D83" s="24"/>
      <c r="E83" s="24"/>
      <c r="F83" s="24"/>
      <c r="G83" s="19"/>
      <c r="H83" s="19">
        <f t="shared" ref="H83" si="32">E83*G83*12</f>
        <v>0</v>
      </c>
      <c r="I83" s="19"/>
      <c r="J83" s="19"/>
      <c r="K83" s="19"/>
      <c r="L83" s="19"/>
    </row>
    <row r="84" spans="1:12" x14ac:dyDescent="0.3">
      <c r="A84" s="38" t="s">
        <v>57</v>
      </c>
      <c r="B84" s="39"/>
      <c r="C84" s="41">
        <f>C85+C86+C87</f>
        <v>15.5</v>
      </c>
      <c r="D84" s="41">
        <f t="shared" ref="D84" si="33">D85+D86+D87</f>
        <v>14.5</v>
      </c>
      <c r="E84" s="41">
        <f t="shared" ref="E84" si="34">E85+E86+E87</f>
        <v>11</v>
      </c>
      <c r="F84" s="41">
        <f t="shared" ref="F84" si="35">F85+F86+F87</f>
        <v>11</v>
      </c>
      <c r="G84" s="41"/>
      <c r="H84" s="42">
        <f t="shared" ref="H84" si="36">H85+H86+H87</f>
        <v>4237884</v>
      </c>
      <c r="I84" s="42">
        <f t="shared" ref="I84" si="37">I85+I86+I87</f>
        <v>0</v>
      </c>
      <c r="J84" s="42">
        <f t="shared" ref="J84" si="38">J85+J86+J87</f>
        <v>0</v>
      </c>
      <c r="K84" s="42">
        <f t="shared" ref="K84" si="39">K85+K86+K87</f>
        <v>0</v>
      </c>
      <c r="L84" s="42">
        <f t="shared" ref="L84" si="40">L85+L86+L87</f>
        <v>0</v>
      </c>
    </row>
    <row r="85" spans="1:12" x14ac:dyDescent="0.3">
      <c r="A85" s="4"/>
      <c r="B85" s="5" t="s">
        <v>11</v>
      </c>
      <c r="C85" s="9">
        <v>3.5</v>
      </c>
      <c r="D85" s="9">
        <v>3.5</v>
      </c>
      <c r="E85" s="9">
        <v>3</v>
      </c>
      <c r="F85" s="9">
        <v>3</v>
      </c>
      <c r="G85" s="19">
        <f>'расчёт зарплаты'!K26</f>
        <v>27300</v>
      </c>
      <c r="H85" s="19">
        <f t="shared" ref="H85:H88" si="41">E85*G85*12+ ((D85-E85)*G85/2*12)</f>
        <v>1064700</v>
      </c>
      <c r="I85" s="19"/>
      <c r="J85" s="19"/>
      <c r="K85" s="19"/>
      <c r="L85" s="19"/>
    </row>
    <row r="86" spans="1:12" x14ac:dyDescent="0.3">
      <c r="A86" s="4"/>
      <c r="B86" s="5" t="s">
        <v>12</v>
      </c>
      <c r="C86" s="9">
        <v>4</v>
      </c>
      <c r="D86" s="9">
        <v>4</v>
      </c>
      <c r="E86" s="9">
        <v>4</v>
      </c>
      <c r="F86" s="9">
        <v>4</v>
      </c>
      <c r="G86" s="19">
        <f>'расчёт зарплаты'!K26</f>
        <v>27300</v>
      </c>
      <c r="H86" s="19">
        <f t="shared" si="41"/>
        <v>1310400</v>
      </c>
      <c r="I86" s="19"/>
      <c r="J86" s="19"/>
      <c r="K86" s="19"/>
      <c r="L86" s="19"/>
    </row>
    <row r="87" spans="1:12" ht="28.2" x14ac:dyDescent="0.3">
      <c r="A87" s="4"/>
      <c r="B87" s="5" t="s">
        <v>19</v>
      </c>
      <c r="C87" s="24">
        <v>8</v>
      </c>
      <c r="D87" s="24">
        <v>7</v>
      </c>
      <c r="E87" s="24">
        <v>4</v>
      </c>
      <c r="F87" s="24">
        <v>4</v>
      </c>
      <c r="G87" s="19">
        <f>'расчёт зарплаты'!K40</f>
        <v>28224</v>
      </c>
      <c r="H87" s="19">
        <f t="shared" si="41"/>
        <v>1862784</v>
      </c>
      <c r="I87" s="19"/>
      <c r="J87" s="19"/>
      <c r="K87" s="19"/>
      <c r="L87" s="19"/>
    </row>
    <row r="88" spans="1:12" x14ac:dyDescent="0.3">
      <c r="A88" s="135" t="s">
        <v>23</v>
      </c>
      <c r="B88" s="135"/>
      <c r="C88" s="23">
        <f t="shared" ref="C88:F88" si="42">C89+C95</f>
        <v>18.75</v>
      </c>
      <c r="D88" s="23">
        <f t="shared" si="42"/>
        <v>18.5</v>
      </c>
      <c r="E88" s="23">
        <f t="shared" si="42"/>
        <v>15</v>
      </c>
      <c r="F88" s="23">
        <f t="shared" si="42"/>
        <v>15</v>
      </c>
      <c r="G88" s="19"/>
      <c r="H88" s="19">
        <f t="shared" si="41"/>
        <v>0</v>
      </c>
      <c r="I88" s="19"/>
      <c r="J88" s="20">
        <f t="shared" ref="J88:K88" si="43">J89+J95</f>
        <v>5651190</v>
      </c>
      <c r="K88" s="20">
        <f t="shared" si="43"/>
        <v>1706659.38</v>
      </c>
      <c r="L88" s="20">
        <f>L89+L95</f>
        <v>7357849.3799999999</v>
      </c>
    </row>
    <row r="89" spans="1:12" x14ac:dyDescent="0.3">
      <c r="A89" s="136" t="s">
        <v>24</v>
      </c>
      <c r="B89" s="136"/>
      <c r="C89" s="23">
        <f t="shared" ref="C89:E89" si="44">C90+C91+C92+C93+C94</f>
        <v>11.25</v>
      </c>
      <c r="D89" s="23">
        <f t="shared" si="44"/>
        <v>11.25</v>
      </c>
      <c r="E89" s="23">
        <f t="shared" si="44"/>
        <v>11</v>
      </c>
      <c r="F89" s="23">
        <f>F90+F91+F92+F93+F94</f>
        <v>11</v>
      </c>
      <c r="G89" s="20"/>
      <c r="H89" s="20">
        <f>H90+H91+H92+H93+H94</f>
        <v>3644550</v>
      </c>
      <c r="I89" s="20">
        <f t="shared" ref="I89" si="45">I90+I91+I92+I93+I94</f>
        <v>0</v>
      </c>
      <c r="J89" s="20">
        <f>H89</f>
        <v>3644550</v>
      </c>
      <c r="K89" s="20">
        <f>J89*30.2%</f>
        <v>1100654.0999999999</v>
      </c>
      <c r="L89" s="20">
        <f>J89+K89</f>
        <v>4745204.0999999996</v>
      </c>
    </row>
    <row r="90" spans="1:12" x14ac:dyDescent="0.3">
      <c r="A90" s="4"/>
      <c r="B90" s="5" t="s">
        <v>25</v>
      </c>
      <c r="C90" s="24"/>
      <c r="D90" s="24"/>
      <c r="E90" s="24"/>
      <c r="F90" s="24"/>
      <c r="G90" s="19"/>
      <c r="H90" s="19">
        <f t="shared" ref="H90:H94" si="46">E90*G90*12+ ((D90-E90)*G90/2*12)</f>
        <v>0</v>
      </c>
      <c r="I90" s="19"/>
      <c r="J90" s="19"/>
      <c r="K90" s="19"/>
      <c r="L90" s="19"/>
    </row>
    <row r="91" spans="1:12" x14ac:dyDescent="0.3">
      <c r="A91" s="4"/>
      <c r="B91" s="5" t="s">
        <v>26</v>
      </c>
      <c r="C91" s="24"/>
      <c r="D91" s="24"/>
      <c r="E91" s="24"/>
      <c r="F91" s="24"/>
      <c r="G91" s="19"/>
      <c r="H91" s="19">
        <f t="shared" si="46"/>
        <v>0</v>
      </c>
      <c r="I91" s="19"/>
      <c r="J91" s="19"/>
      <c r="K91" s="19"/>
      <c r="L91" s="19"/>
    </row>
    <row r="92" spans="1:12" x14ac:dyDescent="0.3">
      <c r="A92" s="4"/>
      <c r="B92" s="5" t="s">
        <v>27</v>
      </c>
      <c r="C92" s="24"/>
      <c r="D92" s="24"/>
      <c r="E92" s="24"/>
      <c r="F92" s="24"/>
      <c r="G92" s="19"/>
      <c r="H92" s="19">
        <f t="shared" si="46"/>
        <v>0</v>
      </c>
      <c r="I92" s="19"/>
      <c r="J92" s="19"/>
      <c r="K92" s="19"/>
      <c r="L92" s="19"/>
    </row>
    <row r="93" spans="1:12" ht="28.2" x14ac:dyDescent="0.3">
      <c r="A93" s="4"/>
      <c r="B93" s="5" t="s">
        <v>28</v>
      </c>
      <c r="C93" s="24">
        <v>4</v>
      </c>
      <c r="D93" s="24">
        <v>4</v>
      </c>
      <c r="E93" s="24">
        <v>4</v>
      </c>
      <c r="F93" s="24">
        <v>4</v>
      </c>
      <c r="G93" s="19">
        <f>'расчёт зарплаты'!K26</f>
        <v>27300</v>
      </c>
      <c r="H93" s="19">
        <f t="shared" si="46"/>
        <v>1310400</v>
      </c>
      <c r="I93" s="19"/>
      <c r="J93" s="19"/>
      <c r="K93" s="19"/>
      <c r="L93" s="19"/>
    </row>
    <row r="94" spans="1:12" x14ac:dyDescent="0.3">
      <c r="A94" s="4"/>
      <c r="B94" s="5" t="s">
        <v>29</v>
      </c>
      <c r="C94" s="24">
        <v>7.25</v>
      </c>
      <c r="D94" s="24">
        <v>7.25</v>
      </c>
      <c r="E94" s="24">
        <v>7</v>
      </c>
      <c r="F94" s="24">
        <v>7</v>
      </c>
      <c r="G94" s="19">
        <f>'расчёт зарплаты'!K26</f>
        <v>27300</v>
      </c>
      <c r="H94" s="19">
        <f t="shared" si="46"/>
        <v>2334150</v>
      </c>
      <c r="I94" s="19"/>
      <c r="J94" s="19"/>
      <c r="K94" s="19"/>
      <c r="L94" s="19"/>
    </row>
    <row r="95" spans="1:12" x14ac:dyDescent="0.3">
      <c r="A95" s="136" t="s">
        <v>30</v>
      </c>
      <c r="B95" s="136"/>
      <c r="C95" s="23">
        <f t="shared" ref="C95:E95" si="47">C96+C97+C98</f>
        <v>7.5</v>
      </c>
      <c r="D95" s="23">
        <f t="shared" si="47"/>
        <v>7.25</v>
      </c>
      <c r="E95" s="23">
        <f t="shared" si="47"/>
        <v>4</v>
      </c>
      <c r="F95" s="23">
        <f>F96+F97+F98</f>
        <v>4</v>
      </c>
      <c r="G95" s="20"/>
      <c r="H95" s="20">
        <f>H96+H97+H98</f>
        <v>2006640</v>
      </c>
      <c r="I95" s="20">
        <f t="shared" ref="I95" si="48">I96+I97+I98</f>
        <v>0</v>
      </c>
      <c r="J95" s="20">
        <f>H95</f>
        <v>2006640</v>
      </c>
      <c r="K95" s="20">
        <f>J95*30.2%</f>
        <v>606005.28</v>
      </c>
      <c r="L95" s="20">
        <f>J95+K95</f>
        <v>2612645.2800000003</v>
      </c>
    </row>
    <row r="96" spans="1:12" x14ac:dyDescent="0.3">
      <c r="A96" s="4"/>
      <c r="B96" s="5" t="s">
        <v>31</v>
      </c>
      <c r="C96" s="24">
        <v>2.5</v>
      </c>
      <c r="D96" s="24">
        <v>2.5</v>
      </c>
      <c r="E96" s="24">
        <v>2</v>
      </c>
      <c r="F96" s="24">
        <v>2</v>
      </c>
      <c r="G96" s="19">
        <f>'расчёт зарплаты'!K34</f>
        <v>30976</v>
      </c>
      <c r="H96" s="19">
        <f t="shared" ref="H96:H98" si="49">E96*G96*12+ ((D96-E96)*G96/2*12)</f>
        <v>836352</v>
      </c>
      <c r="I96" s="19"/>
      <c r="J96" s="19"/>
      <c r="K96" s="19"/>
      <c r="L96" s="19"/>
    </row>
    <row r="97" spans="1:12" x14ac:dyDescent="0.3">
      <c r="A97" s="4"/>
      <c r="B97" s="5" t="s">
        <v>32</v>
      </c>
      <c r="C97" s="24"/>
      <c r="D97" s="24"/>
      <c r="E97" s="24"/>
      <c r="F97" s="24"/>
      <c r="G97" s="19"/>
      <c r="H97" s="19">
        <f t="shared" si="49"/>
        <v>0</v>
      </c>
      <c r="I97" s="19"/>
      <c r="J97" s="19"/>
      <c r="K97" s="19"/>
      <c r="L97" s="19"/>
    </row>
    <row r="98" spans="1:12" x14ac:dyDescent="0.3">
      <c r="A98" s="4"/>
      <c r="B98" s="5" t="s">
        <v>33</v>
      </c>
      <c r="C98" s="24">
        <v>5</v>
      </c>
      <c r="D98" s="24">
        <v>4.75</v>
      </c>
      <c r="E98" s="24">
        <v>2</v>
      </c>
      <c r="F98" s="24">
        <v>2</v>
      </c>
      <c r="G98" s="19">
        <f>'расчёт зарплаты'!K38</f>
        <v>28896</v>
      </c>
      <c r="H98" s="19">
        <f t="shared" si="49"/>
        <v>1170288</v>
      </c>
      <c r="I98" s="19"/>
      <c r="J98" s="19"/>
      <c r="K98" s="19"/>
      <c r="L98" s="19"/>
    </row>
    <row r="99" spans="1:12" x14ac:dyDescent="0.3">
      <c r="A99" s="141" t="s">
        <v>62</v>
      </c>
      <c r="B99" s="141"/>
      <c r="C99" s="141"/>
      <c r="D99" s="141"/>
      <c r="E99" s="141"/>
      <c r="F99" s="141"/>
      <c r="G99" s="141"/>
      <c r="H99" s="141"/>
      <c r="I99" s="141"/>
      <c r="J99" s="141"/>
      <c r="K99" s="141"/>
      <c r="L99" s="141"/>
    </row>
    <row r="100" spans="1:12" ht="14.4" customHeight="1" x14ac:dyDescent="0.3">
      <c r="A100" s="133" t="s">
        <v>7</v>
      </c>
      <c r="B100" s="134"/>
      <c r="C100" s="8">
        <f>C101+C118+C114</f>
        <v>82.25</v>
      </c>
      <c r="D100" s="8">
        <f>D101+D118+D114</f>
        <v>78.25</v>
      </c>
      <c r="E100" s="8">
        <f>E101+E118+E114</f>
        <v>58</v>
      </c>
      <c r="F100" s="8">
        <f>F101+F118+F114</f>
        <v>58</v>
      </c>
      <c r="G100" s="19"/>
      <c r="H100" s="19"/>
      <c r="I100" s="19"/>
      <c r="J100" s="19"/>
      <c r="K100" s="19"/>
      <c r="L100" s="19"/>
    </row>
    <row r="101" spans="1:12" ht="14.4" customHeight="1" x14ac:dyDescent="0.3">
      <c r="A101" s="133" t="s">
        <v>89</v>
      </c>
      <c r="B101" s="134"/>
      <c r="C101" s="40">
        <f t="shared" ref="C101:G101" si="50">SUM(C102:C113)</f>
        <v>59.5</v>
      </c>
      <c r="D101" s="40">
        <f t="shared" si="50"/>
        <v>58</v>
      </c>
      <c r="E101" s="40">
        <f t="shared" si="50"/>
        <v>48</v>
      </c>
      <c r="F101" s="40">
        <f t="shared" si="50"/>
        <v>48</v>
      </c>
      <c r="G101" s="40">
        <f t="shared" si="50"/>
        <v>176536</v>
      </c>
      <c r="H101" s="40">
        <f>SUM(H102:H113)</f>
        <v>18287769.600000001</v>
      </c>
      <c r="I101" s="20"/>
      <c r="J101" s="20">
        <f>H101-I101</f>
        <v>18287769.600000001</v>
      </c>
      <c r="K101" s="20">
        <f>J101*30.2%</f>
        <v>5522906.4192000004</v>
      </c>
      <c r="L101" s="20">
        <f>J101+K101</f>
        <v>23810676.019200001</v>
      </c>
    </row>
    <row r="102" spans="1:12" x14ac:dyDescent="0.3">
      <c r="A102" s="4"/>
      <c r="B102" s="5" t="s">
        <v>9</v>
      </c>
      <c r="C102" s="26">
        <v>32.5</v>
      </c>
      <c r="D102" s="26">
        <v>32.5</v>
      </c>
      <c r="E102" s="26">
        <v>24.8</v>
      </c>
      <c r="F102" s="26">
        <v>25</v>
      </c>
      <c r="G102" s="19">
        <f>'расчёт зарплаты'!K10</f>
        <v>28208</v>
      </c>
      <c r="H102" s="19">
        <f>E102*G102*12+ ((D102-E102)*G102/2*12)</f>
        <v>9697910.4000000004</v>
      </c>
      <c r="I102" s="19"/>
      <c r="J102" s="19"/>
      <c r="K102" s="19"/>
      <c r="L102" s="19">
        <f>G102*K102*12</f>
        <v>0</v>
      </c>
    </row>
    <row r="103" spans="1:12" x14ac:dyDescent="0.3">
      <c r="A103" s="4"/>
      <c r="B103" s="5" t="s">
        <v>10</v>
      </c>
      <c r="C103" s="26"/>
      <c r="D103" s="26"/>
      <c r="E103" s="26"/>
      <c r="F103" s="26"/>
      <c r="G103" s="19"/>
      <c r="H103" s="19">
        <f t="shared" ref="H103:H112" si="51">E103*G103*12+ ((D103-E103)*G103/2*12)</f>
        <v>0</v>
      </c>
      <c r="I103" s="19"/>
      <c r="J103" s="19"/>
      <c r="K103" s="19"/>
      <c r="L103" s="19"/>
    </row>
    <row r="104" spans="1:12" x14ac:dyDescent="0.3">
      <c r="A104" s="4"/>
      <c r="B104" s="5" t="s">
        <v>13</v>
      </c>
      <c r="C104" s="26">
        <v>4.5</v>
      </c>
      <c r="D104" s="26">
        <v>4.5</v>
      </c>
      <c r="E104" s="26">
        <v>3.7</v>
      </c>
      <c r="F104" s="26">
        <v>4</v>
      </c>
      <c r="G104" s="19">
        <f>'расчёт зарплаты'!K38</f>
        <v>28896</v>
      </c>
      <c r="H104" s="19">
        <f t="shared" si="51"/>
        <v>1421683.2000000002</v>
      </c>
      <c r="I104" s="19"/>
      <c r="J104" s="19"/>
      <c r="K104" s="19"/>
      <c r="L104" s="19"/>
    </row>
    <row r="105" spans="1:12" ht="28.2" x14ac:dyDescent="0.3">
      <c r="A105" s="4"/>
      <c r="B105" s="5" t="s">
        <v>14</v>
      </c>
      <c r="C105" s="26"/>
      <c r="D105" s="26"/>
      <c r="E105" s="26"/>
      <c r="F105" s="26"/>
      <c r="G105" s="19"/>
      <c r="H105" s="19">
        <f t="shared" si="51"/>
        <v>0</v>
      </c>
      <c r="I105" s="19"/>
      <c r="J105" s="19"/>
      <c r="K105" s="19"/>
      <c r="L105" s="19"/>
    </row>
    <row r="106" spans="1:12" x14ac:dyDescent="0.3">
      <c r="A106" s="4"/>
      <c r="B106" s="5" t="s">
        <v>15</v>
      </c>
      <c r="C106" s="26">
        <v>7</v>
      </c>
      <c r="D106" s="26">
        <v>7</v>
      </c>
      <c r="E106" s="26">
        <v>6</v>
      </c>
      <c r="F106" s="26">
        <v>6</v>
      </c>
      <c r="G106" s="19">
        <f>'расчёт зарплаты'!K34</f>
        <v>30976</v>
      </c>
      <c r="H106" s="19">
        <f t="shared" si="51"/>
        <v>2416128</v>
      </c>
      <c r="I106" s="19"/>
      <c r="J106" s="19"/>
      <c r="K106" s="19"/>
      <c r="L106" s="19"/>
    </row>
    <row r="107" spans="1:12" x14ac:dyDescent="0.3">
      <c r="A107" s="4"/>
      <c r="B107" s="5" t="s">
        <v>16</v>
      </c>
      <c r="C107" s="26">
        <v>12</v>
      </c>
      <c r="D107" s="26">
        <v>12</v>
      </c>
      <c r="E107" s="26">
        <v>12</v>
      </c>
      <c r="F107" s="26">
        <v>12</v>
      </c>
      <c r="G107" s="19">
        <f>'расчёт зарплаты'!K8</f>
        <v>28600</v>
      </c>
      <c r="H107" s="19">
        <f t="shared" si="51"/>
        <v>4118400</v>
      </c>
      <c r="I107" s="19"/>
      <c r="J107" s="19"/>
      <c r="K107" s="19"/>
      <c r="L107" s="19"/>
    </row>
    <row r="108" spans="1:12" ht="42" x14ac:dyDescent="0.3">
      <c r="A108" s="4"/>
      <c r="B108" s="5" t="s">
        <v>17</v>
      </c>
      <c r="C108" s="26">
        <v>2.5</v>
      </c>
      <c r="D108" s="26">
        <v>1</v>
      </c>
      <c r="E108" s="26">
        <v>0.5</v>
      </c>
      <c r="F108" s="26">
        <v>0</v>
      </c>
      <c r="G108" s="19">
        <f>'расчёт зарплаты'!K10</f>
        <v>28208</v>
      </c>
      <c r="H108" s="19">
        <f t="shared" si="51"/>
        <v>253872</v>
      </c>
      <c r="I108" s="19"/>
      <c r="J108" s="19"/>
      <c r="K108" s="19"/>
      <c r="L108" s="19"/>
    </row>
    <row r="109" spans="1:12" ht="28.2" x14ac:dyDescent="0.3">
      <c r="A109" s="4"/>
      <c r="B109" s="5" t="s">
        <v>18</v>
      </c>
      <c r="C109" s="26">
        <v>1</v>
      </c>
      <c r="D109" s="26">
        <v>1</v>
      </c>
      <c r="E109" s="26">
        <v>1</v>
      </c>
      <c r="F109" s="26">
        <v>1</v>
      </c>
      <c r="G109" s="19">
        <f>'расчёт зарплаты'!K20</f>
        <v>31648</v>
      </c>
      <c r="H109" s="19">
        <f t="shared" si="51"/>
        <v>379776</v>
      </c>
      <c r="I109" s="19"/>
      <c r="J109" s="19"/>
      <c r="K109" s="19"/>
      <c r="L109" s="19"/>
    </row>
    <row r="110" spans="1:12" ht="42" x14ac:dyDescent="0.3">
      <c r="A110" s="4"/>
      <c r="B110" s="5" t="s">
        <v>91</v>
      </c>
      <c r="C110" s="26"/>
      <c r="D110" s="26"/>
      <c r="E110" s="26"/>
      <c r="F110" s="26"/>
      <c r="G110" s="19"/>
      <c r="H110" s="19">
        <f t="shared" si="51"/>
        <v>0</v>
      </c>
      <c r="I110" s="19"/>
      <c r="J110" s="19"/>
      <c r="K110" s="19"/>
      <c r="L110" s="19"/>
    </row>
    <row r="111" spans="1:12" x14ac:dyDescent="0.3">
      <c r="A111" s="4"/>
      <c r="B111" s="5" t="s">
        <v>20</v>
      </c>
      <c r="C111" s="26"/>
      <c r="D111" s="26"/>
      <c r="E111" s="26"/>
      <c r="F111" s="26"/>
      <c r="G111" s="19"/>
      <c r="H111" s="19">
        <f t="shared" si="51"/>
        <v>0</v>
      </c>
      <c r="I111" s="19"/>
      <c r="J111" s="19"/>
      <c r="K111" s="19"/>
      <c r="L111" s="19"/>
    </row>
    <row r="112" spans="1:12" ht="39.6" x14ac:dyDescent="0.3">
      <c r="A112" s="4"/>
      <c r="B112" s="6" t="s">
        <v>21</v>
      </c>
      <c r="C112" s="26"/>
      <c r="D112" s="26"/>
      <c r="E112" s="26"/>
      <c r="F112" s="26"/>
      <c r="G112" s="19"/>
      <c r="H112" s="19">
        <f t="shared" si="51"/>
        <v>0</v>
      </c>
      <c r="I112" s="19"/>
      <c r="J112" s="19"/>
      <c r="K112" s="19"/>
      <c r="L112" s="19"/>
    </row>
    <row r="113" spans="1:12" x14ac:dyDescent="0.3">
      <c r="A113" s="4"/>
      <c r="B113" s="5" t="s">
        <v>22</v>
      </c>
      <c r="C113" s="26"/>
      <c r="D113" s="26"/>
      <c r="E113" s="26"/>
      <c r="F113" s="26"/>
      <c r="G113" s="19"/>
      <c r="H113" s="19">
        <f t="shared" ref="H113" si="52">E113*G113*12</f>
        <v>0</v>
      </c>
      <c r="I113" s="19"/>
      <c r="J113" s="19"/>
      <c r="K113" s="19"/>
      <c r="L113" s="19"/>
    </row>
    <row r="114" spans="1:12" x14ac:dyDescent="0.3">
      <c r="A114" s="38" t="s">
        <v>57</v>
      </c>
      <c r="B114" s="39"/>
      <c r="C114" s="41">
        <f>C115+C116+C117</f>
        <v>9</v>
      </c>
      <c r="D114" s="41">
        <f t="shared" ref="D114" si="53">D115+D116+D117</f>
        <v>9</v>
      </c>
      <c r="E114" s="41">
        <f t="shared" ref="E114" si="54">E115+E116+E117</f>
        <v>6</v>
      </c>
      <c r="F114" s="41">
        <f t="shared" ref="F114" si="55">F115+F116+F117</f>
        <v>6</v>
      </c>
      <c r="G114" s="41"/>
      <c r="H114" s="42">
        <f t="shared" ref="H114" si="56">H115+H116+H117</f>
        <v>2495808</v>
      </c>
      <c r="I114" s="42">
        <f t="shared" ref="I114" si="57">I115+I116+I117</f>
        <v>0</v>
      </c>
      <c r="J114" s="42">
        <f t="shared" ref="J114" si="58">J115+J116+J117</f>
        <v>0</v>
      </c>
      <c r="K114" s="42">
        <f t="shared" ref="K114" si="59">K115+K116+K117</f>
        <v>0</v>
      </c>
      <c r="L114" s="42">
        <f t="shared" ref="L114" si="60">L115+L116+L117</f>
        <v>0</v>
      </c>
    </row>
    <row r="115" spans="1:12" x14ac:dyDescent="0.3">
      <c r="A115" s="4"/>
      <c r="B115" s="5" t="s">
        <v>11</v>
      </c>
      <c r="C115" s="9">
        <v>1.5</v>
      </c>
      <c r="D115" s="9">
        <v>1.5</v>
      </c>
      <c r="E115" s="9">
        <v>0</v>
      </c>
      <c r="F115" s="9">
        <v>0</v>
      </c>
      <c r="G115" s="19">
        <f>'расчёт зарплаты'!K26</f>
        <v>27300</v>
      </c>
      <c r="H115" s="19">
        <f t="shared" ref="H115:H118" si="61">E115*G115*12+ ((D115-E115)*G115/2*12)</f>
        <v>245700</v>
      </c>
      <c r="I115" s="19"/>
      <c r="J115" s="19"/>
      <c r="K115" s="19"/>
      <c r="L115" s="19"/>
    </row>
    <row r="116" spans="1:12" x14ac:dyDescent="0.3">
      <c r="A116" s="4"/>
      <c r="B116" s="5" t="s">
        <v>12</v>
      </c>
      <c r="C116" s="9">
        <v>3.5</v>
      </c>
      <c r="D116" s="9">
        <v>3.5</v>
      </c>
      <c r="E116" s="9">
        <v>3</v>
      </c>
      <c r="F116" s="9">
        <v>3</v>
      </c>
      <c r="G116" s="19">
        <f>'расчёт зарплаты'!K26</f>
        <v>27300</v>
      </c>
      <c r="H116" s="19">
        <f t="shared" si="61"/>
        <v>1064700</v>
      </c>
      <c r="I116" s="19"/>
      <c r="J116" s="19"/>
      <c r="K116" s="19"/>
      <c r="L116" s="19"/>
    </row>
    <row r="117" spans="1:12" ht="28.2" x14ac:dyDescent="0.3">
      <c r="A117" s="4"/>
      <c r="B117" s="5" t="s">
        <v>19</v>
      </c>
      <c r="C117" s="9">
        <v>4</v>
      </c>
      <c r="D117" s="9">
        <v>4</v>
      </c>
      <c r="E117" s="9">
        <v>3</v>
      </c>
      <c r="F117" s="9">
        <v>3</v>
      </c>
      <c r="G117" s="19">
        <f>'расчёт зарплаты'!K40</f>
        <v>28224</v>
      </c>
      <c r="H117" s="19">
        <f t="shared" si="61"/>
        <v>1185408</v>
      </c>
      <c r="I117" s="19"/>
      <c r="J117" s="19"/>
      <c r="K117" s="19"/>
      <c r="L117" s="19"/>
    </row>
    <row r="118" spans="1:12" x14ac:dyDescent="0.3">
      <c r="A118" s="135" t="s">
        <v>23</v>
      </c>
      <c r="B118" s="135"/>
      <c r="C118" s="25">
        <f t="shared" ref="C118:F118" si="62">C119+C125</f>
        <v>13.75</v>
      </c>
      <c r="D118" s="25">
        <f t="shared" si="62"/>
        <v>11.25</v>
      </c>
      <c r="E118" s="25">
        <f t="shared" si="62"/>
        <v>4</v>
      </c>
      <c r="F118" s="25">
        <f t="shared" si="62"/>
        <v>4</v>
      </c>
      <c r="G118" s="19"/>
      <c r="H118" s="19">
        <f t="shared" si="61"/>
        <v>0</v>
      </c>
      <c r="I118" s="19"/>
      <c r="J118" s="20">
        <f t="shared" ref="J118:K118" si="63">J119+J125</f>
        <v>2519496</v>
      </c>
      <c r="K118" s="20">
        <f t="shared" si="63"/>
        <v>760887.7919999999</v>
      </c>
      <c r="L118" s="20">
        <f>L119+L125</f>
        <v>3280383.7919999999</v>
      </c>
    </row>
    <row r="119" spans="1:12" x14ac:dyDescent="0.3">
      <c r="A119" s="136" t="s">
        <v>24</v>
      </c>
      <c r="B119" s="136"/>
      <c r="C119" s="25">
        <f t="shared" ref="C119:F119" si="64">C120+C121+C122+C123+C124</f>
        <v>11.5</v>
      </c>
      <c r="D119" s="25">
        <f t="shared" si="64"/>
        <v>10</v>
      </c>
      <c r="E119" s="25">
        <f t="shared" si="64"/>
        <v>3</v>
      </c>
      <c r="F119" s="25">
        <f t="shared" si="64"/>
        <v>3</v>
      </c>
      <c r="G119" s="20"/>
      <c r="H119" s="20">
        <f>H120+H121+H122+H123+H124</f>
        <v>2129400</v>
      </c>
      <c r="I119" s="20">
        <f t="shared" ref="I119" si="65">I120+I121+I122+I123+I124</f>
        <v>0</v>
      </c>
      <c r="J119" s="20">
        <f>H119</f>
        <v>2129400</v>
      </c>
      <c r="K119" s="20">
        <f>J119*30.2%</f>
        <v>643078.79999999993</v>
      </c>
      <c r="L119" s="20">
        <f>J119+K119</f>
        <v>2772478.8</v>
      </c>
    </row>
    <row r="120" spans="1:12" x14ac:dyDescent="0.3">
      <c r="A120" s="4"/>
      <c r="B120" s="5" t="s">
        <v>25</v>
      </c>
      <c r="C120" s="26"/>
      <c r="D120" s="26"/>
      <c r="E120" s="26"/>
      <c r="F120" s="26"/>
      <c r="G120" s="19"/>
      <c r="H120" s="19">
        <f t="shared" ref="H120:H122" si="66">E120*G120*12+ ((D120-E120)*G120/2*12)</f>
        <v>0</v>
      </c>
      <c r="I120" s="19"/>
      <c r="J120" s="19"/>
      <c r="K120" s="19"/>
      <c r="L120" s="19"/>
    </row>
    <row r="121" spans="1:12" x14ac:dyDescent="0.3">
      <c r="A121" s="4"/>
      <c r="B121" s="5" t="s">
        <v>26</v>
      </c>
      <c r="C121" s="26"/>
      <c r="D121" s="26"/>
      <c r="E121" s="26"/>
      <c r="F121" s="26"/>
      <c r="G121" s="19"/>
      <c r="H121" s="19">
        <f t="shared" si="66"/>
        <v>0</v>
      </c>
      <c r="I121" s="19"/>
      <c r="J121" s="19"/>
      <c r="K121" s="19"/>
      <c r="L121" s="19"/>
    </row>
    <row r="122" spans="1:12" x14ac:dyDescent="0.3">
      <c r="A122" s="4"/>
      <c r="B122" s="5" t="s">
        <v>27</v>
      </c>
      <c r="C122" s="26"/>
      <c r="D122" s="26"/>
      <c r="E122" s="26"/>
      <c r="F122" s="26"/>
      <c r="G122" s="19"/>
      <c r="H122" s="19">
        <f t="shared" si="66"/>
        <v>0</v>
      </c>
      <c r="I122" s="19"/>
      <c r="J122" s="19"/>
      <c r="K122" s="19"/>
      <c r="L122" s="19"/>
    </row>
    <row r="123" spans="1:12" ht="28.2" x14ac:dyDescent="0.3">
      <c r="A123" s="4"/>
      <c r="B123" s="5" t="s">
        <v>28</v>
      </c>
      <c r="C123" s="26">
        <v>5</v>
      </c>
      <c r="D123" s="26">
        <v>5</v>
      </c>
      <c r="E123" s="26">
        <v>1</v>
      </c>
      <c r="F123" s="26">
        <v>1</v>
      </c>
      <c r="G123" s="19">
        <f>'расчёт зарплаты'!K26</f>
        <v>27300</v>
      </c>
      <c r="H123" s="19">
        <f t="shared" ref="H123:H124" si="67">E123*G123*12+ ((D123-E123)*G123/2*12)</f>
        <v>982800</v>
      </c>
      <c r="I123" s="19"/>
      <c r="J123" s="19"/>
      <c r="K123" s="19"/>
      <c r="L123" s="19"/>
    </row>
    <row r="124" spans="1:12" x14ac:dyDescent="0.3">
      <c r="A124" s="4"/>
      <c r="B124" s="5" t="s">
        <v>29</v>
      </c>
      <c r="C124" s="26">
        <v>6.5</v>
      </c>
      <c r="D124" s="26">
        <v>5</v>
      </c>
      <c r="E124" s="26">
        <v>2</v>
      </c>
      <c r="F124" s="26">
        <v>2</v>
      </c>
      <c r="G124" s="19">
        <f>'расчёт зарплаты'!K26</f>
        <v>27300</v>
      </c>
      <c r="H124" s="19">
        <f t="shared" si="67"/>
        <v>1146600</v>
      </c>
      <c r="I124" s="19"/>
      <c r="J124" s="19"/>
      <c r="K124" s="19"/>
      <c r="L124" s="19"/>
    </row>
    <row r="125" spans="1:12" ht="32.25" customHeight="1" x14ac:dyDescent="0.3">
      <c r="A125" s="136" t="s">
        <v>30</v>
      </c>
      <c r="B125" s="136"/>
      <c r="C125" s="25">
        <f t="shared" ref="C125:F125" si="68">C126+C127+C128</f>
        <v>2.25</v>
      </c>
      <c r="D125" s="25">
        <f t="shared" si="68"/>
        <v>1.25</v>
      </c>
      <c r="E125" s="25">
        <f t="shared" si="68"/>
        <v>1</v>
      </c>
      <c r="F125" s="25">
        <f t="shared" si="68"/>
        <v>1</v>
      </c>
      <c r="G125" s="20"/>
      <c r="H125" s="20">
        <f>H126+H127+H128</f>
        <v>390096</v>
      </c>
      <c r="I125" s="20">
        <f t="shared" ref="I125" si="69">I126+I127+I128</f>
        <v>0</v>
      </c>
      <c r="J125" s="20">
        <f>H125</f>
        <v>390096</v>
      </c>
      <c r="K125" s="20">
        <f>J125*30.2%</f>
        <v>117808.992</v>
      </c>
      <c r="L125" s="20">
        <f>J125+K125</f>
        <v>507904.99199999997</v>
      </c>
    </row>
    <row r="126" spans="1:12" x14ac:dyDescent="0.3">
      <c r="A126" s="4"/>
      <c r="B126" s="5" t="s">
        <v>31</v>
      </c>
      <c r="C126" s="26">
        <v>1</v>
      </c>
      <c r="D126" s="26">
        <v>0</v>
      </c>
      <c r="E126" s="26">
        <v>0</v>
      </c>
      <c r="F126" s="26">
        <v>0</v>
      </c>
      <c r="G126" s="19">
        <f>'расчёт зарплаты'!K34</f>
        <v>30976</v>
      </c>
      <c r="H126" s="19">
        <f t="shared" ref="H126:H128" si="70">E126*G126*12+ ((D126-E126)*G126/2*12)</f>
        <v>0</v>
      </c>
      <c r="I126" s="19"/>
      <c r="J126" s="19"/>
      <c r="K126" s="19"/>
      <c r="L126" s="19"/>
    </row>
    <row r="127" spans="1:12" x14ac:dyDescent="0.3">
      <c r="A127" s="4"/>
      <c r="B127" s="5" t="s">
        <v>32</v>
      </c>
      <c r="C127" s="26"/>
      <c r="D127" s="26"/>
      <c r="E127" s="26"/>
      <c r="F127" s="26"/>
      <c r="G127" s="19"/>
      <c r="H127" s="19">
        <f t="shared" si="70"/>
        <v>0</v>
      </c>
      <c r="I127" s="19"/>
      <c r="J127" s="19"/>
      <c r="K127" s="19"/>
      <c r="L127" s="19"/>
    </row>
    <row r="128" spans="1:12" x14ac:dyDescent="0.3">
      <c r="A128" s="4"/>
      <c r="B128" s="5" t="s">
        <v>33</v>
      </c>
      <c r="C128" s="26">
        <v>1.25</v>
      </c>
      <c r="D128" s="26">
        <v>1.25</v>
      </c>
      <c r="E128" s="26">
        <v>1</v>
      </c>
      <c r="F128" s="26">
        <v>1</v>
      </c>
      <c r="G128" s="19">
        <f>'расчёт зарплаты'!K38</f>
        <v>28896</v>
      </c>
      <c r="H128" s="19">
        <f t="shared" si="70"/>
        <v>390096</v>
      </c>
      <c r="I128" s="19"/>
      <c r="J128" s="19"/>
      <c r="K128" s="19"/>
      <c r="L128" s="19"/>
    </row>
    <row r="129" spans="1:12" x14ac:dyDescent="0.3">
      <c r="A129" s="141" t="s">
        <v>63</v>
      </c>
      <c r="B129" s="141"/>
      <c r="C129" s="141"/>
      <c r="D129" s="141"/>
      <c r="E129" s="141"/>
      <c r="F129" s="141"/>
      <c r="G129" s="141"/>
      <c r="H129" s="141"/>
      <c r="I129" s="141"/>
      <c r="J129" s="141"/>
      <c r="K129" s="141"/>
      <c r="L129" s="141"/>
    </row>
    <row r="130" spans="1:12" ht="14.4" customHeight="1" x14ac:dyDescent="0.3">
      <c r="A130" s="133" t="s">
        <v>7</v>
      </c>
      <c r="B130" s="134"/>
      <c r="C130" s="8">
        <f>C131+C148+C144</f>
        <v>42</v>
      </c>
      <c r="D130" s="8">
        <f>D131+D148+D144</f>
        <v>41.5</v>
      </c>
      <c r="E130" s="8">
        <f>E131+E148+E144</f>
        <v>42</v>
      </c>
      <c r="F130" s="8">
        <f>F131+F148+F144</f>
        <v>40</v>
      </c>
      <c r="G130" s="19"/>
      <c r="H130" s="19"/>
      <c r="I130" s="19"/>
      <c r="J130" s="19"/>
      <c r="K130" s="19"/>
      <c r="L130" s="19"/>
    </row>
    <row r="131" spans="1:12" ht="14.4" customHeight="1" x14ac:dyDescent="0.3">
      <c r="A131" s="133" t="s">
        <v>89</v>
      </c>
      <c r="B131" s="134"/>
      <c r="C131" s="40">
        <f t="shared" ref="C131:G131" si="71">SUM(C132:C143)</f>
        <v>29.75</v>
      </c>
      <c r="D131" s="40">
        <f t="shared" si="71"/>
        <v>29.75</v>
      </c>
      <c r="E131" s="40">
        <f t="shared" si="71"/>
        <v>30</v>
      </c>
      <c r="F131" s="40">
        <f t="shared" si="71"/>
        <v>29</v>
      </c>
      <c r="G131" s="40">
        <f t="shared" si="71"/>
        <v>173784</v>
      </c>
      <c r="H131" s="40">
        <f>SUM(H132:H143)</f>
        <v>10305648</v>
      </c>
      <c r="I131" s="20"/>
      <c r="J131" s="20">
        <f>H131-I131</f>
        <v>10305648</v>
      </c>
      <c r="K131" s="20">
        <f>J131*30.2%</f>
        <v>3112305.696</v>
      </c>
      <c r="L131" s="20">
        <f>J131+K131</f>
        <v>13417953.696</v>
      </c>
    </row>
    <row r="132" spans="1:12" x14ac:dyDescent="0.3">
      <c r="A132" s="4"/>
      <c r="B132" s="5" t="s">
        <v>9</v>
      </c>
      <c r="C132" s="28">
        <v>15</v>
      </c>
      <c r="D132" s="28">
        <v>15</v>
      </c>
      <c r="E132" s="28">
        <v>15</v>
      </c>
      <c r="F132" s="28">
        <v>15</v>
      </c>
      <c r="G132" s="19">
        <f>'расчёт зарплаты'!K10</f>
        <v>28208</v>
      </c>
      <c r="H132" s="19">
        <f>E132*G132*12+ ((D132-E132)*G132/2*12)</f>
        <v>5077440</v>
      </c>
      <c r="I132" s="19"/>
      <c r="J132" s="19"/>
      <c r="K132" s="19"/>
      <c r="L132" s="19">
        <f>G132*K132*12</f>
        <v>0</v>
      </c>
    </row>
    <row r="133" spans="1:12" x14ac:dyDescent="0.3">
      <c r="A133" s="4"/>
      <c r="B133" s="5" t="s">
        <v>10</v>
      </c>
      <c r="C133" s="28"/>
      <c r="D133" s="28"/>
      <c r="E133" s="28"/>
      <c r="F133" s="28"/>
      <c r="G133" s="19"/>
      <c r="H133" s="19">
        <f t="shared" ref="H133:H142" si="72">E133*G133*12+ ((D133-E133)*G133/2*12)</f>
        <v>0</v>
      </c>
      <c r="I133" s="19"/>
      <c r="J133" s="19"/>
      <c r="K133" s="19"/>
      <c r="L133" s="19"/>
    </row>
    <row r="134" spans="1:12" x14ac:dyDescent="0.3">
      <c r="A134" s="4"/>
      <c r="B134" s="5" t="s">
        <v>13</v>
      </c>
      <c r="C134" s="28">
        <v>2.75</v>
      </c>
      <c r="D134" s="28">
        <v>2.75</v>
      </c>
      <c r="E134" s="28">
        <v>3</v>
      </c>
      <c r="F134" s="28">
        <v>2</v>
      </c>
      <c r="G134" s="19">
        <f>'расчёт зарплаты'!K38</f>
        <v>28896</v>
      </c>
      <c r="H134" s="19">
        <f t="shared" si="72"/>
        <v>996912</v>
      </c>
      <c r="I134" s="19"/>
      <c r="J134" s="19"/>
      <c r="K134" s="19"/>
      <c r="L134" s="19"/>
    </row>
    <row r="135" spans="1:12" ht="28.2" x14ac:dyDescent="0.3">
      <c r="A135" s="4"/>
      <c r="B135" s="5" t="s">
        <v>14</v>
      </c>
      <c r="C135" s="28">
        <v>1</v>
      </c>
      <c r="D135" s="28">
        <v>1</v>
      </c>
      <c r="E135" s="28">
        <v>1</v>
      </c>
      <c r="F135" s="28">
        <v>1</v>
      </c>
      <c r="G135" s="19">
        <f>'расчёт зарплаты'!K38</f>
        <v>28896</v>
      </c>
      <c r="H135" s="19">
        <f t="shared" si="72"/>
        <v>346752</v>
      </c>
      <c r="I135" s="19"/>
      <c r="J135" s="19"/>
      <c r="K135" s="19"/>
      <c r="L135" s="19"/>
    </row>
    <row r="136" spans="1:12" x14ac:dyDescent="0.3">
      <c r="A136" s="4"/>
      <c r="B136" s="5" t="s">
        <v>15</v>
      </c>
      <c r="C136" s="28">
        <v>4</v>
      </c>
      <c r="D136" s="28">
        <v>4</v>
      </c>
      <c r="E136" s="28">
        <v>4</v>
      </c>
      <c r="F136" s="28">
        <v>4</v>
      </c>
      <c r="G136" s="19">
        <f>'расчёт зарплаты'!K34</f>
        <v>30976</v>
      </c>
      <c r="H136" s="19">
        <f t="shared" si="72"/>
        <v>1486848</v>
      </c>
      <c r="I136" s="19"/>
      <c r="J136" s="19"/>
      <c r="K136" s="19"/>
      <c r="L136" s="19"/>
    </row>
    <row r="137" spans="1:12" x14ac:dyDescent="0.3">
      <c r="A137" s="4"/>
      <c r="B137" s="5" t="s">
        <v>16</v>
      </c>
      <c r="C137" s="28">
        <v>6</v>
      </c>
      <c r="D137" s="28">
        <v>6</v>
      </c>
      <c r="E137" s="28">
        <v>6</v>
      </c>
      <c r="F137" s="28">
        <v>6</v>
      </c>
      <c r="G137" s="19">
        <f>'расчёт зарплаты'!K8</f>
        <v>28600</v>
      </c>
      <c r="H137" s="19">
        <f t="shared" si="72"/>
        <v>2059200</v>
      </c>
      <c r="I137" s="19"/>
      <c r="J137" s="19"/>
      <c r="K137" s="19"/>
      <c r="L137" s="19"/>
    </row>
    <row r="138" spans="1:12" ht="42" x14ac:dyDescent="0.3">
      <c r="A138" s="4"/>
      <c r="B138" s="5" t="s">
        <v>17</v>
      </c>
      <c r="C138" s="28">
        <v>1</v>
      </c>
      <c r="D138" s="28">
        <v>1</v>
      </c>
      <c r="E138" s="28">
        <v>1</v>
      </c>
      <c r="F138" s="28">
        <v>1</v>
      </c>
      <c r="G138" s="19">
        <f>'расчёт зарплаты'!K10</f>
        <v>28208</v>
      </c>
      <c r="H138" s="19">
        <f t="shared" si="72"/>
        <v>338496</v>
      </c>
      <c r="I138" s="19"/>
      <c r="J138" s="19"/>
      <c r="K138" s="19"/>
      <c r="L138" s="19"/>
    </row>
    <row r="139" spans="1:12" ht="28.2" x14ac:dyDescent="0.3">
      <c r="A139" s="4"/>
      <c r="B139" s="5" t="s">
        <v>18</v>
      </c>
      <c r="C139" s="28"/>
      <c r="D139" s="28"/>
      <c r="E139" s="28"/>
      <c r="F139" s="28"/>
      <c r="G139" s="19"/>
      <c r="H139" s="19">
        <f t="shared" si="72"/>
        <v>0</v>
      </c>
      <c r="I139" s="19"/>
      <c r="J139" s="19"/>
      <c r="K139" s="19"/>
      <c r="L139" s="19"/>
    </row>
    <row r="140" spans="1:12" ht="42" x14ac:dyDescent="0.3">
      <c r="A140" s="4"/>
      <c r="B140" s="5" t="s">
        <v>91</v>
      </c>
      <c r="C140" s="28"/>
      <c r="D140" s="28"/>
      <c r="E140" s="28"/>
      <c r="F140" s="28"/>
      <c r="G140" s="19"/>
      <c r="H140" s="19">
        <f t="shared" si="72"/>
        <v>0</v>
      </c>
      <c r="I140" s="19"/>
      <c r="J140" s="19"/>
      <c r="K140" s="19"/>
      <c r="L140" s="19"/>
    </row>
    <row r="141" spans="1:12" x14ac:dyDescent="0.3">
      <c r="A141" s="4"/>
      <c r="B141" s="5" t="s">
        <v>20</v>
      </c>
      <c r="C141" s="28"/>
      <c r="D141" s="28"/>
      <c r="E141" s="28"/>
      <c r="F141" s="28"/>
      <c r="G141" s="19"/>
      <c r="H141" s="19">
        <f t="shared" si="72"/>
        <v>0</v>
      </c>
      <c r="I141" s="19"/>
      <c r="J141" s="19"/>
      <c r="K141" s="19"/>
      <c r="L141" s="19"/>
    </row>
    <row r="142" spans="1:12" ht="39.6" x14ac:dyDescent="0.3">
      <c r="A142" s="4"/>
      <c r="B142" s="6" t="s">
        <v>21</v>
      </c>
      <c r="C142" s="28"/>
      <c r="D142" s="28"/>
      <c r="E142" s="28"/>
      <c r="F142" s="28"/>
      <c r="G142" s="19"/>
      <c r="H142" s="19">
        <f t="shared" si="72"/>
        <v>0</v>
      </c>
      <c r="I142" s="19"/>
      <c r="J142" s="19"/>
      <c r="K142" s="19"/>
      <c r="L142" s="19"/>
    </row>
    <row r="143" spans="1:12" x14ac:dyDescent="0.3">
      <c r="A143" s="4"/>
      <c r="B143" s="5" t="s">
        <v>22</v>
      </c>
      <c r="C143" s="28"/>
      <c r="D143" s="28"/>
      <c r="E143" s="28"/>
      <c r="F143" s="28"/>
      <c r="G143" s="19"/>
      <c r="H143" s="19">
        <f t="shared" ref="H143" si="73">E143*G143*12</f>
        <v>0</v>
      </c>
      <c r="I143" s="19"/>
      <c r="J143" s="19"/>
      <c r="K143" s="19"/>
      <c r="L143" s="19"/>
    </row>
    <row r="144" spans="1:12" x14ac:dyDescent="0.3">
      <c r="A144" s="38" t="s">
        <v>57</v>
      </c>
      <c r="B144" s="39"/>
      <c r="C144" s="41">
        <f>C145+C146+C147</f>
        <v>3.75</v>
      </c>
      <c r="D144" s="41">
        <f t="shared" ref="D144" si="74">D145+D146+D147</f>
        <v>3.75</v>
      </c>
      <c r="E144" s="41">
        <f t="shared" ref="E144" si="75">E145+E146+E147</f>
        <v>4</v>
      </c>
      <c r="F144" s="41">
        <f t="shared" ref="F144" si="76">F145+F146+F147</f>
        <v>3</v>
      </c>
      <c r="G144" s="41"/>
      <c r="H144" s="41">
        <f t="shared" ref="H144" si="77">H145+H146+H147</f>
        <v>1290240</v>
      </c>
      <c r="I144" s="42">
        <f t="shared" ref="I144" si="78">I145+I146+I147</f>
        <v>0</v>
      </c>
      <c r="J144" s="42">
        <f t="shared" ref="J144" si="79">J145+J146+J147</f>
        <v>0</v>
      </c>
      <c r="K144" s="42">
        <f t="shared" ref="K144" si="80">K145+K146+K147</f>
        <v>0</v>
      </c>
      <c r="L144" s="42">
        <f t="shared" ref="L144" si="81">L145+L146+L147</f>
        <v>0</v>
      </c>
    </row>
    <row r="145" spans="1:12" x14ac:dyDescent="0.3">
      <c r="A145" s="4"/>
      <c r="B145" s="5" t="s">
        <v>11</v>
      </c>
      <c r="C145" s="9">
        <v>1</v>
      </c>
      <c r="D145" s="9">
        <v>1</v>
      </c>
      <c r="E145" s="9">
        <v>1</v>
      </c>
      <c r="F145" s="9">
        <v>1</v>
      </c>
      <c r="G145" s="19">
        <f>'расчёт зарплаты'!K26</f>
        <v>27300</v>
      </c>
      <c r="H145" s="19">
        <f t="shared" ref="H145:H148" si="82">E145*G145*12+ ((D145-E145)*G145/2*12)</f>
        <v>327600</v>
      </c>
      <c r="I145" s="19"/>
      <c r="J145" s="19"/>
      <c r="K145" s="19"/>
      <c r="L145" s="19"/>
    </row>
    <row r="146" spans="1:12" x14ac:dyDescent="0.3">
      <c r="A146" s="4"/>
      <c r="B146" s="5" t="s">
        <v>12</v>
      </c>
      <c r="C146" s="9">
        <v>1</v>
      </c>
      <c r="D146" s="9">
        <v>1</v>
      </c>
      <c r="E146" s="9">
        <v>1</v>
      </c>
      <c r="F146" s="9">
        <v>1</v>
      </c>
      <c r="G146" s="19">
        <f>'расчёт зарплаты'!K26</f>
        <v>27300</v>
      </c>
      <c r="H146" s="19">
        <f t="shared" si="82"/>
        <v>327600</v>
      </c>
      <c r="I146" s="19"/>
      <c r="J146" s="19"/>
      <c r="K146" s="19"/>
      <c r="L146" s="19"/>
    </row>
    <row r="147" spans="1:12" ht="28.2" x14ac:dyDescent="0.3">
      <c r="A147" s="4"/>
      <c r="B147" s="5" t="s">
        <v>19</v>
      </c>
      <c r="C147" s="9">
        <v>1.75</v>
      </c>
      <c r="D147" s="9">
        <v>1.75</v>
      </c>
      <c r="E147" s="9">
        <v>2</v>
      </c>
      <c r="F147" s="9">
        <v>1</v>
      </c>
      <c r="G147" s="19">
        <f>'расчёт зарплаты'!K40</f>
        <v>28224</v>
      </c>
      <c r="H147" s="19">
        <f t="shared" si="82"/>
        <v>635040</v>
      </c>
      <c r="I147" s="19"/>
      <c r="J147" s="19"/>
      <c r="K147" s="19"/>
      <c r="L147" s="19"/>
    </row>
    <row r="148" spans="1:12" x14ac:dyDescent="0.3">
      <c r="A148" s="135" t="s">
        <v>23</v>
      </c>
      <c r="B148" s="135"/>
      <c r="C148" s="27">
        <f t="shared" ref="C148:F148" si="83">C149+C155</f>
        <v>8.5</v>
      </c>
      <c r="D148" s="27">
        <f t="shared" si="83"/>
        <v>8</v>
      </c>
      <c r="E148" s="27">
        <f t="shared" si="83"/>
        <v>8</v>
      </c>
      <c r="F148" s="27">
        <f t="shared" si="83"/>
        <v>8</v>
      </c>
      <c r="G148" s="19"/>
      <c r="H148" s="19">
        <f t="shared" si="82"/>
        <v>0</v>
      </c>
      <c r="I148" s="19"/>
      <c r="J148" s="20">
        <f t="shared" ref="J148:K148" si="84">J149+J155</f>
        <v>2684064</v>
      </c>
      <c r="K148" s="20">
        <f t="shared" si="84"/>
        <v>810587.32799999998</v>
      </c>
      <c r="L148" s="20">
        <f>L149+L155</f>
        <v>3494651.3280000002</v>
      </c>
    </row>
    <row r="149" spans="1:12" x14ac:dyDescent="0.3">
      <c r="A149" s="136" t="s">
        <v>24</v>
      </c>
      <c r="B149" s="136"/>
      <c r="C149" s="27">
        <f t="shared" ref="C149:F149" si="85">C150+C151+C152+C153+C154</f>
        <v>6.5</v>
      </c>
      <c r="D149" s="27">
        <f t="shared" si="85"/>
        <v>6</v>
      </c>
      <c r="E149" s="27">
        <f t="shared" si="85"/>
        <v>6</v>
      </c>
      <c r="F149" s="27">
        <f t="shared" si="85"/>
        <v>6</v>
      </c>
      <c r="G149" s="20"/>
      <c r="H149" s="20">
        <f>H150+H151+H152+H153+H154</f>
        <v>1965600</v>
      </c>
      <c r="I149" s="20">
        <f t="shared" ref="I149" si="86">I150+I151+I152+I153+I154</f>
        <v>0</v>
      </c>
      <c r="J149" s="20">
        <f>H149</f>
        <v>1965600</v>
      </c>
      <c r="K149" s="20">
        <f>J149*30.2%</f>
        <v>593611.19999999995</v>
      </c>
      <c r="L149" s="20">
        <f>J149+K149</f>
        <v>2559211.2000000002</v>
      </c>
    </row>
    <row r="150" spans="1:12" x14ac:dyDescent="0.3">
      <c r="A150" s="4"/>
      <c r="B150" s="5" t="s">
        <v>25</v>
      </c>
      <c r="C150" s="28"/>
      <c r="D150" s="28"/>
      <c r="E150" s="28"/>
      <c r="F150" s="28"/>
      <c r="G150" s="19"/>
      <c r="H150" s="19">
        <f t="shared" ref="H150:H154" si="87">E150*G150*12+ ((D150-E150)*G150/2*12)</f>
        <v>0</v>
      </c>
      <c r="I150" s="19"/>
      <c r="J150" s="19"/>
      <c r="K150" s="19"/>
      <c r="L150" s="19"/>
    </row>
    <row r="151" spans="1:12" x14ac:dyDescent="0.3">
      <c r="A151" s="4"/>
      <c r="B151" s="5" t="s">
        <v>26</v>
      </c>
      <c r="C151" s="28"/>
      <c r="D151" s="28"/>
      <c r="E151" s="28"/>
      <c r="F151" s="28"/>
      <c r="G151" s="19"/>
      <c r="H151" s="19">
        <f t="shared" si="87"/>
        <v>0</v>
      </c>
      <c r="I151" s="19"/>
      <c r="J151" s="19"/>
      <c r="K151" s="19"/>
      <c r="L151" s="19"/>
    </row>
    <row r="152" spans="1:12" x14ac:dyDescent="0.3">
      <c r="A152" s="4"/>
      <c r="B152" s="5" t="s">
        <v>27</v>
      </c>
      <c r="C152" s="28"/>
      <c r="D152" s="28"/>
      <c r="E152" s="28"/>
      <c r="F152" s="28"/>
      <c r="G152" s="19"/>
      <c r="H152" s="19">
        <f t="shared" si="87"/>
        <v>0</v>
      </c>
      <c r="I152" s="19"/>
      <c r="J152" s="19"/>
      <c r="K152" s="19"/>
      <c r="L152" s="19"/>
    </row>
    <row r="153" spans="1:12" ht="28.2" x14ac:dyDescent="0.3">
      <c r="A153" s="4"/>
      <c r="B153" s="5" t="s">
        <v>28</v>
      </c>
      <c r="C153" s="28">
        <v>3.5</v>
      </c>
      <c r="D153" s="28">
        <v>3</v>
      </c>
      <c r="E153" s="28">
        <v>3</v>
      </c>
      <c r="F153" s="28">
        <v>3</v>
      </c>
      <c r="G153" s="19">
        <f>'расчёт зарплаты'!K26</f>
        <v>27300</v>
      </c>
      <c r="H153" s="19">
        <f t="shared" si="87"/>
        <v>982800</v>
      </c>
      <c r="I153" s="19"/>
      <c r="J153" s="19"/>
      <c r="K153" s="19"/>
      <c r="L153" s="19"/>
    </row>
    <row r="154" spans="1:12" x14ac:dyDescent="0.3">
      <c r="A154" s="4"/>
      <c r="B154" s="5" t="s">
        <v>29</v>
      </c>
      <c r="C154" s="28">
        <v>3</v>
      </c>
      <c r="D154" s="28">
        <v>3</v>
      </c>
      <c r="E154" s="28">
        <v>3</v>
      </c>
      <c r="F154" s="28">
        <v>3</v>
      </c>
      <c r="G154" s="19">
        <f>'расчёт зарплаты'!K26</f>
        <v>27300</v>
      </c>
      <c r="H154" s="19">
        <f t="shared" si="87"/>
        <v>982800</v>
      </c>
      <c r="I154" s="19"/>
      <c r="J154" s="19"/>
      <c r="K154" s="19"/>
      <c r="L154" s="19"/>
    </row>
    <row r="155" spans="1:12" x14ac:dyDescent="0.3">
      <c r="A155" s="136" t="s">
        <v>30</v>
      </c>
      <c r="B155" s="136"/>
      <c r="C155" s="27">
        <f t="shared" ref="C155:F155" si="88">C156+C157+C158</f>
        <v>2</v>
      </c>
      <c r="D155" s="27">
        <f t="shared" si="88"/>
        <v>2</v>
      </c>
      <c r="E155" s="27">
        <f t="shared" si="88"/>
        <v>2</v>
      </c>
      <c r="F155" s="27">
        <f t="shared" si="88"/>
        <v>2</v>
      </c>
      <c r="G155" s="20"/>
      <c r="H155" s="20">
        <f>H156+H157+H158</f>
        <v>718464</v>
      </c>
      <c r="I155" s="20">
        <f t="shared" ref="I155" si="89">I156+I157+I158</f>
        <v>0</v>
      </c>
      <c r="J155" s="20">
        <f>H155</f>
        <v>718464</v>
      </c>
      <c r="K155" s="20">
        <f>J155*30.2%</f>
        <v>216976.128</v>
      </c>
      <c r="L155" s="20">
        <f>J155+K155</f>
        <v>935440.12800000003</v>
      </c>
    </row>
    <row r="156" spans="1:12" x14ac:dyDescent="0.3">
      <c r="A156" s="4"/>
      <c r="B156" s="5" t="s">
        <v>31</v>
      </c>
      <c r="C156" s="28">
        <v>1</v>
      </c>
      <c r="D156" s="28">
        <v>1</v>
      </c>
      <c r="E156" s="28">
        <v>1</v>
      </c>
      <c r="F156" s="28">
        <v>1</v>
      </c>
      <c r="G156" s="19">
        <f>'расчёт зарплаты'!K34</f>
        <v>30976</v>
      </c>
      <c r="H156" s="19">
        <f t="shared" ref="H156:H158" si="90">E156*G156*12+ ((D156-E156)*G156/2*12)</f>
        <v>371712</v>
      </c>
      <c r="I156" s="19"/>
      <c r="J156" s="19"/>
      <c r="K156" s="19"/>
      <c r="L156" s="19"/>
    </row>
    <row r="157" spans="1:12" x14ac:dyDescent="0.3">
      <c r="A157" s="4"/>
      <c r="B157" s="5" t="s">
        <v>32</v>
      </c>
      <c r="C157" s="28"/>
      <c r="D157" s="28"/>
      <c r="E157" s="28"/>
      <c r="F157" s="28"/>
      <c r="G157" s="19"/>
      <c r="H157" s="19">
        <f t="shared" si="90"/>
        <v>0</v>
      </c>
      <c r="I157" s="19"/>
      <c r="J157" s="19"/>
      <c r="K157" s="19"/>
      <c r="L157" s="19"/>
    </row>
    <row r="158" spans="1:12" x14ac:dyDescent="0.3">
      <c r="A158" s="4"/>
      <c r="B158" s="5" t="s">
        <v>33</v>
      </c>
      <c r="C158" s="28">
        <v>1</v>
      </c>
      <c r="D158" s="28">
        <v>1</v>
      </c>
      <c r="E158" s="28">
        <v>1</v>
      </c>
      <c r="F158" s="28">
        <v>1</v>
      </c>
      <c r="G158" s="19">
        <f>'расчёт зарплаты'!K38</f>
        <v>28896</v>
      </c>
      <c r="H158" s="19">
        <f t="shared" si="90"/>
        <v>346752</v>
      </c>
      <c r="I158" s="19"/>
      <c r="J158" s="19"/>
      <c r="K158" s="19"/>
      <c r="L158" s="19"/>
    </row>
    <row r="159" spans="1:12" x14ac:dyDescent="0.3">
      <c r="A159" s="141" t="s">
        <v>64</v>
      </c>
      <c r="B159" s="141"/>
      <c r="C159" s="141"/>
      <c r="D159" s="141"/>
      <c r="E159" s="141"/>
      <c r="F159" s="141"/>
      <c r="G159" s="141"/>
      <c r="H159" s="141"/>
      <c r="I159" s="141"/>
      <c r="J159" s="141"/>
      <c r="K159" s="141"/>
      <c r="L159" s="141"/>
    </row>
    <row r="160" spans="1:12" ht="14.4" customHeight="1" x14ac:dyDescent="0.3">
      <c r="A160" s="133" t="s">
        <v>7</v>
      </c>
      <c r="B160" s="134"/>
      <c r="C160" s="8">
        <f>C161+C178+C174</f>
        <v>46.25</v>
      </c>
      <c r="D160" s="8">
        <f>D161+D178+D174</f>
        <v>43.5</v>
      </c>
      <c r="E160" s="8">
        <f>E161+E178+E174</f>
        <v>40.4</v>
      </c>
      <c r="F160" s="8">
        <f>F161+F178+F174</f>
        <v>39</v>
      </c>
      <c r="G160" s="19"/>
      <c r="H160" s="19"/>
      <c r="I160" s="19"/>
      <c r="J160" s="19"/>
      <c r="K160" s="19"/>
      <c r="L160" s="19"/>
    </row>
    <row r="161" spans="1:12" ht="14.4" customHeight="1" x14ac:dyDescent="0.3">
      <c r="A161" s="133" t="s">
        <v>89</v>
      </c>
      <c r="B161" s="134"/>
      <c r="C161" s="40">
        <f t="shared" ref="C161:G161" si="91">SUM(C162:C173)</f>
        <v>33.25</v>
      </c>
      <c r="D161" s="40">
        <f t="shared" si="91"/>
        <v>30.5</v>
      </c>
      <c r="E161" s="40">
        <f t="shared" si="91"/>
        <v>30</v>
      </c>
      <c r="F161" s="40">
        <f t="shared" si="91"/>
        <v>29</v>
      </c>
      <c r="G161" s="40">
        <f t="shared" si="91"/>
        <v>176536</v>
      </c>
      <c r="H161" s="40">
        <f>SUM(H162:H173)</f>
        <v>10460448</v>
      </c>
      <c r="I161" s="20"/>
      <c r="J161" s="20">
        <f>H161-I161</f>
        <v>10460448</v>
      </c>
      <c r="K161" s="20">
        <f>J161*30.2%</f>
        <v>3159055.2960000001</v>
      </c>
      <c r="L161" s="20">
        <f>J161+K161</f>
        <v>13619503.296</v>
      </c>
    </row>
    <row r="162" spans="1:12" x14ac:dyDescent="0.3">
      <c r="A162" s="4"/>
      <c r="B162" s="5" t="s">
        <v>9</v>
      </c>
      <c r="C162" s="30">
        <v>18.75</v>
      </c>
      <c r="D162" s="30">
        <v>16</v>
      </c>
      <c r="E162" s="30">
        <v>17</v>
      </c>
      <c r="F162" s="30">
        <v>16</v>
      </c>
      <c r="G162" s="19">
        <f>'расчёт зарплаты'!K10</f>
        <v>28208</v>
      </c>
      <c r="H162" s="19">
        <f>E162*G162*12+ ((D162-E162)*G162/2*12)</f>
        <v>5585184</v>
      </c>
      <c r="I162" s="19"/>
      <c r="J162" s="19"/>
      <c r="K162" s="19"/>
      <c r="L162" s="19">
        <f>G162*K162*12</f>
        <v>0</v>
      </c>
    </row>
    <row r="163" spans="1:12" x14ac:dyDescent="0.3">
      <c r="A163" s="4"/>
      <c r="B163" s="5" t="s">
        <v>10</v>
      </c>
      <c r="C163" s="30"/>
      <c r="D163" s="30"/>
      <c r="E163" s="30"/>
      <c r="F163" s="30"/>
      <c r="G163" s="19"/>
      <c r="H163" s="19">
        <f t="shared" ref="H163:H172" si="92">E163*G163*12+ ((D163-E163)*G163/2*12)</f>
        <v>0</v>
      </c>
      <c r="I163" s="19"/>
      <c r="J163" s="19"/>
      <c r="K163" s="19"/>
      <c r="L163" s="19"/>
    </row>
    <row r="164" spans="1:12" x14ac:dyDescent="0.3">
      <c r="A164" s="4"/>
      <c r="B164" s="5" t="s">
        <v>13</v>
      </c>
      <c r="C164" s="30">
        <v>2.5</v>
      </c>
      <c r="D164" s="30">
        <v>2.5</v>
      </c>
      <c r="E164" s="30">
        <v>2</v>
      </c>
      <c r="F164" s="30">
        <v>2</v>
      </c>
      <c r="G164" s="19">
        <f>'расчёт зарплаты'!K38</f>
        <v>28896</v>
      </c>
      <c r="H164" s="19">
        <f t="shared" si="92"/>
        <v>780192</v>
      </c>
      <c r="I164" s="19"/>
      <c r="J164" s="19"/>
      <c r="K164" s="19"/>
      <c r="L164" s="19"/>
    </row>
    <row r="165" spans="1:12" ht="28.2" x14ac:dyDescent="0.3">
      <c r="A165" s="4"/>
      <c r="B165" s="5" t="s">
        <v>14</v>
      </c>
      <c r="C165" s="30"/>
      <c r="D165" s="30"/>
      <c r="E165" s="30"/>
      <c r="F165" s="30"/>
      <c r="G165" s="19"/>
      <c r="H165" s="19">
        <f t="shared" si="92"/>
        <v>0</v>
      </c>
      <c r="I165" s="19"/>
      <c r="J165" s="19"/>
      <c r="K165" s="19"/>
      <c r="L165" s="19"/>
    </row>
    <row r="166" spans="1:12" x14ac:dyDescent="0.3">
      <c r="A166" s="4"/>
      <c r="B166" s="5" t="s">
        <v>15</v>
      </c>
      <c r="C166" s="30">
        <v>4</v>
      </c>
      <c r="D166" s="30">
        <v>4</v>
      </c>
      <c r="E166" s="30">
        <v>4</v>
      </c>
      <c r="F166" s="30">
        <v>4</v>
      </c>
      <c r="G166" s="19">
        <f>'расчёт зарплаты'!K34</f>
        <v>30976</v>
      </c>
      <c r="H166" s="19">
        <f t="shared" si="92"/>
        <v>1486848</v>
      </c>
      <c r="I166" s="19"/>
      <c r="J166" s="19"/>
      <c r="K166" s="19"/>
      <c r="L166" s="19"/>
    </row>
    <row r="167" spans="1:12" x14ac:dyDescent="0.3">
      <c r="A167" s="4"/>
      <c r="B167" s="5" t="s">
        <v>16</v>
      </c>
      <c r="C167" s="30">
        <v>6</v>
      </c>
      <c r="D167" s="30">
        <v>6</v>
      </c>
      <c r="E167" s="30">
        <v>6</v>
      </c>
      <c r="F167" s="30">
        <v>6</v>
      </c>
      <c r="G167" s="19">
        <f>'расчёт зарплаты'!K8</f>
        <v>28600</v>
      </c>
      <c r="H167" s="19">
        <f t="shared" si="92"/>
        <v>2059200</v>
      </c>
      <c r="I167" s="19"/>
      <c r="J167" s="19"/>
      <c r="K167" s="19"/>
      <c r="L167" s="19"/>
    </row>
    <row r="168" spans="1:12" ht="42" x14ac:dyDescent="0.3">
      <c r="A168" s="4"/>
      <c r="B168" s="5" t="s">
        <v>17</v>
      </c>
      <c r="C168" s="30">
        <v>1</v>
      </c>
      <c r="D168" s="30">
        <v>1</v>
      </c>
      <c r="E168" s="30">
        <v>0</v>
      </c>
      <c r="F168" s="30">
        <v>0</v>
      </c>
      <c r="G168" s="19">
        <f>'расчёт зарплаты'!K10</f>
        <v>28208</v>
      </c>
      <c r="H168" s="19">
        <f t="shared" si="92"/>
        <v>169248</v>
      </c>
      <c r="I168" s="19"/>
      <c r="J168" s="19"/>
      <c r="K168" s="19"/>
      <c r="L168" s="19"/>
    </row>
    <row r="169" spans="1:12" ht="28.2" x14ac:dyDescent="0.3">
      <c r="A169" s="4"/>
      <c r="B169" s="5" t="s">
        <v>18</v>
      </c>
      <c r="C169" s="30">
        <v>1</v>
      </c>
      <c r="D169" s="30">
        <v>1</v>
      </c>
      <c r="E169" s="30">
        <v>1</v>
      </c>
      <c r="F169" s="30">
        <v>1</v>
      </c>
      <c r="G169" s="19">
        <f>'расчёт зарплаты'!K20</f>
        <v>31648</v>
      </c>
      <c r="H169" s="19">
        <f t="shared" si="92"/>
        <v>379776</v>
      </c>
      <c r="I169" s="19"/>
      <c r="J169" s="19"/>
      <c r="K169" s="19"/>
      <c r="L169" s="19"/>
    </row>
    <row r="170" spans="1:12" ht="42" x14ac:dyDescent="0.3">
      <c r="A170" s="4"/>
      <c r="B170" s="5" t="s">
        <v>91</v>
      </c>
      <c r="C170" s="30"/>
      <c r="D170" s="30"/>
      <c r="E170" s="30"/>
      <c r="F170" s="30"/>
      <c r="G170" s="19"/>
      <c r="H170" s="19">
        <f t="shared" si="92"/>
        <v>0</v>
      </c>
      <c r="I170" s="19"/>
      <c r="J170" s="19"/>
      <c r="K170" s="19"/>
      <c r="L170" s="19"/>
    </row>
    <row r="171" spans="1:12" x14ac:dyDescent="0.3">
      <c r="A171" s="4"/>
      <c r="B171" s="5" t="s">
        <v>20</v>
      </c>
      <c r="C171" s="30"/>
      <c r="D171" s="30"/>
      <c r="E171" s="30"/>
      <c r="F171" s="30"/>
      <c r="G171" s="19"/>
      <c r="H171" s="19">
        <f t="shared" si="92"/>
        <v>0</v>
      </c>
      <c r="I171" s="19"/>
      <c r="J171" s="19"/>
      <c r="K171" s="19"/>
      <c r="L171" s="19"/>
    </row>
    <row r="172" spans="1:12" ht="39.6" x14ac:dyDescent="0.3">
      <c r="A172" s="4"/>
      <c r="B172" s="6" t="s">
        <v>21</v>
      </c>
      <c r="C172" s="30"/>
      <c r="D172" s="30"/>
      <c r="E172" s="30"/>
      <c r="F172" s="30"/>
      <c r="G172" s="19"/>
      <c r="H172" s="19">
        <f t="shared" si="92"/>
        <v>0</v>
      </c>
      <c r="I172" s="19"/>
      <c r="J172" s="19"/>
      <c r="K172" s="19"/>
      <c r="L172" s="19"/>
    </row>
    <row r="173" spans="1:12" x14ac:dyDescent="0.3">
      <c r="A173" s="4"/>
      <c r="B173" s="5" t="s">
        <v>22</v>
      </c>
      <c r="C173" s="30"/>
      <c r="D173" s="30"/>
      <c r="E173" s="30"/>
      <c r="F173" s="30"/>
      <c r="G173" s="19"/>
      <c r="H173" s="19">
        <f t="shared" ref="H173" si="93">E173*G173*12</f>
        <v>0</v>
      </c>
      <c r="I173" s="19"/>
      <c r="J173" s="19"/>
      <c r="K173" s="19"/>
      <c r="L173" s="19"/>
    </row>
    <row r="174" spans="1:12" x14ac:dyDescent="0.3">
      <c r="A174" s="38" t="s">
        <v>57</v>
      </c>
      <c r="B174" s="39"/>
      <c r="C174" s="41">
        <f>C175+C176+C177</f>
        <v>5</v>
      </c>
      <c r="D174" s="41">
        <f t="shared" ref="D174" si="94">D175+D176+D177</f>
        <v>5</v>
      </c>
      <c r="E174" s="41">
        <f t="shared" ref="E174" si="95">E175+E176+E177</f>
        <v>4</v>
      </c>
      <c r="F174" s="41">
        <f t="shared" ref="F174" si="96">F175+F176+F177</f>
        <v>4</v>
      </c>
      <c r="G174" s="41"/>
      <c r="H174" s="42">
        <f t="shared" ref="H174" si="97">H175+H176+H177</f>
        <v>1490832</v>
      </c>
      <c r="I174" s="42">
        <f t="shared" ref="I174" si="98">I175+I176+I177</f>
        <v>0</v>
      </c>
      <c r="J174" s="42">
        <f t="shared" ref="J174" si="99">J175+J176+J177</f>
        <v>0</v>
      </c>
      <c r="K174" s="42">
        <f t="shared" ref="K174" si="100">K175+K176+K177</f>
        <v>0</v>
      </c>
      <c r="L174" s="42">
        <f t="shared" ref="L174" si="101">L175+L176+L177</f>
        <v>0</v>
      </c>
    </row>
    <row r="175" spans="1:12" x14ac:dyDescent="0.3">
      <c r="A175" s="4"/>
      <c r="B175" s="5" t="s">
        <v>11</v>
      </c>
      <c r="C175" s="9">
        <v>1</v>
      </c>
      <c r="D175" s="9">
        <v>1</v>
      </c>
      <c r="E175" s="9">
        <v>1</v>
      </c>
      <c r="F175" s="9">
        <v>1</v>
      </c>
      <c r="G175" s="19">
        <f>'расчёт зарплаты'!K26</f>
        <v>27300</v>
      </c>
      <c r="H175" s="19">
        <f t="shared" ref="H175:H178" si="102">E175*G175*12+ ((D175-E175)*G175/2*12)</f>
        <v>327600</v>
      </c>
      <c r="I175" s="19"/>
      <c r="J175" s="19"/>
      <c r="K175" s="19"/>
      <c r="L175" s="19"/>
    </row>
    <row r="176" spans="1:12" x14ac:dyDescent="0.3">
      <c r="A176" s="4"/>
      <c r="B176" s="5" t="s">
        <v>12</v>
      </c>
      <c r="C176" s="9">
        <v>2</v>
      </c>
      <c r="D176" s="9">
        <v>2</v>
      </c>
      <c r="E176" s="9">
        <v>2</v>
      </c>
      <c r="F176" s="9">
        <v>2</v>
      </c>
      <c r="G176" s="19">
        <f>'расчёт зарплаты'!K26</f>
        <v>27300</v>
      </c>
      <c r="H176" s="19">
        <f t="shared" si="102"/>
        <v>655200</v>
      </c>
      <c r="I176" s="19"/>
      <c r="J176" s="19"/>
      <c r="K176" s="19"/>
      <c r="L176" s="19"/>
    </row>
    <row r="177" spans="1:12" ht="28.2" x14ac:dyDescent="0.3">
      <c r="A177" s="4"/>
      <c r="B177" s="5" t="s">
        <v>19</v>
      </c>
      <c r="C177" s="9">
        <v>2</v>
      </c>
      <c r="D177" s="9">
        <v>2</v>
      </c>
      <c r="E177" s="9">
        <v>1</v>
      </c>
      <c r="F177" s="9">
        <v>1</v>
      </c>
      <c r="G177" s="19">
        <f>'расчёт зарплаты'!K40</f>
        <v>28224</v>
      </c>
      <c r="H177" s="19">
        <f t="shared" si="102"/>
        <v>508032</v>
      </c>
      <c r="I177" s="19"/>
      <c r="J177" s="19"/>
      <c r="K177" s="19"/>
      <c r="L177" s="19"/>
    </row>
    <row r="178" spans="1:12" x14ac:dyDescent="0.3">
      <c r="A178" s="135" t="s">
        <v>23</v>
      </c>
      <c r="B178" s="135"/>
      <c r="C178" s="29">
        <f t="shared" ref="C178:F178" si="103">C179+C185</f>
        <v>8</v>
      </c>
      <c r="D178" s="29">
        <f t="shared" si="103"/>
        <v>8</v>
      </c>
      <c r="E178" s="29">
        <f t="shared" si="103"/>
        <v>6.4</v>
      </c>
      <c r="F178" s="29">
        <f t="shared" si="103"/>
        <v>6</v>
      </c>
      <c r="G178" s="19"/>
      <c r="H178" s="19">
        <f t="shared" si="102"/>
        <v>0</v>
      </c>
      <c r="I178" s="19"/>
      <c r="J178" s="20">
        <f t="shared" ref="J178:K178" si="104">J179+J185</f>
        <v>2426772</v>
      </c>
      <c r="K178" s="20">
        <f t="shared" si="104"/>
        <v>732885.14399999997</v>
      </c>
      <c r="L178" s="20">
        <f>L179+L185</f>
        <v>3159657.1440000003</v>
      </c>
    </row>
    <row r="179" spans="1:12" x14ac:dyDescent="0.3">
      <c r="A179" s="136" t="s">
        <v>24</v>
      </c>
      <c r="B179" s="136"/>
      <c r="C179" s="29">
        <f t="shared" ref="C179:F179" si="105">C180+C181+C182+C183+C184</f>
        <v>5.5</v>
      </c>
      <c r="D179" s="29">
        <f t="shared" si="105"/>
        <v>5.5</v>
      </c>
      <c r="E179" s="29">
        <f t="shared" si="105"/>
        <v>4.4000000000000004</v>
      </c>
      <c r="F179" s="29">
        <f t="shared" si="105"/>
        <v>4</v>
      </c>
      <c r="G179" s="20"/>
      <c r="H179" s="20">
        <f>H180+H181+H182+H183+H184</f>
        <v>1621620</v>
      </c>
      <c r="I179" s="20">
        <f t="shared" ref="I179" si="106">I180+I181+I182+I183+I184</f>
        <v>0</v>
      </c>
      <c r="J179" s="20">
        <f>H179</f>
        <v>1621620</v>
      </c>
      <c r="K179" s="20">
        <f>J179*30.2%</f>
        <v>489729.24</v>
      </c>
      <c r="L179" s="20">
        <f>J179+K179</f>
        <v>2111349.2400000002</v>
      </c>
    </row>
    <row r="180" spans="1:12" x14ac:dyDescent="0.3">
      <c r="A180" s="4"/>
      <c r="B180" s="5" t="s">
        <v>25</v>
      </c>
      <c r="C180" s="30"/>
      <c r="D180" s="30"/>
      <c r="E180" s="30"/>
      <c r="F180" s="30"/>
      <c r="G180" s="19"/>
      <c r="H180" s="19">
        <f t="shared" ref="H180:H184" si="107">E180*G180*12+ ((D180-E180)*G180/2*12)</f>
        <v>0</v>
      </c>
      <c r="I180" s="19"/>
      <c r="J180" s="19"/>
      <c r="K180" s="19"/>
      <c r="L180" s="19"/>
    </row>
    <row r="181" spans="1:12" x14ac:dyDescent="0.3">
      <c r="A181" s="4"/>
      <c r="B181" s="5" t="s">
        <v>26</v>
      </c>
      <c r="C181" s="30"/>
      <c r="D181" s="30"/>
      <c r="E181" s="30"/>
      <c r="F181" s="30"/>
      <c r="G181" s="19"/>
      <c r="H181" s="19">
        <f t="shared" si="107"/>
        <v>0</v>
      </c>
      <c r="I181" s="19"/>
      <c r="J181" s="19"/>
      <c r="K181" s="19"/>
      <c r="L181" s="19"/>
    </row>
    <row r="182" spans="1:12" x14ac:dyDescent="0.3">
      <c r="A182" s="4"/>
      <c r="B182" s="5" t="s">
        <v>27</v>
      </c>
      <c r="C182" s="30"/>
      <c r="D182" s="30"/>
      <c r="E182" s="30"/>
      <c r="F182" s="30"/>
      <c r="G182" s="19"/>
      <c r="H182" s="19">
        <f t="shared" si="107"/>
        <v>0</v>
      </c>
      <c r="I182" s="19"/>
      <c r="J182" s="19"/>
      <c r="K182" s="19"/>
      <c r="L182" s="19"/>
    </row>
    <row r="183" spans="1:12" ht="28.2" x14ac:dyDescent="0.3">
      <c r="A183" s="4"/>
      <c r="B183" s="5" t="s">
        <v>28</v>
      </c>
      <c r="C183" s="30">
        <v>2.5</v>
      </c>
      <c r="D183" s="30">
        <v>2.5</v>
      </c>
      <c r="E183" s="30">
        <v>1.4</v>
      </c>
      <c r="F183" s="30">
        <v>1</v>
      </c>
      <c r="G183" s="19">
        <f>'расчёт зарплаты'!K26</f>
        <v>27300</v>
      </c>
      <c r="H183" s="19">
        <f t="shared" si="107"/>
        <v>638820</v>
      </c>
      <c r="I183" s="19"/>
      <c r="J183" s="19"/>
      <c r="K183" s="19"/>
      <c r="L183" s="19"/>
    </row>
    <row r="184" spans="1:12" x14ac:dyDescent="0.3">
      <c r="A184" s="4"/>
      <c r="B184" s="5" t="s">
        <v>29</v>
      </c>
      <c r="C184" s="30">
        <v>3</v>
      </c>
      <c r="D184" s="30">
        <v>3</v>
      </c>
      <c r="E184" s="30">
        <v>3</v>
      </c>
      <c r="F184" s="30">
        <v>3</v>
      </c>
      <c r="G184" s="19">
        <f>'расчёт зарплаты'!K26</f>
        <v>27300</v>
      </c>
      <c r="H184" s="19">
        <f t="shared" si="107"/>
        <v>982800</v>
      </c>
      <c r="I184" s="19"/>
      <c r="J184" s="19"/>
      <c r="K184" s="19"/>
      <c r="L184" s="19"/>
    </row>
    <row r="185" spans="1:12" x14ac:dyDescent="0.3">
      <c r="A185" s="136" t="s">
        <v>30</v>
      </c>
      <c r="B185" s="136"/>
      <c r="C185" s="29">
        <f t="shared" ref="C185:F185" si="108">C186+C187+C188</f>
        <v>2.5</v>
      </c>
      <c r="D185" s="29">
        <f t="shared" si="108"/>
        <v>2.5</v>
      </c>
      <c r="E185" s="29">
        <f t="shared" si="108"/>
        <v>2</v>
      </c>
      <c r="F185" s="29">
        <f t="shared" si="108"/>
        <v>2</v>
      </c>
      <c r="G185" s="20"/>
      <c r="H185" s="20">
        <f>H186+H187+H188</f>
        <v>805152</v>
      </c>
      <c r="I185" s="20">
        <f t="shared" ref="I185" si="109">I186+I187+I188</f>
        <v>0</v>
      </c>
      <c r="J185" s="20">
        <f>H185</f>
        <v>805152</v>
      </c>
      <c r="K185" s="20">
        <f>J185*30.2%</f>
        <v>243155.90399999998</v>
      </c>
      <c r="L185" s="20">
        <f>J185+K185</f>
        <v>1048307.904</v>
      </c>
    </row>
    <row r="186" spans="1:12" x14ac:dyDescent="0.3">
      <c r="A186" s="4"/>
      <c r="B186" s="5" t="s">
        <v>31</v>
      </c>
      <c r="C186" s="30">
        <v>1</v>
      </c>
      <c r="D186" s="30">
        <v>1</v>
      </c>
      <c r="E186" s="30">
        <v>1</v>
      </c>
      <c r="F186" s="30">
        <v>1</v>
      </c>
      <c r="G186" s="19">
        <f>'расчёт зарплаты'!K34</f>
        <v>30976</v>
      </c>
      <c r="H186" s="19">
        <f t="shared" ref="H186:H188" si="110">E186*G186*12+ ((D186-E186)*G186/2*12)</f>
        <v>371712</v>
      </c>
      <c r="I186" s="19"/>
      <c r="J186" s="19"/>
      <c r="K186" s="19"/>
      <c r="L186" s="19"/>
    </row>
    <row r="187" spans="1:12" x14ac:dyDescent="0.3">
      <c r="A187" s="4"/>
      <c r="B187" s="5" t="s">
        <v>32</v>
      </c>
      <c r="C187" s="30"/>
      <c r="D187" s="30"/>
      <c r="E187" s="30"/>
      <c r="F187" s="30"/>
      <c r="G187" s="19"/>
      <c r="H187" s="19">
        <f t="shared" si="110"/>
        <v>0</v>
      </c>
      <c r="I187" s="19"/>
      <c r="J187" s="19"/>
      <c r="K187" s="19"/>
      <c r="L187" s="19"/>
    </row>
    <row r="188" spans="1:12" x14ac:dyDescent="0.3">
      <c r="A188" s="4"/>
      <c r="B188" s="5" t="s">
        <v>33</v>
      </c>
      <c r="C188" s="30">
        <v>1.5</v>
      </c>
      <c r="D188" s="30">
        <v>1.5</v>
      </c>
      <c r="E188" s="30">
        <v>1</v>
      </c>
      <c r="F188" s="30">
        <v>1</v>
      </c>
      <c r="G188" s="19">
        <f>'расчёт зарплаты'!K38</f>
        <v>28896</v>
      </c>
      <c r="H188" s="19">
        <f t="shared" si="110"/>
        <v>433440</v>
      </c>
      <c r="I188" s="19"/>
      <c r="J188" s="19"/>
      <c r="K188" s="19"/>
      <c r="L188" s="19"/>
    </row>
    <row r="189" spans="1:12" x14ac:dyDescent="0.3">
      <c r="A189" s="141" t="s">
        <v>65</v>
      </c>
      <c r="B189" s="141"/>
      <c r="C189" s="141"/>
      <c r="D189" s="141"/>
      <c r="E189" s="141"/>
      <c r="F189" s="141"/>
      <c r="G189" s="141"/>
      <c r="H189" s="141"/>
      <c r="I189" s="141"/>
      <c r="J189" s="141"/>
      <c r="K189" s="141"/>
      <c r="L189" s="141"/>
    </row>
    <row r="190" spans="1:12" ht="14.4" customHeight="1" x14ac:dyDescent="0.3">
      <c r="A190" s="133" t="s">
        <v>7</v>
      </c>
      <c r="B190" s="134"/>
      <c r="C190" s="8">
        <f>C191+C208+C204</f>
        <v>63.75</v>
      </c>
      <c r="D190" s="8">
        <f>D191+D208+D204</f>
        <v>63.75</v>
      </c>
      <c r="E190" s="8">
        <f>E191+E208+E204</f>
        <v>53.8</v>
      </c>
      <c r="F190" s="8">
        <f>F191+F208+F204</f>
        <v>54</v>
      </c>
      <c r="G190" s="19"/>
      <c r="H190" s="19"/>
      <c r="I190" s="19"/>
      <c r="J190" s="19"/>
      <c r="K190" s="19"/>
      <c r="L190" s="19"/>
    </row>
    <row r="191" spans="1:12" ht="14.4" customHeight="1" x14ac:dyDescent="0.3">
      <c r="A191" s="133" t="s">
        <v>89</v>
      </c>
      <c r="B191" s="134"/>
      <c r="C191" s="40">
        <f t="shared" ref="C191:G191" si="111">SUM(C192:C203)</f>
        <v>45</v>
      </c>
      <c r="D191" s="40">
        <f t="shared" si="111"/>
        <v>45</v>
      </c>
      <c r="E191" s="40">
        <f t="shared" si="111"/>
        <v>42.4</v>
      </c>
      <c r="F191" s="40">
        <f t="shared" si="111"/>
        <v>42</v>
      </c>
      <c r="G191" s="40">
        <f t="shared" si="111"/>
        <v>176536</v>
      </c>
      <c r="H191" s="40">
        <f>SUM(H192:H203)</f>
        <v>15094118.4</v>
      </c>
      <c r="I191" s="20"/>
      <c r="J191" s="20">
        <f>H191-I191</f>
        <v>15094118.4</v>
      </c>
      <c r="K191" s="20">
        <f>J191*30.2%</f>
        <v>4558423.7567999996</v>
      </c>
      <c r="L191" s="20">
        <f>J191+K191</f>
        <v>19652542.156800002</v>
      </c>
    </row>
    <row r="192" spans="1:12" x14ac:dyDescent="0.3">
      <c r="A192" s="4"/>
      <c r="B192" s="5" t="s">
        <v>9</v>
      </c>
      <c r="C192" s="32">
        <v>24</v>
      </c>
      <c r="D192" s="32">
        <v>24</v>
      </c>
      <c r="E192" s="32">
        <v>23</v>
      </c>
      <c r="F192" s="32">
        <v>23</v>
      </c>
      <c r="G192" s="19">
        <f>'расчёт зарплаты'!K10</f>
        <v>28208</v>
      </c>
      <c r="H192" s="19">
        <f>E192*G192*12+ ((D192-E192)*G192/2*12)</f>
        <v>7954656</v>
      </c>
      <c r="I192" s="19"/>
      <c r="J192" s="19"/>
      <c r="K192" s="19"/>
      <c r="L192" s="19">
        <f>G192*K192*12</f>
        <v>0</v>
      </c>
    </row>
    <row r="193" spans="1:12" x14ac:dyDescent="0.3">
      <c r="A193" s="4"/>
      <c r="B193" s="5" t="s">
        <v>10</v>
      </c>
      <c r="C193" s="32"/>
      <c r="D193" s="32"/>
      <c r="E193" s="32"/>
      <c r="F193" s="32"/>
      <c r="G193" s="19"/>
      <c r="H193" s="19">
        <f t="shared" ref="H193:H202" si="112">E193*G193*12+ ((D193-E193)*G193/2*12)</f>
        <v>0</v>
      </c>
      <c r="I193" s="19"/>
      <c r="J193" s="19"/>
      <c r="K193" s="19"/>
      <c r="L193" s="19"/>
    </row>
    <row r="194" spans="1:12" x14ac:dyDescent="0.3">
      <c r="A194" s="4"/>
      <c r="B194" s="5" t="s">
        <v>13</v>
      </c>
      <c r="C194" s="32">
        <v>4</v>
      </c>
      <c r="D194" s="32">
        <v>4</v>
      </c>
      <c r="E194" s="32">
        <v>3</v>
      </c>
      <c r="F194" s="32">
        <v>3</v>
      </c>
      <c r="G194" s="19">
        <f>'расчёт зарплаты'!K38</f>
        <v>28896</v>
      </c>
      <c r="H194" s="19">
        <f t="shared" si="112"/>
        <v>1213632</v>
      </c>
      <c r="I194" s="19"/>
      <c r="J194" s="19"/>
      <c r="K194" s="19"/>
      <c r="L194" s="19"/>
    </row>
    <row r="195" spans="1:12" ht="28.2" x14ac:dyDescent="0.3">
      <c r="A195" s="4"/>
      <c r="B195" s="5" t="s">
        <v>14</v>
      </c>
      <c r="C195" s="32"/>
      <c r="D195" s="32"/>
      <c r="E195" s="32"/>
      <c r="F195" s="32"/>
      <c r="G195" s="19"/>
      <c r="H195" s="19">
        <f t="shared" si="112"/>
        <v>0</v>
      </c>
      <c r="I195" s="19"/>
      <c r="J195" s="19"/>
      <c r="K195" s="19"/>
      <c r="L195" s="19"/>
    </row>
    <row r="196" spans="1:12" x14ac:dyDescent="0.3">
      <c r="A196" s="4"/>
      <c r="B196" s="5" t="s">
        <v>15</v>
      </c>
      <c r="C196" s="32">
        <v>6</v>
      </c>
      <c r="D196" s="32">
        <v>6</v>
      </c>
      <c r="E196" s="32">
        <v>5.4</v>
      </c>
      <c r="F196" s="32">
        <v>5</v>
      </c>
      <c r="G196" s="19">
        <f>'расчёт зарплаты'!K34</f>
        <v>30976</v>
      </c>
      <c r="H196" s="19">
        <f t="shared" si="112"/>
        <v>2118758.4000000004</v>
      </c>
      <c r="I196" s="19"/>
      <c r="J196" s="19"/>
      <c r="K196" s="19"/>
      <c r="L196" s="19"/>
    </row>
    <row r="197" spans="1:12" x14ac:dyDescent="0.3">
      <c r="A197" s="4"/>
      <c r="B197" s="5" t="s">
        <v>16</v>
      </c>
      <c r="C197" s="32">
        <v>9</v>
      </c>
      <c r="D197" s="32">
        <v>9</v>
      </c>
      <c r="E197" s="32">
        <v>9</v>
      </c>
      <c r="F197" s="32">
        <v>9</v>
      </c>
      <c r="G197" s="19">
        <f>'расчёт зарплаты'!K8</f>
        <v>28600</v>
      </c>
      <c r="H197" s="19">
        <f t="shared" si="112"/>
        <v>3088800</v>
      </c>
      <c r="I197" s="19"/>
      <c r="J197" s="19"/>
      <c r="K197" s="19"/>
      <c r="L197" s="19"/>
    </row>
    <row r="198" spans="1:12" ht="42" x14ac:dyDescent="0.3">
      <c r="A198" s="4"/>
      <c r="B198" s="5" t="s">
        <v>17</v>
      </c>
      <c r="C198" s="32">
        <v>1</v>
      </c>
      <c r="D198" s="32">
        <v>1</v>
      </c>
      <c r="E198" s="32">
        <v>1</v>
      </c>
      <c r="F198" s="32">
        <v>1</v>
      </c>
      <c r="G198" s="19">
        <f>'расчёт зарплаты'!K10</f>
        <v>28208</v>
      </c>
      <c r="H198" s="19">
        <f t="shared" si="112"/>
        <v>338496</v>
      </c>
      <c r="I198" s="19"/>
      <c r="J198" s="19"/>
      <c r="K198" s="19"/>
      <c r="L198" s="19"/>
    </row>
    <row r="199" spans="1:12" ht="28.2" x14ac:dyDescent="0.3">
      <c r="A199" s="4"/>
      <c r="B199" s="5" t="s">
        <v>18</v>
      </c>
      <c r="C199" s="32">
        <v>1</v>
      </c>
      <c r="D199" s="32">
        <v>1</v>
      </c>
      <c r="E199" s="32">
        <v>1</v>
      </c>
      <c r="F199" s="32">
        <v>1</v>
      </c>
      <c r="G199" s="19">
        <f>'расчёт зарплаты'!K20</f>
        <v>31648</v>
      </c>
      <c r="H199" s="19">
        <f t="shared" si="112"/>
        <v>379776</v>
      </c>
      <c r="I199" s="19"/>
      <c r="J199" s="19"/>
      <c r="K199" s="19"/>
      <c r="L199" s="19"/>
    </row>
    <row r="200" spans="1:12" ht="42" x14ac:dyDescent="0.3">
      <c r="A200" s="4"/>
      <c r="B200" s="5" t="s">
        <v>91</v>
      </c>
      <c r="C200" s="32"/>
      <c r="D200" s="32"/>
      <c r="E200" s="32"/>
      <c r="F200" s="32"/>
      <c r="G200" s="19"/>
      <c r="H200" s="19">
        <f t="shared" si="112"/>
        <v>0</v>
      </c>
      <c r="I200" s="19"/>
      <c r="J200" s="19"/>
      <c r="K200" s="19"/>
      <c r="L200" s="19"/>
    </row>
    <row r="201" spans="1:12" x14ac:dyDescent="0.3">
      <c r="A201" s="4"/>
      <c r="B201" s="5" t="s">
        <v>20</v>
      </c>
      <c r="C201" s="32"/>
      <c r="D201" s="32"/>
      <c r="E201" s="32"/>
      <c r="F201" s="32"/>
      <c r="G201" s="19"/>
      <c r="H201" s="19">
        <f t="shared" si="112"/>
        <v>0</v>
      </c>
      <c r="I201" s="19"/>
      <c r="J201" s="19"/>
      <c r="K201" s="19"/>
      <c r="L201" s="19"/>
    </row>
    <row r="202" spans="1:12" ht="39.6" x14ac:dyDescent="0.3">
      <c r="A202" s="4"/>
      <c r="B202" s="6" t="s">
        <v>21</v>
      </c>
      <c r="C202" s="32"/>
      <c r="D202" s="32"/>
      <c r="E202" s="32"/>
      <c r="F202" s="32"/>
      <c r="G202" s="19"/>
      <c r="H202" s="19">
        <f t="shared" si="112"/>
        <v>0</v>
      </c>
      <c r="I202" s="19"/>
      <c r="J202" s="19"/>
      <c r="K202" s="19"/>
      <c r="L202" s="19"/>
    </row>
    <row r="203" spans="1:12" x14ac:dyDescent="0.3">
      <c r="A203" s="4"/>
      <c r="B203" s="5" t="s">
        <v>22</v>
      </c>
      <c r="C203" s="32"/>
      <c r="D203" s="32"/>
      <c r="E203" s="32"/>
      <c r="F203" s="32"/>
      <c r="G203" s="19"/>
      <c r="H203" s="19">
        <f t="shared" ref="H203" si="113">E203*G203*12</f>
        <v>0</v>
      </c>
      <c r="I203" s="19"/>
      <c r="J203" s="19"/>
      <c r="K203" s="19"/>
      <c r="L203" s="19"/>
    </row>
    <row r="204" spans="1:12" x14ac:dyDescent="0.3">
      <c r="A204" s="38" t="s">
        <v>57</v>
      </c>
      <c r="B204" s="39"/>
      <c r="C204" s="41">
        <f>C205+C206+C207</f>
        <v>8</v>
      </c>
      <c r="D204" s="41">
        <f t="shared" ref="D204" si="114">D205+D206+D207</f>
        <v>8</v>
      </c>
      <c r="E204" s="41">
        <f t="shared" ref="E204" si="115">E205+E206+E207</f>
        <v>4</v>
      </c>
      <c r="F204" s="41">
        <f t="shared" ref="F204" si="116">F205+F206+F207</f>
        <v>4</v>
      </c>
      <c r="G204" s="41"/>
      <c r="H204" s="42">
        <f t="shared" ref="H204" si="117">H205+H206+H207</f>
        <v>1990548</v>
      </c>
      <c r="I204" s="42">
        <f t="shared" ref="I204" si="118">I205+I206+I207</f>
        <v>0</v>
      </c>
      <c r="J204" s="42">
        <f t="shared" ref="J204" si="119">J205+J206+J207</f>
        <v>0</v>
      </c>
      <c r="K204" s="42">
        <f t="shared" ref="K204" si="120">K205+K206+K207</f>
        <v>0</v>
      </c>
      <c r="L204" s="42">
        <f t="shared" ref="L204" si="121">L205+L206+L207</f>
        <v>0</v>
      </c>
    </row>
    <row r="205" spans="1:12" x14ac:dyDescent="0.3">
      <c r="A205" s="4"/>
      <c r="B205" s="5" t="s">
        <v>11</v>
      </c>
      <c r="C205" s="9">
        <v>1.5</v>
      </c>
      <c r="D205" s="9">
        <v>1.5</v>
      </c>
      <c r="E205" s="9">
        <v>1</v>
      </c>
      <c r="F205" s="9">
        <v>1</v>
      </c>
      <c r="G205" s="19">
        <f>'расчёт зарплаты'!K26</f>
        <v>27300</v>
      </c>
      <c r="H205" s="19">
        <f t="shared" ref="H205:H208" si="122">E205*G205*12+ ((D205-E205)*G205/2*12)</f>
        <v>409500</v>
      </c>
      <c r="I205" s="19"/>
      <c r="J205" s="19"/>
      <c r="K205" s="19"/>
      <c r="L205" s="19"/>
    </row>
    <row r="206" spans="1:12" x14ac:dyDescent="0.3">
      <c r="A206" s="4"/>
      <c r="B206" s="5" t="s">
        <v>12</v>
      </c>
      <c r="C206" s="9">
        <v>3</v>
      </c>
      <c r="D206" s="9">
        <v>3</v>
      </c>
      <c r="E206" s="9">
        <v>2</v>
      </c>
      <c r="F206" s="9">
        <v>2</v>
      </c>
      <c r="G206" s="19">
        <f>'расчёт зарплаты'!K26</f>
        <v>27300</v>
      </c>
      <c r="H206" s="19">
        <f t="shared" si="122"/>
        <v>819000</v>
      </c>
      <c r="I206" s="19"/>
      <c r="J206" s="19"/>
      <c r="K206" s="19"/>
      <c r="L206" s="19"/>
    </row>
    <row r="207" spans="1:12" ht="28.2" x14ac:dyDescent="0.3">
      <c r="A207" s="4"/>
      <c r="B207" s="5" t="s">
        <v>19</v>
      </c>
      <c r="C207" s="9">
        <v>3.5</v>
      </c>
      <c r="D207" s="9">
        <v>3.5</v>
      </c>
      <c r="E207" s="9">
        <v>1</v>
      </c>
      <c r="F207" s="9">
        <v>1</v>
      </c>
      <c r="G207" s="19">
        <f>'расчёт зарплаты'!K40</f>
        <v>28224</v>
      </c>
      <c r="H207" s="19">
        <f t="shared" si="122"/>
        <v>762048</v>
      </c>
      <c r="I207" s="19"/>
      <c r="J207" s="19"/>
      <c r="K207" s="19"/>
      <c r="L207" s="19"/>
    </row>
    <row r="208" spans="1:12" x14ac:dyDescent="0.3">
      <c r="A208" s="135" t="s">
        <v>23</v>
      </c>
      <c r="B208" s="135"/>
      <c r="C208" s="31">
        <f t="shared" ref="C208:F208" si="123">C209+C215</f>
        <v>10.75</v>
      </c>
      <c r="D208" s="31">
        <f t="shared" si="123"/>
        <v>10.75</v>
      </c>
      <c r="E208" s="31">
        <f t="shared" si="123"/>
        <v>7.4</v>
      </c>
      <c r="F208" s="31">
        <f t="shared" si="123"/>
        <v>8</v>
      </c>
      <c r="G208" s="19"/>
      <c r="H208" s="19">
        <f t="shared" si="122"/>
        <v>0</v>
      </c>
      <c r="I208" s="19"/>
      <c r="J208" s="20">
        <f t="shared" ref="J208:K208" si="124">J209+J215</f>
        <v>3059232</v>
      </c>
      <c r="K208" s="20">
        <f t="shared" si="124"/>
        <v>923888.06400000001</v>
      </c>
      <c r="L208" s="20">
        <f>L209+L215</f>
        <v>3983120.0640000002</v>
      </c>
    </row>
    <row r="209" spans="1:12" x14ac:dyDescent="0.3">
      <c r="A209" s="136" t="s">
        <v>24</v>
      </c>
      <c r="B209" s="136"/>
      <c r="C209" s="31">
        <f t="shared" ref="C209:F209" si="125">C210+C211+C212+C213+C214</f>
        <v>7</v>
      </c>
      <c r="D209" s="31">
        <f t="shared" si="125"/>
        <v>7</v>
      </c>
      <c r="E209" s="31">
        <f t="shared" si="125"/>
        <v>5.4</v>
      </c>
      <c r="F209" s="31">
        <f t="shared" si="125"/>
        <v>6</v>
      </c>
      <c r="G209" s="20"/>
      <c r="H209" s="20">
        <f>H210+H211+H212+H213+H214</f>
        <v>2031120</v>
      </c>
      <c r="I209" s="20">
        <f t="shared" ref="I209" si="126">I210+I211+I212+I213+I214</f>
        <v>0</v>
      </c>
      <c r="J209" s="20">
        <f>H209</f>
        <v>2031120</v>
      </c>
      <c r="K209" s="20">
        <f>J209*30.2%</f>
        <v>613398.24</v>
      </c>
      <c r="L209" s="20">
        <f>J209+K209</f>
        <v>2644518.2400000002</v>
      </c>
    </row>
    <row r="210" spans="1:12" x14ac:dyDescent="0.3">
      <c r="A210" s="4"/>
      <c r="B210" s="5" t="s">
        <v>25</v>
      </c>
      <c r="C210" s="32"/>
      <c r="D210" s="32"/>
      <c r="E210" s="32"/>
      <c r="F210" s="32"/>
      <c r="G210" s="19"/>
      <c r="H210" s="19">
        <f t="shared" ref="H210:H214" si="127">E210*G210*12+ ((D210-E210)*G210/2*12)</f>
        <v>0</v>
      </c>
      <c r="I210" s="19"/>
      <c r="J210" s="19"/>
      <c r="K210" s="19"/>
      <c r="L210" s="19"/>
    </row>
    <row r="211" spans="1:12" x14ac:dyDescent="0.3">
      <c r="A211" s="4"/>
      <c r="B211" s="5" t="s">
        <v>26</v>
      </c>
      <c r="C211" s="32"/>
      <c r="D211" s="32"/>
      <c r="E211" s="32"/>
      <c r="F211" s="32"/>
      <c r="G211" s="19"/>
      <c r="H211" s="19">
        <f t="shared" si="127"/>
        <v>0</v>
      </c>
      <c r="I211" s="19"/>
      <c r="J211" s="19"/>
      <c r="K211" s="19"/>
      <c r="L211" s="19"/>
    </row>
    <row r="212" spans="1:12" x14ac:dyDescent="0.3">
      <c r="A212" s="4"/>
      <c r="B212" s="5" t="s">
        <v>27</v>
      </c>
      <c r="C212" s="32"/>
      <c r="D212" s="32"/>
      <c r="E212" s="32"/>
      <c r="F212" s="32"/>
      <c r="G212" s="19"/>
      <c r="H212" s="19">
        <f t="shared" si="127"/>
        <v>0</v>
      </c>
      <c r="I212" s="19"/>
      <c r="J212" s="19"/>
      <c r="K212" s="19"/>
      <c r="L212" s="19"/>
    </row>
    <row r="213" spans="1:12" ht="28.2" x14ac:dyDescent="0.3">
      <c r="A213" s="4"/>
      <c r="B213" s="5" t="s">
        <v>28</v>
      </c>
      <c r="C213" s="32">
        <v>3</v>
      </c>
      <c r="D213" s="32">
        <v>3</v>
      </c>
      <c r="E213" s="32">
        <v>3</v>
      </c>
      <c r="F213" s="32">
        <v>3</v>
      </c>
      <c r="G213" s="19">
        <f>'расчёт зарплаты'!K26</f>
        <v>27300</v>
      </c>
      <c r="H213" s="19">
        <f t="shared" si="127"/>
        <v>982800</v>
      </c>
      <c r="I213" s="19"/>
      <c r="J213" s="19"/>
      <c r="K213" s="19"/>
      <c r="L213" s="19"/>
    </row>
    <row r="214" spans="1:12" x14ac:dyDescent="0.3">
      <c r="A214" s="4"/>
      <c r="B214" s="5" t="s">
        <v>29</v>
      </c>
      <c r="C214" s="32">
        <v>4</v>
      </c>
      <c r="D214" s="32">
        <v>4</v>
      </c>
      <c r="E214" s="32">
        <v>2.4</v>
      </c>
      <c r="F214" s="32">
        <v>3</v>
      </c>
      <c r="G214" s="19">
        <f>'расчёт зарплаты'!K26</f>
        <v>27300</v>
      </c>
      <c r="H214" s="19">
        <f t="shared" si="127"/>
        <v>1048320</v>
      </c>
      <c r="I214" s="19"/>
      <c r="J214" s="19"/>
      <c r="K214" s="19"/>
      <c r="L214" s="19"/>
    </row>
    <row r="215" spans="1:12" x14ac:dyDescent="0.3">
      <c r="A215" s="136" t="s">
        <v>30</v>
      </c>
      <c r="B215" s="136"/>
      <c r="C215" s="31">
        <f t="shared" ref="C215:F215" si="128">C216+C217+C218</f>
        <v>3.75</v>
      </c>
      <c r="D215" s="31">
        <f t="shared" si="128"/>
        <v>3.75</v>
      </c>
      <c r="E215" s="31">
        <f t="shared" si="128"/>
        <v>2</v>
      </c>
      <c r="F215" s="31">
        <f t="shared" si="128"/>
        <v>2</v>
      </c>
      <c r="G215" s="20"/>
      <c r="H215" s="20">
        <f>H216+H217+H218</f>
        <v>1028112</v>
      </c>
      <c r="I215" s="20">
        <f t="shared" ref="I215" si="129">I216+I217+I218</f>
        <v>0</v>
      </c>
      <c r="J215" s="20">
        <f>H215</f>
        <v>1028112</v>
      </c>
      <c r="K215" s="20">
        <f>J215*30.2%</f>
        <v>310489.82399999996</v>
      </c>
      <c r="L215" s="20">
        <f>J215+K215</f>
        <v>1338601.824</v>
      </c>
    </row>
    <row r="216" spans="1:12" x14ac:dyDescent="0.3">
      <c r="A216" s="4"/>
      <c r="B216" s="5" t="s">
        <v>31</v>
      </c>
      <c r="C216" s="32">
        <v>1.5</v>
      </c>
      <c r="D216" s="32">
        <v>1.5</v>
      </c>
      <c r="E216" s="32">
        <v>1</v>
      </c>
      <c r="F216" s="32">
        <v>1</v>
      </c>
      <c r="G216" s="19">
        <f>'расчёт зарплаты'!K34</f>
        <v>30976</v>
      </c>
      <c r="H216" s="19">
        <f t="shared" ref="H216:H218" si="130">E216*G216*12+ ((D216-E216)*G216/2*12)</f>
        <v>464640</v>
      </c>
      <c r="I216" s="19"/>
      <c r="J216" s="19"/>
      <c r="K216" s="19"/>
      <c r="L216" s="19"/>
    </row>
    <row r="217" spans="1:12" x14ac:dyDescent="0.3">
      <c r="A217" s="4"/>
      <c r="B217" s="5" t="s">
        <v>32</v>
      </c>
      <c r="C217" s="32"/>
      <c r="D217" s="32"/>
      <c r="E217" s="32"/>
      <c r="F217" s="32"/>
      <c r="G217" s="19"/>
      <c r="H217" s="19">
        <f t="shared" si="130"/>
        <v>0</v>
      </c>
      <c r="I217" s="19"/>
      <c r="J217" s="19"/>
      <c r="K217" s="19"/>
      <c r="L217" s="19"/>
    </row>
    <row r="218" spans="1:12" x14ac:dyDescent="0.3">
      <c r="A218" s="4"/>
      <c r="B218" s="5" t="s">
        <v>33</v>
      </c>
      <c r="C218" s="32">
        <v>2.25</v>
      </c>
      <c r="D218" s="32">
        <v>2.25</v>
      </c>
      <c r="E218" s="32">
        <v>1</v>
      </c>
      <c r="F218" s="32">
        <v>1</v>
      </c>
      <c r="G218" s="19">
        <f>'расчёт зарплаты'!K38</f>
        <v>28896</v>
      </c>
      <c r="H218" s="19">
        <f t="shared" si="130"/>
        <v>563472</v>
      </c>
      <c r="I218" s="19"/>
      <c r="J218" s="19"/>
      <c r="K218" s="19"/>
      <c r="L218" s="19"/>
    </row>
    <row r="219" spans="1:12" x14ac:dyDescent="0.3">
      <c r="A219" s="141" t="s">
        <v>66</v>
      </c>
      <c r="B219" s="141"/>
      <c r="C219" s="141"/>
      <c r="D219" s="141"/>
      <c r="E219" s="141"/>
      <c r="F219" s="141"/>
      <c r="G219" s="141"/>
      <c r="H219" s="141"/>
      <c r="I219" s="141"/>
      <c r="J219" s="141"/>
      <c r="K219" s="141"/>
      <c r="L219" s="141"/>
    </row>
    <row r="220" spans="1:12" ht="14.4" customHeight="1" x14ac:dyDescent="0.3">
      <c r="A220" s="133" t="s">
        <v>7</v>
      </c>
      <c r="B220" s="134"/>
      <c r="C220" s="8">
        <f>C221+C238+C234</f>
        <v>77</v>
      </c>
      <c r="D220" s="8">
        <f>D221+D238+D234</f>
        <v>71.25</v>
      </c>
      <c r="E220" s="8">
        <f>E221+E238+E234</f>
        <v>69.599999999999994</v>
      </c>
      <c r="F220" s="8">
        <f>F221+F238+F234</f>
        <v>69</v>
      </c>
      <c r="G220" s="19"/>
      <c r="H220" s="19"/>
      <c r="I220" s="19"/>
      <c r="J220" s="19"/>
      <c r="K220" s="19"/>
      <c r="L220" s="19"/>
    </row>
    <row r="221" spans="1:12" ht="14.4" customHeight="1" x14ac:dyDescent="0.3">
      <c r="A221" s="133" t="s">
        <v>89</v>
      </c>
      <c r="B221" s="134"/>
      <c r="C221" s="40">
        <f t="shared" ref="C221:G221" si="131">SUM(C222:C233)</f>
        <v>54.5</v>
      </c>
      <c r="D221" s="40">
        <f t="shared" si="131"/>
        <v>52.75</v>
      </c>
      <c r="E221" s="40">
        <f t="shared" si="131"/>
        <v>52.599999999999994</v>
      </c>
      <c r="F221" s="40">
        <f t="shared" si="131"/>
        <v>52</v>
      </c>
      <c r="G221" s="40">
        <f t="shared" si="131"/>
        <v>221592</v>
      </c>
      <c r="H221" s="40">
        <f>SUM(H222:H233)</f>
        <v>18437011.199999999</v>
      </c>
      <c r="I221" s="20"/>
      <c r="J221" s="20">
        <f>H221-I221</f>
        <v>18437011.199999999</v>
      </c>
      <c r="K221" s="20">
        <f>J221*30.2%</f>
        <v>5567977.3823999995</v>
      </c>
      <c r="L221" s="20">
        <f>J221+K221</f>
        <v>24004988.582399998</v>
      </c>
    </row>
    <row r="222" spans="1:12" x14ac:dyDescent="0.3">
      <c r="A222" s="4"/>
      <c r="B222" s="5" t="s">
        <v>9</v>
      </c>
      <c r="C222" s="22">
        <v>31</v>
      </c>
      <c r="D222" s="22">
        <v>30</v>
      </c>
      <c r="E222" s="22">
        <v>29.8</v>
      </c>
      <c r="F222" s="22">
        <v>30</v>
      </c>
      <c r="G222" s="19">
        <f>'расчёт зарплаты'!K10</f>
        <v>28208</v>
      </c>
      <c r="H222" s="19">
        <f>E222*G222*12+ ((D222-E222)*G222/2*12)</f>
        <v>10121030.4</v>
      </c>
      <c r="I222" s="19"/>
      <c r="J222" s="19"/>
      <c r="K222" s="19"/>
      <c r="L222" s="19">
        <f>G222*K222*12</f>
        <v>0</v>
      </c>
    </row>
    <row r="223" spans="1:12" x14ac:dyDescent="0.3">
      <c r="A223" s="4"/>
      <c r="B223" s="5" t="s">
        <v>10</v>
      </c>
      <c r="C223" s="22"/>
      <c r="D223" s="22"/>
      <c r="E223" s="22"/>
      <c r="F223" s="22"/>
      <c r="G223" s="19"/>
      <c r="H223" s="19">
        <f t="shared" ref="H223:H232" si="132">E223*G223*12+ ((D223-E223)*G223/2*12)</f>
        <v>0</v>
      </c>
      <c r="I223" s="19"/>
      <c r="J223" s="19"/>
      <c r="K223" s="19"/>
      <c r="L223" s="19"/>
    </row>
    <row r="224" spans="1:12" x14ac:dyDescent="0.3">
      <c r="A224" s="4"/>
      <c r="B224" s="5" t="s">
        <v>13</v>
      </c>
      <c r="C224" s="22">
        <v>3</v>
      </c>
      <c r="D224" s="22">
        <v>3</v>
      </c>
      <c r="E224" s="22">
        <v>3</v>
      </c>
      <c r="F224" s="22">
        <v>3</v>
      </c>
      <c r="G224" s="19">
        <f>'расчёт зарплаты'!K38</f>
        <v>28896</v>
      </c>
      <c r="H224" s="19">
        <f t="shared" si="132"/>
        <v>1040256</v>
      </c>
      <c r="I224" s="19"/>
      <c r="J224" s="19"/>
      <c r="K224" s="19"/>
      <c r="L224" s="19"/>
    </row>
    <row r="225" spans="1:12" ht="28.2" x14ac:dyDescent="0.3">
      <c r="A225" s="4"/>
      <c r="B225" s="5" t="s">
        <v>14</v>
      </c>
      <c r="C225" s="22"/>
      <c r="D225" s="22"/>
      <c r="E225" s="22"/>
      <c r="F225" s="22"/>
      <c r="G225" s="19"/>
      <c r="H225" s="19">
        <f t="shared" si="132"/>
        <v>0</v>
      </c>
      <c r="I225" s="19"/>
      <c r="J225" s="19"/>
      <c r="K225" s="19"/>
      <c r="L225" s="19"/>
    </row>
    <row r="226" spans="1:12" x14ac:dyDescent="0.3">
      <c r="A226" s="4"/>
      <c r="B226" s="5" t="s">
        <v>15</v>
      </c>
      <c r="C226" s="22">
        <v>6</v>
      </c>
      <c r="D226" s="22">
        <v>6</v>
      </c>
      <c r="E226" s="22">
        <v>6</v>
      </c>
      <c r="F226" s="22">
        <v>6</v>
      </c>
      <c r="G226" s="19">
        <f>'расчёт зарплаты'!K34</f>
        <v>30976</v>
      </c>
      <c r="H226" s="19">
        <f t="shared" si="132"/>
        <v>2230272</v>
      </c>
      <c r="I226" s="19"/>
      <c r="J226" s="19"/>
      <c r="K226" s="19"/>
      <c r="L226" s="19"/>
    </row>
    <row r="227" spans="1:12" x14ac:dyDescent="0.3">
      <c r="A227" s="4"/>
      <c r="B227" s="5" t="s">
        <v>16</v>
      </c>
      <c r="C227" s="22">
        <v>9</v>
      </c>
      <c r="D227" s="22">
        <v>9</v>
      </c>
      <c r="E227" s="22">
        <v>9</v>
      </c>
      <c r="F227" s="22">
        <v>9</v>
      </c>
      <c r="G227" s="19">
        <f>'расчёт зарплаты'!K8</f>
        <v>28600</v>
      </c>
      <c r="H227" s="19">
        <f t="shared" si="132"/>
        <v>3088800</v>
      </c>
      <c r="I227" s="19"/>
      <c r="J227" s="19"/>
      <c r="K227" s="19"/>
      <c r="L227" s="19"/>
    </row>
    <row r="228" spans="1:12" ht="42" x14ac:dyDescent="0.3">
      <c r="A228" s="4"/>
      <c r="B228" s="5" t="s">
        <v>17</v>
      </c>
      <c r="C228" s="22">
        <v>2</v>
      </c>
      <c r="D228" s="22">
        <v>1.5</v>
      </c>
      <c r="E228" s="22">
        <v>1.5</v>
      </c>
      <c r="F228" s="22">
        <v>1</v>
      </c>
      <c r="G228" s="19">
        <f>'расчёт зарплаты'!K10</f>
        <v>28208</v>
      </c>
      <c r="H228" s="19">
        <f t="shared" si="132"/>
        <v>507744</v>
      </c>
      <c r="I228" s="19"/>
      <c r="J228" s="19"/>
      <c r="K228" s="19"/>
      <c r="L228" s="19"/>
    </row>
    <row r="229" spans="1:12" ht="28.2" x14ac:dyDescent="0.3">
      <c r="A229" s="4"/>
      <c r="B229" s="5" t="s">
        <v>18</v>
      </c>
      <c r="C229" s="22">
        <v>2</v>
      </c>
      <c r="D229" s="22">
        <v>2</v>
      </c>
      <c r="E229" s="22">
        <v>2</v>
      </c>
      <c r="F229" s="22">
        <v>2</v>
      </c>
      <c r="G229" s="19">
        <f>'расчёт зарплаты'!K20</f>
        <v>31648</v>
      </c>
      <c r="H229" s="19">
        <f t="shared" si="132"/>
        <v>759552</v>
      </c>
      <c r="I229" s="19"/>
      <c r="J229" s="19"/>
      <c r="K229" s="19"/>
      <c r="L229" s="19"/>
    </row>
    <row r="230" spans="1:12" ht="42" x14ac:dyDescent="0.3">
      <c r="A230" s="4"/>
      <c r="B230" s="5" t="s">
        <v>91</v>
      </c>
      <c r="C230" s="22"/>
      <c r="D230" s="22"/>
      <c r="E230" s="22"/>
      <c r="F230" s="22"/>
      <c r="G230" s="19"/>
      <c r="H230" s="19">
        <f t="shared" si="132"/>
        <v>0</v>
      </c>
      <c r="I230" s="19"/>
      <c r="J230" s="19"/>
      <c r="K230" s="19"/>
      <c r="L230" s="19"/>
    </row>
    <row r="231" spans="1:12" x14ac:dyDescent="0.3">
      <c r="A231" s="4"/>
      <c r="B231" s="5" t="s">
        <v>20</v>
      </c>
      <c r="C231" s="22"/>
      <c r="D231" s="22"/>
      <c r="E231" s="22"/>
      <c r="F231" s="22"/>
      <c r="G231" s="19"/>
      <c r="H231" s="19">
        <f t="shared" si="132"/>
        <v>0</v>
      </c>
      <c r="I231" s="19"/>
      <c r="J231" s="19"/>
      <c r="K231" s="19"/>
      <c r="L231" s="19"/>
    </row>
    <row r="232" spans="1:12" ht="39.6" x14ac:dyDescent="0.3">
      <c r="A232" s="4"/>
      <c r="B232" s="6" t="s">
        <v>21</v>
      </c>
      <c r="C232" s="22">
        <v>1.5</v>
      </c>
      <c r="D232" s="22">
        <v>1.25</v>
      </c>
      <c r="E232" s="22">
        <v>1.3</v>
      </c>
      <c r="F232" s="22">
        <v>1</v>
      </c>
      <c r="G232" s="19">
        <f>'расчёт зарплаты'!K44</f>
        <v>45056</v>
      </c>
      <c r="H232" s="19">
        <f t="shared" si="132"/>
        <v>689356.80000000005</v>
      </c>
      <c r="I232" s="19"/>
      <c r="J232" s="19"/>
      <c r="K232" s="19"/>
      <c r="L232" s="19"/>
    </row>
    <row r="233" spans="1:12" x14ac:dyDescent="0.3">
      <c r="A233" s="4"/>
      <c r="B233" s="5" t="s">
        <v>22</v>
      </c>
      <c r="C233" s="22"/>
      <c r="D233" s="22"/>
      <c r="E233" s="22"/>
      <c r="F233" s="22"/>
      <c r="G233" s="19"/>
      <c r="H233" s="19">
        <f t="shared" ref="H233" si="133">E233*G233*12</f>
        <v>0</v>
      </c>
      <c r="I233" s="19"/>
      <c r="J233" s="19"/>
      <c r="K233" s="19"/>
      <c r="L233" s="19"/>
    </row>
    <row r="234" spans="1:12" x14ac:dyDescent="0.3">
      <c r="A234" s="38" t="s">
        <v>57</v>
      </c>
      <c r="B234" s="39"/>
      <c r="C234" s="41">
        <f>C235+C236+C237</f>
        <v>8.5</v>
      </c>
      <c r="D234" s="41">
        <f t="shared" ref="D234" si="134">D235+D236+D237</f>
        <v>7</v>
      </c>
      <c r="E234" s="41">
        <f t="shared" ref="E234" si="135">E235+E236+E237</f>
        <v>6.5</v>
      </c>
      <c r="F234" s="41">
        <f t="shared" ref="F234" si="136">F235+F236+F237</f>
        <v>7</v>
      </c>
      <c r="G234" s="41"/>
      <c r="H234" s="42">
        <f t="shared" ref="H234" si="137">H235+H236+H237</f>
        <v>2241792</v>
      </c>
      <c r="I234" s="42">
        <f t="shared" ref="I234" si="138">I235+I236+I237</f>
        <v>0</v>
      </c>
      <c r="J234" s="42">
        <f t="shared" ref="J234" si="139">J235+J236+J237</f>
        <v>0</v>
      </c>
      <c r="K234" s="42">
        <f t="shared" ref="K234" si="140">K235+K236+K237</f>
        <v>0</v>
      </c>
      <c r="L234" s="42">
        <f t="shared" ref="L234" si="141">L235+L236+L237</f>
        <v>0</v>
      </c>
    </row>
    <row r="235" spans="1:12" x14ac:dyDescent="0.3">
      <c r="A235" s="4"/>
      <c r="B235" s="5" t="s">
        <v>11</v>
      </c>
      <c r="C235" s="9">
        <v>1.25</v>
      </c>
      <c r="D235" s="9">
        <v>1</v>
      </c>
      <c r="E235" s="9">
        <v>1</v>
      </c>
      <c r="F235" s="9">
        <v>1</v>
      </c>
      <c r="G235" s="19">
        <f>'расчёт зарплаты'!K26</f>
        <v>27300</v>
      </c>
      <c r="H235" s="19">
        <f t="shared" ref="H235:H238" si="142">E235*G235*12+ ((D235-E235)*G235/2*12)</f>
        <v>327600</v>
      </c>
      <c r="I235" s="19"/>
      <c r="J235" s="19"/>
      <c r="K235" s="19"/>
      <c r="L235" s="19"/>
    </row>
    <row r="236" spans="1:12" x14ac:dyDescent="0.3">
      <c r="A236" s="4"/>
      <c r="B236" s="5" t="s">
        <v>12</v>
      </c>
      <c r="C236" s="9">
        <v>3</v>
      </c>
      <c r="D236" s="9">
        <v>3</v>
      </c>
      <c r="E236" s="9">
        <v>3</v>
      </c>
      <c r="F236" s="9">
        <v>3</v>
      </c>
      <c r="G236" s="19">
        <f>'расчёт зарплаты'!K26</f>
        <v>27300</v>
      </c>
      <c r="H236" s="19">
        <f t="shared" si="142"/>
        <v>982800</v>
      </c>
      <c r="I236" s="19"/>
      <c r="J236" s="19"/>
      <c r="K236" s="19"/>
      <c r="L236" s="19"/>
    </row>
    <row r="237" spans="1:12" ht="28.2" x14ac:dyDescent="0.3">
      <c r="A237" s="4"/>
      <c r="B237" s="5" t="s">
        <v>19</v>
      </c>
      <c r="C237" s="9">
        <v>4.25</v>
      </c>
      <c r="D237" s="9">
        <v>3</v>
      </c>
      <c r="E237" s="9">
        <v>2.5</v>
      </c>
      <c r="F237" s="9">
        <v>3</v>
      </c>
      <c r="G237" s="19">
        <f>'расчёт зарплаты'!K40</f>
        <v>28224</v>
      </c>
      <c r="H237" s="19">
        <f t="shared" si="142"/>
        <v>931392</v>
      </c>
      <c r="I237" s="19"/>
      <c r="J237" s="19"/>
      <c r="K237" s="19"/>
      <c r="L237" s="19"/>
    </row>
    <row r="238" spans="1:12" x14ac:dyDescent="0.3">
      <c r="A238" s="135" t="s">
        <v>23</v>
      </c>
      <c r="B238" s="135"/>
      <c r="C238" s="21">
        <f t="shared" ref="C238:F238" si="143">C239+C245</f>
        <v>14</v>
      </c>
      <c r="D238" s="21">
        <f t="shared" si="143"/>
        <v>11.5</v>
      </c>
      <c r="E238" s="21">
        <f t="shared" si="143"/>
        <v>10.5</v>
      </c>
      <c r="F238" s="21">
        <f t="shared" si="143"/>
        <v>10</v>
      </c>
      <c r="G238" s="19"/>
      <c r="H238" s="19">
        <f t="shared" si="142"/>
        <v>0</v>
      </c>
      <c r="I238" s="19"/>
      <c r="J238" s="20">
        <f t="shared" ref="J238:K238" si="144">J239+J245</f>
        <v>3695592</v>
      </c>
      <c r="K238" s="20">
        <f t="shared" si="144"/>
        <v>1116068.784</v>
      </c>
      <c r="L238" s="20">
        <f>L239+L245</f>
        <v>4811660.784</v>
      </c>
    </row>
    <row r="239" spans="1:12" x14ac:dyDescent="0.3">
      <c r="A239" s="136" t="s">
        <v>24</v>
      </c>
      <c r="B239" s="136"/>
      <c r="C239" s="21">
        <f t="shared" ref="C239:F239" si="145">C240+C241+C242+C243+C244</f>
        <v>10</v>
      </c>
      <c r="D239" s="21">
        <f t="shared" si="145"/>
        <v>8</v>
      </c>
      <c r="E239" s="21">
        <f t="shared" si="145"/>
        <v>7</v>
      </c>
      <c r="F239" s="21">
        <f t="shared" si="145"/>
        <v>7</v>
      </c>
      <c r="G239" s="20"/>
      <c r="H239" s="20">
        <f>H240+H241+H242+H243+H244</f>
        <v>2457000</v>
      </c>
      <c r="I239" s="20">
        <f t="shared" ref="I239" si="146">I240+I241+I242+I243+I244</f>
        <v>0</v>
      </c>
      <c r="J239" s="20">
        <f>H239</f>
        <v>2457000</v>
      </c>
      <c r="K239" s="20">
        <f>J239*30.2%</f>
        <v>742014</v>
      </c>
      <c r="L239" s="20">
        <f>J239+K239</f>
        <v>3199014</v>
      </c>
    </row>
    <row r="240" spans="1:12" x14ac:dyDescent="0.3">
      <c r="A240" s="4"/>
      <c r="B240" s="5" t="s">
        <v>25</v>
      </c>
      <c r="C240" s="22"/>
      <c r="D240" s="22"/>
      <c r="E240" s="22"/>
      <c r="F240" s="22"/>
      <c r="G240" s="19"/>
      <c r="H240" s="19">
        <f t="shared" ref="H240:H244" si="147">E240*G240*12+ ((D240-E240)*G240/2*12)</f>
        <v>0</v>
      </c>
      <c r="I240" s="19"/>
      <c r="J240" s="19"/>
      <c r="K240" s="19"/>
      <c r="L240" s="19"/>
    </row>
    <row r="241" spans="1:12" x14ac:dyDescent="0.3">
      <c r="A241" s="4"/>
      <c r="B241" s="5" t="s">
        <v>26</v>
      </c>
      <c r="C241" s="22"/>
      <c r="D241" s="22"/>
      <c r="E241" s="22"/>
      <c r="F241" s="22"/>
      <c r="G241" s="19"/>
      <c r="H241" s="19">
        <f t="shared" si="147"/>
        <v>0</v>
      </c>
      <c r="I241" s="19"/>
      <c r="J241" s="19"/>
      <c r="K241" s="19"/>
      <c r="L241" s="19"/>
    </row>
    <row r="242" spans="1:12" x14ac:dyDescent="0.3">
      <c r="A242" s="4"/>
      <c r="B242" s="5" t="s">
        <v>27</v>
      </c>
      <c r="C242" s="22"/>
      <c r="D242" s="22"/>
      <c r="E242" s="22"/>
      <c r="F242" s="22"/>
      <c r="G242" s="19"/>
      <c r="H242" s="19">
        <f t="shared" si="147"/>
        <v>0</v>
      </c>
      <c r="I242" s="19"/>
      <c r="J242" s="19"/>
      <c r="K242" s="19"/>
      <c r="L242" s="19"/>
    </row>
    <row r="243" spans="1:12" ht="28.2" x14ac:dyDescent="0.3">
      <c r="A243" s="4"/>
      <c r="B243" s="5" t="s">
        <v>28</v>
      </c>
      <c r="C243" s="22">
        <v>3</v>
      </c>
      <c r="D243" s="22">
        <v>3</v>
      </c>
      <c r="E243" s="22">
        <v>2</v>
      </c>
      <c r="F243" s="22">
        <v>2</v>
      </c>
      <c r="G243" s="19">
        <f>'расчёт зарплаты'!K26</f>
        <v>27300</v>
      </c>
      <c r="H243" s="19">
        <f t="shared" si="147"/>
        <v>819000</v>
      </c>
      <c r="I243" s="19"/>
      <c r="J243" s="19"/>
      <c r="K243" s="19"/>
      <c r="L243" s="19"/>
    </row>
    <row r="244" spans="1:12" x14ac:dyDescent="0.3">
      <c r="A244" s="4"/>
      <c r="B244" s="5" t="s">
        <v>29</v>
      </c>
      <c r="C244" s="22">
        <v>7</v>
      </c>
      <c r="D244" s="22">
        <v>5</v>
      </c>
      <c r="E244" s="22">
        <v>5</v>
      </c>
      <c r="F244" s="22">
        <v>5</v>
      </c>
      <c r="G244" s="19">
        <f>'расчёт зарплаты'!K26</f>
        <v>27300</v>
      </c>
      <c r="H244" s="19">
        <f t="shared" si="147"/>
        <v>1638000</v>
      </c>
      <c r="I244" s="19"/>
      <c r="J244" s="19"/>
      <c r="K244" s="19"/>
      <c r="L244" s="19"/>
    </row>
    <row r="245" spans="1:12" x14ac:dyDescent="0.3">
      <c r="A245" s="136" t="s">
        <v>30</v>
      </c>
      <c r="B245" s="136"/>
      <c r="C245" s="21">
        <f t="shared" ref="C245:F245" si="148">C246+C247+C248</f>
        <v>4</v>
      </c>
      <c r="D245" s="21">
        <f t="shared" si="148"/>
        <v>3.5</v>
      </c>
      <c r="E245" s="21">
        <f t="shared" si="148"/>
        <v>3.5</v>
      </c>
      <c r="F245" s="21">
        <f t="shared" si="148"/>
        <v>3</v>
      </c>
      <c r="G245" s="20"/>
      <c r="H245" s="20">
        <f>H246+H247+H248</f>
        <v>1238592</v>
      </c>
      <c r="I245" s="20">
        <f t="shared" ref="I245" si="149">I246+I247+I248</f>
        <v>0</v>
      </c>
      <c r="J245" s="20">
        <f>H245</f>
        <v>1238592</v>
      </c>
      <c r="K245" s="20">
        <f>J245*30.2%</f>
        <v>374054.78399999999</v>
      </c>
      <c r="L245" s="20">
        <f>J245+K245</f>
        <v>1612646.784</v>
      </c>
    </row>
    <row r="246" spans="1:12" x14ac:dyDescent="0.3">
      <c r="A246" s="4"/>
      <c r="B246" s="5" t="s">
        <v>31</v>
      </c>
      <c r="C246" s="22">
        <v>1</v>
      </c>
      <c r="D246" s="22">
        <v>1</v>
      </c>
      <c r="E246" s="22">
        <v>1</v>
      </c>
      <c r="F246" s="22">
        <v>1</v>
      </c>
      <c r="G246" s="19">
        <f>'расчёт зарплаты'!K34</f>
        <v>30976</v>
      </c>
      <c r="H246" s="19">
        <f t="shared" ref="H246:H248" si="150">E246*G246*12+ ((D246-E246)*G246/2*12)</f>
        <v>371712</v>
      </c>
      <c r="I246" s="19"/>
      <c r="J246" s="19"/>
      <c r="K246" s="19"/>
      <c r="L246" s="19"/>
    </row>
    <row r="247" spans="1:12" x14ac:dyDescent="0.3">
      <c r="A247" s="4"/>
      <c r="B247" s="5" t="s">
        <v>32</v>
      </c>
      <c r="C247" s="22"/>
      <c r="D247" s="22"/>
      <c r="E247" s="22"/>
      <c r="F247" s="22"/>
      <c r="G247" s="19"/>
      <c r="H247" s="19">
        <f t="shared" si="150"/>
        <v>0</v>
      </c>
      <c r="I247" s="19"/>
      <c r="J247" s="19"/>
      <c r="K247" s="19"/>
      <c r="L247" s="19"/>
    </row>
    <row r="248" spans="1:12" x14ac:dyDescent="0.3">
      <c r="A248" s="4"/>
      <c r="B248" s="5" t="s">
        <v>33</v>
      </c>
      <c r="C248" s="22">
        <v>3</v>
      </c>
      <c r="D248" s="22">
        <v>2.5</v>
      </c>
      <c r="E248" s="22">
        <v>2.5</v>
      </c>
      <c r="F248" s="22">
        <v>2</v>
      </c>
      <c r="G248" s="19">
        <f>'расчёт зарплаты'!K38</f>
        <v>28896</v>
      </c>
      <c r="H248" s="19">
        <f t="shared" si="150"/>
        <v>866880</v>
      </c>
      <c r="I248" s="19"/>
      <c r="J248" s="19"/>
      <c r="K248" s="19"/>
      <c r="L248" s="19"/>
    </row>
    <row r="249" spans="1:12" x14ac:dyDescent="0.3">
      <c r="A249" s="141" t="s">
        <v>67</v>
      </c>
      <c r="B249" s="141"/>
      <c r="C249" s="141"/>
      <c r="D249" s="141"/>
      <c r="E249" s="141"/>
      <c r="F249" s="141"/>
      <c r="G249" s="141"/>
      <c r="H249" s="141"/>
      <c r="I249" s="141"/>
      <c r="J249" s="141"/>
      <c r="K249" s="141"/>
      <c r="L249" s="141"/>
    </row>
    <row r="250" spans="1:12" ht="14.4" customHeight="1" x14ac:dyDescent="0.3">
      <c r="A250" s="133" t="s">
        <v>7</v>
      </c>
      <c r="B250" s="134"/>
      <c r="C250" s="8">
        <f>C251+C266+C262</f>
        <v>34.25</v>
      </c>
      <c r="D250" s="8">
        <f>D251+D266+D262</f>
        <v>26.25</v>
      </c>
      <c r="E250" s="8">
        <f>E251+E266+E262</f>
        <v>24.1</v>
      </c>
      <c r="F250" s="8">
        <f>F251+F266+F262</f>
        <v>20.5</v>
      </c>
      <c r="G250" s="19"/>
      <c r="H250" s="19"/>
      <c r="I250" s="19"/>
      <c r="J250" s="19"/>
      <c r="K250" s="19"/>
      <c r="L250" s="19"/>
    </row>
    <row r="251" spans="1:12" ht="14.4" customHeight="1" x14ac:dyDescent="0.3">
      <c r="A251" s="133" t="s">
        <v>89</v>
      </c>
      <c r="B251" s="134"/>
      <c r="C251" s="8">
        <f>SUM(C252:C263)</f>
        <v>31.25</v>
      </c>
      <c r="D251" s="8">
        <f>SUM(D252:D263)</f>
        <v>23.25</v>
      </c>
      <c r="E251" s="8">
        <f>SUM(E252:E263)</f>
        <v>22.1</v>
      </c>
      <c r="F251" s="8">
        <f>SUM(F252:F263)</f>
        <v>18.5</v>
      </c>
      <c r="G251" s="8"/>
      <c r="H251" s="40">
        <f>SUM(H252:H263)</f>
        <v>8016132</v>
      </c>
      <c r="I251" s="20"/>
      <c r="J251" s="20">
        <f>H251-I251</f>
        <v>8016132</v>
      </c>
      <c r="K251" s="20">
        <f>J251*30.2%</f>
        <v>2420871.8640000001</v>
      </c>
      <c r="L251" s="20">
        <f>J251+K251</f>
        <v>10437003.864</v>
      </c>
    </row>
    <row r="252" spans="1:12" x14ac:dyDescent="0.3">
      <c r="A252" s="4"/>
      <c r="B252" s="5" t="s">
        <v>9</v>
      </c>
      <c r="C252" s="33">
        <f>16.5-2</f>
        <v>14.5</v>
      </c>
      <c r="D252" s="33">
        <f>14-2</f>
        <v>12</v>
      </c>
      <c r="E252" s="33">
        <v>12</v>
      </c>
      <c r="F252" s="33">
        <v>11</v>
      </c>
      <c r="G252" s="19">
        <f>'расчёт зарплаты'!K10</f>
        <v>28208</v>
      </c>
      <c r="H252" s="19">
        <f>E252*G252*12+ ((D252-E252)*G252/2*12)</f>
        <v>4061952</v>
      </c>
      <c r="I252" s="19"/>
      <c r="J252" s="19"/>
      <c r="K252" s="19"/>
      <c r="L252" s="19">
        <f>G252*K252*12</f>
        <v>0</v>
      </c>
    </row>
    <row r="253" spans="1:12" x14ac:dyDescent="0.3">
      <c r="A253" s="4"/>
      <c r="B253" s="5" t="s">
        <v>10</v>
      </c>
      <c r="C253" s="33">
        <v>1</v>
      </c>
      <c r="D253" s="33"/>
      <c r="E253" s="33"/>
      <c r="F253" s="33"/>
      <c r="G253" s="19">
        <f>'расчёт зарплаты'!K20</f>
        <v>31648</v>
      </c>
      <c r="H253" s="19">
        <f t="shared" ref="H253:H262" si="151">E253*G253*12+ ((D253-E253)*G253/2*12)</f>
        <v>0</v>
      </c>
      <c r="I253" s="19"/>
      <c r="J253" s="19"/>
      <c r="K253" s="19"/>
      <c r="L253" s="19"/>
    </row>
    <row r="254" spans="1:12" x14ac:dyDescent="0.3">
      <c r="A254" s="4"/>
      <c r="B254" s="5" t="s">
        <v>13</v>
      </c>
      <c r="C254" s="33">
        <v>2.5</v>
      </c>
      <c r="D254" s="33">
        <v>2</v>
      </c>
      <c r="E254" s="33">
        <v>1</v>
      </c>
      <c r="F254" s="33">
        <v>1</v>
      </c>
      <c r="G254" s="19">
        <f>'расчёт зарплаты'!K38</f>
        <v>28896</v>
      </c>
      <c r="H254" s="19">
        <f t="shared" si="151"/>
        <v>520128</v>
      </c>
      <c r="I254" s="19"/>
      <c r="J254" s="19"/>
      <c r="K254" s="19"/>
      <c r="L254" s="19"/>
    </row>
    <row r="255" spans="1:12" ht="28.2" x14ac:dyDescent="0.3">
      <c r="A255" s="4"/>
      <c r="B255" s="5" t="s">
        <v>14</v>
      </c>
      <c r="C255" s="33"/>
      <c r="D255" s="33"/>
      <c r="E255" s="33"/>
      <c r="F255" s="33"/>
      <c r="G255" s="19"/>
      <c r="H255" s="19">
        <f t="shared" si="151"/>
        <v>0</v>
      </c>
      <c r="I255" s="19"/>
      <c r="J255" s="19"/>
      <c r="K255" s="19"/>
      <c r="L255" s="19"/>
    </row>
    <row r="256" spans="1:12" x14ac:dyDescent="0.3">
      <c r="A256" s="4"/>
      <c r="B256" s="5" t="s">
        <v>15</v>
      </c>
      <c r="C256" s="33">
        <v>4</v>
      </c>
      <c r="D256" s="33">
        <v>3</v>
      </c>
      <c r="E256" s="33">
        <v>1</v>
      </c>
      <c r="F256" s="33">
        <v>1</v>
      </c>
      <c r="G256" s="19">
        <f>'расчёт зарплаты'!K34</f>
        <v>30976</v>
      </c>
      <c r="H256" s="19">
        <f t="shared" si="151"/>
        <v>743424</v>
      </c>
      <c r="I256" s="19"/>
      <c r="J256" s="19"/>
      <c r="K256" s="19"/>
      <c r="L256" s="19"/>
    </row>
    <row r="257" spans="1:12" x14ac:dyDescent="0.3">
      <c r="A257" s="4"/>
      <c r="B257" s="5" t="s">
        <v>16</v>
      </c>
      <c r="C257" s="33">
        <v>6</v>
      </c>
      <c r="D257" s="33">
        <v>3</v>
      </c>
      <c r="E257" s="33">
        <v>4.8499999999999996</v>
      </c>
      <c r="F257" s="33">
        <v>3</v>
      </c>
      <c r="G257" s="19">
        <f>'расчёт зарплаты'!K8</f>
        <v>28600</v>
      </c>
      <c r="H257" s="19">
        <f t="shared" si="151"/>
        <v>1347060</v>
      </c>
      <c r="I257" s="19"/>
      <c r="J257" s="19"/>
      <c r="K257" s="19"/>
      <c r="L257" s="19"/>
    </row>
    <row r="258" spans="1:12" ht="42" x14ac:dyDescent="0.3">
      <c r="A258" s="4"/>
      <c r="B258" s="5" t="s">
        <v>17</v>
      </c>
      <c r="C258" s="33">
        <v>1.25</v>
      </c>
      <c r="D258" s="33">
        <v>1.25</v>
      </c>
      <c r="E258" s="33">
        <v>1.25</v>
      </c>
      <c r="F258" s="33">
        <v>0.5</v>
      </c>
      <c r="G258" s="19">
        <f>'расчёт зарплаты'!K10</f>
        <v>28208</v>
      </c>
      <c r="H258" s="19">
        <f t="shared" si="151"/>
        <v>423120</v>
      </c>
      <c r="I258" s="19"/>
      <c r="J258" s="19"/>
      <c r="K258" s="19"/>
      <c r="L258" s="19"/>
    </row>
    <row r="259" spans="1:12" ht="28.2" x14ac:dyDescent="0.3">
      <c r="A259" s="4"/>
      <c r="B259" s="5" t="s">
        <v>18</v>
      </c>
      <c r="C259" s="33">
        <v>1</v>
      </c>
      <c r="D259" s="33">
        <v>1</v>
      </c>
      <c r="E259" s="33">
        <v>1</v>
      </c>
      <c r="F259" s="33">
        <v>1</v>
      </c>
      <c r="G259" s="19">
        <f>'расчёт зарплаты'!K20</f>
        <v>31648</v>
      </c>
      <c r="H259" s="19">
        <f t="shared" si="151"/>
        <v>379776</v>
      </c>
      <c r="I259" s="19"/>
      <c r="J259" s="19"/>
      <c r="K259" s="19"/>
      <c r="L259" s="19"/>
    </row>
    <row r="260" spans="1:12" ht="42" x14ac:dyDescent="0.3">
      <c r="A260" s="4"/>
      <c r="B260" s="5" t="s">
        <v>91</v>
      </c>
      <c r="C260" s="33"/>
      <c r="D260" s="33"/>
      <c r="E260" s="33"/>
      <c r="F260" s="33"/>
      <c r="G260" s="19"/>
      <c r="H260" s="19">
        <f t="shared" si="151"/>
        <v>0</v>
      </c>
      <c r="I260" s="19"/>
      <c r="J260" s="19"/>
      <c r="K260" s="19"/>
      <c r="L260" s="19"/>
    </row>
    <row r="261" spans="1:12" x14ac:dyDescent="0.3">
      <c r="A261" s="4"/>
      <c r="B261" s="5" t="s">
        <v>20</v>
      </c>
      <c r="C261" s="33"/>
      <c r="D261" s="33"/>
      <c r="E261" s="33"/>
      <c r="F261" s="33"/>
      <c r="G261" s="19"/>
      <c r="H261" s="19">
        <f t="shared" si="151"/>
        <v>0</v>
      </c>
      <c r="I261" s="19"/>
      <c r="J261" s="19"/>
      <c r="K261" s="19"/>
      <c r="L261" s="19"/>
    </row>
    <row r="262" spans="1:12" ht="39.6" x14ac:dyDescent="0.3">
      <c r="A262" s="4"/>
      <c r="B262" s="6" t="s">
        <v>21</v>
      </c>
      <c r="C262" s="33">
        <v>1</v>
      </c>
      <c r="D262" s="33">
        <v>1</v>
      </c>
      <c r="E262" s="33">
        <v>1</v>
      </c>
      <c r="F262" s="33">
        <v>1</v>
      </c>
      <c r="G262" s="19">
        <f>'расчёт зарплаты'!K44</f>
        <v>45056</v>
      </c>
      <c r="H262" s="19">
        <f t="shared" si="151"/>
        <v>540672</v>
      </c>
      <c r="I262" s="19"/>
      <c r="J262" s="19"/>
      <c r="K262" s="19"/>
      <c r="L262" s="19"/>
    </row>
    <row r="263" spans="1:12" x14ac:dyDescent="0.3">
      <c r="A263" s="4"/>
      <c r="B263" s="5" t="s">
        <v>22</v>
      </c>
      <c r="C263" s="33"/>
      <c r="D263" s="33"/>
      <c r="E263" s="33"/>
      <c r="F263" s="33"/>
      <c r="G263" s="19"/>
      <c r="H263" s="19">
        <f t="shared" ref="H263" si="152">E263*G263*12</f>
        <v>0</v>
      </c>
      <c r="I263" s="19"/>
      <c r="J263" s="19"/>
      <c r="K263" s="19"/>
      <c r="L263" s="19"/>
    </row>
    <row r="264" spans="1:12" x14ac:dyDescent="0.3">
      <c r="A264" s="38" t="s">
        <v>57</v>
      </c>
      <c r="B264" s="39"/>
      <c r="C264" s="41">
        <f>C265+C266+C267</f>
        <v>5.5</v>
      </c>
      <c r="D264" s="41">
        <f t="shared" ref="D264" si="153">D265+D266+D267</f>
        <v>5</v>
      </c>
      <c r="E264" s="41">
        <f t="shared" ref="E264" si="154">E265+E266+E267</f>
        <v>4.5</v>
      </c>
      <c r="F264" s="41">
        <f t="shared" ref="F264" si="155">F265+F266+F267</f>
        <v>3</v>
      </c>
      <c r="G264" s="41"/>
      <c r="H264" s="42">
        <f t="shared" ref="H264" si="156">H265+H266+H267</f>
        <v>1581048</v>
      </c>
      <c r="I264" s="42">
        <f t="shared" ref="I264" si="157">I265+I266+I267</f>
        <v>0</v>
      </c>
      <c r="J264" s="42">
        <f t="shared" ref="J264" si="158">J265+J266+J267</f>
        <v>0</v>
      </c>
      <c r="K264" s="42">
        <f t="shared" ref="K264" si="159">K265+K266+K267</f>
        <v>0</v>
      </c>
      <c r="L264" s="42">
        <f t="shared" ref="L264" si="160">L265+L266+L267</f>
        <v>0</v>
      </c>
    </row>
    <row r="265" spans="1:12" x14ac:dyDescent="0.3">
      <c r="A265" s="4"/>
      <c r="B265" s="5" t="s">
        <v>11</v>
      </c>
      <c r="C265" s="9">
        <v>1</v>
      </c>
      <c r="D265" s="9">
        <v>1</v>
      </c>
      <c r="E265" s="9">
        <v>1</v>
      </c>
      <c r="F265" s="9">
        <v>1</v>
      </c>
      <c r="G265" s="19">
        <f>'расчёт зарплаты'!K26</f>
        <v>27300</v>
      </c>
      <c r="H265" s="19">
        <f t="shared" ref="H265:H268" si="161">E265*G265*12+ ((D265-E265)*G265/2*12)</f>
        <v>327600</v>
      </c>
      <c r="I265" s="19"/>
      <c r="J265" s="19"/>
      <c r="K265" s="19"/>
      <c r="L265" s="19"/>
    </row>
    <row r="266" spans="1:12" x14ac:dyDescent="0.3">
      <c r="A266" s="4"/>
      <c r="B266" s="5" t="s">
        <v>12</v>
      </c>
      <c r="C266" s="9">
        <v>2</v>
      </c>
      <c r="D266" s="9">
        <v>2</v>
      </c>
      <c r="E266" s="9">
        <v>1</v>
      </c>
      <c r="F266" s="9">
        <v>1</v>
      </c>
      <c r="G266" s="19">
        <f>'расчёт зарплаты'!K26</f>
        <v>27300</v>
      </c>
      <c r="H266" s="19">
        <f t="shared" si="161"/>
        <v>491400</v>
      </c>
      <c r="I266" s="19"/>
      <c r="J266" s="19"/>
      <c r="K266" s="19"/>
      <c r="L266" s="19"/>
    </row>
    <row r="267" spans="1:12" ht="28.2" x14ac:dyDescent="0.3">
      <c r="A267" s="4"/>
      <c r="B267" s="5" t="s">
        <v>19</v>
      </c>
      <c r="C267" s="9">
        <v>2.5</v>
      </c>
      <c r="D267" s="9">
        <v>2</v>
      </c>
      <c r="E267" s="9">
        <v>2.5</v>
      </c>
      <c r="F267" s="9">
        <v>1</v>
      </c>
      <c r="G267" s="19">
        <f>'расчёт зарплаты'!K40</f>
        <v>28224</v>
      </c>
      <c r="H267" s="19">
        <f t="shared" si="161"/>
        <v>762048</v>
      </c>
      <c r="I267" s="19"/>
      <c r="J267" s="19"/>
      <c r="K267" s="19"/>
      <c r="L267" s="19"/>
    </row>
    <row r="268" spans="1:12" x14ac:dyDescent="0.3">
      <c r="A268" s="135" t="s">
        <v>23</v>
      </c>
      <c r="B268" s="135"/>
      <c r="C268" s="7">
        <f t="shared" ref="C268:F268" si="162">C269+C275</f>
        <v>7.5</v>
      </c>
      <c r="D268" s="7">
        <f t="shared" si="162"/>
        <v>7</v>
      </c>
      <c r="E268" s="7">
        <f t="shared" si="162"/>
        <v>5</v>
      </c>
      <c r="F268" s="7">
        <f t="shared" si="162"/>
        <v>4.5</v>
      </c>
      <c r="G268" s="19"/>
      <c r="H268" s="19">
        <f t="shared" si="161"/>
        <v>0</v>
      </c>
      <c r="I268" s="19"/>
      <c r="J268" s="20">
        <f t="shared" ref="J268:K268" si="163">J269+J275</f>
        <v>1999116</v>
      </c>
      <c r="K268" s="20">
        <f t="shared" si="163"/>
        <v>603733.03200000001</v>
      </c>
      <c r="L268" s="20">
        <f>L269+L275</f>
        <v>2602849.0320000001</v>
      </c>
    </row>
    <row r="269" spans="1:12" x14ac:dyDescent="0.3">
      <c r="A269" s="136" t="s">
        <v>24</v>
      </c>
      <c r="B269" s="136"/>
      <c r="C269" s="7">
        <f t="shared" ref="C269:F269" si="164">C270+C271+C272+C273+C274</f>
        <v>5.5</v>
      </c>
      <c r="D269" s="7">
        <f t="shared" si="164"/>
        <v>5</v>
      </c>
      <c r="E269" s="7">
        <f t="shared" si="164"/>
        <v>3.5</v>
      </c>
      <c r="F269" s="7">
        <f t="shared" si="164"/>
        <v>3</v>
      </c>
      <c r="G269" s="20"/>
      <c r="H269" s="20">
        <f>H270+H271+H272+H273+H274</f>
        <v>1392300</v>
      </c>
      <c r="I269" s="20">
        <f t="shared" ref="I269" si="165">I270+I271+I272+I273+I274</f>
        <v>0</v>
      </c>
      <c r="J269" s="20">
        <f>H269</f>
        <v>1392300</v>
      </c>
      <c r="K269" s="20">
        <f>J269*30.2%</f>
        <v>420474.6</v>
      </c>
      <c r="L269" s="20">
        <f>J269+K269</f>
        <v>1812774.6</v>
      </c>
    </row>
    <row r="270" spans="1:12" x14ac:dyDescent="0.3">
      <c r="A270" s="4"/>
      <c r="B270" s="5" t="s">
        <v>25</v>
      </c>
      <c r="C270" s="33"/>
      <c r="D270" s="33"/>
      <c r="E270" s="33"/>
      <c r="F270" s="33"/>
      <c r="G270" s="19"/>
      <c r="H270" s="19">
        <f t="shared" ref="H270:H274" si="166">E270*G270*12+ ((D270-E270)*G270/2*12)</f>
        <v>0</v>
      </c>
      <c r="I270" s="19"/>
      <c r="J270" s="19"/>
      <c r="K270" s="19"/>
      <c r="L270" s="19"/>
    </row>
    <row r="271" spans="1:12" x14ac:dyDescent="0.3">
      <c r="A271" s="4"/>
      <c r="B271" s="5" t="s">
        <v>26</v>
      </c>
      <c r="C271" s="33"/>
      <c r="D271" s="33"/>
      <c r="E271" s="33"/>
      <c r="F271" s="33"/>
      <c r="G271" s="19"/>
      <c r="H271" s="19">
        <f t="shared" si="166"/>
        <v>0</v>
      </c>
      <c r="I271" s="19"/>
      <c r="J271" s="19"/>
      <c r="K271" s="19"/>
      <c r="L271" s="19"/>
    </row>
    <row r="272" spans="1:12" x14ac:dyDescent="0.3">
      <c r="A272" s="4"/>
      <c r="B272" s="5" t="s">
        <v>27</v>
      </c>
      <c r="C272" s="33"/>
      <c r="D272" s="33"/>
      <c r="E272" s="33"/>
      <c r="F272" s="33"/>
      <c r="G272" s="19"/>
      <c r="H272" s="19">
        <f t="shared" si="166"/>
        <v>0</v>
      </c>
      <c r="I272" s="19"/>
      <c r="J272" s="19"/>
      <c r="K272" s="19"/>
      <c r="L272" s="19"/>
    </row>
    <row r="273" spans="1:12" ht="28.2" x14ac:dyDescent="0.3">
      <c r="A273" s="4"/>
      <c r="B273" s="5" t="s">
        <v>28</v>
      </c>
      <c r="C273" s="33">
        <v>2</v>
      </c>
      <c r="D273" s="33">
        <v>2</v>
      </c>
      <c r="E273" s="33">
        <v>1</v>
      </c>
      <c r="F273" s="33">
        <v>1</v>
      </c>
      <c r="G273" s="19">
        <f>'расчёт зарплаты'!K26</f>
        <v>27300</v>
      </c>
      <c r="H273" s="19">
        <f t="shared" si="166"/>
        <v>491400</v>
      </c>
      <c r="I273" s="19"/>
      <c r="J273" s="19"/>
      <c r="K273" s="19"/>
      <c r="L273" s="19"/>
    </row>
    <row r="274" spans="1:12" x14ac:dyDescent="0.3">
      <c r="A274" s="4"/>
      <c r="B274" s="5" t="s">
        <v>29</v>
      </c>
      <c r="C274" s="33">
        <v>3.5</v>
      </c>
      <c r="D274" s="33">
        <v>3</v>
      </c>
      <c r="E274" s="33">
        <v>2.5</v>
      </c>
      <c r="F274" s="10">
        <v>2</v>
      </c>
      <c r="G274" s="19">
        <f>'расчёт зарплаты'!K26</f>
        <v>27300</v>
      </c>
      <c r="H274" s="19">
        <f t="shared" si="166"/>
        <v>900900</v>
      </c>
      <c r="I274" s="19"/>
      <c r="J274" s="19"/>
      <c r="K274" s="19"/>
      <c r="L274" s="19"/>
    </row>
    <row r="275" spans="1:12" x14ac:dyDescent="0.3">
      <c r="A275" s="136" t="s">
        <v>30</v>
      </c>
      <c r="B275" s="136"/>
      <c r="C275" s="7">
        <f t="shared" ref="C275:F275" si="167">C276+C277+C278</f>
        <v>2</v>
      </c>
      <c r="D275" s="7">
        <f t="shared" si="167"/>
        <v>2</v>
      </c>
      <c r="E275" s="7">
        <f t="shared" si="167"/>
        <v>1.5</v>
      </c>
      <c r="F275" s="7">
        <f t="shared" si="167"/>
        <v>1.5</v>
      </c>
      <c r="G275" s="20"/>
      <c r="H275" s="20">
        <f>H276+H277+H278</f>
        <v>606816</v>
      </c>
      <c r="I275" s="20">
        <f t="shared" ref="I275" si="168">I276+I277+I278</f>
        <v>0</v>
      </c>
      <c r="J275" s="20">
        <f>H275</f>
        <v>606816</v>
      </c>
      <c r="K275" s="20">
        <f>J275*30.2%</f>
        <v>183258.432</v>
      </c>
      <c r="L275" s="20">
        <f>J275+K275</f>
        <v>790074.43200000003</v>
      </c>
    </row>
    <row r="276" spans="1:12" x14ac:dyDescent="0.3">
      <c r="A276" s="4"/>
      <c r="B276" s="5" t="s">
        <v>31</v>
      </c>
      <c r="C276" s="33">
        <v>0</v>
      </c>
      <c r="D276" s="33">
        <v>0</v>
      </c>
      <c r="E276" s="33">
        <v>0</v>
      </c>
      <c r="F276" s="33">
        <v>0</v>
      </c>
      <c r="G276" s="19">
        <f>'расчёт зарплаты'!K34</f>
        <v>30976</v>
      </c>
      <c r="H276" s="19">
        <f t="shared" ref="H276:H278" si="169">E276*G276*12+ ((D276-E276)*G276/2*12)</f>
        <v>0</v>
      </c>
      <c r="I276" s="19"/>
      <c r="J276" s="19"/>
      <c r="K276" s="19"/>
      <c r="L276" s="19"/>
    </row>
    <row r="277" spans="1:12" x14ac:dyDescent="0.3">
      <c r="A277" s="4"/>
      <c r="B277" s="5" t="s">
        <v>32</v>
      </c>
      <c r="C277" s="33"/>
      <c r="D277" s="33"/>
      <c r="E277" s="33"/>
      <c r="F277" s="33"/>
      <c r="G277" s="19"/>
      <c r="H277" s="19">
        <f t="shared" si="169"/>
        <v>0</v>
      </c>
      <c r="I277" s="19"/>
      <c r="J277" s="19"/>
      <c r="K277" s="19"/>
      <c r="L277" s="19"/>
    </row>
    <row r="278" spans="1:12" x14ac:dyDescent="0.3">
      <c r="A278" s="4"/>
      <c r="B278" s="5" t="s">
        <v>33</v>
      </c>
      <c r="C278" s="33">
        <v>2</v>
      </c>
      <c r="D278" s="33">
        <v>2</v>
      </c>
      <c r="E278" s="33">
        <v>1.5</v>
      </c>
      <c r="F278" s="33">
        <v>1.5</v>
      </c>
      <c r="G278" s="19">
        <f>'расчёт зарплаты'!K38</f>
        <v>28896</v>
      </c>
      <c r="H278" s="19">
        <f t="shared" si="169"/>
        <v>606816</v>
      </c>
      <c r="I278" s="19"/>
      <c r="J278" s="19"/>
      <c r="K278" s="19"/>
      <c r="L278" s="19"/>
    </row>
    <row r="279" spans="1:12" x14ac:dyDescent="0.3">
      <c r="A279" s="141" t="s">
        <v>68</v>
      </c>
      <c r="B279" s="141"/>
      <c r="C279" s="141"/>
      <c r="D279" s="141"/>
      <c r="E279" s="141"/>
      <c r="F279" s="141"/>
      <c r="G279" s="141"/>
      <c r="H279" s="141"/>
      <c r="I279" s="141"/>
      <c r="J279" s="141"/>
      <c r="K279" s="141"/>
      <c r="L279" s="141"/>
    </row>
    <row r="280" spans="1:12" ht="14.4" customHeight="1" x14ac:dyDescent="0.3">
      <c r="A280" s="133" t="s">
        <v>7</v>
      </c>
      <c r="B280" s="134"/>
      <c r="C280" s="8">
        <f>C281+C298+C294</f>
        <v>83</v>
      </c>
      <c r="D280" s="8">
        <f>D281+D298+D294</f>
        <v>76</v>
      </c>
      <c r="E280" s="8">
        <f>E281+E298+E294</f>
        <v>71.5</v>
      </c>
      <c r="F280" s="8">
        <f>F281+F298+F294</f>
        <v>75</v>
      </c>
      <c r="G280" s="19"/>
      <c r="H280" s="19"/>
      <c r="I280" s="19"/>
      <c r="J280" s="19"/>
      <c r="K280" s="19"/>
      <c r="L280" s="19"/>
    </row>
    <row r="281" spans="1:12" ht="14.4" customHeight="1" x14ac:dyDescent="0.3">
      <c r="A281" s="133" t="s">
        <v>89</v>
      </c>
      <c r="B281" s="134"/>
      <c r="C281" s="40">
        <f t="shared" ref="C281:G281" si="170">SUM(C282:C293)</f>
        <v>78</v>
      </c>
      <c r="D281" s="40">
        <f t="shared" si="170"/>
        <v>71</v>
      </c>
      <c r="E281" s="40">
        <f t="shared" si="170"/>
        <v>66.5</v>
      </c>
      <c r="F281" s="40">
        <f t="shared" si="170"/>
        <v>70</v>
      </c>
      <c r="G281" s="40">
        <f t="shared" si="170"/>
        <v>284200</v>
      </c>
      <c r="H281" s="40">
        <f>SUM(H282:H293)</f>
        <v>24213312</v>
      </c>
      <c r="I281" s="20"/>
      <c r="J281" s="20">
        <f>H281-I281</f>
        <v>24213312</v>
      </c>
      <c r="K281" s="20">
        <f>J281*30.2%</f>
        <v>7312420.2239999995</v>
      </c>
      <c r="L281" s="20">
        <f>J281+K281</f>
        <v>31525732.223999999</v>
      </c>
    </row>
    <row r="282" spans="1:12" x14ac:dyDescent="0.3">
      <c r="A282" s="4"/>
      <c r="B282" s="5" t="s">
        <v>9</v>
      </c>
      <c r="C282" s="33">
        <v>27.25</v>
      </c>
      <c r="D282" s="33">
        <v>23.75</v>
      </c>
      <c r="E282" s="33">
        <v>21.75</v>
      </c>
      <c r="F282" s="33">
        <v>22.75</v>
      </c>
      <c r="G282" s="19">
        <f>'расчёт зарплаты'!K10</f>
        <v>28208</v>
      </c>
      <c r="H282" s="19">
        <f>E282*G282*12+ ((D282-E282)*G282/2*12)</f>
        <v>7700784</v>
      </c>
      <c r="I282" s="19"/>
      <c r="J282" s="19"/>
      <c r="K282" s="19"/>
      <c r="L282" s="19">
        <f>G282*K282*12</f>
        <v>0</v>
      </c>
    </row>
    <row r="283" spans="1:12" ht="28.2" x14ac:dyDescent="0.3">
      <c r="A283" s="4"/>
      <c r="B283" s="5" t="s">
        <v>81</v>
      </c>
      <c r="C283" s="33">
        <v>5.25</v>
      </c>
      <c r="D283" s="33">
        <v>5.25</v>
      </c>
      <c r="E283" s="33">
        <v>5.25</v>
      </c>
      <c r="F283" s="33">
        <v>5.25</v>
      </c>
      <c r="G283" s="19">
        <f>'расчёт зарплаты'!K12</f>
        <v>30960</v>
      </c>
      <c r="H283" s="19">
        <f t="shared" ref="H283:H294" si="171">E283*G283*12+ ((D283-E283)*G283/2*12)</f>
        <v>1950480</v>
      </c>
      <c r="I283" s="19"/>
      <c r="J283" s="19"/>
      <c r="K283" s="19"/>
      <c r="L283" s="19"/>
    </row>
    <row r="284" spans="1:12" x14ac:dyDescent="0.3">
      <c r="A284" s="4"/>
      <c r="B284" s="5" t="s">
        <v>10</v>
      </c>
      <c r="C284" s="33">
        <v>6.5</v>
      </c>
      <c r="D284" s="33">
        <v>6.5</v>
      </c>
      <c r="E284" s="33">
        <v>6</v>
      </c>
      <c r="F284" s="33">
        <v>6</v>
      </c>
      <c r="G284" s="19">
        <f>'расчёт зарплаты'!K20</f>
        <v>31648</v>
      </c>
      <c r="H284" s="19">
        <f t="shared" si="171"/>
        <v>2373600</v>
      </c>
      <c r="I284" s="19"/>
      <c r="J284" s="19"/>
      <c r="K284" s="19"/>
      <c r="L284" s="19"/>
    </row>
    <row r="285" spans="1:12" x14ac:dyDescent="0.3">
      <c r="A285" s="4"/>
      <c r="B285" s="5" t="s">
        <v>13</v>
      </c>
      <c r="C285" s="33">
        <v>5.5</v>
      </c>
      <c r="D285" s="33">
        <v>5</v>
      </c>
      <c r="E285" s="33">
        <v>4</v>
      </c>
      <c r="F285" s="33">
        <v>5</v>
      </c>
      <c r="G285" s="19">
        <f>'расчёт зарплаты'!K38</f>
        <v>28896</v>
      </c>
      <c r="H285" s="19">
        <f t="shared" si="171"/>
        <v>1560384</v>
      </c>
      <c r="I285" s="19"/>
      <c r="J285" s="19"/>
      <c r="K285" s="19"/>
      <c r="L285" s="19"/>
    </row>
    <row r="286" spans="1:12" ht="28.2" x14ac:dyDescent="0.3">
      <c r="A286" s="4"/>
      <c r="B286" s="5" t="s">
        <v>14</v>
      </c>
      <c r="C286" s="33"/>
      <c r="D286" s="33"/>
      <c r="E286" s="33"/>
      <c r="F286" s="33"/>
      <c r="G286" s="19"/>
      <c r="H286" s="19">
        <f t="shared" si="171"/>
        <v>0</v>
      </c>
      <c r="I286" s="19"/>
      <c r="J286" s="19"/>
      <c r="K286" s="19"/>
      <c r="L286" s="19"/>
    </row>
    <row r="287" spans="1:12" x14ac:dyDescent="0.3">
      <c r="A287" s="4"/>
      <c r="B287" s="5" t="s">
        <v>15</v>
      </c>
      <c r="C287" s="33">
        <v>9</v>
      </c>
      <c r="D287" s="33">
        <v>9</v>
      </c>
      <c r="E287" s="33">
        <v>8.5</v>
      </c>
      <c r="F287" s="33">
        <v>9</v>
      </c>
      <c r="G287" s="19">
        <f>'расчёт зарплаты'!K34</f>
        <v>30976</v>
      </c>
      <c r="H287" s="19">
        <f t="shared" si="171"/>
        <v>3252480</v>
      </c>
      <c r="I287" s="19"/>
      <c r="J287" s="19"/>
      <c r="K287" s="19"/>
      <c r="L287" s="19"/>
    </row>
    <row r="288" spans="1:12" x14ac:dyDescent="0.3">
      <c r="A288" s="4"/>
      <c r="B288" s="5" t="s">
        <v>16</v>
      </c>
      <c r="C288" s="33">
        <v>12</v>
      </c>
      <c r="D288" s="33">
        <v>11</v>
      </c>
      <c r="E288" s="33">
        <v>11</v>
      </c>
      <c r="F288" s="33">
        <v>11</v>
      </c>
      <c r="G288" s="19">
        <f>'расчёт зарплаты'!K8</f>
        <v>28600</v>
      </c>
      <c r="H288" s="19">
        <f t="shared" si="171"/>
        <v>3775200</v>
      </c>
      <c r="I288" s="19"/>
      <c r="J288" s="19"/>
      <c r="K288" s="19"/>
      <c r="L288" s="19"/>
    </row>
    <row r="289" spans="1:12" ht="42" x14ac:dyDescent="0.3">
      <c r="A289" s="4"/>
      <c r="B289" s="5" t="s">
        <v>17</v>
      </c>
      <c r="C289" s="33">
        <v>4</v>
      </c>
      <c r="D289" s="33">
        <v>4</v>
      </c>
      <c r="E289" s="33">
        <v>4</v>
      </c>
      <c r="F289" s="33">
        <v>4</v>
      </c>
      <c r="G289" s="19">
        <f>'расчёт зарплаты'!K10</f>
        <v>28208</v>
      </c>
      <c r="H289" s="19">
        <f t="shared" si="171"/>
        <v>1353984</v>
      </c>
      <c r="I289" s="19"/>
      <c r="J289" s="19"/>
      <c r="K289" s="19"/>
      <c r="L289" s="19"/>
    </row>
    <row r="290" spans="1:12" ht="28.2" x14ac:dyDescent="0.3">
      <c r="A290" s="4"/>
      <c r="B290" s="5" t="s">
        <v>18</v>
      </c>
      <c r="C290" s="33">
        <v>2</v>
      </c>
      <c r="D290" s="33">
        <v>2</v>
      </c>
      <c r="E290" s="33">
        <v>2</v>
      </c>
      <c r="F290" s="33">
        <v>2</v>
      </c>
      <c r="G290" s="19">
        <f>'расчёт зарплаты'!K20</f>
        <v>31648</v>
      </c>
      <c r="H290" s="19">
        <f t="shared" si="171"/>
        <v>759552</v>
      </c>
      <c r="I290" s="19"/>
      <c r="J290" s="19"/>
      <c r="K290" s="19"/>
      <c r="L290" s="19"/>
    </row>
    <row r="291" spans="1:12" ht="42" x14ac:dyDescent="0.3">
      <c r="A291" s="4"/>
      <c r="B291" s="5" t="s">
        <v>91</v>
      </c>
      <c r="C291" s="33">
        <v>3</v>
      </c>
      <c r="D291" s="33">
        <v>1</v>
      </c>
      <c r="E291" s="33">
        <v>1</v>
      </c>
      <c r="F291" s="33">
        <v>1</v>
      </c>
      <c r="G291" s="19"/>
      <c r="H291" s="19">
        <f t="shared" si="171"/>
        <v>0</v>
      </c>
      <c r="I291" s="19"/>
      <c r="J291" s="19"/>
      <c r="K291" s="19"/>
      <c r="L291" s="19"/>
    </row>
    <row r="292" spans="1:12" x14ac:dyDescent="0.3">
      <c r="A292" s="4"/>
      <c r="B292" s="5" t="s">
        <v>20</v>
      </c>
      <c r="C292" s="33">
        <v>0.5</v>
      </c>
      <c r="D292" s="33">
        <v>0.5</v>
      </c>
      <c r="E292" s="33">
        <v>0.5</v>
      </c>
      <c r="F292" s="33">
        <v>1</v>
      </c>
      <c r="G292" s="19"/>
      <c r="H292" s="19">
        <f t="shared" si="171"/>
        <v>0</v>
      </c>
      <c r="I292" s="19"/>
      <c r="J292" s="19"/>
      <c r="K292" s="19"/>
      <c r="L292" s="19"/>
    </row>
    <row r="293" spans="1:12" ht="39.6" x14ac:dyDescent="0.3">
      <c r="A293" s="4"/>
      <c r="B293" s="6" t="s">
        <v>21</v>
      </c>
      <c r="C293" s="33">
        <v>3</v>
      </c>
      <c r="D293" s="33">
        <v>3</v>
      </c>
      <c r="E293" s="33">
        <v>2.5</v>
      </c>
      <c r="F293" s="33">
        <v>3</v>
      </c>
      <c r="G293" s="19">
        <f>'расчёт зарплаты'!K44</f>
        <v>45056</v>
      </c>
      <c r="H293" s="19">
        <f t="shared" si="171"/>
        <v>1486848</v>
      </c>
      <c r="I293" s="19"/>
      <c r="J293" s="19"/>
      <c r="K293" s="19"/>
      <c r="L293" s="19"/>
    </row>
    <row r="294" spans="1:12" x14ac:dyDescent="0.3">
      <c r="A294" s="4"/>
      <c r="B294" s="5" t="s">
        <v>22</v>
      </c>
      <c r="C294" s="33"/>
      <c r="D294" s="33"/>
      <c r="E294" s="33"/>
      <c r="F294" s="33"/>
      <c r="G294" s="19"/>
      <c r="H294" s="19">
        <f t="shared" si="171"/>
        <v>0</v>
      </c>
      <c r="I294" s="19"/>
      <c r="J294" s="19"/>
      <c r="K294" s="19"/>
      <c r="L294" s="19"/>
    </row>
    <row r="295" spans="1:12" x14ac:dyDescent="0.3">
      <c r="A295" s="38" t="s">
        <v>57</v>
      </c>
      <c r="B295" s="39"/>
      <c r="C295" s="41">
        <f>C296+C297+C298</f>
        <v>12</v>
      </c>
      <c r="D295" s="41">
        <f t="shared" ref="D295" si="172">D296+D297+D298</f>
        <v>11</v>
      </c>
      <c r="E295" s="41">
        <f t="shared" ref="E295" si="173">E296+E297+E298</f>
        <v>11</v>
      </c>
      <c r="F295" s="41">
        <f t="shared" ref="F295" si="174">F296+F297+F298</f>
        <v>11</v>
      </c>
      <c r="G295" s="41"/>
      <c r="H295" s="41">
        <f t="shared" ref="H295" si="175">H296+H297+H298</f>
        <v>3659040</v>
      </c>
      <c r="I295" s="42">
        <f t="shared" ref="I295" si="176">I296+I297+I298</f>
        <v>0</v>
      </c>
      <c r="J295" s="42">
        <f t="shared" ref="J295" si="177">J296+J297+J298</f>
        <v>0</v>
      </c>
      <c r="K295" s="42">
        <f t="shared" ref="K295" si="178">K296+K297+K298</f>
        <v>0</v>
      </c>
      <c r="L295" s="42">
        <f t="shared" ref="L295" si="179">L296+L297+L298</f>
        <v>0</v>
      </c>
    </row>
    <row r="296" spans="1:12" x14ac:dyDescent="0.3">
      <c r="A296" s="4"/>
      <c r="B296" s="5" t="s">
        <v>11</v>
      </c>
      <c r="C296" s="9">
        <v>3</v>
      </c>
      <c r="D296" s="9">
        <v>2</v>
      </c>
      <c r="E296" s="9">
        <v>2</v>
      </c>
      <c r="F296" s="9">
        <v>2</v>
      </c>
      <c r="G296" s="19">
        <f>'расчёт зарплаты'!K26</f>
        <v>27300</v>
      </c>
      <c r="H296" s="19">
        <f t="shared" ref="H296:H299" si="180">E296*G296*12+ ((D296-E296)*G296/2*12)</f>
        <v>655200</v>
      </c>
      <c r="I296" s="19"/>
      <c r="J296" s="19"/>
      <c r="K296" s="19"/>
      <c r="L296" s="19"/>
    </row>
    <row r="297" spans="1:12" x14ac:dyDescent="0.3">
      <c r="A297" s="4"/>
      <c r="B297" s="5" t="s">
        <v>12</v>
      </c>
      <c r="C297" s="9">
        <v>4</v>
      </c>
      <c r="D297" s="9">
        <v>4</v>
      </c>
      <c r="E297" s="9">
        <v>4</v>
      </c>
      <c r="F297" s="9">
        <v>4</v>
      </c>
      <c r="G297" s="19">
        <f>'расчёт зарплаты'!K26</f>
        <v>27300</v>
      </c>
      <c r="H297" s="19">
        <f t="shared" si="180"/>
        <v>1310400</v>
      </c>
      <c r="I297" s="19"/>
      <c r="J297" s="19"/>
      <c r="K297" s="19"/>
      <c r="L297" s="19"/>
    </row>
    <row r="298" spans="1:12" ht="28.2" x14ac:dyDescent="0.3">
      <c r="A298" s="4"/>
      <c r="B298" s="5" t="s">
        <v>19</v>
      </c>
      <c r="C298" s="9">
        <v>5</v>
      </c>
      <c r="D298" s="9">
        <v>5</v>
      </c>
      <c r="E298" s="9">
        <v>5</v>
      </c>
      <c r="F298" s="9">
        <v>5</v>
      </c>
      <c r="G298" s="19">
        <f>'расчёт зарплаты'!K40</f>
        <v>28224</v>
      </c>
      <c r="H298" s="19">
        <f t="shared" si="180"/>
        <v>1693440</v>
      </c>
      <c r="I298" s="19"/>
      <c r="J298" s="19"/>
      <c r="K298" s="19"/>
      <c r="L298" s="19"/>
    </row>
    <row r="299" spans="1:12" x14ac:dyDescent="0.3">
      <c r="A299" s="135" t="s">
        <v>23</v>
      </c>
      <c r="B299" s="135"/>
      <c r="C299" s="7">
        <f t="shared" ref="C299:F299" si="181">C300+C306</f>
        <v>24.5</v>
      </c>
      <c r="D299" s="7">
        <f t="shared" si="181"/>
        <v>23</v>
      </c>
      <c r="E299" s="7">
        <f t="shared" si="181"/>
        <v>20.8</v>
      </c>
      <c r="F299" s="7">
        <f t="shared" si="181"/>
        <v>22</v>
      </c>
      <c r="G299" s="19"/>
      <c r="H299" s="19">
        <f t="shared" si="180"/>
        <v>0</v>
      </c>
      <c r="I299" s="19"/>
      <c r="J299" s="20">
        <f t="shared" ref="J299:K299" si="182">J300+J306</f>
        <v>7392960</v>
      </c>
      <c r="K299" s="20">
        <f t="shared" si="182"/>
        <v>2232673.92</v>
      </c>
      <c r="L299" s="20">
        <f>L300+L306</f>
        <v>9625633.9199999999</v>
      </c>
    </row>
    <row r="300" spans="1:12" x14ac:dyDescent="0.3">
      <c r="A300" s="136" t="s">
        <v>24</v>
      </c>
      <c r="B300" s="136"/>
      <c r="C300" s="7">
        <f t="shared" ref="C300:F300" si="183">C301+C302+C303+C304+C305</f>
        <v>16.5</v>
      </c>
      <c r="D300" s="7">
        <f t="shared" si="183"/>
        <v>15</v>
      </c>
      <c r="E300" s="7">
        <f t="shared" si="183"/>
        <v>13.8</v>
      </c>
      <c r="F300" s="7">
        <f t="shared" si="183"/>
        <v>14</v>
      </c>
      <c r="G300" s="20"/>
      <c r="H300" s="20">
        <f>H301+H302+H303+H304+H305</f>
        <v>4717440</v>
      </c>
      <c r="I300" s="20">
        <f t="shared" ref="I300" si="184">I301+I302+I303+I304+I305</f>
        <v>0</v>
      </c>
      <c r="J300" s="20">
        <f>H300</f>
        <v>4717440</v>
      </c>
      <c r="K300" s="20">
        <f>J300*30.2%</f>
        <v>1424666.88</v>
      </c>
      <c r="L300" s="20">
        <f>J300+K300</f>
        <v>6142106.8799999999</v>
      </c>
    </row>
    <row r="301" spans="1:12" x14ac:dyDescent="0.3">
      <c r="A301" s="4"/>
      <c r="B301" s="5" t="s">
        <v>25</v>
      </c>
      <c r="C301" s="33"/>
      <c r="D301" s="33"/>
      <c r="E301" s="33"/>
      <c r="F301" s="33"/>
      <c r="G301" s="19"/>
      <c r="H301" s="19">
        <f t="shared" ref="H301:H305" si="185">E301*G301*12+ ((D301-E301)*G301/2*12)</f>
        <v>0</v>
      </c>
      <c r="I301" s="19"/>
      <c r="J301" s="19"/>
      <c r="K301" s="19"/>
      <c r="L301" s="19"/>
    </row>
    <row r="302" spans="1:12" x14ac:dyDescent="0.3">
      <c r="A302" s="4"/>
      <c r="B302" s="5" t="s">
        <v>26</v>
      </c>
      <c r="C302" s="33"/>
      <c r="D302" s="33"/>
      <c r="E302" s="33"/>
      <c r="F302" s="33"/>
      <c r="G302" s="19"/>
      <c r="H302" s="19">
        <f t="shared" si="185"/>
        <v>0</v>
      </c>
      <c r="I302" s="19"/>
      <c r="J302" s="19"/>
      <c r="K302" s="19"/>
      <c r="L302" s="19"/>
    </row>
    <row r="303" spans="1:12" x14ac:dyDescent="0.3">
      <c r="A303" s="4"/>
      <c r="B303" s="5" t="s">
        <v>27</v>
      </c>
      <c r="C303" s="33"/>
      <c r="D303" s="33"/>
      <c r="E303" s="33"/>
      <c r="F303" s="33"/>
      <c r="G303" s="19"/>
      <c r="H303" s="19">
        <f t="shared" si="185"/>
        <v>0</v>
      </c>
      <c r="I303" s="19"/>
      <c r="J303" s="19"/>
      <c r="K303" s="19"/>
      <c r="L303" s="19"/>
    </row>
    <row r="304" spans="1:12" ht="28.2" x14ac:dyDescent="0.3">
      <c r="A304" s="4"/>
      <c r="B304" s="5" t="s">
        <v>28</v>
      </c>
      <c r="C304" s="33">
        <v>7.25</v>
      </c>
      <c r="D304" s="33">
        <v>7</v>
      </c>
      <c r="E304" s="33">
        <v>6.6</v>
      </c>
      <c r="F304" s="33">
        <v>7</v>
      </c>
      <c r="G304" s="19">
        <f>'расчёт зарплаты'!K26</f>
        <v>27300</v>
      </c>
      <c r="H304" s="19">
        <f t="shared" si="185"/>
        <v>2227680</v>
      </c>
      <c r="I304" s="19"/>
      <c r="J304" s="19"/>
      <c r="K304" s="19"/>
      <c r="L304" s="19"/>
    </row>
    <row r="305" spans="1:12" x14ac:dyDescent="0.3">
      <c r="A305" s="4"/>
      <c r="B305" s="5" t="s">
        <v>29</v>
      </c>
      <c r="C305" s="33">
        <v>9.25</v>
      </c>
      <c r="D305" s="33">
        <v>8</v>
      </c>
      <c r="E305" s="33">
        <v>7.2</v>
      </c>
      <c r="F305" s="33">
        <v>7</v>
      </c>
      <c r="G305" s="19">
        <f>'расчёт зарплаты'!K26</f>
        <v>27300</v>
      </c>
      <c r="H305" s="19">
        <f t="shared" si="185"/>
        <v>2489760</v>
      </c>
      <c r="I305" s="19"/>
      <c r="J305" s="19"/>
      <c r="K305" s="19"/>
      <c r="L305" s="19"/>
    </row>
    <row r="306" spans="1:12" x14ac:dyDescent="0.3">
      <c r="A306" s="136" t="s">
        <v>30</v>
      </c>
      <c r="B306" s="136"/>
      <c r="C306" s="7">
        <f t="shared" ref="C306:F306" si="186">C307+C308+C309</f>
        <v>8</v>
      </c>
      <c r="D306" s="7">
        <f t="shared" si="186"/>
        <v>8</v>
      </c>
      <c r="E306" s="7">
        <f t="shared" si="186"/>
        <v>7</v>
      </c>
      <c r="F306" s="7">
        <f t="shared" si="186"/>
        <v>8</v>
      </c>
      <c r="G306" s="20"/>
      <c r="H306" s="20">
        <f>H307+H308+H309</f>
        <v>2675520</v>
      </c>
      <c r="I306" s="20">
        <f t="shared" ref="I306" si="187">I307+I308+I309</f>
        <v>0</v>
      </c>
      <c r="J306" s="20">
        <f>H306</f>
        <v>2675520</v>
      </c>
      <c r="K306" s="20">
        <f>J306*30.2%</f>
        <v>808007.03999999992</v>
      </c>
      <c r="L306" s="20">
        <f>J306+K306</f>
        <v>3483527.04</v>
      </c>
    </row>
    <row r="307" spans="1:12" x14ac:dyDescent="0.3">
      <c r="A307" s="4"/>
      <c r="B307" s="5" t="s">
        <v>31</v>
      </c>
      <c r="C307" s="33">
        <v>3</v>
      </c>
      <c r="D307" s="33">
        <v>3</v>
      </c>
      <c r="E307" s="33">
        <v>3</v>
      </c>
      <c r="F307" s="33">
        <v>3</v>
      </c>
      <c r="G307" s="19">
        <f>'расчёт зарплаты'!K34</f>
        <v>30976</v>
      </c>
      <c r="H307" s="19">
        <f t="shared" ref="H307:H309" si="188">E307*G307*12+ ((D307-E307)*G307/2*12)</f>
        <v>1115136</v>
      </c>
      <c r="I307" s="19"/>
      <c r="J307" s="19"/>
      <c r="K307" s="19"/>
      <c r="L307" s="19"/>
    </row>
    <row r="308" spans="1:12" x14ac:dyDescent="0.3">
      <c r="A308" s="4"/>
      <c r="B308" s="5" t="s">
        <v>32</v>
      </c>
      <c r="C308" s="33">
        <v>1</v>
      </c>
      <c r="D308" s="33">
        <v>1</v>
      </c>
      <c r="E308" s="33">
        <v>1</v>
      </c>
      <c r="F308" s="33">
        <v>1</v>
      </c>
      <c r="G308" s="19">
        <f>'расчёт зарплаты'!K38</f>
        <v>28896</v>
      </c>
      <c r="H308" s="19">
        <f t="shared" si="188"/>
        <v>346752</v>
      </c>
      <c r="I308" s="19"/>
      <c r="J308" s="19"/>
      <c r="K308" s="19"/>
      <c r="L308" s="19"/>
    </row>
    <row r="309" spans="1:12" x14ac:dyDescent="0.3">
      <c r="A309" s="4"/>
      <c r="B309" s="5" t="s">
        <v>33</v>
      </c>
      <c r="C309" s="33">
        <v>4</v>
      </c>
      <c r="D309" s="33">
        <v>4</v>
      </c>
      <c r="E309" s="33">
        <v>3</v>
      </c>
      <c r="F309" s="33">
        <v>4</v>
      </c>
      <c r="G309" s="19">
        <f>'расчёт зарплаты'!K38</f>
        <v>28896</v>
      </c>
      <c r="H309" s="19">
        <f t="shared" si="188"/>
        <v>1213632</v>
      </c>
      <c r="I309" s="19"/>
      <c r="J309" s="19"/>
      <c r="K309" s="19"/>
      <c r="L309" s="19"/>
    </row>
    <row r="310" spans="1:12" x14ac:dyDescent="0.3">
      <c r="A310" s="141" t="s">
        <v>69</v>
      </c>
      <c r="B310" s="141"/>
      <c r="C310" s="141"/>
      <c r="D310" s="141"/>
      <c r="E310" s="141"/>
      <c r="F310" s="141"/>
      <c r="G310" s="141"/>
      <c r="H310" s="141"/>
      <c r="I310" s="141"/>
      <c r="J310" s="141"/>
      <c r="K310" s="141"/>
      <c r="L310" s="141"/>
    </row>
    <row r="311" spans="1:12" ht="14.4" customHeight="1" x14ac:dyDescent="0.3">
      <c r="A311" s="133" t="s">
        <v>7</v>
      </c>
      <c r="B311" s="134"/>
      <c r="C311" s="8">
        <f>C312+C329+C325</f>
        <v>54.5</v>
      </c>
      <c r="D311" s="8">
        <f>D312+D329+D325</f>
        <v>52.5</v>
      </c>
      <c r="E311" s="8">
        <f>E312+E329+E325</f>
        <v>43.1</v>
      </c>
      <c r="F311" s="8">
        <f>F312+F329+F325</f>
        <v>42.9</v>
      </c>
      <c r="G311" s="19"/>
      <c r="H311" s="19"/>
      <c r="I311" s="19"/>
      <c r="J311" s="19"/>
      <c r="K311" s="19"/>
      <c r="L311" s="19"/>
    </row>
    <row r="312" spans="1:12" ht="14.4" customHeight="1" x14ac:dyDescent="0.3">
      <c r="A312" s="133" t="s">
        <v>89</v>
      </c>
      <c r="B312" s="134"/>
      <c r="C312" s="40">
        <f t="shared" ref="C312:G312" si="189">SUM(C313:C324)</f>
        <v>37.5</v>
      </c>
      <c r="D312" s="40">
        <f t="shared" si="189"/>
        <v>37</v>
      </c>
      <c r="E312" s="40">
        <f t="shared" si="189"/>
        <v>31.1</v>
      </c>
      <c r="F312" s="40">
        <f t="shared" si="189"/>
        <v>30.9</v>
      </c>
      <c r="G312" s="40">
        <f t="shared" si="189"/>
        <v>221592</v>
      </c>
      <c r="H312" s="40">
        <f>SUM(H313:H324)</f>
        <v>11969241.6</v>
      </c>
      <c r="I312" s="20"/>
      <c r="J312" s="20">
        <f>H312-I312</f>
        <v>11969241.6</v>
      </c>
      <c r="K312" s="20">
        <f>J312*30.2%</f>
        <v>3614710.9631999996</v>
      </c>
      <c r="L312" s="20">
        <f>J312+K312</f>
        <v>15583952.563199999</v>
      </c>
    </row>
    <row r="313" spans="1:12" x14ac:dyDescent="0.3">
      <c r="A313" s="4"/>
      <c r="B313" s="5" t="s">
        <v>9</v>
      </c>
      <c r="C313" s="33">
        <v>19.5</v>
      </c>
      <c r="D313" s="33">
        <v>19.5</v>
      </c>
      <c r="E313" s="33">
        <v>16.5</v>
      </c>
      <c r="F313" s="33">
        <v>16.899999999999999</v>
      </c>
      <c r="G313" s="19">
        <f>'расчёт зарплаты'!K10</f>
        <v>28208</v>
      </c>
      <c r="H313" s="19">
        <f>E313*G313*12+ ((D313-E313)*G313/2*12)</f>
        <v>6092928</v>
      </c>
      <c r="I313" s="19"/>
      <c r="J313" s="19"/>
      <c r="K313" s="19"/>
      <c r="L313" s="19">
        <f>G313*K313*12</f>
        <v>0</v>
      </c>
    </row>
    <row r="314" spans="1:12" x14ac:dyDescent="0.3">
      <c r="A314" s="4"/>
      <c r="B314" s="5" t="s">
        <v>10</v>
      </c>
      <c r="C314" s="33"/>
      <c r="D314" s="33"/>
      <c r="E314" s="33"/>
      <c r="F314" s="33"/>
      <c r="G314" s="19"/>
      <c r="H314" s="19">
        <f t="shared" ref="H314:H323" si="190">E314*G314*12+ ((D314-E314)*G314/2*12)</f>
        <v>0</v>
      </c>
      <c r="I314" s="19"/>
      <c r="J314" s="19"/>
      <c r="K314" s="19"/>
      <c r="L314" s="19"/>
    </row>
    <row r="315" spans="1:12" x14ac:dyDescent="0.3">
      <c r="A315" s="4"/>
      <c r="B315" s="5" t="s">
        <v>13</v>
      </c>
      <c r="C315" s="33">
        <v>3.5</v>
      </c>
      <c r="D315" s="33">
        <v>3.5</v>
      </c>
      <c r="E315" s="33">
        <v>1.5</v>
      </c>
      <c r="F315" s="33">
        <v>1</v>
      </c>
      <c r="G315" s="19">
        <f>'расчёт зарплаты'!K38</f>
        <v>28896</v>
      </c>
      <c r="H315" s="19">
        <f t="shared" si="190"/>
        <v>866880</v>
      </c>
      <c r="I315" s="19"/>
      <c r="J315" s="19"/>
      <c r="K315" s="19"/>
      <c r="L315" s="19"/>
    </row>
    <row r="316" spans="1:12" ht="28.2" x14ac:dyDescent="0.3">
      <c r="A316" s="4"/>
      <c r="B316" s="5" t="s">
        <v>14</v>
      </c>
      <c r="C316" s="33"/>
      <c r="D316" s="33"/>
      <c r="E316" s="33"/>
      <c r="F316" s="33"/>
      <c r="G316" s="19"/>
      <c r="H316" s="19">
        <f t="shared" si="190"/>
        <v>0</v>
      </c>
      <c r="I316" s="19"/>
      <c r="J316" s="19"/>
      <c r="K316" s="19"/>
      <c r="L316" s="19"/>
    </row>
    <row r="317" spans="1:12" x14ac:dyDescent="0.3">
      <c r="A317" s="4"/>
      <c r="B317" s="5" t="s">
        <v>15</v>
      </c>
      <c r="C317" s="33">
        <v>5</v>
      </c>
      <c r="D317" s="33">
        <v>5</v>
      </c>
      <c r="E317" s="33">
        <v>4.0999999999999996</v>
      </c>
      <c r="F317" s="33">
        <v>4</v>
      </c>
      <c r="G317" s="19">
        <f>'расчёт зарплаты'!K34</f>
        <v>30976</v>
      </c>
      <c r="H317" s="19">
        <f t="shared" si="190"/>
        <v>1691289.6000000001</v>
      </c>
      <c r="I317" s="19"/>
      <c r="J317" s="19"/>
      <c r="K317" s="19"/>
      <c r="L317" s="19"/>
    </row>
    <row r="318" spans="1:12" x14ac:dyDescent="0.3">
      <c r="A318" s="4"/>
      <c r="B318" s="5" t="s">
        <v>16</v>
      </c>
      <c r="C318" s="33">
        <v>6</v>
      </c>
      <c r="D318" s="33">
        <v>6</v>
      </c>
      <c r="E318" s="33">
        <v>6</v>
      </c>
      <c r="F318" s="33">
        <v>6</v>
      </c>
      <c r="G318" s="19">
        <f>'расчёт зарплаты'!K8</f>
        <v>28600</v>
      </c>
      <c r="H318" s="19">
        <f t="shared" si="190"/>
        <v>2059200</v>
      </c>
      <c r="I318" s="19"/>
      <c r="J318" s="19"/>
      <c r="K318" s="19"/>
      <c r="L318" s="19"/>
    </row>
    <row r="319" spans="1:12" ht="42" x14ac:dyDescent="0.3">
      <c r="A319" s="4"/>
      <c r="B319" s="5" t="s">
        <v>17</v>
      </c>
      <c r="C319" s="33">
        <v>1.5</v>
      </c>
      <c r="D319" s="33">
        <v>1</v>
      </c>
      <c r="E319" s="33">
        <v>1</v>
      </c>
      <c r="F319" s="33">
        <v>1</v>
      </c>
      <c r="G319" s="19">
        <f>'расчёт зарплаты'!K10</f>
        <v>28208</v>
      </c>
      <c r="H319" s="19">
        <f t="shared" si="190"/>
        <v>338496</v>
      </c>
      <c r="I319" s="19"/>
      <c r="J319" s="19"/>
      <c r="K319" s="19"/>
      <c r="L319" s="19"/>
    </row>
    <row r="320" spans="1:12" ht="28.2" x14ac:dyDescent="0.3">
      <c r="A320" s="4"/>
      <c r="B320" s="5" t="s">
        <v>18</v>
      </c>
      <c r="C320" s="33">
        <v>1</v>
      </c>
      <c r="D320" s="33">
        <v>1</v>
      </c>
      <c r="E320" s="33">
        <v>1</v>
      </c>
      <c r="F320" s="33">
        <v>1</v>
      </c>
      <c r="G320" s="19">
        <f>'расчёт зарплаты'!K20</f>
        <v>31648</v>
      </c>
      <c r="H320" s="19">
        <f t="shared" si="190"/>
        <v>379776</v>
      </c>
      <c r="I320" s="19"/>
      <c r="J320" s="19"/>
      <c r="K320" s="19"/>
      <c r="L320" s="19"/>
    </row>
    <row r="321" spans="1:12" ht="42" x14ac:dyDescent="0.3">
      <c r="A321" s="4"/>
      <c r="B321" s="5" t="s">
        <v>91</v>
      </c>
      <c r="C321" s="33"/>
      <c r="D321" s="33"/>
      <c r="E321" s="33"/>
      <c r="F321" s="33"/>
      <c r="G321" s="19"/>
      <c r="H321" s="19">
        <f t="shared" si="190"/>
        <v>0</v>
      </c>
      <c r="I321" s="19"/>
      <c r="J321" s="19"/>
      <c r="K321" s="19"/>
      <c r="L321" s="19"/>
    </row>
    <row r="322" spans="1:12" x14ac:dyDescent="0.3">
      <c r="A322" s="4"/>
      <c r="B322" s="5" t="s">
        <v>20</v>
      </c>
      <c r="C322" s="33"/>
      <c r="D322" s="33"/>
      <c r="E322" s="33"/>
      <c r="F322" s="33"/>
      <c r="G322" s="19"/>
      <c r="H322" s="19">
        <f t="shared" si="190"/>
        <v>0</v>
      </c>
      <c r="I322" s="19"/>
      <c r="J322" s="19"/>
      <c r="K322" s="19"/>
      <c r="L322" s="19"/>
    </row>
    <row r="323" spans="1:12" ht="39.6" x14ac:dyDescent="0.3">
      <c r="A323" s="4"/>
      <c r="B323" s="6" t="s">
        <v>21</v>
      </c>
      <c r="C323" s="33">
        <v>1</v>
      </c>
      <c r="D323" s="33">
        <v>1</v>
      </c>
      <c r="E323" s="33">
        <v>1</v>
      </c>
      <c r="F323" s="33">
        <v>1</v>
      </c>
      <c r="G323" s="19">
        <f>'расчёт зарплаты'!K44</f>
        <v>45056</v>
      </c>
      <c r="H323" s="19">
        <f t="shared" si="190"/>
        <v>540672</v>
      </c>
      <c r="I323" s="19"/>
      <c r="J323" s="19"/>
      <c r="K323" s="19"/>
      <c r="L323" s="19"/>
    </row>
    <row r="324" spans="1:12" x14ac:dyDescent="0.3">
      <c r="A324" s="4"/>
      <c r="B324" s="5" t="s">
        <v>22</v>
      </c>
      <c r="C324" s="33"/>
      <c r="D324" s="33"/>
      <c r="E324" s="33"/>
      <c r="F324" s="33"/>
      <c r="G324" s="19"/>
      <c r="H324" s="19">
        <f t="shared" ref="H324" si="191">E324*G324*12</f>
        <v>0</v>
      </c>
      <c r="I324" s="19"/>
      <c r="J324" s="19"/>
      <c r="K324" s="19"/>
      <c r="L324" s="19"/>
    </row>
    <row r="325" spans="1:12" x14ac:dyDescent="0.3">
      <c r="A325" s="38" t="s">
        <v>57</v>
      </c>
      <c r="B325" s="39"/>
      <c r="C325" s="41">
        <f>C326+C327+C328</f>
        <v>8</v>
      </c>
      <c r="D325" s="41">
        <f t="shared" ref="D325" si="192">D326+D327+D328</f>
        <v>7.5</v>
      </c>
      <c r="E325" s="41">
        <f t="shared" ref="E325" si="193">E326+E327+E328</f>
        <v>4</v>
      </c>
      <c r="F325" s="41">
        <f t="shared" ref="F325" si="194">F326+F327+F328</f>
        <v>4</v>
      </c>
      <c r="G325" s="41"/>
      <c r="H325" s="42">
        <f t="shared" ref="H325" si="195">H326+H327+H328</f>
        <v>1922508</v>
      </c>
      <c r="I325" s="42">
        <f t="shared" ref="I325" si="196">I326+I327+I328</f>
        <v>0</v>
      </c>
      <c r="J325" s="42">
        <f t="shared" ref="J325" si="197">J326+J327+J328</f>
        <v>0</v>
      </c>
      <c r="K325" s="42">
        <f t="shared" ref="K325" si="198">K326+K327+K328</f>
        <v>0</v>
      </c>
      <c r="L325" s="42">
        <f t="shared" ref="L325" si="199">L326+L327+L328</f>
        <v>0</v>
      </c>
    </row>
    <row r="326" spans="1:12" x14ac:dyDescent="0.3">
      <c r="A326" s="4"/>
      <c r="B326" s="5" t="s">
        <v>11</v>
      </c>
      <c r="C326" s="9">
        <v>1.5</v>
      </c>
      <c r="D326" s="9">
        <v>1.5</v>
      </c>
      <c r="E326" s="9">
        <v>1</v>
      </c>
      <c r="F326" s="9">
        <v>1</v>
      </c>
      <c r="G326" s="19">
        <f>'расчёт зарплаты'!K26</f>
        <v>27300</v>
      </c>
      <c r="H326" s="19">
        <f t="shared" ref="H326:H329" si="200">E326*G326*12+ ((D326-E326)*G326/2*12)</f>
        <v>409500</v>
      </c>
      <c r="I326" s="19"/>
      <c r="J326" s="19"/>
      <c r="K326" s="19"/>
      <c r="L326" s="19"/>
    </row>
    <row r="327" spans="1:12" x14ac:dyDescent="0.3">
      <c r="A327" s="4"/>
      <c r="B327" s="5" t="s">
        <v>12</v>
      </c>
      <c r="C327" s="9">
        <v>1.5</v>
      </c>
      <c r="D327" s="9">
        <v>1</v>
      </c>
      <c r="E327" s="9">
        <v>1</v>
      </c>
      <c r="F327" s="9">
        <v>1</v>
      </c>
      <c r="G327" s="19">
        <f>'расчёт зарплаты'!K26</f>
        <v>27300</v>
      </c>
      <c r="H327" s="19">
        <f t="shared" si="200"/>
        <v>327600</v>
      </c>
      <c r="I327" s="19"/>
      <c r="J327" s="19"/>
      <c r="K327" s="19"/>
      <c r="L327" s="19"/>
    </row>
    <row r="328" spans="1:12" ht="28.2" x14ac:dyDescent="0.3">
      <c r="A328" s="4"/>
      <c r="B328" s="5" t="s">
        <v>19</v>
      </c>
      <c r="C328" s="9">
        <v>5</v>
      </c>
      <c r="D328" s="9">
        <v>5</v>
      </c>
      <c r="E328" s="9">
        <v>2</v>
      </c>
      <c r="F328" s="9">
        <v>2</v>
      </c>
      <c r="G328" s="19">
        <f>'расчёт зарплаты'!K40</f>
        <v>28224</v>
      </c>
      <c r="H328" s="19">
        <f t="shared" si="200"/>
        <v>1185408</v>
      </c>
      <c r="I328" s="19"/>
      <c r="J328" s="19"/>
      <c r="K328" s="19"/>
      <c r="L328" s="19"/>
    </row>
    <row r="329" spans="1:12" x14ac:dyDescent="0.3">
      <c r="A329" s="135" t="s">
        <v>23</v>
      </c>
      <c r="B329" s="135"/>
      <c r="C329" s="7">
        <f t="shared" ref="C329:F329" si="201">C330+C336</f>
        <v>9</v>
      </c>
      <c r="D329" s="7">
        <f t="shared" si="201"/>
        <v>8</v>
      </c>
      <c r="E329" s="7">
        <f t="shared" si="201"/>
        <v>8</v>
      </c>
      <c r="F329" s="7">
        <f t="shared" si="201"/>
        <v>8</v>
      </c>
      <c r="G329" s="19"/>
      <c r="H329" s="19">
        <f t="shared" si="200"/>
        <v>0</v>
      </c>
      <c r="I329" s="19"/>
      <c r="J329" s="20">
        <f t="shared" ref="J329:K329" si="202">J330+J336</f>
        <v>2747328</v>
      </c>
      <c r="K329" s="20">
        <f t="shared" si="202"/>
        <v>829693.05599999998</v>
      </c>
      <c r="L329" s="20">
        <f>L330+L336</f>
        <v>3577021.0559999999</v>
      </c>
    </row>
    <row r="330" spans="1:12" x14ac:dyDescent="0.3">
      <c r="A330" s="136" t="s">
        <v>24</v>
      </c>
      <c r="B330" s="136"/>
      <c r="C330" s="7">
        <f t="shared" ref="C330:F330" si="203">C331+C332+C333+C334+C335</f>
        <v>5</v>
      </c>
      <c r="D330" s="7">
        <f t="shared" si="203"/>
        <v>4</v>
      </c>
      <c r="E330" s="7">
        <f t="shared" si="203"/>
        <v>4</v>
      </c>
      <c r="F330" s="7">
        <f t="shared" si="203"/>
        <v>4</v>
      </c>
      <c r="G330" s="20"/>
      <c r="H330" s="20">
        <f>H331+H332+H333+H334+H335</f>
        <v>1310400</v>
      </c>
      <c r="I330" s="20">
        <f t="shared" ref="I330" si="204">I331+I332+I333+I334+I335</f>
        <v>0</v>
      </c>
      <c r="J330" s="20">
        <f>H330</f>
        <v>1310400</v>
      </c>
      <c r="K330" s="20">
        <f>J330*30.2%</f>
        <v>395740.8</v>
      </c>
      <c r="L330" s="20">
        <f>J330+K330</f>
        <v>1706140.8</v>
      </c>
    </row>
    <row r="331" spans="1:12" x14ac:dyDescent="0.3">
      <c r="A331" s="4"/>
      <c r="B331" s="5" t="s">
        <v>25</v>
      </c>
      <c r="C331" s="33"/>
      <c r="D331" s="33"/>
      <c r="E331" s="33"/>
      <c r="F331" s="33"/>
      <c r="G331" s="19"/>
      <c r="H331" s="19">
        <f t="shared" ref="H331:H335" si="205">E331*G331*12+ ((D331-E331)*G331/2*12)</f>
        <v>0</v>
      </c>
      <c r="I331" s="19"/>
      <c r="J331" s="19"/>
      <c r="K331" s="19"/>
      <c r="L331" s="19"/>
    </row>
    <row r="332" spans="1:12" x14ac:dyDescent="0.3">
      <c r="A332" s="4"/>
      <c r="B332" s="5" t="s">
        <v>26</v>
      </c>
      <c r="C332" s="33"/>
      <c r="D332" s="33"/>
      <c r="E332" s="33"/>
      <c r="F332" s="33"/>
      <c r="G332" s="19"/>
      <c r="H332" s="19">
        <f t="shared" si="205"/>
        <v>0</v>
      </c>
      <c r="I332" s="19"/>
      <c r="J332" s="19"/>
      <c r="K332" s="19"/>
      <c r="L332" s="19"/>
    </row>
    <row r="333" spans="1:12" x14ac:dyDescent="0.3">
      <c r="A333" s="4"/>
      <c r="B333" s="5" t="s">
        <v>27</v>
      </c>
      <c r="C333" s="33"/>
      <c r="D333" s="33"/>
      <c r="E333" s="33"/>
      <c r="F333" s="33"/>
      <c r="G333" s="19"/>
      <c r="H333" s="19">
        <f t="shared" si="205"/>
        <v>0</v>
      </c>
      <c r="I333" s="19"/>
      <c r="J333" s="19"/>
      <c r="K333" s="19"/>
      <c r="L333" s="19"/>
    </row>
    <row r="334" spans="1:12" ht="28.2" x14ac:dyDescent="0.3">
      <c r="A334" s="4"/>
      <c r="B334" s="5" t="s">
        <v>28</v>
      </c>
      <c r="C334" s="33">
        <v>2</v>
      </c>
      <c r="D334" s="33">
        <v>2</v>
      </c>
      <c r="E334" s="33">
        <v>2</v>
      </c>
      <c r="F334" s="33">
        <v>2</v>
      </c>
      <c r="G334" s="19">
        <f>'расчёт зарплаты'!K26</f>
        <v>27300</v>
      </c>
      <c r="H334" s="19">
        <f t="shared" si="205"/>
        <v>655200</v>
      </c>
      <c r="I334" s="19"/>
      <c r="J334" s="19"/>
      <c r="K334" s="19"/>
      <c r="L334" s="19"/>
    </row>
    <row r="335" spans="1:12" x14ac:dyDescent="0.3">
      <c r="A335" s="4"/>
      <c r="B335" s="5" t="s">
        <v>29</v>
      </c>
      <c r="C335" s="33">
        <v>3</v>
      </c>
      <c r="D335" s="33">
        <v>2</v>
      </c>
      <c r="E335" s="33">
        <v>2</v>
      </c>
      <c r="F335" s="33">
        <v>2</v>
      </c>
      <c r="G335" s="19">
        <f>'расчёт зарплаты'!K26</f>
        <v>27300</v>
      </c>
      <c r="H335" s="19">
        <f t="shared" si="205"/>
        <v>655200</v>
      </c>
      <c r="I335" s="19"/>
      <c r="J335" s="19"/>
      <c r="K335" s="19"/>
      <c r="L335" s="19"/>
    </row>
    <row r="336" spans="1:12" x14ac:dyDescent="0.3">
      <c r="A336" s="136" t="s">
        <v>30</v>
      </c>
      <c r="B336" s="136"/>
      <c r="C336" s="7">
        <f t="shared" ref="C336:F336" si="206">C337+C338+C339</f>
        <v>4</v>
      </c>
      <c r="D336" s="7">
        <f t="shared" si="206"/>
        <v>4</v>
      </c>
      <c r="E336" s="7">
        <f t="shared" si="206"/>
        <v>4</v>
      </c>
      <c r="F336" s="7">
        <f t="shared" si="206"/>
        <v>4</v>
      </c>
      <c r="G336" s="20"/>
      <c r="H336" s="20">
        <f>H337+H338+H339</f>
        <v>1436928</v>
      </c>
      <c r="I336" s="20">
        <f t="shared" ref="I336" si="207">I337+I338+I339</f>
        <v>0</v>
      </c>
      <c r="J336" s="20">
        <f>H336</f>
        <v>1436928</v>
      </c>
      <c r="K336" s="20">
        <f>J336*30.2%</f>
        <v>433952.25599999999</v>
      </c>
      <c r="L336" s="20">
        <f>J336+K336</f>
        <v>1870880.2560000001</v>
      </c>
    </row>
    <row r="337" spans="1:12" x14ac:dyDescent="0.3">
      <c r="A337" s="4"/>
      <c r="B337" s="5" t="s">
        <v>31</v>
      </c>
      <c r="C337" s="33">
        <v>2</v>
      </c>
      <c r="D337" s="33">
        <v>2</v>
      </c>
      <c r="E337" s="33">
        <v>2</v>
      </c>
      <c r="F337" s="33">
        <v>2</v>
      </c>
      <c r="G337" s="19">
        <f>'расчёт зарплаты'!K34</f>
        <v>30976</v>
      </c>
      <c r="H337" s="19">
        <f t="shared" ref="H337:H339" si="208">E337*G337*12+ ((D337-E337)*G337/2*12)</f>
        <v>743424</v>
      </c>
      <c r="I337" s="19"/>
      <c r="J337" s="19"/>
      <c r="K337" s="19"/>
      <c r="L337" s="19"/>
    </row>
    <row r="338" spans="1:12" x14ac:dyDescent="0.3">
      <c r="A338" s="4"/>
      <c r="B338" s="5" t="s">
        <v>32</v>
      </c>
      <c r="C338" s="33"/>
      <c r="D338" s="33"/>
      <c r="E338" s="33"/>
      <c r="F338" s="33"/>
      <c r="G338" s="19"/>
      <c r="H338" s="19">
        <f t="shared" si="208"/>
        <v>0</v>
      </c>
      <c r="I338" s="19"/>
      <c r="J338" s="19"/>
      <c r="K338" s="19"/>
      <c r="L338" s="19"/>
    </row>
    <row r="339" spans="1:12" x14ac:dyDescent="0.3">
      <c r="A339" s="4"/>
      <c r="B339" s="5" t="s">
        <v>33</v>
      </c>
      <c r="C339" s="33">
        <v>2</v>
      </c>
      <c r="D339" s="33">
        <v>2</v>
      </c>
      <c r="E339" s="33">
        <v>2</v>
      </c>
      <c r="F339" s="33">
        <v>2</v>
      </c>
      <c r="G339" s="19">
        <f>'расчёт зарплаты'!K38</f>
        <v>28896</v>
      </c>
      <c r="H339" s="19">
        <f t="shared" si="208"/>
        <v>693504</v>
      </c>
      <c r="I339" s="19"/>
      <c r="J339" s="19"/>
      <c r="K339" s="19"/>
      <c r="L339" s="19"/>
    </row>
    <row r="340" spans="1:12" x14ac:dyDescent="0.3">
      <c r="A340" s="141" t="s">
        <v>70</v>
      </c>
      <c r="B340" s="141"/>
      <c r="C340" s="141"/>
      <c r="D340" s="141"/>
      <c r="E340" s="141"/>
      <c r="F340" s="141"/>
      <c r="G340" s="141"/>
      <c r="H340" s="141"/>
      <c r="I340" s="141"/>
      <c r="J340" s="141"/>
      <c r="K340" s="141"/>
      <c r="L340" s="141"/>
    </row>
    <row r="341" spans="1:12" ht="14.4" customHeight="1" x14ac:dyDescent="0.3">
      <c r="A341" s="133" t="s">
        <v>7</v>
      </c>
      <c r="B341" s="134"/>
      <c r="C341" s="8">
        <f>C342+C359+C355</f>
        <v>31.5</v>
      </c>
      <c r="D341" s="8">
        <f>D342+D359+D355</f>
        <v>27</v>
      </c>
      <c r="E341" s="8">
        <f>E342+E359+E355</f>
        <v>23.9</v>
      </c>
      <c r="F341" s="8">
        <f>F342+F359+F355</f>
        <v>21</v>
      </c>
      <c r="G341" s="19"/>
      <c r="H341" s="19"/>
      <c r="I341" s="19"/>
      <c r="J341" s="19"/>
      <c r="K341" s="19"/>
      <c r="L341" s="19"/>
    </row>
    <row r="342" spans="1:12" ht="14.4" customHeight="1" x14ac:dyDescent="0.3">
      <c r="A342" s="133" t="s">
        <v>89</v>
      </c>
      <c r="B342" s="134"/>
      <c r="C342" s="40">
        <f t="shared" ref="C342:G342" si="209">SUM(C343:C354)</f>
        <v>22</v>
      </c>
      <c r="D342" s="40">
        <f t="shared" si="209"/>
        <v>20</v>
      </c>
      <c r="E342" s="40">
        <f t="shared" si="209"/>
        <v>17.899999999999999</v>
      </c>
      <c r="F342" s="40">
        <f t="shared" si="209"/>
        <v>16</v>
      </c>
      <c r="G342" s="40">
        <f t="shared" si="209"/>
        <v>176536</v>
      </c>
      <c r="H342" s="40">
        <f>SUM(H343:H354)</f>
        <v>6527971.2000000002</v>
      </c>
      <c r="I342" s="20"/>
      <c r="J342" s="20">
        <f>H342-I342</f>
        <v>6527971.2000000002</v>
      </c>
      <c r="K342" s="20">
        <f>J342*30.2%</f>
        <v>1971447.3023999999</v>
      </c>
      <c r="L342" s="20">
        <f>J342+K342</f>
        <v>8499418.5023999996</v>
      </c>
    </row>
    <row r="343" spans="1:12" x14ac:dyDescent="0.3">
      <c r="A343" s="4"/>
      <c r="B343" s="5" t="s">
        <v>9</v>
      </c>
      <c r="C343" s="33">
        <v>12</v>
      </c>
      <c r="D343" s="33">
        <v>12</v>
      </c>
      <c r="E343" s="33">
        <v>11.9</v>
      </c>
      <c r="F343" s="33">
        <v>10</v>
      </c>
      <c r="G343" s="19">
        <f>'расчёт зарплаты'!K10</f>
        <v>28208</v>
      </c>
      <c r="H343" s="19">
        <f>E343*G343*12+ ((D343-E343)*G343/2*12)</f>
        <v>4045027.2</v>
      </c>
      <c r="I343" s="19"/>
      <c r="J343" s="19"/>
      <c r="K343" s="19"/>
      <c r="L343" s="19">
        <f>G343*K343*12</f>
        <v>0</v>
      </c>
    </row>
    <row r="344" spans="1:12" x14ac:dyDescent="0.3">
      <c r="A344" s="4"/>
      <c r="B344" s="5" t="s">
        <v>10</v>
      </c>
      <c r="C344" s="33"/>
      <c r="D344" s="33"/>
      <c r="E344" s="33"/>
      <c r="F344" s="33"/>
      <c r="G344" s="19"/>
      <c r="H344" s="19">
        <f t="shared" ref="H344:H353" si="210">E344*G344*12+ ((D344-E344)*G344/2*12)</f>
        <v>0</v>
      </c>
      <c r="I344" s="19"/>
      <c r="J344" s="19"/>
      <c r="K344" s="19"/>
      <c r="L344" s="19"/>
    </row>
    <row r="345" spans="1:12" x14ac:dyDescent="0.3">
      <c r="A345" s="4"/>
      <c r="B345" s="5" t="s">
        <v>13</v>
      </c>
      <c r="C345" s="33">
        <v>2</v>
      </c>
      <c r="D345" s="33">
        <v>1</v>
      </c>
      <c r="E345" s="33">
        <v>1</v>
      </c>
      <c r="F345" s="33">
        <v>1</v>
      </c>
      <c r="G345" s="19">
        <f>'расчёт зарплаты'!K38</f>
        <v>28896</v>
      </c>
      <c r="H345" s="19">
        <f t="shared" si="210"/>
        <v>346752</v>
      </c>
      <c r="I345" s="19"/>
      <c r="J345" s="19"/>
      <c r="K345" s="19"/>
      <c r="L345" s="19"/>
    </row>
    <row r="346" spans="1:12" ht="28.2" x14ac:dyDescent="0.3">
      <c r="A346" s="4"/>
      <c r="B346" s="5" t="s">
        <v>14</v>
      </c>
      <c r="C346" s="33"/>
      <c r="D346" s="33"/>
      <c r="E346" s="33"/>
      <c r="F346" s="33"/>
      <c r="G346" s="19"/>
      <c r="H346" s="19">
        <f t="shared" si="210"/>
        <v>0</v>
      </c>
      <c r="I346" s="19"/>
      <c r="J346" s="19"/>
      <c r="K346" s="19"/>
      <c r="L346" s="19"/>
    </row>
    <row r="347" spans="1:12" x14ac:dyDescent="0.3">
      <c r="A347" s="4"/>
      <c r="B347" s="5" t="s">
        <v>15</v>
      </c>
      <c r="C347" s="33">
        <v>3</v>
      </c>
      <c r="D347" s="33">
        <v>2</v>
      </c>
      <c r="E347" s="33">
        <v>1</v>
      </c>
      <c r="F347" s="33">
        <v>1</v>
      </c>
      <c r="G347" s="19">
        <f>'расчёт зарплаты'!K34</f>
        <v>30976</v>
      </c>
      <c r="H347" s="19">
        <f t="shared" si="210"/>
        <v>557568</v>
      </c>
      <c r="I347" s="19"/>
      <c r="J347" s="19"/>
      <c r="K347" s="19"/>
      <c r="L347" s="19"/>
    </row>
    <row r="348" spans="1:12" x14ac:dyDescent="0.3">
      <c r="A348" s="4"/>
      <c r="B348" s="5" t="s">
        <v>16</v>
      </c>
      <c r="C348" s="33">
        <v>3</v>
      </c>
      <c r="D348" s="33">
        <v>3</v>
      </c>
      <c r="E348" s="33">
        <v>3</v>
      </c>
      <c r="F348" s="33">
        <v>3</v>
      </c>
      <c r="G348" s="19">
        <f>'расчёт зарплаты'!K8</f>
        <v>28600</v>
      </c>
      <c r="H348" s="19">
        <f t="shared" si="210"/>
        <v>1029600</v>
      </c>
      <c r="I348" s="19"/>
      <c r="J348" s="19"/>
      <c r="K348" s="19"/>
      <c r="L348" s="19"/>
    </row>
    <row r="349" spans="1:12" ht="42" x14ac:dyDescent="0.3">
      <c r="A349" s="4"/>
      <c r="B349" s="5" t="s">
        <v>17</v>
      </c>
      <c r="C349" s="33">
        <v>1</v>
      </c>
      <c r="D349" s="33">
        <v>1</v>
      </c>
      <c r="E349" s="33">
        <v>0</v>
      </c>
      <c r="F349" s="33">
        <v>0</v>
      </c>
      <c r="G349" s="19">
        <f>'расчёт зарплаты'!K10</f>
        <v>28208</v>
      </c>
      <c r="H349" s="19">
        <f t="shared" si="210"/>
        <v>169248</v>
      </c>
      <c r="I349" s="19"/>
      <c r="J349" s="19"/>
      <c r="K349" s="19"/>
      <c r="L349" s="19"/>
    </row>
    <row r="350" spans="1:12" ht="28.2" x14ac:dyDescent="0.3">
      <c r="A350" s="4"/>
      <c r="B350" s="5" t="s">
        <v>18</v>
      </c>
      <c r="C350" s="33">
        <v>1</v>
      </c>
      <c r="D350" s="33">
        <v>1</v>
      </c>
      <c r="E350" s="33">
        <v>1</v>
      </c>
      <c r="F350" s="33">
        <v>1</v>
      </c>
      <c r="G350" s="19">
        <f>'расчёт зарплаты'!K20</f>
        <v>31648</v>
      </c>
      <c r="H350" s="19">
        <f t="shared" si="210"/>
        <v>379776</v>
      </c>
      <c r="I350" s="19"/>
      <c r="J350" s="19"/>
      <c r="K350" s="19"/>
      <c r="L350" s="19"/>
    </row>
    <row r="351" spans="1:12" ht="42" x14ac:dyDescent="0.3">
      <c r="A351" s="4"/>
      <c r="B351" s="5" t="s">
        <v>91</v>
      </c>
      <c r="C351" s="33"/>
      <c r="D351" s="33"/>
      <c r="E351" s="33"/>
      <c r="F351" s="33"/>
      <c r="G351" s="19"/>
      <c r="H351" s="19">
        <f t="shared" si="210"/>
        <v>0</v>
      </c>
      <c r="I351" s="19"/>
      <c r="J351" s="19"/>
      <c r="K351" s="19"/>
      <c r="L351" s="19"/>
    </row>
    <row r="352" spans="1:12" x14ac:dyDescent="0.3">
      <c r="A352" s="4"/>
      <c r="B352" s="5" t="s">
        <v>20</v>
      </c>
      <c r="C352" s="33"/>
      <c r="D352" s="33"/>
      <c r="E352" s="33"/>
      <c r="F352" s="33"/>
      <c r="G352" s="19"/>
      <c r="H352" s="19">
        <f t="shared" si="210"/>
        <v>0</v>
      </c>
      <c r="I352" s="19"/>
      <c r="J352" s="19"/>
      <c r="K352" s="19"/>
      <c r="L352" s="19"/>
    </row>
    <row r="353" spans="1:12" ht="39.6" x14ac:dyDescent="0.3">
      <c r="A353" s="4"/>
      <c r="B353" s="6" t="s">
        <v>21</v>
      </c>
      <c r="C353" s="33"/>
      <c r="D353" s="33"/>
      <c r="E353" s="33"/>
      <c r="F353" s="33"/>
      <c r="G353" s="19"/>
      <c r="H353" s="19">
        <f t="shared" si="210"/>
        <v>0</v>
      </c>
      <c r="I353" s="19"/>
      <c r="J353" s="19"/>
      <c r="K353" s="19"/>
      <c r="L353" s="19"/>
    </row>
    <row r="354" spans="1:12" x14ac:dyDescent="0.3">
      <c r="A354" s="4"/>
      <c r="B354" s="5" t="s">
        <v>22</v>
      </c>
      <c r="C354" s="33"/>
      <c r="D354" s="33"/>
      <c r="E354" s="33"/>
      <c r="F354" s="33"/>
      <c r="G354" s="19"/>
      <c r="H354" s="19">
        <f t="shared" ref="H354" si="211">E354*G354*12</f>
        <v>0</v>
      </c>
      <c r="I354" s="19"/>
      <c r="J354" s="19"/>
      <c r="K354" s="19"/>
      <c r="L354" s="19"/>
    </row>
    <row r="355" spans="1:12" x14ac:dyDescent="0.3">
      <c r="A355" s="38" t="s">
        <v>57</v>
      </c>
      <c r="B355" s="39"/>
      <c r="C355" s="41">
        <f>C356+C357+C358</f>
        <v>4</v>
      </c>
      <c r="D355" s="41">
        <f t="shared" ref="D355" si="212">D356+D357+D358</f>
        <v>3</v>
      </c>
      <c r="E355" s="41">
        <f t="shared" ref="E355" si="213">E356+E357+E358</f>
        <v>2</v>
      </c>
      <c r="F355" s="41">
        <f t="shared" ref="F355" si="214">F356+F357+F358</f>
        <v>2</v>
      </c>
      <c r="G355" s="41"/>
      <c r="H355" s="41">
        <f t="shared" ref="H355" si="215">H356+H357+H358</f>
        <v>830088</v>
      </c>
      <c r="I355" s="42">
        <f t="shared" ref="I355" si="216">I356+I357+I358</f>
        <v>0</v>
      </c>
      <c r="J355" s="42">
        <f t="shared" ref="J355" si="217">J356+J357+J358</f>
        <v>0</v>
      </c>
      <c r="K355" s="42">
        <f t="shared" ref="K355" si="218">K356+K357+K358</f>
        <v>0</v>
      </c>
      <c r="L355" s="42">
        <f t="shared" ref="L355" si="219">L356+L357+L358</f>
        <v>0</v>
      </c>
    </row>
    <row r="356" spans="1:12" x14ac:dyDescent="0.3">
      <c r="A356" s="4"/>
      <c r="B356" s="5" t="s">
        <v>11</v>
      </c>
      <c r="C356" s="9">
        <v>1</v>
      </c>
      <c r="D356" s="9">
        <v>1</v>
      </c>
      <c r="E356" s="9">
        <v>0</v>
      </c>
      <c r="F356" s="9">
        <v>0</v>
      </c>
      <c r="G356" s="19">
        <f>'расчёт зарплаты'!K26</f>
        <v>27300</v>
      </c>
      <c r="H356" s="19">
        <f t="shared" ref="H356:H359" si="220">E356*G356*12+ ((D356-E356)*G356/2*12)</f>
        <v>163800</v>
      </c>
      <c r="I356" s="19"/>
      <c r="J356" s="19"/>
      <c r="K356" s="19"/>
      <c r="L356" s="19"/>
    </row>
    <row r="357" spans="1:12" x14ac:dyDescent="0.3">
      <c r="A357" s="4"/>
      <c r="B357" s="5" t="s">
        <v>12</v>
      </c>
      <c r="C357" s="9">
        <v>1</v>
      </c>
      <c r="D357" s="9">
        <v>1</v>
      </c>
      <c r="E357" s="9">
        <v>1</v>
      </c>
      <c r="F357" s="9">
        <v>1</v>
      </c>
      <c r="G357" s="19">
        <f>'расчёт зарплаты'!K26</f>
        <v>27300</v>
      </c>
      <c r="H357" s="19">
        <f t="shared" si="220"/>
        <v>327600</v>
      </c>
      <c r="I357" s="19"/>
      <c r="J357" s="19"/>
      <c r="K357" s="19"/>
      <c r="L357" s="19"/>
    </row>
    <row r="358" spans="1:12" ht="28.2" x14ac:dyDescent="0.3">
      <c r="A358" s="4"/>
      <c r="B358" s="5" t="s">
        <v>19</v>
      </c>
      <c r="C358" s="9">
        <v>2</v>
      </c>
      <c r="D358" s="9">
        <v>1</v>
      </c>
      <c r="E358" s="9">
        <v>1</v>
      </c>
      <c r="F358" s="9">
        <v>1</v>
      </c>
      <c r="G358" s="19">
        <f>'расчёт зарплаты'!K40</f>
        <v>28224</v>
      </c>
      <c r="H358" s="19">
        <f t="shared" si="220"/>
        <v>338688</v>
      </c>
      <c r="I358" s="19"/>
      <c r="J358" s="19"/>
      <c r="K358" s="19"/>
      <c r="L358" s="19"/>
    </row>
    <row r="359" spans="1:12" x14ac:dyDescent="0.3">
      <c r="A359" s="135" t="s">
        <v>23</v>
      </c>
      <c r="B359" s="135"/>
      <c r="C359" s="7">
        <f t="shared" ref="C359:F359" si="221">C360+C366</f>
        <v>5.5</v>
      </c>
      <c r="D359" s="7">
        <f t="shared" si="221"/>
        <v>4</v>
      </c>
      <c r="E359" s="7">
        <f t="shared" si="221"/>
        <v>4</v>
      </c>
      <c r="F359" s="7">
        <f t="shared" si="221"/>
        <v>3</v>
      </c>
      <c r="G359" s="19"/>
      <c r="H359" s="19">
        <f t="shared" si="220"/>
        <v>0</v>
      </c>
      <c r="I359" s="19"/>
      <c r="J359" s="20">
        <f t="shared" ref="J359:K359" si="222">J360+J366</f>
        <v>1329552</v>
      </c>
      <c r="K359" s="20">
        <f t="shared" si="222"/>
        <v>401524.70399999997</v>
      </c>
      <c r="L359" s="20">
        <f>L360+L366</f>
        <v>1731076.7040000001</v>
      </c>
    </row>
    <row r="360" spans="1:12" x14ac:dyDescent="0.3">
      <c r="A360" s="136" t="s">
        <v>24</v>
      </c>
      <c r="B360" s="136"/>
      <c r="C360" s="7">
        <f t="shared" ref="C360:F360" si="223">C361+C362+C363+C364+C365</f>
        <v>4</v>
      </c>
      <c r="D360" s="7">
        <f t="shared" si="223"/>
        <v>3</v>
      </c>
      <c r="E360" s="7">
        <f t="shared" si="223"/>
        <v>3</v>
      </c>
      <c r="F360" s="7">
        <f t="shared" si="223"/>
        <v>2</v>
      </c>
      <c r="G360" s="20"/>
      <c r="H360" s="20">
        <f>H361+H362+H363+H364+H365</f>
        <v>982800</v>
      </c>
      <c r="I360" s="20">
        <f t="shared" ref="I360" si="224">I361+I362+I363+I364+I365</f>
        <v>0</v>
      </c>
      <c r="J360" s="20">
        <f>H360</f>
        <v>982800</v>
      </c>
      <c r="K360" s="20">
        <f>J360*30.2%</f>
        <v>296805.59999999998</v>
      </c>
      <c r="L360" s="20">
        <f>J360+K360</f>
        <v>1279605.6000000001</v>
      </c>
    </row>
    <row r="361" spans="1:12" x14ac:dyDescent="0.3">
      <c r="A361" s="4"/>
      <c r="B361" s="5" t="s">
        <v>25</v>
      </c>
      <c r="C361" s="33"/>
      <c r="D361" s="33"/>
      <c r="E361" s="33"/>
      <c r="F361" s="33"/>
      <c r="G361" s="19"/>
      <c r="H361" s="19">
        <f t="shared" ref="H361:H365" si="225">E361*G361*12+ ((D361-E361)*G361/2*12)</f>
        <v>0</v>
      </c>
      <c r="I361" s="19"/>
      <c r="J361" s="19"/>
      <c r="K361" s="19"/>
      <c r="L361" s="19"/>
    </row>
    <row r="362" spans="1:12" x14ac:dyDescent="0.3">
      <c r="A362" s="4"/>
      <c r="B362" s="5" t="s">
        <v>26</v>
      </c>
      <c r="C362" s="33"/>
      <c r="D362" s="33"/>
      <c r="E362" s="33"/>
      <c r="F362" s="33"/>
      <c r="G362" s="19"/>
      <c r="H362" s="19">
        <f t="shared" si="225"/>
        <v>0</v>
      </c>
      <c r="I362" s="19"/>
      <c r="J362" s="19"/>
      <c r="K362" s="19"/>
      <c r="L362" s="19"/>
    </row>
    <row r="363" spans="1:12" x14ac:dyDescent="0.3">
      <c r="A363" s="4"/>
      <c r="B363" s="5" t="s">
        <v>27</v>
      </c>
      <c r="C363" s="33"/>
      <c r="D363" s="33"/>
      <c r="E363" s="33"/>
      <c r="F363" s="33"/>
      <c r="G363" s="19"/>
      <c r="H363" s="19">
        <f t="shared" si="225"/>
        <v>0</v>
      </c>
      <c r="I363" s="19"/>
      <c r="J363" s="19"/>
      <c r="K363" s="19"/>
      <c r="L363" s="19"/>
    </row>
    <row r="364" spans="1:12" ht="28.2" x14ac:dyDescent="0.3">
      <c r="A364" s="4"/>
      <c r="B364" s="5" t="s">
        <v>28</v>
      </c>
      <c r="C364" s="33">
        <v>2</v>
      </c>
      <c r="D364" s="33">
        <v>1</v>
      </c>
      <c r="E364" s="33">
        <v>1</v>
      </c>
      <c r="F364" s="33">
        <v>1</v>
      </c>
      <c r="G364" s="19">
        <f>'расчёт зарплаты'!K26</f>
        <v>27300</v>
      </c>
      <c r="H364" s="19">
        <f t="shared" si="225"/>
        <v>327600</v>
      </c>
      <c r="I364" s="19"/>
      <c r="J364" s="19"/>
      <c r="K364" s="19"/>
      <c r="L364" s="19"/>
    </row>
    <row r="365" spans="1:12" x14ac:dyDescent="0.3">
      <c r="A365" s="4"/>
      <c r="B365" s="5" t="s">
        <v>29</v>
      </c>
      <c r="C365" s="33">
        <v>2</v>
      </c>
      <c r="D365" s="33">
        <v>2</v>
      </c>
      <c r="E365" s="33">
        <v>2</v>
      </c>
      <c r="F365" s="33">
        <v>1</v>
      </c>
      <c r="G365" s="19">
        <f>'расчёт зарплаты'!K26</f>
        <v>27300</v>
      </c>
      <c r="H365" s="19">
        <f t="shared" si="225"/>
        <v>655200</v>
      </c>
      <c r="I365" s="19"/>
      <c r="J365" s="19"/>
      <c r="K365" s="19"/>
      <c r="L365" s="19"/>
    </row>
    <row r="366" spans="1:12" x14ac:dyDescent="0.3">
      <c r="A366" s="136" t="s">
        <v>30</v>
      </c>
      <c r="B366" s="136"/>
      <c r="C366" s="7">
        <f t="shared" ref="C366:F366" si="226">C367+C368+C369</f>
        <v>1.5</v>
      </c>
      <c r="D366" s="7">
        <f t="shared" si="226"/>
        <v>1</v>
      </c>
      <c r="E366" s="7">
        <f t="shared" si="226"/>
        <v>1</v>
      </c>
      <c r="F366" s="7">
        <f t="shared" si="226"/>
        <v>1</v>
      </c>
      <c r="G366" s="20"/>
      <c r="H366" s="20">
        <f>H367+H368+H369</f>
        <v>346752</v>
      </c>
      <c r="I366" s="20">
        <f t="shared" ref="I366" si="227">I367+I368+I369</f>
        <v>0</v>
      </c>
      <c r="J366" s="20">
        <f>H366</f>
        <v>346752</v>
      </c>
      <c r="K366" s="20">
        <f>J366*30.2%</f>
        <v>104719.10399999999</v>
      </c>
      <c r="L366" s="20">
        <f>J366+K366</f>
        <v>451471.10399999999</v>
      </c>
    </row>
    <row r="367" spans="1:12" x14ac:dyDescent="0.3">
      <c r="A367" s="4"/>
      <c r="B367" s="5" t="s">
        <v>31</v>
      </c>
      <c r="C367" s="33"/>
      <c r="D367" s="33"/>
      <c r="E367" s="33"/>
      <c r="F367" s="33"/>
      <c r="G367" s="19"/>
      <c r="H367" s="19">
        <f t="shared" ref="H367:H369" si="228">E367*G367*12+ ((D367-E367)*G367/2*12)</f>
        <v>0</v>
      </c>
      <c r="I367" s="19"/>
      <c r="J367" s="19"/>
      <c r="K367" s="19"/>
      <c r="L367" s="19"/>
    </row>
    <row r="368" spans="1:12" x14ac:dyDescent="0.3">
      <c r="A368" s="4"/>
      <c r="B368" s="5" t="s">
        <v>32</v>
      </c>
      <c r="C368" s="33"/>
      <c r="D368" s="33"/>
      <c r="E368" s="33"/>
      <c r="F368" s="33"/>
      <c r="G368" s="19"/>
      <c r="H368" s="19">
        <f t="shared" si="228"/>
        <v>0</v>
      </c>
      <c r="I368" s="19"/>
      <c r="J368" s="19"/>
      <c r="K368" s="19"/>
      <c r="L368" s="19"/>
    </row>
    <row r="369" spans="1:12" x14ac:dyDescent="0.3">
      <c r="A369" s="4"/>
      <c r="B369" s="5" t="s">
        <v>33</v>
      </c>
      <c r="C369" s="33">
        <v>1.5</v>
      </c>
      <c r="D369" s="33">
        <v>1</v>
      </c>
      <c r="E369" s="33">
        <v>1</v>
      </c>
      <c r="F369" s="33">
        <v>1</v>
      </c>
      <c r="G369" s="19">
        <f>'расчёт зарплаты'!K38</f>
        <v>28896</v>
      </c>
      <c r="H369" s="19">
        <f t="shared" si="228"/>
        <v>346752</v>
      </c>
      <c r="I369" s="19"/>
      <c r="J369" s="19"/>
      <c r="K369" s="19"/>
      <c r="L369" s="19"/>
    </row>
    <row r="370" spans="1:12" x14ac:dyDescent="0.3">
      <c r="A370" s="141" t="s">
        <v>71</v>
      </c>
      <c r="B370" s="141"/>
      <c r="C370" s="141"/>
      <c r="D370" s="141"/>
      <c r="E370" s="141"/>
      <c r="F370" s="141"/>
      <c r="G370" s="141"/>
      <c r="H370" s="141"/>
      <c r="I370" s="141"/>
      <c r="J370" s="141"/>
      <c r="K370" s="141"/>
      <c r="L370" s="141"/>
    </row>
    <row r="371" spans="1:12" ht="14.4" customHeight="1" x14ac:dyDescent="0.3">
      <c r="A371" s="133" t="s">
        <v>7</v>
      </c>
      <c r="B371" s="134"/>
      <c r="C371" s="8">
        <f>C372+C389+C385</f>
        <v>16.75</v>
      </c>
      <c r="D371" s="8">
        <f>D372+D389+D385</f>
        <v>16.75</v>
      </c>
      <c r="E371" s="8">
        <f>E372+E389+E385</f>
        <v>16.75</v>
      </c>
      <c r="F371" s="8">
        <f>F372+F389+F385</f>
        <v>17</v>
      </c>
      <c r="G371" s="19"/>
      <c r="H371" s="19"/>
      <c r="I371" s="19"/>
      <c r="J371" s="19"/>
      <c r="K371" s="19"/>
      <c r="L371" s="19"/>
    </row>
    <row r="372" spans="1:12" ht="14.4" customHeight="1" x14ac:dyDescent="0.3">
      <c r="A372" s="133" t="s">
        <v>89</v>
      </c>
      <c r="B372" s="134"/>
      <c r="C372" s="40">
        <f t="shared" ref="C372:G372" si="229">SUM(C373:C384)</f>
        <v>10.75</v>
      </c>
      <c r="D372" s="40">
        <f t="shared" si="229"/>
        <v>10.75</v>
      </c>
      <c r="E372" s="40">
        <f t="shared" si="229"/>
        <v>10.75</v>
      </c>
      <c r="F372" s="40">
        <f t="shared" si="229"/>
        <v>11</v>
      </c>
      <c r="G372" s="40">
        <f t="shared" si="229"/>
        <v>116680</v>
      </c>
      <c r="H372" s="40">
        <f>SUM(H373:H384)</f>
        <v>3725568</v>
      </c>
      <c r="I372" s="20"/>
      <c r="J372" s="20">
        <f>H372-I372</f>
        <v>3725568</v>
      </c>
      <c r="K372" s="20">
        <f>J372*30.2%</f>
        <v>1125121.5360000001</v>
      </c>
      <c r="L372" s="20">
        <f>J372+K372</f>
        <v>4850689.5360000003</v>
      </c>
    </row>
    <row r="373" spans="1:12" x14ac:dyDescent="0.3">
      <c r="A373" s="4"/>
      <c r="B373" s="5" t="s">
        <v>9</v>
      </c>
      <c r="C373" s="33">
        <v>5</v>
      </c>
      <c r="D373" s="33">
        <v>5</v>
      </c>
      <c r="E373" s="33">
        <v>5</v>
      </c>
      <c r="F373" s="33">
        <v>5</v>
      </c>
      <c r="G373" s="19">
        <f>'расчёт зарплаты'!K10</f>
        <v>28208</v>
      </c>
      <c r="H373" s="19">
        <f>E373*G373*12+ ((D373-E373)*G373/2*12)</f>
        <v>1692480</v>
      </c>
      <c r="I373" s="19"/>
      <c r="J373" s="19"/>
      <c r="K373" s="19"/>
      <c r="L373" s="19">
        <f>G373*K373*12</f>
        <v>0</v>
      </c>
    </row>
    <row r="374" spans="1:12" x14ac:dyDescent="0.3">
      <c r="A374" s="4"/>
      <c r="B374" s="5" t="s">
        <v>10</v>
      </c>
      <c r="C374" s="33"/>
      <c r="D374" s="33"/>
      <c r="E374" s="33"/>
      <c r="F374" s="33"/>
      <c r="G374" s="19"/>
      <c r="H374" s="19">
        <f t="shared" ref="H374:H383" si="230">E374*G374*12+ ((D374-E374)*G374/2*12)</f>
        <v>0</v>
      </c>
      <c r="I374" s="19"/>
      <c r="J374" s="19"/>
      <c r="K374" s="19"/>
      <c r="L374" s="19"/>
    </row>
    <row r="375" spans="1:12" x14ac:dyDescent="0.3">
      <c r="A375" s="4"/>
      <c r="B375" s="5" t="s">
        <v>13</v>
      </c>
      <c r="C375" s="33">
        <v>0.75</v>
      </c>
      <c r="D375" s="33">
        <v>0.75</v>
      </c>
      <c r="E375" s="33">
        <v>0.75</v>
      </c>
      <c r="F375" s="33">
        <v>1</v>
      </c>
      <c r="G375" s="19">
        <f>'расчёт зарплаты'!K38</f>
        <v>28896</v>
      </c>
      <c r="H375" s="19">
        <f t="shared" si="230"/>
        <v>260064</v>
      </c>
      <c r="I375" s="19"/>
      <c r="J375" s="19"/>
      <c r="K375" s="19"/>
      <c r="L375" s="19"/>
    </row>
    <row r="376" spans="1:12" ht="28.2" x14ac:dyDescent="0.3">
      <c r="A376" s="4"/>
      <c r="B376" s="5" t="s">
        <v>14</v>
      </c>
      <c r="C376" s="33"/>
      <c r="D376" s="33"/>
      <c r="E376" s="33"/>
      <c r="F376" s="33"/>
      <c r="G376" s="19"/>
      <c r="H376" s="19">
        <f t="shared" si="230"/>
        <v>0</v>
      </c>
      <c r="I376" s="19"/>
      <c r="J376" s="19"/>
      <c r="K376" s="19"/>
      <c r="L376" s="19"/>
    </row>
    <row r="377" spans="1:12" x14ac:dyDescent="0.3">
      <c r="A377" s="4"/>
      <c r="B377" s="5" t="s">
        <v>15</v>
      </c>
      <c r="C377" s="33">
        <v>2</v>
      </c>
      <c r="D377" s="33">
        <v>2</v>
      </c>
      <c r="E377" s="33">
        <v>2</v>
      </c>
      <c r="F377" s="33">
        <v>2</v>
      </c>
      <c r="G377" s="19">
        <f>'расчёт зарплаты'!K34</f>
        <v>30976</v>
      </c>
      <c r="H377" s="19">
        <f t="shared" si="230"/>
        <v>743424</v>
      </c>
      <c r="I377" s="19"/>
      <c r="J377" s="19"/>
      <c r="K377" s="19"/>
      <c r="L377" s="19"/>
    </row>
    <row r="378" spans="1:12" x14ac:dyDescent="0.3">
      <c r="A378" s="4"/>
      <c r="B378" s="5" t="s">
        <v>16</v>
      </c>
      <c r="C378" s="33">
        <v>3</v>
      </c>
      <c r="D378" s="33">
        <v>3</v>
      </c>
      <c r="E378" s="33">
        <v>3</v>
      </c>
      <c r="F378" s="33">
        <v>3</v>
      </c>
      <c r="G378" s="19">
        <f>'расчёт зарплаты'!K8</f>
        <v>28600</v>
      </c>
      <c r="H378" s="19">
        <f t="shared" si="230"/>
        <v>1029600</v>
      </c>
      <c r="I378" s="19"/>
      <c r="J378" s="19"/>
      <c r="K378" s="19"/>
      <c r="L378" s="19"/>
    </row>
    <row r="379" spans="1:12" ht="42" x14ac:dyDescent="0.3">
      <c r="A379" s="4"/>
      <c r="B379" s="5" t="s">
        <v>17</v>
      </c>
      <c r="C379" s="33"/>
      <c r="D379" s="33"/>
      <c r="E379" s="33"/>
      <c r="F379" s="33"/>
      <c r="G379" s="19"/>
      <c r="H379" s="19">
        <f t="shared" si="230"/>
        <v>0</v>
      </c>
      <c r="I379" s="19"/>
      <c r="J379" s="19"/>
      <c r="K379" s="19"/>
      <c r="L379" s="19"/>
    </row>
    <row r="380" spans="1:12" ht="28.2" x14ac:dyDescent="0.3">
      <c r="A380" s="4"/>
      <c r="B380" s="5" t="s">
        <v>18</v>
      </c>
      <c r="C380" s="33"/>
      <c r="D380" s="33"/>
      <c r="E380" s="33"/>
      <c r="F380" s="33"/>
      <c r="G380" s="19"/>
      <c r="H380" s="19">
        <f t="shared" si="230"/>
        <v>0</v>
      </c>
      <c r="I380" s="19"/>
      <c r="J380" s="19"/>
      <c r="K380" s="19"/>
      <c r="L380" s="19"/>
    </row>
    <row r="381" spans="1:12" ht="42" x14ac:dyDescent="0.3">
      <c r="A381" s="4"/>
      <c r="B381" s="5" t="s">
        <v>91</v>
      </c>
      <c r="C381" s="33"/>
      <c r="D381" s="33"/>
      <c r="E381" s="33"/>
      <c r="F381" s="33"/>
      <c r="G381" s="19"/>
      <c r="H381" s="19">
        <f t="shared" si="230"/>
        <v>0</v>
      </c>
      <c r="I381" s="19"/>
      <c r="J381" s="19"/>
      <c r="K381" s="19"/>
      <c r="L381" s="19"/>
    </row>
    <row r="382" spans="1:12" x14ac:dyDescent="0.3">
      <c r="A382" s="4"/>
      <c r="B382" s="5" t="s">
        <v>20</v>
      </c>
      <c r="C382" s="33"/>
      <c r="D382" s="33"/>
      <c r="E382" s="33"/>
      <c r="F382" s="33"/>
      <c r="G382" s="19"/>
      <c r="H382" s="19">
        <f t="shared" si="230"/>
        <v>0</v>
      </c>
      <c r="I382" s="19"/>
      <c r="J382" s="19"/>
      <c r="K382" s="19"/>
      <c r="L382" s="19"/>
    </row>
    <row r="383" spans="1:12" ht="39.6" x14ac:dyDescent="0.3">
      <c r="A383" s="4"/>
      <c r="B383" s="6" t="s">
        <v>21</v>
      </c>
      <c r="C383" s="33"/>
      <c r="D383" s="33"/>
      <c r="E383" s="33"/>
      <c r="F383" s="33"/>
      <c r="G383" s="19"/>
      <c r="H383" s="19">
        <f t="shared" si="230"/>
        <v>0</v>
      </c>
      <c r="I383" s="19"/>
      <c r="J383" s="19"/>
      <c r="K383" s="19"/>
      <c r="L383" s="19"/>
    </row>
    <row r="384" spans="1:12" x14ac:dyDescent="0.3">
      <c r="A384" s="4"/>
      <c r="B384" s="5" t="s">
        <v>22</v>
      </c>
      <c r="C384" s="33"/>
      <c r="D384" s="33"/>
      <c r="E384" s="33"/>
      <c r="F384" s="33"/>
      <c r="G384" s="19"/>
      <c r="H384" s="19">
        <f t="shared" ref="H384" si="231">E384*G384*12</f>
        <v>0</v>
      </c>
      <c r="I384" s="19"/>
      <c r="J384" s="19"/>
      <c r="K384" s="19"/>
      <c r="L384" s="19"/>
    </row>
    <row r="385" spans="1:12" x14ac:dyDescent="0.3">
      <c r="A385" s="38" t="s">
        <v>57</v>
      </c>
      <c r="B385" s="39"/>
      <c r="C385" s="41">
        <f>C386+C387+C388</f>
        <v>2</v>
      </c>
      <c r="D385" s="41">
        <f t="shared" ref="D385" si="232">D386+D387+D388</f>
        <v>2</v>
      </c>
      <c r="E385" s="41">
        <f t="shared" ref="E385" si="233">E386+E387+E388</f>
        <v>2</v>
      </c>
      <c r="F385" s="41">
        <f t="shared" ref="F385" si="234">F386+F387+F388</f>
        <v>2</v>
      </c>
      <c r="G385" s="41"/>
      <c r="H385" s="42">
        <f t="shared" ref="H385" si="235">H386+H387+H388</f>
        <v>666288</v>
      </c>
      <c r="I385" s="42">
        <f t="shared" ref="I385" si="236">I386+I387+I388</f>
        <v>0</v>
      </c>
      <c r="J385" s="42">
        <f t="shared" ref="J385" si="237">J386+J387+J388</f>
        <v>0</v>
      </c>
      <c r="K385" s="42">
        <f t="shared" ref="K385" si="238">K386+K387+K388</f>
        <v>0</v>
      </c>
      <c r="L385" s="42">
        <f t="shared" ref="L385" si="239">L386+L387+L388</f>
        <v>0</v>
      </c>
    </row>
    <row r="386" spans="1:12" x14ac:dyDescent="0.3">
      <c r="A386" s="4"/>
      <c r="B386" s="5" t="s">
        <v>11</v>
      </c>
      <c r="C386" s="9"/>
      <c r="D386" s="9"/>
      <c r="E386" s="9"/>
      <c r="F386" s="9"/>
      <c r="G386" s="19">
        <f>'расчёт зарплаты'!K26</f>
        <v>27300</v>
      </c>
      <c r="H386" s="19">
        <f t="shared" ref="H386:H389" si="240">E386*G386*12+ ((D386-E386)*G386/2*12)</f>
        <v>0</v>
      </c>
      <c r="I386" s="19"/>
      <c r="J386" s="19"/>
      <c r="K386" s="19"/>
      <c r="L386" s="19"/>
    </row>
    <row r="387" spans="1:12" x14ac:dyDescent="0.3">
      <c r="A387" s="4"/>
      <c r="B387" s="5" t="s">
        <v>12</v>
      </c>
      <c r="C387" s="9">
        <v>1</v>
      </c>
      <c r="D387" s="9">
        <v>1</v>
      </c>
      <c r="E387" s="9">
        <v>1</v>
      </c>
      <c r="F387" s="9">
        <v>1</v>
      </c>
      <c r="G387" s="19">
        <f>'расчёт зарплаты'!K26</f>
        <v>27300</v>
      </c>
      <c r="H387" s="19">
        <f t="shared" si="240"/>
        <v>327600</v>
      </c>
      <c r="I387" s="19"/>
      <c r="J387" s="19"/>
      <c r="K387" s="19"/>
      <c r="L387" s="19"/>
    </row>
    <row r="388" spans="1:12" ht="28.2" x14ac:dyDescent="0.3">
      <c r="A388" s="4"/>
      <c r="B388" s="5" t="s">
        <v>19</v>
      </c>
      <c r="C388" s="9">
        <v>1</v>
      </c>
      <c r="D388" s="9">
        <v>1</v>
      </c>
      <c r="E388" s="9">
        <v>1</v>
      </c>
      <c r="F388" s="9">
        <v>1</v>
      </c>
      <c r="G388" s="19">
        <f>'расчёт зарплаты'!K40</f>
        <v>28224</v>
      </c>
      <c r="H388" s="19">
        <f t="shared" si="240"/>
        <v>338688</v>
      </c>
      <c r="I388" s="19"/>
      <c r="J388" s="19"/>
      <c r="K388" s="19"/>
      <c r="L388" s="19"/>
    </row>
    <row r="389" spans="1:12" x14ac:dyDescent="0.3">
      <c r="A389" s="135" t="s">
        <v>23</v>
      </c>
      <c r="B389" s="135"/>
      <c r="C389" s="7">
        <f t="shared" ref="C389:F389" si="241">C390+C396</f>
        <v>4</v>
      </c>
      <c r="D389" s="7">
        <f t="shared" si="241"/>
        <v>4</v>
      </c>
      <c r="E389" s="7">
        <f t="shared" si="241"/>
        <v>4</v>
      </c>
      <c r="F389" s="7">
        <f t="shared" si="241"/>
        <v>4</v>
      </c>
      <c r="G389" s="19"/>
      <c r="H389" s="19">
        <f t="shared" si="240"/>
        <v>0</v>
      </c>
      <c r="I389" s="19"/>
      <c r="J389" s="20">
        <f t="shared" ref="J389:K389" si="242">J390+J396</f>
        <v>1354512</v>
      </c>
      <c r="K389" s="20">
        <f t="shared" si="242"/>
        <v>409062.62399999995</v>
      </c>
      <c r="L389" s="20">
        <f>L390+L396</f>
        <v>1763574.6239999998</v>
      </c>
    </row>
    <row r="390" spans="1:12" x14ac:dyDescent="0.3">
      <c r="A390" s="136" t="s">
        <v>24</v>
      </c>
      <c r="B390" s="136"/>
      <c r="C390" s="7">
        <f t="shared" ref="C390:F390" si="243">C391+C392+C393+C394+C395</f>
        <v>2</v>
      </c>
      <c r="D390" s="7">
        <f t="shared" si="243"/>
        <v>2</v>
      </c>
      <c r="E390" s="7">
        <f t="shared" si="243"/>
        <v>2</v>
      </c>
      <c r="F390" s="7">
        <f t="shared" si="243"/>
        <v>2</v>
      </c>
      <c r="G390" s="20"/>
      <c r="H390" s="20">
        <f>H391+H392+H393+H394+H395</f>
        <v>655200</v>
      </c>
      <c r="I390" s="20">
        <f t="shared" ref="I390" si="244">I391+I392+I393+I394+I395</f>
        <v>0</v>
      </c>
      <c r="J390" s="20">
        <f>H390</f>
        <v>655200</v>
      </c>
      <c r="K390" s="20">
        <f>J390*30.2%</f>
        <v>197870.4</v>
      </c>
      <c r="L390" s="20">
        <f>J390+K390</f>
        <v>853070.4</v>
      </c>
    </row>
    <row r="391" spans="1:12" x14ac:dyDescent="0.3">
      <c r="A391" s="4"/>
      <c r="B391" s="5" t="s">
        <v>25</v>
      </c>
      <c r="C391" s="33"/>
      <c r="D391" s="33"/>
      <c r="E391" s="33"/>
      <c r="F391" s="33"/>
      <c r="G391" s="19"/>
      <c r="H391" s="19">
        <f t="shared" ref="H391:H395" si="245">E391*G391*12+ ((D391-E391)*G391/2*12)</f>
        <v>0</v>
      </c>
      <c r="I391" s="19"/>
      <c r="J391" s="19"/>
      <c r="K391" s="19"/>
      <c r="L391" s="19"/>
    </row>
    <row r="392" spans="1:12" x14ac:dyDescent="0.3">
      <c r="A392" s="4"/>
      <c r="B392" s="5" t="s">
        <v>26</v>
      </c>
      <c r="C392" s="33"/>
      <c r="D392" s="33"/>
      <c r="E392" s="33"/>
      <c r="F392" s="33"/>
      <c r="G392" s="19"/>
      <c r="H392" s="19">
        <f t="shared" si="245"/>
        <v>0</v>
      </c>
      <c r="I392" s="19"/>
      <c r="J392" s="19"/>
      <c r="K392" s="19"/>
      <c r="L392" s="19"/>
    </row>
    <row r="393" spans="1:12" x14ac:dyDescent="0.3">
      <c r="A393" s="4"/>
      <c r="B393" s="5" t="s">
        <v>27</v>
      </c>
      <c r="C393" s="33"/>
      <c r="D393" s="33"/>
      <c r="E393" s="33"/>
      <c r="F393" s="33"/>
      <c r="G393" s="19"/>
      <c r="H393" s="19">
        <f t="shared" si="245"/>
        <v>0</v>
      </c>
      <c r="I393" s="19"/>
      <c r="J393" s="19"/>
      <c r="K393" s="19"/>
      <c r="L393" s="19"/>
    </row>
    <row r="394" spans="1:12" ht="28.2" x14ac:dyDescent="0.3">
      <c r="A394" s="4"/>
      <c r="B394" s="5" t="s">
        <v>28</v>
      </c>
      <c r="C394" s="33">
        <v>1</v>
      </c>
      <c r="D394" s="33">
        <v>1</v>
      </c>
      <c r="E394" s="33">
        <v>1</v>
      </c>
      <c r="F394" s="33">
        <v>1</v>
      </c>
      <c r="G394" s="19">
        <f>'расчёт зарплаты'!K26</f>
        <v>27300</v>
      </c>
      <c r="H394" s="19">
        <f t="shared" si="245"/>
        <v>327600</v>
      </c>
      <c r="I394" s="19"/>
      <c r="J394" s="19"/>
      <c r="K394" s="19"/>
      <c r="L394" s="19"/>
    </row>
    <row r="395" spans="1:12" x14ac:dyDescent="0.3">
      <c r="A395" s="4"/>
      <c r="B395" s="5" t="s">
        <v>29</v>
      </c>
      <c r="C395" s="33">
        <v>1</v>
      </c>
      <c r="D395" s="33">
        <v>1</v>
      </c>
      <c r="E395" s="33">
        <v>1</v>
      </c>
      <c r="F395" s="33">
        <v>1</v>
      </c>
      <c r="G395" s="19">
        <f>'расчёт зарплаты'!K26</f>
        <v>27300</v>
      </c>
      <c r="H395" s="19">
        <f t="shared" si="245"/>
        <v>327600</v>
      </c>
      <c r="I395" s="19"/>
      <c r="J395" s="19"/>
      <c r="K395" s="19"/>
      <c r="L395" s="19"/>
    </row>
    <row r="396" spans="1:12" x14ac:dyDescent="0.3">
      <c r="A396" s="136" t="s">
        <v>30</v>
      </c>
      <c r="B396" s="136"/>
      <c r="C396" s="7">
        <f t="shared" ref="C396:F396" si="246">C397+C398+C399</f>
        <v>2</v>
      </c>
      <c r="D396" s="7">
        <f t="shared" si="246"/>
        <v>2</v>
      </c>
      <c r="E396" s="7">
        <f t="shared" si="246"/>
        <v>2</v>
      </c>
      <c r="F396" s="7">
        <f t="shared" si="246"/>
        <v>2</v>
      </c>
      <c r="G396" s="20"/>
      <c r="H396" s="20">
        <f>H397+H398+H399</f>
        <v>699312</v>
      </c>
      <c r="I396" s="20">
        <f t="shared" ref="I396" si="247">I397+I398+I399</f>
        <v>0</v>
      </c>
      <c r="J396" s="20">
        <f>H396</f>
        <v>699312</v>
      </c>
      <c r="K396" s="20">
        <f>J396*30.2%</f>
        <v>211192.22399999999</v>
      </c>
      <c r="L396" s="20">
        <f>J396+K396</f>
        <v>910504.22399999993</v>
      </c>
    </row>
    <row r="397" spans="1:12" x14ac:dyDescent="0.3">
      <c r="A397" s="4"/>
      <c r="B397" s="5" t="s">
        <v>31</v>
      </c>
      <c r="C397" s="33">
        <v>1</v>
      </c>
      <c r="D397" s="33">
        <v>1</v>
      </c>
      <c r="E397" s="33">
        <v>1</v>
      </c>
      <c r="F397" s="33">
        <v>1</v>
      </c>
      <c r="G397" s="19">
        <f>'расчёт зарплаты'!K34</f>
        <v>30976</v>
      </c>
      <c r="H397" s="19">
        <f t="shared" ref="H397:H399" si="248">E397*G397*12+ ((D397-E397)*G397/2*12)</f>
        <v>371712</v>
      </c>
      <c r="I397" s="19"/>
      <c r="J397" s="19"/>
      <c r="K397" s="19"/>
      <c r="L397" s="19"/>
    </row>
    <row r="398" spans="1:12" x14ac:dyDescent="0.3">
      <c r="A398" s="4"/>
      <c r="B398" s="5" t="s">
        <v>32</v>
      </c>
      <c r="C398" s="33"/>
      <c r="D398" s="33"/>
      <c r="E398" s="33"/>
      <c r="F398" s="33"/>
      <c r="G398" s="19"/>
      <c r="H398" s="19">
        <f t="shared" si="248"/>
        <v>0</v>
      </c>
      <c r="I398" s="19"/>
      <c r="J398" s="19"/>
      <c r="K398" s="19"/>
      <c r="L398" s="19"/>
    </row>
    <row r="399" spans="1:12" x14ac:dyDescent="0.3">
      <c r="A399" s="4"/>
      <c r="B399" s="5" t="s">
        <v>33</v>
      </c>
      <c r="C399" s="33">
        <v>1</v>
      </c>
      <c r="D399" s="33">
        <v>1</v>
      </c>
      <c r="E399" s="33">
        <v>1</v>
      </c>
      <c r="F399" s="33">
        <v>1</v>
      </c>
      <c r="G399" s="19">
        <f>'расчёт зарплаты'!K26</f>
        <v>27300</v>
      </c>
      <c r="H399" s="19">
        <f t="shared" si="248"/>
        <v>327600</v>
      </c>
      <c r="I399" s="19"/>
      <c r="J399" s="19"/>
      <c r="K399" s="19"/>
      <c r="L399" s="19"/>
    </row>
    <row r="400" spans="1:12" x14ac:dyDescent="0.3">
      <c r="A400" s="141" t="s">
        <v>72</v>
      </c>
      <c r="B400" s="141"/>
      <c r="C400" s="141"/>
      <c r="D400" s="141"/>
      <c r="E400" s="141"/>
      <c r="F400" s="141"/>
      <c r="G400" s="141"/>
      <c r="H400" s="141"/>
      <c r="I400" s="141"/>
      <c r="J400" s="141"/>
      <c r="K400" s="141"/>
      <c r="L400" s="141"/>
    </row>
    <row r="401" spans="1:12" ht="14.4" customHeight="1" x14ac:dyDescent="0.3">
      <c r="A401" s="133" t="s">
        <v>7</v>
      </c>
      <c r="B401" s="134"/>
      <c r="C401" s="8">
        <f>C402+C419+C415</f>
        <v>55.25</v>
      </c>
      <c r="D401" s="8">
        <f>D402+D419+D415</f>
        <v>47.75</v>
      </c>
      <c r="E401" s="8">
        <f>E402+E419+E415</f>
        <v>41.9</v>
      </c>
      <c r="F401" s="8">
        <f>F402+F419+F415</f>
        <v>42</v>
      </c>
      <c r="G401" s="19"/>
      <c r="H401" s="19"/>
      <c r="I401" s="19"/>
      <c r="J401" s="19"/>
      <c r="K401" s="19"/>
      <c r="L401" s="19"/>
    </row>
    <row r="402" spans="1:12" ht="14.4" customHeight="1" x14ac:dyDescent="0.3">
      <c r="A402" s="133" t="s">
        <v>89</v>
      </c>
      <c r="B402" s="134"/>
      <c r="C402" s="40">
        <f t="shared" ref="C402:G402" si="249">SUM(C403:C414)</f>
        <v>39</v>
      </c>
      <c r="D402" s="40">
        <f t="shared" si="249"/>
        <v>33</v>
      </c>
      <c r="E402" s="40">
        <f t="shared" si="249"/>
        <v>29.9</v>
      </c>
      <c r="F402" s="40">
        <f t="shared" si="249"/>
        <v>30</v>
      </c>
      <c r="G402" s="40">
        <f t="shared" si="249"/>
        <v>148328</v>
      </c>
      <c r="H402" s="40">
        <f>SUM(H403:H414)</f>
        <v>10877011.199999999</v>
      </c>
      <c r="I402" s="20"/>
      <c r="J402" s="20">
        <f>H402-I402</f>
        <v>10877011.199999999</v>
      </c>
      <c r="K402" s="20">
        <f>J402*30.2%</f>
        <v>3284857.3823999995</v>
      </c>
      <c r="L402" s="20">
        <f>J402+K402</f>
        <v>14161868.582399998</v>
      </c>
    </row>
    <row r="403" spans="1:12" x14ac:dyDescent="0.3">
      <c r="A403" s="4"/>
      <c r="B403" s="5" t="s">
        <v>9</v>
      </c>
      <c r="C403" s="33">
        <v>23</v>
      </c>
      <c r="D403" s="33">
        <v>18</v>
      </c>
      <c r="E403" s="33">
        <v>17.399999999999999</v>
      </c>
      <c r="F403" s="33">
        <v>17</v>
      </c>
      <c r="G403" s="19">
        <f>'расчёт зарплаты'!K10</f>
        <v>28208</v>
      </c>
      <c r="H403" s="19">
        <f>E403*G403*12+ ((D403-E403)*G403/2*12)</f>
        <v>5991379.1999999993</v>
      </c>
      <c r="I403" s="19"/>
      <c r="J403" s="19"/>
      <c r="K403" s="19"/>
      <c r="L403" s="19">
        <f>G403*K403*12</f>
        <v>0</v>
      </c>
    </row>
    <row r="404" spans="1:12" x14ac:dyDescent="0.3">
      <c r="A404" s="4"/>
      <c r="B404" s="5" t="s">
        <v>10</v>
      </c>
      <c r="C404" s="33"/>
      <c r="D404" s="33"/>
      <c r="E404" s="33"/>
      <c r="F404" s="33"/>
      <c r="G404" s="19"/>
      <c r="H404" s="19">
        <f t="shared" ref="H404:H413" si="250">E404*G404*12+ ((D404-E404)*G404/2*12)</f>
        <v>0</v>
      </c>
      <c r="I404" s="19"/>
      <c r="J404" s="19"/>
      <c r="K404" s="19"/>
      <c r="L404" s="19"/>
    </row>
    <row r="405" spans="1:12" x14ac:dyDescent="0.3">
      <c r="A405" s="4"/>
      <c r="B405" s="5" t="s">
        <v>13</v>
      </c>
      <c r="C405" s="33">
        <v>4</v>
      </c>
      <c r="D405" s="33">
        <v>3</v>
      </c>
      <c r="E405" s="33">
        <v>2</v>
      </c>
      <c r="F405" s="33">
        <v>2</v>
      </c>
      <c r="G405" s="19">
        <f>'расчёт зарплаты'!K38</f>
        <v>28896</v>
      </c>
      <c r="H405" s="19">
        <f t="shared" si="250"/>
        <v>866880</v>
      </c>
      <c r="I405" s="19"/>
      <c r="J405" s="19"/>
      <c r="K405" s="19"/>
      <c r="L405" s="19"/>
    </row>
    <row r="406" spans="1:12" ht="28.2" x14ac:dyDescent="0.3">
      <c r="A406" s="4"/>
      <c r="B406" s="5" t="s">
        <v>14</v>
      </c>
      <c r="C406" s="33"/>
      <c r="D406" s="33"/>
      <c r="E406" s="33"/>
      <c r="F406" s="33"/>
      <c r="G406" s="19"/>
      <c r="H406" s="19">
        <f t="shared" si="250"/>
        <v>0</v>
      </c>
      <c r="I406" s="19"/>
      <c r="J406" s="19"/>
      <c r="K406" s="19"/>
      <c r="L406" s="19"/>
    </row>
    <row r="407" spans="1:12" x14ac:dyDescent="0.3">
      <c r="A407" s="4"/>
      <c r="B407" s="5" t="s">
        <v>15</v>
      </c>
      <c r="C407" s="33">
        <v>5</v>
      </c>
      <c r="D407" s="33">
        <v>5</v>
      </c>
      <c r="E407" s="33">
        <v>3.5</v>
      </c>
      <c r="F407" s="33">
        <v>4</v>
      </c>
      <c r="G407" s="19">
        <f>'расчёт зарплаты'!K34</f>
        <v>30976</v>
      </c>
      <c r="H407" s="19">
        <f t="shared" si="250"/>
        <v>1579776</v>
      </c>
      <c r="I407" s="19"/>
      <c r="J407" s="19"/>
      <c r="K407" s="19"/>
      <c r="L407" s="19"/>
    </row>
    <row r="408" spans="1:12" x14ac:dyDescent="0.3">
      <c r="A408" s="4"/>
      <c r="B408" s="5" t="s">
        <v>16</v>
      </c>
      <c r="C408" s="33">
        <v>6</v>
      </c>
      <c r="D408" s="33">
        <v>6</v>
      </c>
      <c r="E408" s="33">
        <v>6</v>
      </c>
      <c r="F408" s="33">
        <v>6</v>
      </c>
      <c r="G408" s="19">
        <f>'расчёт зарплаты'!K8</f>
        <v>28600</v>
      </c>
      <c r="H408" s="19">
        <f t="shared" si="250"/>
        <v>2059200</v>
      </c>
      <c r="I408" s="19"/>
      <c r="J408" s="19"/>
      <c r="K408" s="19"/>
      <c r="L408" s="19"/>
    </row>
    <row r="409" spans="1:12" ht="42" x14ac:dyDescent="0.3">
      <c r="A409" s="4"/>
      <c r="B409" s="5" t="s">
        <v>17</v>
      </c>
      <c r="C409" s="33"/>
      <c r="D409" s="33"/>
      <c r="E409" s="33"/>
      <c r="F409" s="33"/>
      <c r="G409" s="19"/>
      <c r="H409" s="19">
        <f t="shared" si="250"/>
        <v>0</v>
      </c>
      <c r="I409" s="19"/>
      <c r="J409" s="19"/>
      <c r="K409" s="19"/>
      <c r="L409" s="19"/>
    </row>
    <row r="410" spans="1:12" ht="28.2" x14ac:dyDescent="0.3">
      <c r="A410" s="4"/>
      <c r="B410" s="5" t="s">
        <v>18</v>
      </c>
      <c r="C410" s="33">
        <v>1</v>
      </c>
      <c r="D410" s="33">
        <v>1</v>
      </c>
      <c r="E410" s="33">
        <v>1</v>
      </c>
      <c r="F410" s="33">
        <v>1</v>
      </c>
      <c r="G410" s="19">
        <f>'расчёт зарплаты'!K20</f>
        <v>31648</v>
      </c>
      <c r="H410" s="19">
        <f t="shared" si="250"/>
        <v>379776</v>
      </c>
      <c r="I410" s="19"/>
      <c r="J410" s="19"/>
      <c r="K410" s="19"/>
      <c r="L410" s="19"/>
    </row>
    <row r="411" spans="1:12" ht="42" x14ac:dyDescent="0.3">
      <c r="A411" s="4"/>
      <c r="B411" s="5" t="s">
        <v>91</v>
      </c>
      <c r="C411" s="33"/>
      <c r="D411" s="33"/>
      <c r="E411" s="33"/>
      <c r="F411" s="33"/>
      <c r="G411" s="19"/>
      <c r="H411" s="19">
        <f t="shared" si="250"/>
        <v>0</v>
      </c>
      <c r="I411" s="19"/>
      <c r="J411" s="19"/>
      <c r="K411" s="19"/>
      <c r="L411" s="19"/>
    </row>
    <row r="412" spans="1:12" x14ac:dyDescent="0.3">
      <c r="A412" s="4"/>
      <c r="B412" s="5" t="s">
        <v>20</v>
      </c>
      <c r="C412" s="33"/>
      <c r="D412" s="33"/>
      <c r="E412" s="33"/>
      <c r="F412" s="33"/>
      <c r="G412" s="19"/>
      <c r="H412" s="19">
        <f t="shared" si="250"/>
        <v>0</v>
      </c>
      <c r="I412" s="19"/>
      <c r="J412" s="19"/>
      <c r="K412" s="19"/>
      <c r="L412" s="19"/>
    </row>
    <row r="413" spans="1:12" ht="39.6" x14ac:dyDescent="0.3">
      <c r="A413" s="4"/>
      <c r="B413" s="6" t="s">
        <v>21</v>
      </c>
      <c r="C413" s="33"/>
      <c r="D413" s="33"/>
      <c r="E413" s="33"/>
      <c r="F413" s="33"/>
      <c r="G413" s="19"/>
      <c r="H413" s="19">
        <f t="shared" si="250"/>
        <v>0</v>
      </c>
      <c r="I413" s="19"/>
      <c r="J413" s="19"/>
      <c r="K413" s="19"/>
      <c r="L413" s="19"/>
    </row>
    <row r="414" spans="1:12" x14ac:dyDescent="0.3">
      <c r="A414" s="4"/>
      <c r="B414" s="5" t="s">
        <v>22</v>
      </c>
      <c r="C414" s="33"/>
      <c r="D414" s="33"/>
      <c r="E414" s="33"/>
      <c r="F414" s="33"/>
      <c r="G414" s="19"/>
      <c r="H414" s="19">
        <f t="shared" ref="H414" si="251">E414*G414*12</f>
        <v>0</v>
      </c>
      <c r="I414" s="19"/>
      <c r="J414" s="19"/>
      <c r="K414" s="19"/>
      <c r="L414" s="19"/>
    </row>
    <row r="415" spans="1:12" x14ac:dyDescent="0.3">
      <c r="A415" s="38" t="s">
        <v>57</v>
      </c>
      <c r="B415" s="39"/>
      <c r="C415" s="41">
        <f>C416+C417+C418</f>
        <v>7</v>
      </c>
      <c r="D415" s="41">
        <f t="shared" ref="D415" si="252">D416+D417+D418</f>
        <v>6</v>
      </c>
      <c r="E415" s="41">
        <f t="shared" ref="E415" si="253">E416+E417+E418</f>
        <v>4</v>
      </c>
      <c r="F415" s="41">
        <f t="shared" ref="F415" si="254">F416+F417+F418</f>
        <v>4</v>
      </c>
      <c r="G415" s="41"/>
      <c r="H415" s="41">
        <f t="shared" ref="H415" si="255">H416+H417+H418</f>
        <v>1657404</v>
      </c>
      <c r="I415" s="42">
        <f t="shared" ref="I415" si="256">I416+I417+I418</f>
        <v>0</v>
      </c>
      <c r="J415" s="42">
        <f t="shared" ref="J415" si="257">J416+J417+J418</f>
        <v>0</v>
      </c>
      <c r="K415" s="42">
        <f t="shared" ref="K415" si="258">K416+K417+K418</f>
        <v>0</v>
      </c>
      <c r="L415" s="42">
        <f t="shared" ref="L415" si="259">L416+L417+L418</f>
        <v>0</v>
      </c>
    </row>
    <row r="416" spans="1:12" x14ac:dyDescent="0.3">
      <c r="A416" s="4"/>
      <c r="B416" s="5" t="s">
        <v>11</v>
      </c>
      <c r="C416" s="9">
        <v>2.5</v>
      </c>
      <c r="D416" s="9">
        <v>1.5</v>
      </c>
      <c r="E416" s="9">
        <v>1</v>
      </c>
      <c r="F416" s="9">
        <v>1</v>
      </c>
      <c r="G416" s="19">
        <f>'расчёт зарплаты'!K26</f>
        <v>27300</v>
      </c>
      <c r="H416" s="19">
        <f t="shared" ref="H416:H419" si="260">E416*G416*12+ ((D416-E416)*G416/2*12)</f>
        <v>409500</v>
      </c>
      <c r="I416" s="19"/>
      <c r="J416" s="19"/>
      <c r="K416" s="19"/>
      <c r="L416" s="19"/>
    </row>
    <row r="417" spans="1:12" x14ac:dyDescent="0.3">
      <c r="A417" s="4"/>
      <c r="B417" s="5" t="s">
        <v>12</v>
      </c>
      <c r="C417" s="9">
        <v>2</v>
      </c>
      <c r="D417" s="9">
        <v>2</v>
      </c>
      <c r="E417" s="9">
        <v>2</v>
      </c>
      <c r="F417" s="9">
        <v>2</v>
      </c>
      <c r="G417" s="19">
        <f>'расчёт зарплаты'!K26</f>
        <v>27300</v>
      </c>
      <c r="H417" s="19">
        <f t="shared" si="260"/>
        <v>655200</v>
      </c>
      <c r="I417" s="19"/>
      <c r="J417" s="19"/>
      <c r="K417" s="19"/>
      <c r="L417" s="19"/>
    </row>
    <row r="418" spans="1:12" ht="28.2" x14ac:dyDescent="0.3">
      <c r="A418" s="4"/>
      <c r="B418" s="5" t="s">
        <v>19</v>
      </c>
      <c r="C418" s="9">
        <v>2.5</v>
      </c>
      <c r="D418" s="9">
        <v>2.5</v>
      </c>
      <c r="E418" s="9">
        <v>1</v>
      </c>
      <c r="F418" s="9">
        <v>1</v>
      </c>
      <c r="G418" s="19">
        <f>'расчёт зарплаты'!K40</f>
        <v>28224</v>
      </c>
      <c r="H418" s="19">
        <f t="shared" si="260"/>
        <v>592704</v>
      </c>
      <c r="I418" s="19"/>
      <c r="J418" s="19"/>
      <c r="K418" s="19"/>
      <c r="L418" s="19"/>
    </row>
    <row r="419" spans="1:12" x14ac:dyDescent="0.3">
      <c r="A419" s="135" t="s">
        <v>23</v>
      </c>
      <c r="B419" s="135"/>
      <c r="C419" s="7">
        <f t="shared" ref="C419:F419" si="261">C420+C426</f>
        <v>9.25</v>
      </c>
      <c r="D419" s="7">
        <f t="shared" si="261"/>
        <v>8.75</v>
      </c>
      <c r="E419" s="7">
        <f t="shared" si="261"/>
        <v>8</v>
      </c>
      <c r="F419" s="7">
        <f t="shared" si="261"/>
        <v>8</v>
      </c>
      <c r="G419" s="19"/>
      <c r="H419" s="19">
        <f t="shared" si="260"/>
        <v>0</v>
      </c>
      <c r="I419" s="19"/>
      <c r="J419" s="20">
        <f t="shared" ref="J419:K419" si="262">J420+J426</f>
        <v>2816490</v>
      </c>
      <c r="K419" s="20">
        <f t="shared" si="262"/>
        <v>850579.98</v>
      </c>
      <c r="L419" s="20">
        <f>L420+L426</f>
        <v>3667069.9799999995</v>
      </c>
    </row>
    <row r="420" spans="1:12" x14ac:dyDescent="0.3">
      <c r="A420" s="136" t="s">
        <v>24</v>
      </c>
      <c r="B420" s="136"/>
      <c r="C420" s="7">
        <f t="shared" ref="C420:F420" si="263">C421+C422+C423+C424+C425</f>
        <v>5.75</v>
      </c>
      <c r="D420" s="7">
        <f t="shared" si="263"/>
        <v>5.75</v>
      </c>
      <c r="E420" s="7">
        <f t="shared" si="263"/>
        <v>6</v>
      </c>
      <c r="F420" s="7">
        <f t="shared" si="263"/>
        <v>6</v>
      </c>
      <c r="G420" s="20"/>
      <c r="H420" s="20">
        <f>H421+H422+H423+H424+H425</f>
        <v>1924650</v>
      </c>
      <c r="I420" s="20">
        <f t="shared" ref="I420" si="264">I421+I422+I423+I424+I425</f>
        <v>0</v>
      </c>
      <c r="J420" s="20">
        <f>H420</f>
        <v>1924650</v>
      </c>
      <c r="K420" s="20">
        <f>J420*30.2%</f>
        <v>581244.29999999993</v>
      </c>
      <c r="L420" s="20">
        <f>J420+K420</f>
        <v>2505894.2999999998</v>
      </c>
    </row>
    <row r="421" spans="1:12" x14ac:dyDescent="0.3">
      <c r="A421" s="4"/>
      <c r="B421" s="5" t="s">
        <v>25</v>
      </c>
      <c r="C421" s="33"/>
      <c r="D421" s="33"/>
      <c r="E421" s="33"/>
      <c r="F421" s="33"/>
      <c r="G421" s="19"/>
      <c r="H421" s="19">
        <f t="shared" ref="H421:H425" si="265">E421*G421*12+ ((D421-E421)*G421/2*12)</f>
        <v>0</v>
      </c>
      <c r="I421" s="19"/>
      <c r="J421" s="19"/>
      <c r="K421" s="19"/>
      <c r="L421" s="19"/>
    </row>
    <row r="422" spans="1:12" x14ac:dyDescent="0.3">
      <c r="A422" s="4"/>
      <c r="B422" s="5" t="s">
        <v>26</v>
      </c>
      <c r="C422" s="33"/>
      <c r="D422" s="33"/>
      <c r="E422" s="33"/>
      <c r="F422" s="33"/>
      <c r="G422" s="19"/>
      <c r="H422" s="19">
        <f t="shared" si="265"/>
        <v>0</v>
      </c>
      <c r="I422" s="19"/>
      <c r="J422" s="19"/>
      <c r="K422" s="19"/>
      <c r="L422" s="19"/>
    </row>
    <row r="423" spans="1:12" x14ac:dyDescent="0.3">
      <c r="A423" s="4"/>
      <c r="B423" s="5" t="s">
        <v>27</v>
      </c>
      <c r="C423" s="33"/>
      <c r="D423" s="33"/>
      <c r="E423" s="33"/>
      <c r="F423" s="33"/>
      <c r="G423" s="19"/>
      <c r="H423" s="19">
        <f t="shared" si="265"/>
        <v>0</v>
      </c>
      <c r="I423" s="19"/>
      <c r="J423" s="19"/>
      <c r="K423" s="19"/>
      <c r="L423" s="19"/>
    </row>
    <row r="424" spans="1:12" ht="28.2" x14ac:dyDescent="0.3">
      <c r="A424" s="4"/>
      <c r="B424" s="5" t="s">
        <v>28</v>
      </c>
      <c r="C424" s="33">
        <v>2.5</v>
      </c>
      <c r="D424" s="33">
        <v>2.5</v>
      </c>
      <c r="E424" s="33">
        <v>3</v>
      </c>
      <c r="F424" s="33">
        <v>3</v>
      </c>
      <c r="G424" s="19">
        <f>'расчёт зарплаты'!K26</f>
        <v>27300</v>
      </c>
      <c r="H424" s="19">
        <f t="shared" si="265"/>
        <v>900900</v>
      </c>
      <c r="I424" s="19"/>
      <c r="J424" s="19"/>
      <c r="K424" s="19"/>
      <c r="L424" s="19"/>
    </row>
    <row r="425" spans="1:12" x14ac:dyDescent="0.3">
      <c r="A425" s="4"/>
      <c r="B425" s="5" t="s">
        <v>29</v>
      </c>
      <c r="C425" s="33">
        <v>3.25</v>
      </c>
      <c r="D425" s="33">
        <v>3.25</v>
      </c>
      <c r="E425" s="33">
        <v>3</v>
      </c>
      <c r="F425" s="33">
        <v>3</v>
      </c>
      <c r="G425" s="19">
        <f>'расчёт зарплаты'!K26</f>
        <v>27300</v>
      </c>
      <c r="H425" s="19">
        <f t="shared" si="265"/>
        <v>1023750</v>
      </c>
      <c r="I425" s="19"/>
      <c r="J425" s="19"/>
      <c r="K425" s="19"/>
      <c r="L425" s="19"/>
    </row>
    <row r="426" spans="1:12" x14ac:dyDescent="0.3">
      <c r="A426" s="136" t="s">
        <v>30</v>
      </c>
      <c r="B426" s="136"/>
      <c r="C426" s="7">
        <f t="shared" ref="C426:F426" si="266">C427+C428+C429</f>
        <v>3.5</v>
      </c>
      <c r="D426" s="7">
        <f t="shared" si="266"/>
        <v>3</v>
      </c>
      <c r="E426" s="7">
        <f t="shared" si="266"/>
        <v>2</v>
      </c>
      <c r="F426" s="7">
        <f t="shared" si="266"/>
        <v>2</v>
      </c>
      <c r="G426" s="20"/>
      <c r="H426" s="20">
        <f>H427+H428+H429</f>
        <v>891840</v>
      </c>
      <c r="I426" s="20">
        <f t="shared" ref="I426" si="267">I427+I428+I429</f>
        <v>0</v>
      </c>
      <c r="J426" s="20">
        <f>H426</f>
        <v>891840</v>
      </c>
      <c r="K426" s="20">
        <f>J426*30.2%</f>
        <v>269335.67999999999</v>
      </c>
      <c r="L426" s="20">
        <f>J426+K426</f>
        <v>1161175.68</v>
      </c>
    </row>
    <row r="427" spans="1:12" x14ac:dyDescent="0.3">
      <c r="A427" s="4"/>
      <c r="B427" s="5" t="s">
        <v>31</v>
      </c>
      <c r="C427" s="33">
        <v>1</v>
      </c>
      <c r="D427" s="33">
        <v>1</v>
      </c>
      <c r="E427" s="33">
        <v>1</v>
      </c>
      <c r="F427" s="33">
        <v>1</v>
      </c>
      <c r="G427" s="19">
        <f>'расчёт зарплаты'!K34</f>
        <v>30976</v>
      </c>
      <c r="H427" s="19">
        <f t="shared" ref="H427:H429" si="268">E427*G427*12+ ((D427-E427)*G427/2*12)</f>
        <v>371712</v>
      </c>
      <c r="I427" s="19"/>
      <c r="J427" s="19"/>
      <c r="K427" s="19"/>
      <c r="L427" s="19"/>
    </row>
    <row r="428" spans="1:12" x14ac:dyDescent="0.3">
      <c r="A428" s="4"/>
      <c r="B428" s="5" t="s">
        <v>32</v>
      </c>
      <c r="C428" s="33"/>
      <c r="D428" s="33"/>
      <c r="E428" s="33"/>
      <c r="F428" s="33"/>
      <c r="G428" s="19"/>
      <c r="H428" s="19">
        <f t="shared" si="268"/>
        <v>0</v>
      </c>
      <c r="I428" s="19"/>
      <c r="J428" s="19"/>
      <c r="K428" s="19"/>
      <c r="L428" s="19"/>
    </row>
    <row r="429" spans="1:12" x14ac:dyDescent="0.3">
      <c r="A429" s="4"/>
      <c r="B429" s="5" t="s">
        <v>33</v>
      </c>
      <c r="C429" s="33">
        <v>2.5</v>
      </c>
      <c r="D429" s="33">
        <v>2</v>
      </c>
      <c r="E429" s="33">
        <v>1</v>
      </c>
      <c r="F429" s="33">
        <v>1</v>
      </c>
      <c r="G429" s="19">
        <f>'расчёт зарплаты'!K38</f>
        <v>28896</v>
      </c>
      <c r="H429" s="19">
        <f t="shared" si="268"/>
        <v>520128</v>
      </c>
      <c r="I429" s="19"/>
      <c r="J429" s="19"/>
      <c r="K429" s="19"/>
      <c r="L429" s="19"/>
    </row>
    <row r="430" spans="1:12" x14ac:dyDescent="0.3">
      <c r="A430" s="141" t="s">
        <v>73</v>
      </c>
      <c r="B430" s="141"/>
      <c r="C430" s="141"/>
      <c r="D430" s="141"/>
      <c r="E430" s="141"/>
      <c r="F430" s="141"/>
      <c r="G430" s="141"/>
      <c r="H430" s="141"/>
      <c r="I430" s="141"/>
      <c r="J430" s="141"/>
      <c r="K430" s="141"/>
      <c r="L430" s="141"/>
    </row>
    <row r="431" spans="1:12" ht="14.4" customHeight="1" x14ac:dyDescent="0.3">
      <c r="A431" s="133" t="s">
        <v>7</v>
      </c>
      <c r="B431" s="134"/>
      <c r="C431" s="8">
        <f>C432+C449+C445</f>
        <v>43.75</v>
      </c>
      <c r="D431" s="8">
        <f>D432+D449+D445</f>
        <v>42</v>
      </c>
      <c r="E431" s="8">
        <f>E432+E449+E445</f>
        <v>38.5</v>
      </c>
      <c r="F431" s="8">
        <f>F432+F449+F445</f>
        <v>37.5</v>
      </c>
      <c r="G431" s="19"/>
      <c r="H431" s="19"/>
      <c r="I431" s="19"/>
      <c r="J431" s="19"/>
      <c r="K431" s="19"/>
      <c r="L431" s="19"/>
    </row>
    <row r="432" spans="1:12" ht="14.4" customHeight="1" x14ac:dyDescent="0.3">
      <c r="A432" s="133" t="s">
        <v>89</v>
      </c>
      <c r="B432" s="134"/>
      <c r="C432" s="40">
        <f t="shared" ref="C432:G432" si="269">SUM(C433:C444)</f>
        <v>30.5</v>
      </c>
      <c r="D432" s="40">
        <f t="shared" si="269"/>
        <v>30</v>
      </c>
      <c r="E432" s="40">
        <f t="shared" si="269"/>
        <v>28</v>
      </c>
      <c r="F432" s="40">
        <f t="shared" si="269"/>
        <v>27.5</v>
      </c>
      <c r="G432" s="40">
        <f t="shared" si="269"/>
        <v>176536</v>
      </c>
      <c r="H432" s="40">
        <f>SUM(H433:H444)</f>
        <v>10029120</v>
      </c>
      <c r="I432" s="20"/>
      <c r="J432" s="20">
        <f>H432-I432</f>
        <v>10029120</v>
      </c>
      <c r="K432" s="20">
        <f>J432*30.2%</f>
        <v>3028794.2399999998</v>
      </c>
      <c r="L432" s="20">
        <f>J432+K432</f>
        <v>13057914.24</v>
      </c>
    </row>
    <row r="433" spans="1:12" x14ac:dyDescent="0.3">
      <c r="A433" s="4"/>
      <c r="B433" s="5" t="s">
        <v>9</v>
      </c>
      <c r="C433" s="33">
        <v>15</v>
      </c>
      <c r="D433" s="33">
        <v>15</v>
      </c>
      <c r="E433" s="33">
        <v>15</v>
      </c>
      <c r="F433" s="33">
        <v>15</v>
      </c>
      <c r="G433" s="19">
        <f>'расчёт зарплаты'!K10</f>
        <v>28208</v>
      </c>
      <c r="H433" s="19">
        <f>E433*G433*12+ ((D433-E433)*G433/2*12)</f>
        <v>5077440</v>
      </c>
      <c r="I433" s="19"/>
      <c r="J433" s="19"/>
      <c r="K433" s="19"/>
      <c r="L433" s="19">
        <f>G433*K433*12</f>
        <v>0</v>
      </c>
    </row>
    <row r="434" spans="1:12" x14ac:dyDescent="0.3">
      <c r="A434" s="4"/>
      <c r="B434" s="5" t="s">
        <v>10</v>
      </c>
      <c r="C434" s="33"/>
      <c r="D434" s="33"/>
      <c r="E434" s="33"/>
      <c r="F434" s="33"/>
      <c r="G434" s="19"/>
      <c r="H434" s="19">
        <f t="shared" ref="H434:H443" si="270">E434*G434*12+ ((D434-E434)*G434/2*12)</f>
        <v>0</v>
      </c>
      <c r="I434" s="19"/>
      <c r="J434" s="19"/>
      <c r="K434" s="19"/>
      <c r="L434" s="19"/>
    </row>
    <row r="435" spans="1:12" x14ac:dyDescent="0.3">
      <c r="A435" s="4"/>
      <c r="B435" s="5" t="s">
        <v>13</v>
      </c>
      <c r="C435" s="33">
        <v>3</v>
      </c>
      <c r="D435" s="33">
        <v>3</v>
      </c>
      <c r="E435" s="33">
        <v>2.5</v>
      </c>
      <c r="F435" s="33">
        <v>2</v>
      </c>
      <c r="G435" s="19">
        <f>'расчёт зарплаты'!K38</f>
        <v>28896</v>
      </c>
      <c r="H435" s="19">
        <f t="shared" si="270"/>
        <v>953568</v>
      </c>
      <c r="I435" s="19"/>
      <c r="J435" s="19"/>
      <c r="K435" s="19"/>
      <c r="L435" s="19"/>
    </row>
    <row r="436" spans="1:12" ht="28.2" x14ac:dyDescent="0.3">
      <c r="A436" s="4"/>
      <c r="B436" s="5" t="s">
        <v>14</v>
      </c>
      <c r="C436" s="33"/>
      <c r="D436" s="33"/>
      <c r="E436" s="33"/>
      <c r="F436" s="33"/>
      <c r="G436" s="19"/>
      <c r="H436" s="19">
        <f t="shared" si="270"/>
        <v>0</v>
      </c>
      <c r="I436" s="19"/>
      <c r="J436" s="19"/>
      <c r="K436" s="19"/>
      <c r="L436" s="19"/>
    </row>
    <row r="437" spans="1:12" x14ac:dyDescent="0.3">
      <c r="A437" s="4"/>
      <c r="B437" s="5" t="s">
        <v>15</v>
      </c>
      <c r="C437" s="33">
        <v>4.5</v>
      </c>
      <c r="D437" s="33">
        <v>4.5</v>
      </c>
      <c r="E437" s="33">
        <v>4</v>
      </c>
      <c r="F437" s="33">
        <v>4</v>
      </c>
      <c r="G437" s="19">
        <f>'расчёт зарплаты'!K34</f>
        <v>30976</v>
      </c>
      <c r="H437" s="19">
        <f t="shared" si="270"/>
        <v>1579776</v>
      </c>
      <c r="I437" s="19"/>
      <c r="J437" s="19"/>
      <c r="K437" s="19"/>
      <c r="L437" s="19"/>
    </row>
    <row r="438" spans="1:12" x14ac:dyDescent="0.3">
      <c r="A438" s="4"/>
      <c r="B438" s="5" t="s">
        <v>16</v>
      </c>
      <c r="C438" s="33">
        <v>6</v>
      </c>
      <c r="D438" s="33">
        <v>6</v>
      </c>
      <c r="E438" s="33">
        <v>6</v>
      </c>
      <c r="F438" s="33">
        <v>6</v>
      </c>
      <c r="G438" s="19">
        <f>'расчёт зарплаты'!K8</f>
        <v>28600</v>
      </c>
      <c r="H438" s="19">
        <f t="shared" si="270"/>
        <v>2059200</v>
      </c>
      <c r="I438" s="19"/>
      <c r="J438" s="19"/>
      <c r="K438" s="19"/>
      <c r="L438" s="19"/>
    </row>
    <row r="439" spans="1:12" ht="42" x14ac:dyDescent="0.3">
      <c r="A439" s="4"/>
      <c r="B439" s="5" t="s">
        <v>17</v>
      </c>
      <c r="C439" s="33">
        <v>1</v>
      </c>
      <c r="D439" s="33">
        <v>0.5</v>
      </c>
      <c r="E439" s="33">
        <v>0.5</v>
      </c>
      <c r="F439" s="33">
        <v>0.5</v>
      </c>
      <c r="G439" s="19">
        <f>'расчёт зарплаты'!K10</f>
        <v>28208</v>
      </c>
      <c r="H439" s="19">
        <f t="shared" si="270"/>
        <v>169248</v>
      </c>
      <c r="I439" s="19"/>
      <c r="J439" s="19"/>
      <c r="K439" s="19"/>
      <c r="L439" s="19"/>
    </row>
    <row r="440" spans="1:12" ht="28.2" x14ac:dyDescent="0.3">
      <c r="A440" s="4"/>
      <c r="B440" s="5" t="s">
        <v>18</v>
      </c>
      <c r="C440" s="33">
        <v>1</v>
      </c>
      <c r="D440" s="33">
        <v>1</v>
      </c>
      <c r="E440" s="33">
        <v>0</v>
      </c>
      <c r="F440" s="33">
        <v>0</v>
      </c>
      <c r="G440" s="19">
        <f>'расчёт зарплаты'!K20</f>
        <v>31648</v>
      </c>
      <c r="H440" s="19">
        <f t="shared" si="270"/>
        <v>189888</v>
      </c>
      <c r="I440" s="19"/>
      <c r="J440" s="19"/>
      <c r="K440" s="19"/>
      <c r="L440" s="19"/>
    </row>
    <row r="441" spans="1:12" ht="42" x14ac:dyDescent="0.3">
      <c r="A441" s="4"/>
      <c r="B441" s="5" t="s">
        <v>91</v>
      </c>
      <c r="C441" s="33"/>
      <c r="D441" s="33"/>
      <c r="E441" s="33"/>
      <c r="F441" s="33"/>
      <c r="G441" s="19"/>
      <c r="H441" s="19">
        <f t="shared" si="270"/>
        <v>0</v>
      </c>
      <c r="I441" s="19"/>
      <c r="J441" s="19"/>
      <c r="K441" s="19"/>
      <c r="L441" s="19"/>
    </row>
    <row r="442" spans="1:12" x14ac:dyDescent="0.3">
      <c r="A442" s="4"/>
      <c r="B442" s="5" t="s">
        <v>20</v>
      </c>
      <c r="C442" s="33"/>
      <c r="D442" s="33"/>
      <c r="E442" s="33"/>
      <c r="F442" s="33"/>
      <c r="G442" s="19"/>
      <c r="H442" s="19">
        <f t="shared" si="270"/>
        <v>0</v>
      </c>
      <c r="I442" s="19"/>
      <c r="J442" s="19"/>
      <c r="K442" s="19"/>
      <c r="L442" s="19"/>
    </row>
    <row r="443" spans="1:12" ht="39.6" x14ac:dyDescent="0.3">
      <c r="A443" s="4"/>
      <c r="B443" s="6" t="s">
        <v>21</v>
      </c>
      <c r="C443" s="33"/>
      <c r="D443" s="33"/>
      <c r="E443" s="33"/>
      <c r="F443" s="33"/>
      <c r="G443" s="19"/>
      <c r="H443" s="19">
        <f t="shared" si="270"/>
        <v>0</v>
      </c>
      <c r="I443" s="19"/>
      <c r="J443" s="19"/>
      <c r="K443" s="19"/>
      <c r="L443" s="19"/>
    </row>
    <row r="444" spans="1:12" x14ac:dyDescent="0.3">
      <c r="A444" s="4"/>
      <c r="B444" s="5" t="s">
        <v>22</v>
      </c>
      <c r="C444" s="33"/>
      <c r="D444" s="33"/>
      <c r="E444" s="33"/>
      <c r="F444" s="33"/>
      <c r="G444" s="19"/>
      <c r="H444" s="19">
        <f t="shared" ref="H444" si="271">E444*G444*12</f>
        <v>0</v>
      </c>
      <c r="I444" s="19"/>
      <c r="J444" s="19"/>
      <c r="K444" s="19"/>
      <c r="L444" s="19"/>
    </row>
    <row r="445" spans="1:12" x14ac:dyDescent="0.3">
      <c r="A445" s="38" t="s">
        <v>57</v>
      </c>
      <c r="B445" s="39"/>
      <c r="C445" s="41">
        <f>C446+C447+C448</f>
        <v>6.75</v>
      </c>
      <c r="D445" s="41">
        <f t="shared" ref="D445" si="272">D446+D447+D448</f>
        <v>5.5</v>
      </c>
      <c r="E445" s="41">
        <f t="shared" ref="E445" si="273">E446+E447+E448</f>
        <v>5</v>
      </c>
      <c r="F445" s="41">
        <f t="shared" ref="F445" si="274">F446+F447+F448</f>
        <v>5</v>
      </c>
      <c r="G445" s="41"/>
      <c r="H445" s="42">
        <f t="shared" ref="H445" si="275">H446+H447+H448</f>
        <v>1753164</v>
      </c>
      <c r="I445" s="42">
        <f t="shared" ref="I445" si="276">I446+I447+I448</f>
        <v>0</v>
      </c>
      <c r="J445" s="42">
        <f t="shared" ref="J445" si="277">J446+J447+J448</f>
        <v>0</v>
      </c>
      <c r="K445" s="42">
        <f t="shared" ref="K445" si="278">K446+K447+K448</f>
        <v>0</v>
      </c>
      <c r="L445" s="42">
        <f t="shared" ref="L445" si="279">L446+L447+L448</f>
        <v>0</v>
      </c>
    </row>
    <row r="446" spans="1:12" x14ac:dyDescent="0.3">
      <c r="A446" s="4"/>
      <c r="B446" s="5" t="s">
        <v>11</v>
      </c>
      <c r="C446" s="9">
        <v>1.5</v>
      </c>
      <c r="D446" s="9">
        <v>0.5</v>
      </c>
      <c r="E446" s="9">
        <v>0</v>
      </c>
      <c r="F446" s="9">
        <v>0</v>
      </c>
      <c r="G446" s="19">
        <f>'расчёт зарплаты'!K26</f>
        <v>27300</v>
      </c>
      <c r="H446" s="19">
        <f t="shared" ref="H446:H449" si="280">E446*G446*12+ ((D446-E446)*G446/2*12)</f>
        <v>81900</v>
      </c>
      <c r="I446" s="19"/>
      <c r="J446" s="19"/>
      <c r="K446" s="19"/>
      <c r="L446" s="19"/>
    </row>
    <row r="447" spans="1:12" x14ac:dyDescent="0.3">
      <c r="A447" s="4"/>
      <c r="B447" s="5" t="s">
        <v>12</v>
      </c>
      <c r="C447" s="9">
        <v>2</v>
      </c>
      <c r="D447" s="9">
        <v>2</v>
      </c>
      <c r="E447" s="9">
        <v>2</v>
      </c>
      <c r="F447" s="9">
        <v>2</v>
      </c>
      <c r="G447" s="19">
        <f>'расчёт зарплаты'!K26</f>
        <v>27300</v>
      </c>
      <c r="H447" s="19">
        <f t="shared" si="280"/>
        <v>655200</v>
      </c>
      <c r="I447" s="19"/>
      <c r="J447" s="19"/>
      <c r="K447" s="19"/>
      <c r="L447" s="19"/>
    </row>
    <row r="448" spans="1:12" ht="28.2" x14ac:dyDescent="0.3">
      <c r="A448" s="4"/>
      <c r="B448" s="5" t="s">
        <v>19</v>
      </c>
      <c r="C448" s="9">
        <v>3.25</v>
      </c>
      <c r="D448" s="9">
        <v>3</v>
      </c>
      <c r="E448" s="9">
        <v>3</v>
      </c>
      <c r="F448" s="9">
        <v>3</v>
      </c>
      <c r="G448" s="19">
        <f>'расчёт зарплаты'!K40</f>
        <v>28224</v>
      </c>
      <c r="H448" s="19">
        <f t="shared" si="280"/>
        <v>1016064</v>
      </c>
      <c r="I448" s="19"/>
      <c r="J448" s="19"/>
      <c r="K448" s="19"/>
      <c r="L448" s="19"/>
    </row>
    <row r="449" spans="1:12" x14ac:dyDescent="0.3">
      <c r="A449" s="135" t="s">
        <v>23</v>
      </c>
      <c r="B449" s="135"/>
      <c r="C449" s="7">
        <f t="shared" ref="C449:F449" si="281">C450+C456</f>
        <v>6.5</v>
      </c>
      <c r="D449" s="7">
        <f t="shared" si="281"/>
        <v>6.5</v>
      </c>
      <c r="E449" s="7">
        <f t="shared" si="281"/>
        <v>5.5</v>
      </c>
      <c r="F449" s="7">
        <f t="shared" si="281"/>
        <v>5</v>
      </c>
      <c r="G449" s="19"/>
      <c r="H449" s="19">
        <f t="shared" si="280"/>
        <v>0</v>
      </c>
      <c r="I449" s="19"/>
      <c r="J449" s="20">
        <f t="shared" ref="J449:K449" si="282">J450+J456</f>
        <v>1995780</v>
      </c>
      <c r="K449" s="20">
        <f t="shared" si="282"/>
        <v>602725.56000000006</v>
      </c>
      <c r="L449" s="20">
        <f>L450+L456</f>
        <v>2598505.56</v>
      </c>
    </row>
    <row r="450" spans="1:12" x14ac:dyDescent="0.3">
      <c r="A450" s="136" t="s">
        <v>24</v>
      </c>
      <c r="B450" s="136"/>
      <c r="C450" s="7">
        <f t="shared" ref="C450:F450" si="283">C451+C452+C453+C454+C455</f>
        <v>5</v>
      </c>
      <c r="D450" s="7">
        <f t="shared" si="283"/>
        <v>5</v>
      </c>
      <c r="E450" s="7">
        <f t="shared" si="283"/>
        <v>4.5</v>
      </c>
      <c r="F450" s="7">
        <f t="shared" si="283"/>
        <v>4</v>
      </c>
      <c r="G450" s="20"/>
      <c r="H450" s="20">
        <f>H451+H452+H453+H454+H455</f>
        <v>1556100</v>
      </c>
      <c r="I450" s="20">
        <f t="shared" ref="I450" si="284">I451+I452+I453+I454+I455</f>
        <v>0</v>
      </c>
      <c r="J450" s="20">
        <f>H450</f>
        <v>1556100</v>
      </c>
      <c r="K450" s="20">
        <f>J450*30.2%</f>
        <v>469942.2</v>
      </c>
      <c r="L450" s="20">
        <f>J450+K450</f>
        <v>2026042.2</v>
      </c>
    </row>
    <row r="451" spans="1:12" x14ac:dyDescent="0.3">
      <c r="A451" s="4"/>
      <c r="B451" s="5" t="s">
        <v>25</v>
      </c>
      <c r="C451" s="33"/>
      <c r="D451" s="33"/>
      <c r="E451" s="33"/>
      <c r="F451" s="33"/>
      <c r="G451" s="19"/>
      <c r="H451" s="19">
        <f t="shared" ref="H451:H455" si="285">E451*G451*12+ ((D451-E451)*G451/2*12)</f>
        <v>0</v>
      </c>
      <c r="I451" s="19"/>
      <c r="J451" s="19"/>
      <c r="K451" s="19"/>
      <c r="L451" s="19"/>
    </row>
    <row r="452" spans="1:12" x14ac:dyDescent="0.3">
      <c r="A452" s="4"/>
      <c r="B452" s="5" t="s">
        <v>26</v>
      </c>
      <c r="C452" s="33"/>
      <c r="D452" s="33"/>
      <c r="E452" s="33"/>
      <c r="F452" s="33"/>
      <c r="G452" s="19"/>
      <c r="H452" s="19">
        <f t="shared" si="285"/>
        <v>0</v>
      </c>
      <c r="I452" s="19"/>
      <c r="J452" s="19"/>
      <c r="K452" s="19"/>
      <c r="L452" s="19"/>
    </row>
    <row r="453" spans="1:12" x14ac:dyDescent="0.3">
      <c r="A453" s="4"/>
      <c r="B453" s="5" t="s">
        <v>27</v>
      </c>
      <c r="C453" s="33"/>
      <c r="D453" s="33"/>
      <c r="E453" s="33"/>
      <c r="F453" s="33"/>
      <c r="G453" s="19"/>
      <c r="H453" s="19">
        <f t="shared" si="285"/>
        <v>0</v>
      </c>
      <c r="I453" s="19"/>
      <c r="J453" s="19"/>
      <c r="K453" s="19"/>
      <c r="L453" s="19"/>
    </row>
    <row r="454" spans="1:12" ht="28.2" x14ac:dyDescent="0.3">
      <c r="A454" s="4"/>
      <c r="B454" s="5" t="s">
        <v>28</v>
      </c>
      <c r="C454" s="33">
        <v>3</v>
      </c>
      <c r="D454" s="33">
        <v>3</v>
      </c>
      <c r="E454" s="33">
        <v>2.5</v>
      </c>
      <c r="F454" s="33">
        <v>2</v>
      </c>
      <c r="G454" s="19">
        <f>'расчёт зарплаты'!K26</f>
        <v>27300</v>
      </c>
      <c r="H454" s="19">
        <f t="shared" si="285"/>
        <v>900900</v>
      </c>
      <c r="I454" s="19"/>
      <c r="J454" s="19"/>
      <c r="K454" s="19"/>
      <c r="L454" s="19"/>
    </row>
    <row r="455" spans="1:12" x14ac:dyDescent="0.3">
      <c r="A455" s="4"/>
      <c r="B455" s="5" t="s">
        <v>29</v>
      </c>
      <c r="C455" s="33">
        <v>2</v>
      </c>
      <c r="D455" s="33">
        <v>2</v>
      </c>
      <c r="E455" s="33">
        <v>2</v>
      </c>
      <c r="F455" s="33">
        <v>2</v>
      </c>
      <c r="G455" s="19">
        <f>'расчёт зарплаты'!K26</f>
        <v>27300</v>
      </c>
      <c r="H455" s="19">
        <f t="shared" si="285"/>
        <v>655200</v>
      </c>
      <c r="I455" s="19"/>
      <c r="J455" s="19"/>
      <c r="K455" s="19"/>
      <c r="L455" s="19"/>
    </row>
    <row r="456" spans="1:12" x14ac:dyDescent="0.3">
      <c r="A456" s="136" t="s">
        <v>30</v>
      </c>
      <c r="B456" s="136"/>
      <c r="C456" s="7">
        <f t="shared" ref="C456:F456" si="286">C457+C458+C459</f>
        <v>1.5</v>
      </c>
      <c r="D456" s="7">
        <f t="shared" si="286"/>
        <v>1.5</v>
      </c>
      <c r="E456" s="7">
        <f t="shared" si="286"/>
        <v>1</v>
      </c>
      <c r="F456" s="7">
        <f t="shared" si="286"/>
        <v>1</v>
      </c>
      <c r="G456" s="20"/>
      <c r="H456" s="20">
        <f>H457+H458+H459</f>
        <v>439680</v>
      </c>
      <c r="I456" s="20">
        <f t="shared" ref="I456" si="287">I457+I458+I459</f>
        <v>0</v>
      </c>
      <c r="J456" s="20">
        <f>H456</f>
        <v>439680</v>
      </c>
      <c r="K456" s="20">
        <f>J456*30.2%</f>
        <v>132783.35999999999</v>
      </c>
      <c r="L456" s="20">
        <f>J456+K456</f>
        <v>572463.35999999999</v>
      </c>
    </row>
    <row r="457" spans="1:12" x14ac:dyDescent="0.3">
      <c r="A457" s="4"/>
      <c r="B457" s="5" t="s">
        <v>31</v>
      </c>
      <c r="C457" s="33">
        <v>0.5</v>
      </c>
      <c r="D457" s="33">
        <v>0.5</v>
      </c>
      <c r="E457" s="33">
        <v>0</v>
      </c>
      <c r="F457" s="33">
        <v>0</v>
      </c>
      <c r="G457" s="19">
        <f>'расчёт зарплаты'!K34</f>
        <v>30976</v>
      </c>
      <c r="H457" s="19">
        <f t="shared" ref="H457:H459" si="288">E457*G457*12+ ((D457-E457)*G457/2*12)</f>
        <v>92928</v>
      </c>
      <c r="I457" s="19"/>
      <c r="J457" s="19"/>
      <c r="K457" s="19"/>
      <c r="L457" s="19"/>
    </row>
    <row r="458" spans="1:12" x14ac:dyDescent="0.3">
      <c r="A458" s="4"/>
      <c r="B458" s="5" t="s">
        <v>32</v>
      </c>
      <c r="C458" s="33"/>
      <c r="D458" s="33"/>
      <c r="E458" s="33"/>
      <c r="F458" s="33"/>
      <c r="G458" s="19"/>
      <c r="H458" s="19">
        <f t="shared" si="288"/>
        <v>0</v>
      </c>
      <c r="I458" s="19"/>
      <c r="J458" s="19"/>
      <c r="K458" s="19"/>
      <c r="L458" s="19"/>
    </row>
    <row r="459" spans="1:12" x14ac:dyDescent="0.3">
      <c r="A459" s="4"/>
      <c r="B459" s="5" t="s">
        <v>33</v>
      </c>
      <c r="C459" s="33">
        <v>1</v>
      </c>
      <c r="D459" s="33">
        <v>1</v>
      </c>
      <c r="E459" s="33">
        <v>1</v>
      </c>
      <c r="F459" s="33">
        <v>1</v>
      </c>
      <c r="G459" s="19">
        <f>'расчёт зарплаты'!K38</f>
        <v>28896</v>
      </c>
      <c r="H459" s="19">
        <f t="shared" si="288"/>
        <v>346752</v>
      </c>
      <c r="I459" s="19"/>
      <c r="J459" s="19"/>
      <c r="K459" s="19"/>
      <c r="L459" s="19"/>
    </row>
    <row r="460" spans="1:12" x14ac:dyDescent="0.3">
      <c r="A460" s="141" t="s">
        <v>74</v>
      </c>
      <c r="B460" s="141"/>
      <c r="C460" s="141"/>
      <c r="D460" s="141"/>
      <c r="E460" s="141"/>
      <c r="F460" s="141"/>
      <c r="G460" s="141"/>
      <c r="H460" s="141"/>
      <c r="I460" s="141"/>
      <c r="J460" s="141"/>
      <c r="K460" s="141"/>
      <c r="L460" s="141"/>
    </row>
    <row r="461" spans="1:12" ht="14.4" customHeight="1" x14ac:dyDescent="0.3">
      <c r="A461" s="133" t="s">
        <v>7</v>
      </c>
      <c r="B461" s="134"/>
      <c r="C461" s="8">
        <f>C462+C479+C475</f>
        <v>56</v>
      </c>
      <c r="D461" s="8">
        <f>D462+D479+D475</f>
        <v>53</v>
      </c>
      <c r="E461" s="8">
        <f>E462+E479+E475</f>
        <v>46.1</v>
      </c>
      <c r="F461" s="8">
        <f>F462+F479+F475</f>
        <v>44</v>
      </c>
      <c r="G461" s="19"/>
      <c r="H461" s="19"/>
      <c r="I461" s="19"/>
      <c r="J461" s="19"/>
      <c r="K461" s="19"/>
      <c r="L461" s="19"/>
    </row>
    <row r="462" spans="1:12" ht="14.4" customHeight="1" x14ac:dyDescent="0.3">
      <c r="A462" s="133" t="s">
        <v>89</v>
      </c>
      <c r="B462" s="134"/>
      <c r="C462" s="40">
        <f t="shared" ref="C462:G462" si="289">SUM(C463:C475)</f>
        <v>53</v>
      </c>
      <c r="D462" s="40">
        <f t="shared" si="289"/>
        <v>50</v>
      </c>
      <c r="E462" s="40">
        <f t="shared" si="289"/>
        <v>44.4</v>
      </c>
      <c r="F462" s="40">
        <f t="shared" si="289"/>
        <v>43</v>
      </c>
      <c r="G462" s="40">
        <f t="shared" si="289"/>
        <v>280760</v>
      </c>
      <c r="H462" s="40">
        <f>SUM(H463:H475)</f>
        <v>16794643.199999999</v>
      </c>
      <c r="I462" s="20"/>
      <c r="J462" s="20">
        <f>H462-I462</f>
        <v>16794643.199999999</v>
      </c>
      <c r="K462" s="20">
        <f>J462*30.2%</f>
        <v>5071982.2463999996</v>
      </c>
      <c r="L462" s="20">
        <f>J462+K462</f>
        <v>21866625.446399998</v>
      </c>
    </row>
    <row r="463" spans="1:12" x14ac:dyDescent="0.3">
      <c r="A463" s="4"/>
      <c r="B463" s="5" t="s">
        <v>9</v>
      </c>
      <c r="C463" s="33">
        <v>20</v>
      </c>
      <c r="D463" s="33">
        <v>20</v>
      </c>
      <c r="E463" s="33">
        <v>17.899999999999999</v>
      </c>
      <c r="F463" s="33">
        <v>17</v>
      </c>
      <c r="G463" s="19">
        <f>'расчёт зарплаты'!K10</f>
        <v>28208</v>
      </c>
      <c r="H463" s="19">
        <f>E463*G463*12+ ((D463-E463)*G463/2*12)</f>
        <v>6414499.1999999993</v>
      </c>
      <c r="I463" s="19"/>
      <c r="J463" s="19"/>
      <c r="K463" s="19"/>
      <c r="L463" s="19">
        <f>G463*K463*12</f>
        <v>0</v>
      </c>
    </row>
    <row r="464" spans="1:12" ht="28.2" x14ac:dyDescent="0.3">
      <c r="A464" s="4"/>
      <c r="B464" s="5" t="s">
        <v>82</v>
      </c>
      <c r="C464" s="33">
        <v>9</v>
      </c>
      <c r="D464" s="33">
        <v>9</v>
      </c>
      <c r="E464" s="33">
        <v>9</v>
      </c>
      <c r="F464" s="33">
        <v>9</v>
      </c>
      <c r="G464" s="19">
        <f>'расчёт зарплаты'!K12</f>
        <v>30960</v>
      </c>
      <c r="H464" s="19">
        <f>E464*G464*12+ ((D464-E464)*G464/2*12)</f>
        <v>3343680</v>
      </c>
      <c r="I464" s="19"/>
      <c r="J464" s="19"/>
      <c r="K464" s="19"/>
      <c r="L464" s="19"/>
    </row>
    <row r="465" spans="1:12" x14ac:dyDescent="0.3">
      <c r="A465" s="4"/>
      <c r="B465" s="5" t="s">
        <v>10</v>
      </c>
      <c r="C465" s="33">
        <v>1</v>
      </c>
      <c r="D465" s="33"/>
      <c r="E465" s="33"/>
      <c r="F465" s="33"/>
      <c r="G465" s="19"/>
      <c r="H465" s="19">
        <f t="shared" ref="H465:H474" si="290">E465*G465*12+ ((D465-E465)*G465/2*12)</f>
        <v>0</v>
      </c>
      <c r="I465" s="19"/>
      <c r="J465" s="19"/>
      <c r="K465" s="19"/>
      <c r="L465" s="19"/>
    </row>
    <row r="466" spans="1:12" x14ac:dyDescent="0.3">
      <c r="A466" s="4"/>
      <c r="B466" s="5" t="s">
        <v>13</v>
      </c>
      <c r="C466" s="33">
        <v>5</v>
      </c>
      <c r="D466" s="33">
        <v>4</v>
      </c>
      <c r="E466" s="33">
        <v>2</v>
      </c>
      <c r="F466" s="33">
        <v>2</v>
      </c>
      <c r="G466" s="19">
        <f>'расчёт зарплаты'!K38</f>
        <v>28896</v>
      </c>
      <c r="H466" s="19">
        <f t="shared" si="290"/>
        <v>1040256</v>
      </c>
      <c r="I466" s="19"/>
      <c r="J466" s="19"/>
      <c r="K466" s="19"/>
      <c r="L466" s="19"/>
    </row>
    <row r="467" spans="1:12" ht="28.2" x14ac:dyDescent="0.3">
      <c r="A467" s="4"/>
      <c r="B467" s="5" t="s">
        <v>14</v>
      </c>
      <c r="C467" s="33"/>
      <c r="D467" s="33"/>
      <c r="E467" s="33"/>
      <c r="F467" s="33"/>
      <c r="G467" s="19"/>
      <c r="H467" s="19">
        <f t="shared" si="290"/>
        <v>0</v>
      </c>
      <c r="I467" s="19"/>
      <c r="J467" s="19"/>
      <c r="K467" s="19"/>
      <c r="L467" s="19"/>
    </row>
    <row r="468" spans="1:12" x14ac:dyDescent="0.3">
      <c r="A468" s="4"/>
      <c r="B468" s="5" t="s">
        <v>15</v>
      </c>
      <c r="C468" s="33">
        <v>6</v>
      </c>
      <c r="D468" s="33">
        <v>6</v>
      </c>
      <c r="E468" s="33">
        <v>5</v>
      </c>
      <c r="F468" s="33">
        <v>5</v>
      </c>
      <c r="G468" s="19">
        <f>'расчёт зарплаты'!K34</f>
        <v>30976</v>
      </c>
      <c r="H468" s="19">
        <f t="shared" si="290"/>
        <v>2044416</v>
      </c>
      <c r="I468" s="19"/>
      <c r="J468" s="19"/>
      <c r="K468" s="19"/>
      <c r="L468" s="19"/>
    </row>
    <row r="469" spans="1:12" x14ac:dyDescent="0.3">
      <c r="A469" s="4"/>
      <c r="B469" s="5" t="s">
        <v>16</v>
      </c>
      <c r="C469" s="33">
        <v>6</v>
      </c>
      <c r="D469" s="33">
        <v>6</v>
      </c>
      <c r="E469" s="33">
        <v>6</v>
      </c>
      <c r="F469" s="33">
        <v>6</v>
      </c>
      <c r="G469" s="19">
        <f>'расчёт зарплаты'!K8</f>
        <v>28600</v>
      </c>
      <c r="H469" s="19">
        <f t="shared" si="290"/>
        <v>2059200</v>
      </c>
      <c r="I469" s="19"/>
      <c r="J469" s="19"/>
      <c r="K469" s="19"/>
      <c r="L469" s="19"/>
    </row>
    <row r="470" spans="1:12" ht="42" x14ac:dyDescent="0.3">
      <c r="A470" s="4"/>
      <c r="B470" s="5" t="s">
        <v>17</v>
      </c>
      <c r="C470" s="33">
        <v>2</v>
      </c>
      <c r="D470" s="33">
        <v>1</v>
      </c>
      <c r="E470" s="33">
        <v>0.5</v>
      </c>
      <c r="F470" s="33">
        <v>0</v>
      </c>
      <c r="G470" s="19">
        <f>'расчёт зарплаты'!K10</f>
        <v>28208</v>
      </c>
      <c r="H470" s="19">
        <f t="shared" si="290"/>
        <v>253872</v>
      </c>
      <c r="I470" s="19"/>
      <c r="J470" s="19"/>
      <c r="K470" s="19"/>
      <c r="L470" s="19"/>
    </row>
    <row r="471" spans="1:12" ht="28.2" x14ac:dyDescent="0.3">
      <c r="A471" s="4"/>
      <c r="B471" s="5" t="s">
        <v>18</v>
      </c>
      <c r="C471" s="33">
        <v>2</v>
      </c>
      <c r="D471" s="33">
        <v>2</v>
      </c>
      <c r="E471" s="33">
        <v>2</v>
      </c>
      <c r="F471" s="33">
        <v>2</v>
      </c>
      <c r="G471" s="19">
        <f>'расчёт зарплаты'!K20</f>
        <v>31648</v>
      </c>
      <c r="H471" s="19">
        <f t="shared" si="290"/>
        <v>759552</v>
      </c>
      <c r="I471" s="19"/>
      <c r="J471" s="19"/>
      <c r="K471" s="19"/>
      <c r="L471" s="19"/>
    </row>
    <row r="472" spans="1:12" ht="42" x14ac:dyDescent="0.3">
      <c r="A472" s="4"/>
      <c r="B472" s="5" t="s">
        <v>91</v>
      </c>
      <c r="C472" s="33">
        <v>1</v>
      </c>
      <c r="D472" s="33">
        <v>1</v>
      </c>
      <c r="E472" s="33">
        <v>1</v>
      </c>
      <c r="F472" s="33">
        <v>1</v>
      </c>
      <c r="G472" s="19">
        <f>'расчёт зарплаты'!K10</f>
        <v>28208</v>
      </c>
      <c r="H472" s="19">
        <f t="shared" si="290"/>
        <v>338496</v>
      </c>
      <c r="I472" s="19"/>
      <c r="J472" s="19"/>
      <c r="K472" s="19"/>
      <c r="L472" s="19"/>
    </row>
    <row r="473" spans="1:12" x14ac:dyDescent="0.3">
      <c r="A473" s="4"/>
      <c r="B473" s="5" t="s">
        <v>20</v>
      </c>
      <c r="C473" s="33"/>
      <c r="D473" s="33"/>
      <c r="E473" s="33"/>
      <c r="F473" s="33"/>
      <c r="G473" s="19"/>
      <c r="H473" s="19">
        <f t="shared" si="290"/>
        <v>0</v>
      </c>
      <c r="I473" s="19"/>
      <c r="J473" s="19"/>
      <c r="K473" s="19"/>
      <c r="L473" s="19"/>
    </row>
    <row r="474" spans="1:12" ht="39.6" x14ac:dyDescent="0.3">
      <c r="A474" s="4"/>
      <c r="B474" s="6" t="s">
        <v>21</v>
      </c>
      <c r="C474" s="33">
        <v>1</v>
      </c>
      <c r="D474" s="33">
        <v>1</v>
      </c>
      <c r="E474" s="33">
        <v>1</v>
      </c>
      <c r="F474" s="33">
        <v>1</v>
      </c>
      <c r="G474" s="19">
        <f>'расчёт зарплаты'!K44</f>
        <v>45056</v>
      </c>
      <c r="H474" s="19">
        <f t="shared" si="290"/>
        <v>540672</v>
      </c>
      <c r="I474" s="19"/>
      <c r="J474" s="19"/>
      <c r="K474" s="19"/>
      <c r="L474" s="19"/>
    </row>
    <row r="475" spans="1:12" x14ac:dyDescent="0.3">
      <c r="A475" s="4"/>
      <c r="B475" s="5" t="s">
        <v>22</v>
      </c>
      <c r="C475" s="33"/>
      <c r="D475" s="33"/>
      <c r="E475" s="33"/>
      <c r="F475" s="33"/>
      <c r="G475" s="19"/>
      <c r="H475" s="19">
        <f t="shared" ref="H475" si="291">E475*G475*12</f>
        <v>0</v>
      </c>
      <c r="I475" s="19"/>
      <c r="J475" s="19"/>
      <c r="K475" s="19"/>
      <c r="L475" s="19"/>
    </row>
    <row r="476" spans="1:12" x14ac:dyDescent="0.3">
      <c r="A476" s="38" t="s">
        <v>57</v>
      </c>
      <c r="B476" s="39"/>
      <c r="C476" s="41">
        <f>C477+C478+C479</f>
        <v>9</v>
      </c>
      <c r="D476" s="41">
        <f t="shared" ref="D476" si="292">D477+D478+D479</f>
        <v>9</v>
      </c>
      <c r="E476" s="41">
        <f t="shared" ref="E476" si="293">E477+E478+E479</f>
        <v>7.7</v>
      </c>
      <c r="F476" s="41">
        <f t="shared" ref="F476" si="294">F477+F478+F479</f>
        <v>7</v>
      </c>
      <c r="G476" s="41"/>
      <c r="H476" s="42">
        <f t="shared" ref="H476" si="295">H477+H478+H479</f>
        <v>2761516.8</v>
      </c>
      <c r="I476" s="42">
        <f t="shared" ref="I476" si="296">I477+I478+I479</f>
        <v>0</v>
      </c>
      <c r="J476" s="42">
        <f t="shared" ref="J476" si="297">J477+J478+J479</f>
        <v>0</v>
      </c>
      <c r="K476" s="42">
        <f t="shared" ref="K476" si="298">K477+K478+K479</f>
        <v>0</v>
      </c>
      <c r="L476" s="42">
        <f t="shared" ref="L476" si="299">L477+L478+L479</f>
        <v>0</v>
      </c>
    </row>
    <row r="477" spans="1:12" x14ac:dyDescent="0.3">
      <c r="A477" s="4"/>
      <c r="B477" s="5" t="s">
        <v>11</v>
      </c>
      <c r="C477" s="9">
        <v>3</v>
      </c>
      <c r="D477" s="9">
        <v>3</v>
      </c>
      <c r="E477" s="9">
        <v>3</v>
      </c>
      <c r="F477" s="9">
        <v>3</v>
      </c>
      <c r="G477" s="19">
        <f>'расчёт зарплаты'!K26</f>
        <v>27300</v>
      </c>
      <c r="H477" s="19">
        <f t="shared" ref="H477:H480" si="300">E477*G477*12+ ((D477-E477)*G477/2*12)</f>
        <v>982800</v>
      </c>
      <c r="I477" s="19"/>
      <c r="J477" s="19"/>
      <c r="K477" s="19"/>
      <c r="L477" s="19"/>
    </row>
    <row r="478" spans="1:12" x14ac:dyDescent="0.3">
      <c r="A478" s="4"/>
      <c r="B478" s="5" t="s">
        <v>12</v>
      </c>
      <c r="C478" s="9">
        <v>3</v>
      </c>
      <c r="D478" s="9">
        <v>3</v>
      </c>
      <c r="E478" s="9">
        <v>3</v>
      </c>
      <c r="F478" s="9">
        <v>3</v>
      </c>
      <c r="G478" s="19">
        <f>'расчёт зарплаты'!K26</f>
        <v>27300</v>
      </c>
      <c r="H478" s="19">
        <f t="shared" si="300"/>
        <v>982800</v>
      </c>
      <c r="I478" s="19"/>
      <c r="J478" s="19"/>
      <c r="K478" s="19"/>
      <c r="L478" s="19"/>
    </row>
    <row r="479" spans="1:12" ht="28.2" x14ac:dyDescent="0.3">
      <c r="A479" s="4"/>
      <c r="B479" s="5" t="s">
        <v>19</v>
      </c>
      <c r="C479" s="9">
        <v>3</v>
      </c>
      <c r="D479" s="9">
        <v>3</v>
      </c>
      <c r="E479" s="9">
        <v>1.7</v>
      </c>
      <c r="F479" s="9">
        <v>1</v>
      </c>
      <c r="G479" s="19">
        <f>'расчёт зарплаты'!K40</f>
        <v>28224</v>
      </c>
      <c r="H479" s="19">
        <f t="shared" si="300"/>
        <v>795916.80000000005</v>
      </c>
      <c r="I479" s="19"/>
      <c r="J479" s="19"/>
      <c r="K479" s="19"/>
      <c r="L479" s="19"/>
    </row>
    <row r="480" spans="1:12" x14ac:dyDescent="0.3">
      <c r="A480" s="135" t="s">
        <v>23</v>
      </c>
      <c r="B480" s="135"/>
      <c r="C480" s="7">
        <f t="shared" ref="C480:F480" si="301">C481+C487</f>
        <v>14.5</v>
      </c>
      <c r="D480" s="7">
        <f t="shared" si="301"/>
        <v>14.5</v>
      </c>
      <c r="E480" s="7">
        <f t="shared" si="301"/>
        <v>9</v>
      </c>
      <c r="F480" s="7">
        <f t="shared" si="301"/>
        <v>9</v>
      </c>
      <c r="G480" s="19"/>
      <c r="H480" s="19">
        <f t="shared" si="300"/>
        <v>0</v>
      </c>
      <c r="I480" s="19"/>
      <c r="J480" s="20">
        <f t="shared" ref="J480:K480" si="302">J481+J487</f>
        <v>3985404</v>
      </c>
      <c r="K480" s="20">
        <f t="shared" si="302"/>
        <v>1203592.0079999999</v>
      </c>
      <c r="L480" s="20">
        <f>L481+L487</f>
        <v>5188996.0080000004</v>
      </c>
    </row>
    <row r="481" spans="1:12" x14ac:dyDescent="0.3">
      <c r="A481" s="136" t="s">
        <v>24</v>
      </c>
      <c r="B481" s="136"/>
      <c r="C481" s="7">
        <f t="shared" ref="C481:F481" si="303">C482+C483+C484+C485+C486</f>
        <v>8.5</v>
      </c>
      <c r="D481" s="7">
        <f t="shared" si="303"/>
        <v>8.5</v>
      </c>
      <c r="E481" s="7">
        <f t="shared" si="303"/>
        <v>6</v>
      </c>
      <c r="F481" s="7">
        <f t="shared" si="303"/>
        <v>6</v>
      </c>
      <c r="G481" s="20"/>
      <c r="H481" s="20">
        <f>H482+H483+H484+H485+H486</f>
        <v>2375100</v>
      </c>
      <c r="I481" s="20">
        <f t="shared" ref="I481" si="304">I482+I483+I484+I485+I486</f>
        <v>0</v>
      </c>
      <c r="J481" s="20">
        <f>H481</f>
        <v>2375100</v>
      </c>
      <c r="K481" s="20">
        <f>J481*30.2%</f>
        <v>717280.2</v>
      </c>
      <c r="L481" s="20">
        <f>J481+K481</f>
        <v>3092380.2</v>
      </c>
    </row>
    <row r="482" spans="1:12" x14ac:dyDescent="0.3">
      <c r="A482" s="4"/>
      <c r="B482" s="5" t="s">
        <v>25</v>
      </c>
      <c r="C482" s="33"/>
      <c r="D482" s="33"/>
      <c r="E482" s="33"/>
      <c r="F482" s="33"/>
      <c r="G482" s="19"/>
      <c r="H482" s="19">
        <f t="shared" ref="H482:H486" si="305">E482*G482*12+ ((D482-E482)*G482/2*12)</f>
        <v>0</v>
      </c>
      <c r="I482" s="19"/>
      <c r="J482" s="19"/>
      <c r="K482" s="19"/>
      <c r="L482" s="19"/>
    </row>
    <row r="483" spans="1:12" x14ac:dyDescent="0.3">
      <c r="A483" s="4"/>
      <c r="B483" s="5" t="s">
        <v>26</v>
      </c>
      <c r="C483" s="33"/>
      <c r="D483" s="33"/>
      <c r="E483" s="33"/>
      <c r="F483" s="33"/>
      <c r="G483" s="19"/>
      <c r="H483" s="19">
        <f t="shared" si="305"/>
        <v>0</v>
      </c>
      <c r="I483" s="19"/>
      <c r="J483" s="19"/>
      <c r="K483" s="19"/>
      <c r="L483" s="19"/>
    </row>
    <row r="484" spans="1:12" x14ac:dyDescent="0.3">
      <c r="A484" s="4"/>
      <c r="B484" s="5" t="s">
        <v>27</v>
      </c>
      <c r="C484" s="33"/>
      <c r="D484" s="33"/>
      <c r="E484" s="33"/>
      <c r="F484" s="33"/>
      <c r="G484" s="19"/>
      <c r="H484" s="19">
        <f t="shared" si="305"/>
        <v>0</v>
      </c>
      <c r="I484" s="19"/>
      <c r="J484" s="19"/>
      <c r="K484" s="19"/>
      <c r="L484" s="19"/>
    </row>
    <row r="485" spans="1:12" ht="28.2" x14ac:dyDescent="0.3">
      <c r="A485" s="4"/>
      <c r="B485" s="5" t="s">
        <v>28</v>
      </c>
      <c r="C485" s="33">
        <v>3.5</v>
      </c>
      <c r="D485" s="33">
        <v>3.5</v>
      </c>
      <c r="E485" s="33">
        <v>3</v>
      </c>
      <c r="F485" s="33">
        <v>3</v>
      </c>
      <c r="G485" s="19">
        <f>'расчёт зарплаты'!K26</f>
        <v>27300</v>
      </c>
      <c r="H485" s="19">
        <f t="shared" si="305"/>
        <v>1064700</v>
      </c>
      <c r="I485" s="19"/>
      <c r="J485" s="19"/>
      <c r="K485" s="19"/>
      <c r="L485" s="19"/>
    </row>
    <row r="486" spans="1:12" x14ac:dyDescent="0.3">
      <c r="A486" s="4"/>
      <c r="B486" s="5" t="s">
        <v>29</v>
      </c>
      <c r="C486" s="33">
        <v>5</v>
      </c>
      <c r="D486" s="33">
        <v>5</v>
      </c>
      <c r="E486" s="33">
        <v>3</v>
      </c>
      <c r="F486" s="33">
        <v>3</v>
      </c>
      <c r="G486" s="19">
        <f>'расчёт зарплаты'!K26</f>
        <v>27300</v>
      </c>
      <c r="H486" s="19">
        <f t="shared" si="305"/>
        <v>1310400</v>
      </c>
      <c r="I486" s="19"/>
      <c r="J486" s="19"/>
      <c r="K486" s="19"/>
      <c r="L486" s="19"/>
    </row>
    <row r="487" spans="1:12" x14ac:dyDescent="0.3">
      <c r="A487" s="136" t="s">
        <v>30</v>
      </c>
      <c r="B487" s="136"/>
      <c r="C487" s="7">
        <f t="shared" ref="C487:F487" si="306">C488+C489+C490</f>
        <v>6</v>
      </c>
      <c r="D487" s="7">
        <f t="shared" si="306"/>
        <v>6</v>
      </c>
      <c r="E487" s="7">
        <f t="shared" si="306"/>
        <v>3</v>
      </c>
      <c r="F487" s="7">
        <f t="shared" si="306"/>
        <v>3</v>
      </c>
      <c r="G487" s="20"/>
      <c r="H487" s="20">
        <f>H488+H489+H490</f>
        <v>1610304</v>
      </c>
      <c r="I487" s="20">
        <f t="shared" ref="I487" si="307">I488+I489+I490</f>
        <v>0</v>
      </c>
      <c r="J487" s="20">
        <f>H487</f>
        <v>1610304</v>
      </c>
      <c r="K487" s="20">
        <f>J487*30.2%</f>
        <v>486311.80799999996</v>
      </c>
      <c r="L487" s="20">
        <f>J487+K487</f>
        <v>2096615.808</v>
      </c>
    </row>
    <row r="488" spans="1:12" x14ac:dyDescent="0.3">
      <c r="A488" s="4"/>
      <c r="B488" s="5" t="s">
        <v>31</v>
      </c>
      <c r="C488" s="33">
        <v>2</v>
      </c>
      <c r="D488" s="33">
        <v>2</v>
      </c>
      <c r="E488" s="33">
        <v>2</v>
      </c>
      <c r="F488" s="33">
        <v>2</v>
      </c>
      <c r="G488" s="19">
        <f>'расчёт зарплаты'!K34</f>
        <v>30976</v>
      </c>
      <c r="H488" s="19">
        <f t="shared" ref="H488:H490" si="308">E488*G488*12+ ((D488-E488)*G488/2*12)</f>
        <v>743424</v>
      </c>
      <c r="I488" s="19"/>
      <c r="J488" s="19"/>
      <c r="K488" s="19"/>
      <c r="L488" s="19"/>
    </row>
    <row r="489" spans="1:12" x14ac:dyDescent="0.3">
      <c r="A489" s="4"/>
      <c r="B489" s="5" t="s">
        <v>32</v>
      </c>
      <c r="C489" s="33">
        <v>1</v>
      </c>
      <c r="D489" s="33">
        <v>1</v>
      </c>
      <c r="E489" s="33">
        <v>0</v>
      </c>
      <c r="F489" s="33">
        <v>0</v>
      </c>
      <c r="G489" s="19">
        <f>'расчёт зарплаты'!K38</f>
        <v>28896</v>
      </c>
      <c r="H489" s="19">
        <f t="shared" si="308"/>
        <v>173376</v>
      </c>
      <c r="I489" s="19"/>
      <c r="J489" s="19"/>
      <c r="K489" s="19"/>
      <c r="L489" s="19"/>
    </row>
    <row r="490" spans="1:12" x14ac:dyDescent="0.3">
      <c r="A490" s="4"/>
      <c r="B490" s="5" t="s">
        <v>33</v>
      </c>
      <c r="C490" s="33">
        <v>3</v>
      </c>
      <c r="D490" s="33">
        <v>3</v>
      </c>
      <c r="E490" s="33">
        <v>1</v>
      </c>
      <c r="F490" s="33">
        <v>1</v>
      </c>
      <c r="G490" s="19">
        <f>'расчёт зарплаты'!K38</f>
        <v>28896</v>
      </c>
      <c r="H490" s="19">
        <f t="shared" si="308"/>
        <v>693504</v>
      </c>
      <c r="I490" s="19"/>
      <c r="J490" s="19"/>
      <c r="K490" s="19"/>
      <c r="L490" s="19"/>
    </row>
    <row r="491" spans="1:12" x14ac:dyDescent="0.3">
      <c r="A491" s="141" t="s">
        <v>75</v>
      </c>
      <c r="B491" s="141"/>
      <c r="C491" s="141"/>
      <c r="D491" s="141"/>
      <c r="E491" s="141"/>
      <c r="F491" s="141"/>
      <c r="G491" s="141"/>
      <c r="H491" s="141"/>
      <c r="I491" s="141"/>
      <c r="J491" s="141"/>
      <c r="K491" s="141"/>
      <c r="L491" s="141"/>
    </row>
    <row r="492" spans="1:12" ht="14.4" customHeight="1" x14ac:dyDescent="0.3">
      <c r="A492" s="133" t="s">
        <v>7</v>
      </c>
      <c r="B492" s="134"/>
      <c r="C492" s="8">
        <f>C493+C510+C506</f>
        <v>45.5</v>
      </c>
      <c r="D492" s="8">
        <f>D493+D510+D506</f>
        <v>45.5</v>
      </c>
      <c r="E492" s="8">
        <f>E493+E510+E506</f>
        <v>34.799999999999997</v>
      </c>
      <c r="F492" s="8">
        <f>F493+F510+F506</f>
        <v>39</v>
      </c>
      <c r="G492" s="19"/>
      <c r="H492" s="19"/>
      <c r="I492" s="19"/>
      <c r="J492" s="19"/>
      <c r="K492" s="19"/>
      <c r="L492" s="19"/>
    </row>
    <row r="493" spans="1:12" ht="14.4" customHeight="1" x14ac:dyDescent="0.3">
      <c r="A493" s="133" t="s">
        <v>89</v>
      </c>
      <c r="B493" s="134"/>
      <c r="C493" s="40">
        <f t="shared" ref="C493:F493" si="309">SUM(C494:C506)</f>
        <v>41</v>
      </c>
      <c r="D493" s="40">
        <f t="shared" si="309"/>
        <v>41</v>
      </c>
      <c r="E493" s="40">
        <f t="shared" si="309"/>
        <v>32.799999999999997</v>
      </c>
      <c r="F493" s="40">
        <f t="shared" si="309"/>
        <v>37</v>
      </c>
      <c r="G493" s="40"/>
      <c r="H493" s="40">
        <f>SUM(H494:H506)</f>
        <v>13125974.4</v>
      </c>
      <c r="I493" s="20"/>
      <c r="J493" s="20">
        <f>H493-I493</f>
        <v>13125974.4</v>
      </c>
      <c r="K493" s="20">
        <f>J493*30.2%</f>
        <v>3964044.2688000002</v>
      </c>
      <c r="L493" s="20">
        <f>J493+K493</f>
        <v>17090018.6688</v>
      </c>
    </row>
    <row r="494" spans="1:12" x14ac:dyDescent="0.3">
      <c r="A494" s="4"/>
      <c r="B494" s="5" t="s">
        <v>9</v>
      </c>
      <c r="C494" s="33">
        <v>16</v>
      </c>
      <c r="D494" s="33">
        <v>16</v>
      </c>
      <c r="E494" s="33">
        <v>11</v>
      </c>
      <c r="F494" s="33">
        <v>15</v>
      </c>
      <c r="G494" s="19">
        <f>'расчёт зарплаты'!K10</f>
        <v>28208</v>
      </c>
      <c r="H494" s="19">
        <f>E494*G494*12+ ((D494-E494)*G494/2*12)</f>
        <v>4569696</v>
      </c>
      <c r="I494" s="19"/>
      <c r="J494" s="19"/>
      <c r="K494" s="19"/>
      <c r="L494" s="19">
        <f>G494*K494*12</f>
        <v>0</v>
      </c>
    </row>
    <row r="495" spans="1:12" ht="28.2" x14ac:dyDescent="0.3">
      <c r="A495" s="4"/>
      <c r="B495" s="5" t="s">
        <v>81</v>
      </c>
      <c r="C495" s="33">
        <v>6</v>
      </c>
      <c r="D495" s="33">
        <v>6</v>
      </c>
      <c r="E495" s="33">
        <v>6</v>
      </c>
      <c r="F495" s="33">
        <v>6</v>
      </c>
      <c r="G495" s="19">
        <f>'расчёт зарплаты'!K12</f>
        <v>30960</v>
      </c>
      <c r="H495" s="19">
        <f>E495*G495*12+ ((D495-E495)*G495/2*12)</f>
        <v>2229120</v>
      </c>
      <c r="I495" s="19"/>
      <c r="J495" s="19"/>
      <c r="K495" s="19"/>
      <c r="L495" s="19"/>
    </row>
    <row r="496" spans="1:12" x14ac:dyDescent="0.3">
      <c r="A496" s="4"/>
      <c r="B496" s="5" t="s">
        <v>10</v>
      </c>
      <c r="C496" s="33"/>
      <c r="D496" s="33"/>
      <c r="E496" s="33"/>
      <c r="F496" s="33"/>
      <c r="G496" s="19"/>
      <c r="H496" s="19">
        <f t="shared" ref="H496:H505" si="310">E496*G496*12+ ((D496-E496)*G496/2*12)</f>
        <v>0</v>
      </c>
      <c r="I496" s="19"/>
      <c r="J496" s="19"/>
      <c r="K496" s="19"/>
      <c r="L496" s="19"/>
    </row>
    <row r="497" spans="1:12" x14ac:dyDescent="0.3">
      <c r="A497" s="4"/>
      <c r="B497" s="5" t="s">
        <v>13</v>
      </c>
      <c r="C497" s="33">
        <v>4</v>
      </c>
      <c r="D497" s="33">
        <v>4</v>
      </c>
      <c r="E497" s="33">
        <v>4</v>
      </c>
      <c r="F497" s="33">
        <v>4</v>
      </c>
      <c r="G497" s="19">
        <f>'расчёт зарплаты'!K38</f>
        <v>28896</v>
      </c>
      <c r="H497" s="19">
        <f t="shared" si="310"/>
        <v>1387008</v>
      </c>
      <c r="I497" s="19"/>
      <c r="J497" s="19"/>
      <c r="K497" s="19"/>
      <c r="L497" s="19"/>
    </row>
    <row r="498" spans="1:12" ht="28.2" x14ac:dyDescent="0.3">
      <c r="A498" s="4"/>
      <c r="B498" s="5" t="s">
        <v>14</v>
      </c>
      <c r="C498" s="33"/>
      <c r="D498" s="33"/>
      <c r="E498" s="33"/>
      <c r="F498" s="33"/>
      <c r="G498" s="19"/>
      <c r="H498" s="19">
        <f t="shared" si="310"/>
        <v>0</v>
      </c>
      <c r="I498" s="19"/>
      <c r="J498" s="19"/>
      <c r="K498" s="19"/>
      <c r="L498" s="19"/>
    </row>
    <row r="499" spans="1:12" x14ac:dyDescent="0.3">
      <c r="A499" s="4"/>
      <c r="B499" s="5" t="s">
        <v>15</v>
      </c>
      <c r="C499" s="33">
        <v>4</v>
      </c>
      <c r="D499" s="33">
        <v>4</v>
      </c>
      <c r="E499" s="33">
        <v>1.5</v>
      </c>
      <c r="F499" s="33">
        <v>2</v>
      </c>
      <c r="G499" s="19">
        <f>'расчёт зарплаты'!K34</f>
        <v>30976</v>
      </c>
      <c r="H499" s="19">
        <f t="shared" si="310"/>
        <v>1022208</v>
      </c>
      <c r="I499" s="19"/>
      <c r="J499" s="19"/>
      <c r="K499" s="19"/>
      <c r="L499" s="19"/>
    </row>
    <row r="500" spans="1:12" x14ac:dyDescent="0.3">
      <c r="A500" s="4"/>
      <c r="B500" s="5" t="s">
        <v>16</v>
      </c>
      <c r="C500" s="33">
        <v>6</v>
      </c>
      <c r="D500" s="33">
        <v>6</v>
      </c>
      <c r="E500" s="33">
        <v>6</v>
      </c>
      <c r="F500" s="33">
        <v>6</v>
      </c>
      <c r="G500" s="19">
        <f>'расчёт зарплаты'!K8</f>
        <v>28600</v>
      </c>
      <c r="H500" s="19">
        <f t="shared" si="310"/>
        <v>2059200</v>
      </c>
      <c r="I500" s="19"/>
      <c r="J500" s="19"/>
      <c r="K500" s="19"/>
      <c r="L500" s="19"/>
    </row>
    <row r="501" spans="1:12" ht="42" x14ac:dyDescent="0.3">
      <c r="A501" s="4"/>
      <c r="B501" s="5" t="s">
        <v>17</v>
      </c>
      <c r="C501" s="33">
        <v>2</v>
      </c>
      <c r="D501" s="33">
        <v>2</v>
      </c>
      <c r="E501" s="33">
        <v>1.3</v>
      </c>
      <c r="F501" s="33">
        <v>1</v>
      </c>
      <c r="G501" s="19">
        <f>'расчёт зарплаты'!K10</f>
        <v>28208</v>
      </c>
      <c r="H501" s="19">
        <f t="shared" si="310"/>
        <v>558518.4</v>
      </c>
      <c r="I501" s="19"/>
      <c r="J501" s="19"/>
      <c r="K501" s="19"/>
      <c r="L501" s="19"/>
    </row>
    <row r="502" spans="1:12" ht="28.2" x14ac:dyDescent="0.3">
      <c r="A502" s="4"/>
      <c r="B502" s="5" t="s">
        <v>18</v>
      </c>
      <c r="C502" s="33">
        <v>2</v>
      </c>
      <c r="D502" s="33">
        <v>2</v>
      </c>
      <c r="E502" s="33">
        <v>2</v>
      </c>
      <c r="F502" s="33">
        <v>2</v>
      </c>
      <c r="G502" s="19">
        <f>'расчёт зарплаты'!K20</f>
        <v>31648</v>
      </c>
      <c r="H502" s="19">
        <f t="shared" si="310"/>
        <v>759552</v>
      </c>
      <c r="I502" s="19"/>
      <c r="J502" s="19"/>
      <c r="K502" s="19"/>
      <c r="L502" s="19"/>
    </row>
    <row r="503" spans="1:12" ht="42" x14ac:dyDescent="0.3">
      <c r="A503" s="4"/>
      <c r="B503" s="5" t="s">
        <v>91</v>
      </c>
      <c r="C503" s="33"/>
      <c r="D503" s="33"/>
      <c r="E503" s="33"/>
      <c r="F503" s="33"/>
      <c r="G503" s="19"/>
      <c r="H503" s="19">
        <f t="shared" si="310"/>
        <v>0</v>
      </c>
      <c r="I503" s="19"/>
      <c r="J503" s="19"/>
      <c r="K503" s="19"/>
      <c r="L503" s="19"/>
    </row>
    <row r="504" spans="1:12" x14ac:dyDescent="0.3">
      <c r="A504" s="4"/>
      <c r="B504" s="5" t="s">
        <v>20</v>
      </c>
      <c r="C504" s="33"/>
      <c r="D504" s="33"/>
      <c r="E504" s="33"/>
      <c r="F504" s="33"/>
      <c r="G504" s="19"/>
      <c r="H504" s="19">
        <f t="shared" si="310"/>
        <v>0</v>
      </c>
      <c r="I504" s="19"/>
      <c r="J504" s="19"/>
      <c r="K504" s="19"/>
      <c r="L504" s="19"/>
    </row>
    <row r="505" spans="1:12" ht="39.6" x14ac:dyDescent="0.3">
      <c r="A505" s="4"/>
      <c r="B505" s="6" t="s">
        <v>21</v>
      </c>
      <c r="C505" s="33">
        <v>1</v>
      </c>
      <c r="D505" s="33">
        <v>1</v>
      </c>
      <c r="E505" s="33">
        <v>1</v>
      </c>
      <c r="F505" s="33">
        <v>1</v>
      </c>
      <c r="G505" s="19">
        <f>'расчёт зарплаты'!K44</f>
        <v>45056</v>
      </c>
      <c r="H505" s="19">
        <f t="shared" si="310"/>
        <v>540672</v>
      </c>
      <c r="I505" s="19"/>
      <c r="J505" s="19"/>
      <c r="K505" s="19"/>
      <c r="L505" s="19"/>
    </row>
    <row r="506" spans="1:12" x14ac:dyDescent="0.3">
      <c r="A506" s="4"/>
      <c r="B506" s="5" t="s">
        <v>22</v>
      </c>
      <c r="C506" s="33"/>
      <c r="D506" s="33"/>
      <c r="E506" s="33"/>
      <c r="F506" s="33"/>
      <c r="G506" s="19"/>
      <c r="H506" s="19">
        <f t="shared" ref="H506" si="311">E506*G506*12</f>
        <v>0</v>
      </c>
      <c r="I506" s="19"/>
      <c r="J506" s="19"/>
      <c r="K506" s="19"/>
      <c r="L506" s="19"/>
    </row>
    <row r="507" spans="1:12" x14ac:dyDescent="0.3">
      <c r="A507" s="38" t="s">
        <v>57</v>
      </c>
      <c r="B507" s="39"/>
      <c r="C507" s="41">
        <f>C508+C509+C510</f>
        <v>8.5</v>
      </c>
      <c r="D507" s="41">
        <f t="shared" ref="D507" si="312">D508+D509+D510</f>
        <v>8.5</v>
      </c>
      <c r="E507" s="41">
        <f t="shared" ref="E507" si="313">E508+E509+E510</f>
        <v>6</v>
      </c>
      <c r="F507" s="41">
        <f t="shared" ref="F507" si="314">F508+F509+F510</f>
        <v>6</v>
      </c>
      <c r="G507" s="41"/>
      <c r="H507" s="41">
        <f t="shared" ref="H507" si="315">H508+H509+H510</f>
        <v>2411136</v>
      </c>
      <c r="I507" s="42">
        <f t="shared" ref="I507" si="316">I508+I509+I510</f>
        <v>0</v>
      </c>
      <c r="J507" s="42">
        <f t="shared" ref="J507" si="317">J508+J509+J510</f>
        <v>0</v>
      </c>
      <c r="K507" s="42">
        <f t="shared" ref="K507" si="318">K508+K509+K510</f>
        <v>0</v>
      </c>
      <c r="L507" s="42">
        <f t="shared" ref="L507" si="319">L508+L509+L510</f>
        <v>0</v>
      </c>
    </row>
    <row r="508" spans="1:12" x14ac:dyDescent="0.3">
      <c r="A508" s="4"/>
      <c r="B508" s="5" t="s">
        <v>11</v>
      </c>
      <c r="C508" s="9">
        <v>2</v>
      </c>
      <c r="D508" s="9">
        <v>2</v>
      </c>
      <c r="E508" s="9">
        <v>2</v>
      </c>
      <c r="F508" s="9">
        <v>2</v>
      </c>
      <c r="G508" s="19">
        <f>'расчёт зарплаты'!K26</f>
        <v>27300</v>
      </c>
      <c r="H508" s="19">
        <f t="shared" ref="H508:H511" si="320">E508*G508*12+ ((D508-E508)*G508/2*12)</f>
        <v>655200</v>
      </c>
      <c r="I508" s="19"/>
      <c r="J508" s="19"/>
      <c r="K508" s="19"/>
      <c r="L508" s="19"/>
    </row>
    <row r="509" spans="1:12" x14ac:dyDescent="0.3">
      <c r="A509" s="4"/>
      <c r="B509" s="5" t="s">
        <v>12</v>
      </c>
      <c r="C509" s="9">
        <v>2</v>
      </c>
      <c r="D509" s="9">
        <v>2</v>
      </c>
      <c r="E509" s="9">
        <v>2</v>
      </c>
      <c r="F509" s="9">
        <v>2</v>
      </c>
      <c r="G509" s="19">
        <f>'расчёт зарплаты'!K26</f>
        <v>27300</v>
      </c>
      <c r="H509" s="19">
        <f t="shared" si="320"/>
        <v>655200</v>
      </c>
      <c r="I509" s="19"/>
      <c r="J509" s="19"/>
      <c r="K509" s="19"/>
      <c r="L509" s="19"/>
    </row>
    <row r="510" spans="1:12" ht="28.2" x14ac:dyDescent="0.3">
      <c r="A510" s="4"/>
      <c r="B510" s="5" t="s">
        <v>19</v>
      </c>
      <c r="C510" s="9">
        <v>4.5</v>
      </c>
      <c r="D510" s="9">
        <v>4.5</v>
      </c>
      <c r="E510" s="9">
        <v>2</v>
      </c>
      <c r="F510" s="9">
        <v>2</v>
      </c>
      <c r="G510" s="19">
        <f>'расчёт зарплаты'!K40</f>
        <v>28224</v>
      </c>
      <c r="H510" s="19">
        <f t="shared" si="320"/>
        <v>1100736</v>
      </c>
      <c r="I510" s="19"/>
      <c r="J510" s="19"/>
      <c r="K510" s="19"/>
      <c r="L510" s="19"/>
    </row>
    <row r="511" spans="1:12" x14ac:dyDescent="0.3">
      <c r="A511" s="135" t="s">
        <v>23</v>
      </c>
      <c r="B511" s="135"/>
      <c r="C511" s="7">
        <f t="shared" ref="C511:F511" si="321">C512+C518</f>
        <v>9</v>
      </c>
      <c r="D511" s="7">
        <f t="shared" si="321"/>
        <v>8.5</v>
      </c>
      <c r="E511" s="7">
        <f t="shared" si="321"/>
        <v>6</v>
      </c>
      <c r="F511" s="7">
        <f t="shared" si="321"/>
        <v>6</v>
      </c>
      <c r="G511" s="19"/>
      <c r="H511" s="19">
        <f t="shared" si="320"/>
        <v>0</v>
      </c>
      <c r="I511" s="19"/>
      <c r="J511" s="20">
        <f t="shared" ref="J511:K511" si="322">J512+J518</f>
        <v>2443152</v>
      </c>
      <c r="K511" s="20">
        <f t="shared" si="322"/>
        <v>737831.90399999998</v>
      </c>
      <c r="L511" s="20">
        <f>L512+L518</f>
        <v>3180983.9040000001</v>
      </c>
    </row>
    <row r="512" spans="1:12" x14ac:dyDescent="0.3">
      <c r="A512" s="136" t="s">
        <v>24</v>
      </c>
      <c r="B512" s="136"/>
      <c r="C512" s="7">
        <f t="shared" ref="C512:F512" si="323">C513+C514+C515+C516+C517</f>
        <v>6</v>
      </c>
      <c r="D512" s="7">
        <f t="shared" si="323"/>
        <v>6</v>
      </c>
      <c r="E512" s="7">
        <f t="shared" si="323"/>
        <v>4</v>
      </c>
      <c r="F512" s="7">
        <f t="shared" si="323"/>
        <v>4</v>
      </c>
      <c r="G512" s="20"/>
      <c r="H512" s="20">
        <f>H513+H514+H515+H516+H517</f>
        <v>1638000</v>
      </c>
      <c r="I512" s="20">
        <f t="shared" ref="I512" si="324">I513+I514+I515+I516+I517</f>
        <v>0</v>
      </c>
      <c r="J512" s="20">
        <f>H512</f>
        <v>1638000</v>
      </c>
      <c r="K512" s="20">
        <f>J512*30.2%</f>
        <v>494676</v>
      </c>
      <c r="L512" s="20">
        <f>J512+K512</f>
        <v>2132676</v>
      </c>
    </row>
    <row r="513" spans="1:12" x14ac:dyDescent="0.3">
      <c r="A513" s="4"/>
      <c r="B513" s="5" t="s">
        <v>25</v>
      </c>
      <c r="C513" s="33"/>
      <c r="D513" s="33"/>
      <c r="E513" s="33"/>
      <c r="F513" s="33"/>
      <c r="G513" s="19"/>
      <c r="H513" s="19">
        <f t="shared" ref="H513:H517" si="325">E513*G513*12+ ((D513-E513)*G513/2*12)</f>
        <v>0</v>
      </c>
      <c r="I513" s="19"/>
      <c r="J513" s="19"/>
      <c r="K513" s="19"/>
      <c r="L513" s="19"/>
    </row>
    <row r="514" spans="1:12" x14ac:dyDescent="0.3">
      <c r="A514" s="4"/>
      <c r="B514" s="5" t="s">
        <v>26</v>
      </c>
      <c r="C514" s="33"/>
      <c r="D514" s="33"/>
      <c r="E514" s="33"/>
      <c r="F514" s="33"/>
      <c r="G514" s="19"/>
      <c r="H514" s="19">
        <f t="shared" si="325"/>
        <v>0</v>
      </c>
      <c r="I514" s="19"/>
      <c r="J514" s="19"/>
      <c r="K514" s="19"/>
      <c r="L514" s="19"/>
    </row>
    <row r="515" spans="1:12" x14ac:dyDescent="0.3">
      <c r="A515" s="4"/>
      <c r="B515" s="5" t="s">
        <v>27</v>
      </c>
      <c r="C515" s="33"/>
      <c r="D515" s="33"/>
      <c r="E515" s="33"/>
      <c r="F515" s="33"/>
      <c r="G515" s="19"/>
      <c r="H515" s="19">
        <f t="shared" si="325"/>
        <v>0</v>
      </c>
      <c r="I515" s="19"/>
      <c r="J515" s="19"/>
      <c r="K515" s="19"/>
      <c r="L515" s="19"/>
    </row>
    <row r="516" spans="1:12" ht="28.2" x14ac:dyDescent="0.3">
      <c r="A516" s="4"/>
      <c r="B516" s="5" t="s">
        <v>28</v>
      </c>
      <c r="C516" s="33">
        <v>2.5</v>
      </c>
      <c r="D516" s="33">
        <v>2.5</v>
      </c>
      <c r="E516" s="33">
        <v>2</v>
      </c>
      <c r="F516" s="33">
        <v>2</v>
      </c>
      <c r="G516" s="19">
        <f>'расчёт зарплаты'!K26</f>
        <v>27300</v>
      </c>
      <c r="H516" s="19">
        <f t="shared" si="325"/>
        <v>737100</v>
      </c>
      <c r="I516" s="19"/>
      <c r="J516" s="19"/>
      <c r="K516" s="19"/>
      <c r="L516" s="19"/>
    </row>
    <row r="517" spans="1:12" x14ac:dyDescent="0.3">
      <c r="A517" s="4"/>
      <c r="B517" s="5" t="s">
        <v>29</v>
      </c>
      <c r="C517" s="33">
        <v>3.5</v>
      </c>
      <c r="D517" s="33">
        <v>3.5</v>
      </c>
      <c r="E517" s="33">
        <v>2</v>
      </c>
      <c r="F517" s="33">
        <v>2</v>
      </c>
      <c r="G517" s="19">
        <f>'расчёт зарплаты'!K26</f>
        <v>27300</v>
      </c>
      <c r="H517" s="19">
        <f t="shared" si="325"/>
        <v>900900</v>
      </c>
      <c r="I517" s="19"/>
      <c r="J517" s="19"/>
      <c r="K517" s="19"/>
      <c r="L517" s="19"/>
    </row>
    <row r="518" spans="1:12" x14ac:dyDescent="0.3">
      <c r="A518" s="136" t="s">
        <v>30</v>
      </c>
      <c r="B518" s="136"/>
      <c r="C518" s="7">
        <f t="shared" ref="C518:F518" si="326">C519+C520+C521</f>
        <v>3</v>
      </c>
      <c r="D518" s="7">
        <f t="shared" si="326"/>
        <v>2.5</v>
      </c>
      <c r="E518" s="7">
        <f t="shared" si="326"/>
        <v>2</v>
      </c>
      <c r="F518" s="7">
        <f t="shared" si="326"/>
        <v>2</v>
      </c>
      <c r="G518" s="20"/>
      <c r="H518" s="20">
        <f>H519+H520+H521</f>
        <v>805152</v>
      </c>
      <c r="I518" s="20">
        <f t="shared" ref="I518" si="327">I519+I520+I521</f>
        <v>0</v>
      </c>
      <c r="J518" s="20">
        <f>H518</f>
        <v>805152</v>
      </c>
      <c r="K518" s="20">
        <f>J518*30.2%</f>
        <v>243155.90399999998</v>
      </c>
      <c r="L518" s="20">
        <f>J518+K518</f>
        <v>1048307.904</v>
      </c>
    </row>
    <row r="519" spans="1:12" x14ac:dyDescent="0.3">
      <c r="A519" s="4"/>
      <c r="B519" s="5" t="s">
        <v>31</v>
      </c>
      <c r="C519" s="33">
        <v>1</v>
      </c>
      <c r="D519" s="33">
        <v>1</v>
      </c>
      <c r="E519" s="33">
        <v>1</v>
      </c>
      <c r="F519" s="33">
        <v>1</v>
      </c>
      <c r="G519" s="19">
        <f>'расчёт зарплаты'!K34</f>
        <v>30976</v>
      </c>
      <c r="H519" s="19">
        <f t="shared" ref="H519:H521" si="328">E519*G519*12+ ((D519-E519)*G519/2*12)</f>
        <v>371712</v>
      </c>
      <c r="I519" s="19"/>
      <c r="J519" s="19"/>
      <c r="K519" s="19"/>
      <c r="L519" s="19"/>
    </row>
    <row r="520" spans="1:12" x14ac:dyDescent="0.3">
      <c r="A520" s="4"/>
      <c r="B520" s="5" t="s">
        <v>32</v>
      </c>
      <c r="C520" s="33"/>
      <c r="D520" s="33"/>
      <c r="E520" s="33"/>
      <c r="F520" s="33"/>
      <c r="G520" s="19"/>
      <c r="H520" s="19">
        <f t="shared" si="328"/>
        <v>0</v>
      </c>
      <c r="I520" s="19"/>
      <c r="J520" s="19"/>
      <c r="K520" s="19"/>
      <c r="L520" s="19"/>
    </row>
    <row r="521" spans="1:12" x14ac:dyDescent="0.3">
      <c r="A521" s="4"/>
      <c r="B521" s="5" t="s">
        <v>33</v>
      </c>
      <c r="C521" s="33">
        <v>2</v>
      </c>
      <c r="D521" s="33">
        <v>1.5</v>
      </c>
      <c r="E521" s="33">
        <v>1</v>
      </c>
      <c r="F521" s="33">
        <v>1</v>
      </c>
      <c r="G521" s="19">
        <f>'расчёт зарплаты'!K38</f>
        <v>28896</v>
      </c>
      <c r="H521" s="19">
        <f t="shared" si="328"/>
        <v>433440</v>
      </c>
      <c r="I521" s="19"/>
      <c r="J521" s="19"/>
      <c r="K521" s="19"/>
      <c r="L521" s="19"/>
    </row>
    <row r="522" spans="1:12" x14ac:dyDescent="0.3">
      <c r="A522" s="141" t="s">
        <v>76</v>
      </c>
      <c r="B522" s="141"/>
      <c r="C522" s="141"/>
      <c r="D522" s="141"/>
      <c r="E522" s="141"/>
      <c r="F522" s="141"/>
      <c r="G522" s="141"/>
      <c r="H522" s="141"/>
      <c r="I522" s="141"/>
      <c r="J522" s="141"/>
      <c r="K522" s="141"/>
      <c r="L522" s="141"/>
    </row>
    <row r="523" spans="1:12" ht="14.4" customHeight="1" x14ac:dyDescent="0.3">
      <c r="A523" s="133" t="s">
        <v>7</v>
      </c>
      <c r="B523" s="134"/>
      <c r="C523" s="8">
        <f>C524+C541+C537</f>
        <v>147</v>
      </c>
      <c r="D523" s="8">
        <f>D524+D541+D537</f>
        <v>128</v>
      </c>
      <c r="E523" s="8">
        <f>E524+E541+E537</f>
        <v>102.3</v>
      </c>
      <c r="F523" s="8">
        <f>F524+F541+F537</f>
        <v>127.75</v>
      </c>
      <c r="G523" s="19"/>
      <c r="H523" s="19"/>
      <c r="I523" s="19"/>
      <c r="J523" s="19"/>
      <c r="K523" s="19"/>
      <c r="L523" s="19"/>
    </row>
    <row r="524" spans="1:12" ht="14.4" customHeight="1" x14ac:dyDescent="0.3">
      <c r="A524" s="133" t="s">
        <v>89</v>
      </c>
      <c r="B524" s="134"/>
      <c r="C524" s="40">
        <f t="shared" ref="C524:G524" si="329">SUM(C525:C537)</f>
        <v>134.5</v>
      </c>
      <c r="D524" s="40">
        <f t="shared" si="329"/>
        <v>119</v>
      </c>
      <c r="E524" s="40">
        <f t="shared" si="329"/>
        <v>94.3</v>
      </c>
      <c r="F524" s="40">
        <f t="shared" si="329"/>
        <v>118.75</v>
      </c>
      <c r="G524" s="40">
        <f t="shared" si="329"/>
        <v>249800</v>
      </c>
      <c r="H524" s="40">
        <f>SUM(H525:H537)</f>
        <v>36732470.399999999</v>
      </c>
      <c r="I524" s="20"/>
      <c r="J524" s="20">
        <f>H524-I524</f>
        <v>36732470.399999999</v>
      </c>
      <c r="K524" s="20">
        <f>J524*30.2%</f>
        <v>11093206.060799999</v>
      </c>
      <c r="L524" s="20">
        <f>J524+K524</f>
        <v>47825676.4608</v>
      </c>
    </row>
    <row r="525" spans="1:12" x14ac:dyDescent="0.3">
      <c r="A525" s="4"/>
      <c r="B525" s="5" t="s">
        <v>9</v>
      </c>
      <c r="C525" s="33">
        <v>82.25</v>
      </c>
      <c r="D525" s="33">
        <v>80</v>
      </c>
      <c r="E525" s="33">
        <v>61.3</v>
      </c>
      <c r="F525" s="33">
        <v>79.75</v>
      </c>
      <c r="G525" s="19">
        <f>'расчёт зарплаты'!K10</f>
        <v>28208</v>
      </c>
      <c r="H525" s="19">
        <f>E525*G525*12+ ((D525-E525)*G525/2*12)</f>
        <v>23914742.399999999</v>
      </c>
      <c r="I525" s="19"/>
      <c r="J525" s="19"/>
      <c r="K525" s="19"/>
      <c r="L525" s="19">
        <f>G525*K525*12</f>
        <v>0</v>
      </c>
    </row>
    <row r="526" spans="1:12" ht="28.2" x14ac:dyDescent="0.3">
      <c r="A526" s="4"/>
      <c r="B526" s="5" t="s">
        <v>81</v>
      </c>
      <c r="C526" s="33">
        <v>2.5</v>
      </c>
      <c r="D526" s="33">
        <v>2.5</v>
      </c>
      <c r="E526" s="33">
        <v>2.5</v>
      </c>
      <c r="F526" s="33">
        <v>2.5</v>
      </c>
      <c r="G526" s="19">
        <f>'расчёт зарплаты'!K10</f>
        <v>28208</v>
      </c>
      <c r="H526" s="19">
        <f>E526*G526*12+ ((D526-E526)*G526/2*12)</f>
        <v>846240</v>
      </c>
      <c r="I526" s="19"/>
      <c r="J526" s="19"/>
      <c r="K526" s="19"/>
      <c r="L526" s="19"/>
    </row>
    <row r="527" spans="1:12" x14ac:dyDescent="0.3">
      <c r="A527" s="4"/>
      <c r="B527" s="5" t="s">
        <v>10</v>
      </c>
      <c r="C527" s="33"/>
      <c r="D527" s="33"/>
      <c r="E527" s="33"/>
      <c r="F527" s="33"/>
      <c r="G527" s="19"/>
      <c r="H527" s="19">
        <f t="shared" ref="H527:H536" si="330">E527*G527*12+ ((D527-E527)*G527/2*12)</f>
        <v>0</v>
      </c>
      <c r="I527" s="19"/>
      <c r="J527" s="19"/>
      <c r="K527" s="19"/>
      <c r="L527" s="19"/>
    </row>
    <row r="528" spans="1:12" x14ac:dyDescent="0.3">
      <c r="A528" s="4"/>
      <c r="B528" s="5" t="s">
        <v>13</v>
      </c>
      <c r="C528" s="33">
        <v>13</v>
      </c>
      <c r="D528" s="33">
        <v>12</v>
      </c>
      <c r="E528" s="33">
        <v>6</v>
      </c>
      <c r="F528" s="33">
        <v>12</v>
      </c>
      <c r="G528" s="19">
        <f>'расчёт зарплаты'!K38</f>
        <v>28896</v>
      </c>
      <c r="H528" s="19">
        <f t="shared" si="330"/>
        <v>3120768</v>
      </c>
      <c r="I528" s="19"/>
      <c r="J528" s="19"/>
      <c r="K528" s="19"/>
      <c r="L528" s="19"/>
    </row>
    <row r="529" spans="1:12" ht="28.2" x14ac:dyDescent="0.3">
      <c r="A529" s="4"/>
      <c r="B529" s="5" t="s">
        <v>14</v>
      </c>
      <c r="C529" s="33"/>
      <c r="D529" s="33"/>
      <c r="E529" s="33"/>
      <c r="F529" s="33"/>
      <c r="G529" s="19"/>
      <c r="H529" s="19">
        <f t="shared" si="330"/>
        <v>0</v>
      </c>
      <c r="I529" s="19"/>
      <c r="J529" s="19"/>
      <c r="K529" s="19"/>
      <c r="L529" s="19"/>
    </row>
    <row r="530" spans="1:12" x14ac:dyDescent="0.3">
      <c r="A530" s="4"/>
      <c r="B530" s="5" t="s">
        <v>15</v>
      </c>
      <c r="C530" s="33">
        <v>17.5</v>
      </c>
      <c r="D530" s="33">
        <v>9</v>
      </c>
      <c r="E530" s="33">
        <v>9</v>
      </c>
      <c r="F530" s="33">
        <v>9</v>
      </c>
      <c r="G530" s="19">
        <f>'расчёт зарплаты'!K34</f>
        <v>30976</v>
      </c>
      <c r="H530" s="19">
        <f t="shared" si="330"/>
        <v>3345408</v>
      </c>
      <c r="I530" s="19"/>
      <c r="J530" s="19"/>
      <c r="K530" s="19"/>
      <c r="L530" s="19"/>
    </row>
    <row r="531" spans="1:12" x14ac:dyDescent="0.3">
      <c r="A531" s="4"/>
      <c r="B531" s="5" t="s">
        <v>16</v>
      </c>
      <c r="C531" s="33">
        <v>12</v>
      </c>
      <c r="D531" s="33">
        <v>12</v>
      </c>
      <c r="E531" s="33">
        <v>12</v>
      </c>
      <c r="F531" s="33">
        <v>12</v>
      </c>
      <c r="G531" s="19">
        <f>'расчёт зарплаты'!K8</f>
        <v>28600</v>
      </c>
      <c r="H531" s="19">
        <f t="shared" si="330"/>
        <v>4118400</v>
      </c>
      <c r="I531" s="19"/>
      <c r="J531" s="19"/>
      <c r="K531" s="19"/>
      <c r="L531" s="19"/>
    </row>
    <row r="532" spans="1:12" ht="42" x14ac:dyDescent="0.3">
      <c r="A532" s="4"/>
      <c r="B532" s="5" t="s">
        <v>17</v>
      </c>
      <c r="C532" s="33">
        <v>4</v>
      </c>
      <c r="D532" s="33">
        <v>2.5</v>
      </c>
      <c r="E532" s="33">
        <v>2.5</v>
      </c>
      <c r="F532" s="33">
        <v>2.5</v>
      </c>
      <c r="G532" s="19">
        <f>'расчёт зарплаты'!K10</f>
        <v>28208</v>
      </c>
      <c r="H532" s="19">
        <f t="shared" si="330"/>
        <v>846240</v>
      </c>
      <c r="I532" s="19"/>
      <c r="J532" s="19"/>
      <c r="K532" s="19"/>
      <c r="L532" s="19"/>
    </row>
    <row r="533" spans="1:12" ht="28.2" x14ac:dyDescent="0.3">
      <c r="A533" s="4"/>
      <c r="B533" s="5" t="s">
        <v>18</v>
      </c>
      <c r="C533" s="33">
        <v>2.25</v>
      </c>
      <c r="D533" s="33">
        <v>0</v>
      </c>
      <c r="E533" s="33">
        <v>0</v>
      </c>
      <c r="F533" s="33">
        <v>0</v>
      </c>
      <c r="G533" s="19">
        <f>'расчёт зарплаты'!K20</f>
        <v>31648</v>
      </c>
      <c r="H533" s="19">
        <f t="shared" si="330"/>
        <v>0</v>
      </c>
      <c r="I533" s="19"/>
      <c r="J533" s="19"/>
      <c r="K533" s="19"/>
      <c r="L533" s="19"/>
    </row>
    <row r="534" spans="1:12" ht="42" x14ac:dyDescent="0.3">
      <c r="A534" s="4"/>
      <c r="B534" s="5" t="s">
        <v>91</v>
      </c>
      <c r="C534" s="33"/>
      <c r="D534" s="33"/>
      <c r="E534" s="33"/>
      <c r="F534" s="33"/>
      <c r="G534" s="19"/>
      <c r="H534" s="19">
        <f t="shared" si="330"/>
        <v>0</v>
      </c>
      <c r="I534" s="19"/>
      <c r="J534" s="19"/>
      <c r="K534" s="19"/>
      <c r="L534" s="19"/>
    </row>
    <row r="535" spans="1:12" x14ac:dyDescent="0.3">
      <c r="A535" s="4"/>
      <c r="B535" s="5" t="s">
        <v>20</v>
      </c>
      <c r="C535" s="33"/>
      <c r="D535" s="33"/>
      <c r="E535" s="33"/>
      <c r="F535" s="33"/>
      <c r="G535" s="19"/>
      <c r="H535" s="19">
        <f t="shared" si="330"/>
        <v>0</v>
      </c>
      <c r="I535" s="19"/>
      <c r="J535" s="19"/>
      <c r="K535" s="19"/>
      <c r="L535" s="19"/>
    </row>
    <row r="536" spans="1:12" ht="39.6" x14ac:dyDescent="0.3">
      <c r="A536" s="4"/>
      <c r="B536" s="6" t="s">
        <v>21</v>
      </c>
      <c r="C536" s="33">
        <v>1</v>
      </c>
      <c r="D536" s="33">
        <v>1</v>
      </c>
      <c r="E536" s="33">
        <v>1</v>
      </c>
      <c r="F536" s="33">
        <v>1</v>
      </c>
      <c r="G536" s="19">
        <f>'расчёт зарплаты'!K44</f>
        <v>45056</v>
      </c>
      <c r="H536" s="19">
        <f t="shared" si="330"/>
        <v>540672</v>
      </c>
      <c r="I536" s="19"/>
      <c r="J536" s="19"/>
      <c r="K536" s="19"/>
      <c r="L536" s="19"/>
    </row>
    <row r="537" spans="1:12" x14ac:dyDescent="0.3">
      <c r="A537" s="4"/>
      <c r="B537" s="5" t="s">
        <v>22</v>
      </c>
      <c r="C537" s="33"/>
      <c r="D537" s="33"/>
      <c r="E537" s="33"/>
      <c r="F537" s="33"/>
      <c r="G537" s="19"/>
      <c r="H537" s="19">
        <f t="shared" ref="H537" si="331">E537*G537*12</f>
        <v>0</v>
      </c>
      <c r="I537" s="19"/>
      <c r="J537" s="19"/>
      <c r="K537" s="19"/>
      <c r="L537" s="19"/>
    </row>
    <row r="538" spans="1:12" x14ac:dyDescent="0.3">
      <c r="A538" s="38" t="s">
        <v>57</v>
      </c>
      <c r="B538" s="39"/>
      <c r="C538" s="41">
        <f>C539+C540+C541</f>
        <v>22</v>
      </c>
      <c r="D538" s="41">
        <f t="shared" ref="D538" si="332">D539+D540+D541</f>
        <v>14</v>
      </c>
      <c r="E538" s="41">
        <f t="shared" ref="E538" si="333">E539+E540+E541</f>
        <v>13</v>
      </c>
      <c r="F538" s="41">
        <f t="shared" ref="F538" si="334">F539+F540+F541</f>
        <v>14</v>
      </c>
      <c r="G538" s="41"/>
      <c r="H538" s="42">
        <f t="shared" ref="H538" si="335">H539+H540+H541</f>
        <v>4516848</v>
      </c>
      <c r="I538" s="42">
        <f t="shared" ref="I538" si="336">I539+I540+I541</f>
        <v>0</v>
      </c>
      <c r="J538" s="42">
        <f t="shared" ref="J538" si="337">J539+J540+J541</f>
        <v>0</v>
      </c>
      <c r="K538" s="42">
        <f t="shared" ref="K538" si="338">K539+K540+K541</f>
        <v>0</v>
      </c>
      <c r="L538" s="42">
        <f t="shared" ref="L538" si="339">L539+L540+L541</f>
        <v>0</v>
      </c>
    </row>
    <row r="539" spans="1:12" x14ac:dyDescent="0.3">
      <c r="A539" s="4"/>
      <c r="B539" s="5" t="s">
        <v>11</v>
      </c>
      <c r="C539" s="9">
        <v>4.5</v>
      </c>
      <c r="D539" s="9">
        <v>0</v>
      </c>
      <c r="E539" s="9">
        <v>0</v>
      </c>
      <c r="F539" s="9">
        <v>0</v>
      </c>
      <c r="G539" s="19">
        <f>'расчёт зарплаты'!K26</f>
        <v>27300</v>
      </c>
      <c r="H539" s="19">
        <f t="shared" ref="H539:H542" si="340">E539*G539*12+ ((D539-E539)*G539/2*12)</f>
        <v>0</v>
      </c>
      <c r="I539" s="19"/>
      <c r="J539" s="19"/>
      <c r="K539" s="19"/>
      <c r="L539" s="19"/>
    </row>
    <row r="540" spans="1:12" x14ac:dyDescent="0.3">
      <c r="A540" s="4"/>
      <c r="B540" s="5" t="s">
        <v>12</v>
      </c>
      <c r="C540" s="9">
        <v>5</v>
      </c>
      <c r="D540" s="9">
        <v>5</v>
      </c>
      <c r="E540" s="9">
        <v>5</v>
      </c>
      <c r="F540" s="9">
        <v>5</v>
      </c>
      <c r="G540" s="19">
        <f>'расчёт зарплаты'!K26</f>
        <v>27300</v>
      </c>
      <c r="H540" s="19">
        <f t="shared" si="340"/>
        <v>1638000</v>
      </c>
      <c r="I540" s="19"/>
      <c r="J540" s="19"/>
      <c r="K540" s="19"/>
      <c r="L540" s="19"/>
    </row>
    <row r="541" spans="1:12" ht="28.2" x14ac:dyDescent="0.3">
      <c r="A541" s="4"/>
      <c r="B541" s="5" t="s">
        <v>19</v>
      </c>
      <c r="C541" s="9">
        <v>12.5</v>
      </c>
      <c r="D541" s="9">
        <v>9</v>
      </c>
      <c r="E541" s="9">
        <v>8</v>
      </c>
      <c r="F541" s="9">
        <v>9</v>
      </c>
      <c r="G541" s="19">
        <f>'расчёт зарплаты'!K40</f>
        <v>28224</v>
      </c>
      <c r="H541" s="19">
        <f t="shared" si="340"/>
        <v>2878848</v>
      </c>
      <c r="I541" s="19"/>
      <c r="J541" s="19"/>
      <c r="K541" s="19"/>
      <c r="L541" s="19"/>
    </row>
    <row r="542" spans="1:12" x14ac:dyDescent="0.3">
      <c r="A542" s="135" t="s">
        <v>23</v>
      </c>
      <c r="B542" s="135"/>
      <c r="C542" s="7">
        <f t="shared" ref="C542:F542" si="341">C543+C549</f>
        <v>25.75</v>
      </c>
      <c r="D542" s="7">
        <f t="shared" si="341"/>
        <v>23.16</v>
      </c>
      <c r="E542" s="7">
        <f t="shared" si="341"/>
        <v>19.5</v>
      </c>
      <c r="F542" s="7">
        <f t="shared" si="341"/>
        <v>21</v>
      </c>
      <c r="G542" s="19"/>
      <c r="H542" s="19">
        <f t="shared" si="340"/>
        <v>0</v>
      </c>
      <c r="I542" s="19"/>
      <c r="J542" s="20">
        <f t="shared" ref="J542:K542" si="342">J543+J549</f>
        <v>7202460</v>
      </c>
      <c r="K542" s="20">
        <f t="shared" si="342"/>
        <v>2175142.92</v>
      </c>
      <c r="L542" s="20">
        <f>L543+L549</f>
        <v>9377602.9199999999</v>
      </c>
    </row>
    <row r="543" spans="1:12" x14ac:dyDescent="0.3">
      <c r="A543" s="136" t="s">
        <v>24</v>
      </c>
      <c r="B543" s="136"/>
      <c r="C543" s="7">
        <f t="shared" ref="C543:F543" si="343">C544+C545+C546+C547+C548</f>
        <v>18.75</v>
      </c>
      <c r="D543" s="7">
        <f t="shared" si="343"/>
        <v>16.16</v>
      </c>
      <c r="E543" s="7">
        <f t="shared" si="343"/>
        <v>14.5</v>
      </c>
      <c r="F543" s="7">
        <f t="shared" si="343"/>
        <v>16</v>
      </c>
      <c r="G543" s="20"/>
      <c r="H543" s="20">
        <f>H544+H545+H546+H547+H548</f>
        <v>5022108</v>
      </c>
      <c r="I543" s="20">
        <f t="shared" ref="I543" si="344">I544+I545+I546+I547+I548</f>
        <v>0</v>
      </c>
      <c r="J543" s="20">
        <f>H543</f>
        <v>5022108</v>
      </c>
      <c r="K543" s="20">
        <f>J543*30.2%</f>
        <v>1516676.6159999999</v>
      </c>
      <c r="L543" s="20">
        <f>J543+K543</f>
        <v>6538784.6160000004</v>
      </c>
    </row>
    <row r="544" spans="1:12" x14ac:dyDescent="0.3">
      <c r="A544" s="4"/>
      <c r="B544" s="5" t="s">
        <v>25</v>
      </c>
      <c r="C544" s="33"/>
      <c r="D544" s="33"/>
      <c r="E544" s="33"/>
      <c r="F544" s="33"/>
      <c r="G544" s="19"/>
      <c r="H544" s="19">
        <f t="shared" ref="H544:H548" si="345">E544*G544*12+ ((D544-E544)*G544/2*12)</f>
        <v>0</v>
      </c>
      <c r="I544" s="19"/>
      <c r="J544" s="19"/>
      <c r="K544" s="19"/>
      <c r="L544" s="19"/>
    </row>
    <row r="545" spans="1:12" x14ac:dyDescent="0.3">
      <c r="A545" s="4"/>
      <c r="B545" s="5" t="s">
        <v>26</v>
      </c>
      <c r="C545" s="33"/>
      <c r="D545" s="33"/>
      <c r="E545" s="33"/>
      <c r="F545" s="33"/>
      <c r="G545" s="19"/>
      <c r="H545" s="19">
        <f t="shared" si="345"/>
        <v>0</v>
      </c>
      <c r="I545" s="19"/>
      <c r="J545" s="19"/>
      <c r="K545" s="19"/>
      <c r="L545" s="19"/>
    </row>
    <row r="546" spans="1:12" x14ac:dyDescent="0.3">
      <c r="A546" s="4"/>
      <c r="B546" s="5" t="s">
        <v>27</v>
      </c>
      <c r="C546" s="33"/>
      <c r="D546" s="33"/>
      <c r="E546" s="33"/>
      <c r="F546" s="33"/>
      <c r="G546" s="19"/>
      <c r="H546" s="19">
        <f t="shared" si="345"/>
        <v>0</v>
      </c>
      <c r="I546" s="19"/>
      <c r="J546" s="19"/>
      <c r="K546" s="19"/>
      <c r="L546" s="19"/>
    </row>
    <row r="547" spans="1:12" ht="28.2" x14ac:dyDescent="0.3">
      <c r="A547" s="4"/>
      <c r="B547" s="5" t="s">
        <v>28</v>
      </c>
      <c r="C547" s="33">
        <v>7.75</v>
      </c>
      <c r="D547" s="33">
        <v>7</v>
      </c>
      <c r="E547" s="33">
        <v>7</v>
      </c>
      <c r="F547" s="33">
        <v>7</v>
      </c>
      <c r="G547" s="19">
        <f>'расчёт зарплаты'!K26</f>
        <v>27300</v>
      </c>
      <c r="H547" s="19">
        <f t="shared" si="345"/>
        <v>2293200</v>
      </c>
      <c r="I547" s="19"/>
      <c r="J547" s="19"/>
      <c r="K547" s="19"/>
      <c r="L547" s="19"/>
    </row>
    <row r="548" spans="1:12" x14ac:dyDescent="0.3">
      <c r="A548" s="4"/>
      <c r="B548" s="5" t="s">
        <v>29</v>
      </c>
      <c r="C548" s="33">
        <v>11</v>
      </c>
      <c r="D548" s="33">
        <v>9.16</v>
      </c>
      <c r="E548" s="33">
        <v>7.5</v>
      </c>
      <c r="F548" s="33">
        <v>9</v>
      </c>
      <c r="G548" s="19">
        <f>'расчёт зарплаты'!K26</f>
        <v>27300</v>
      </c>
      <c r="H548" s="19">
        <f t="shared" si="345"/>
        <v>2728908</v>
      </c>
      <c r="I548" s="19"/>
      <c r="J548" s="19"/>
      <c r="K548" s="19"/>
      <c r="L548" s="19"/>
    </row>
    <row r="549" spans="1:12" x14ac:dyDescent="0.3">
      <c r="A549" s="136" t="s">
        <v>30</v>
      </c>
      <c r="B549" s="136"/>
      <c r="C549" s="7">
        <f t="shared" ref="C549:F549" si="346">C550+C551+C552</f>
        <v>7</v>
      </c>
      <c r="D549" s="7">
        <f t="shared" si="346"/>
        <v>7</v>
      </c>
      <c r="E549" s="7">
        <f t="shared" si="346"/>
        <v>5</v>
      </c>
      <c r="F549" s="7">
        <f t="shared" si="346"/>
        <v>5</v>
      </c>
      <c r="G549" s="20"/>
      <c r="H549" s="20">
        <f>H550+H551+H552</f>
        <v>2180352</v>
      </c>
      <c r="I549" s="20">
        <f t="shared" ref="I549" si="347">I550+I551+I552</f>
        <v>0</v>
      </c>
      <c r="J549" s="20">
        <f>H549</f>
        <v>2180352</v>
      </c>
      <c r="K549" s="20">
        <f>J549*30.2%</f>
        <v>658466.304</v>
      </c>
      <c r="L549" s="20">
        <f>J549+K549</f>
        <v>2838818.304</v>
      </c>
    </row>
    <row r="550" spans="1:12" x14ac:dyDescent="0.3">
      <c r="A550" s="4"/>
      <c r="B550" s="5" t="s">
        <v>31</v>
      </c>
      <c r="C550" s="33">
        <v>4</v>
      </c>
      <c r="D550" s="33">
        <v>4</v>
      </c>
      <c r="E550" s="33">
        <v>4</v>
      </c>
      <c r="F550" s="33">
        <v>4</v>
      </c>
      <c r="G550" s="19">
        <f>'расчёт зарплаты'!K34</f>
        <v>30976</v>
      </c>
      <c r="H550" s="19">
        <f t="shared" ref="H550:H552" si="348">E550*G550*12+ ((D550-E550)*G550/2*12)</f>
        <v>1486848</v>
      </c>
      <c r="I550" s="19"/>
      <c r="J550" s="19"/>
      <c r="K550" s="19"/>
      <c r="L550" s="19"/>
    </row>
    <row r="551" spans="1:12" x14ac:dyDescent="0.3">
      <c r="A551" s="4"/>
      <c r="B551" s="5" t="s">
        <v>32</v>
      </c>
      <c r="C551" s="33"/>
      <c r="D551" s="33"/>
      <c r="E551" s="33"/>
      <c r="F551" s="33"/>
      <c r="G551" s="19"/>
      <c r="H551" s="19">
        <f t="shared" si="348"/>
        <v>0</v>
      </c>
      <c r="I551" s="19"/>
      <c r="J551" s="19"/>
      <c r="K551" s="19"/>
      <c r="L551" s="19"/>
    </row>
    <row r="552" spans="1:12" x14ac:dyDescent="0.3">
      <c r="A552" s="4"/>
      <c r="B552" s="5" t="s">
        <v>33</v>
      </c>
      <c r="C552" s="33">
        <v>3</v>
      </c>
      <c r="D552" s="33">
        <v>3</v>
      </c>
      <c r="E552" s="33">
        <v>1</v>
      </c>
      <c r="F552" s="33">
        <v>1</v>
      </c>
      <c r="G552" s="19">
        <f>'расчёт зарплаты'!K38</f>
        <v>28896</v>
      </c>
      <c r="H552" s="19">
        <f t="shared" si="348"/>
        <v>693504</v>
      </c>
      <c r="I552" s="19"/>
      <c r="J552" s="19"/>
      <c r="K552" s="19"/>
      <c r="L552" s="19"/>
    </row>
    <row r="553" spans="1:12" x14ac:dyDescent="0.3">
      <c r="A553" s="141" t="s">
        <v>77</v>
      </c>
      <c r="B553" s="141"/>
      <c r="C553" s="141"/>
      <c r="D553" s="141"/>
      <c r="E553" s="141"/>
      <c r="F553" s="141"/>
      <c r="G553" s="141"/>
      <c r="H553" s="141"/>
      <c r="I553" s="141"/>
      <c r="J553" s="141"/>
      <c r="K553" s="141"/>
      <c r="L553" s="141"/>
    </row>
    <row r="554" spans="1:12" ht="14.4" customHeight="1" x14ac:dyDescent="0.3">
      <c r="A554" s="133" t="s">
        <v>7</v>
      </c>
      <c r="B554" s="134"/>
      <c r="C554" s="8">
        <f>C555+C572+C568</f>
        <v>42.5</v>
      </c>
      <c r="D554" s="8">
        <f>D555+D572+D568</f>
        <v>42.5</v>
      </c>
      <c r="E554" s="8">
        <f>E555+E572+E568</f>
        <v>37.799999999999997</v>
      </c>
      <c r="F554" s="8">
        <f>F555+F572+F568</f>
        <v>40</v>
      </c>
      <c r="G554" s="19"/>
      <c r="H554" s="19"/>
      <c r="I554" s="19"/>
      <c r="J554" s="19"/>
      <c r="K554" s="19"/>
      <c r="L554" s="19"/>
    </row>
    <row r="555" spans="1:12" ht="14.4" customHeight="1" x14ac:dyDescent="0.3">
      <c r="A555" s="133" t="s">
        <v>89</v>
      </c>
      <c r="B555" s="134"/>
      <c r="C555" s="8">
        <f>SUM(C556:C567)</f>
        <v>30</v>
      </c>
      <c r="D555" s="8">
        <f t="shared" ref="D555:H555" si="349">SUM(D556:D567)</f>
        <v>30</v>
      </c>
      <c r="E555" s="8">
        <f t="shared" si="349"/>
        <v>28.799999999999997</v>
      </c>
      <c r="F555" s="8">
        <f t="shared" si="349"/>
        <v>30</v>
      </c>
      <c r="G555" s="8"/>
      <c r="H555" s="8">
        <f t="shared" si="349"/>
        <v>10144329.6</v>
      </c>
      <c r="I555" s="20"/>
      <c r="J555" s="20">
        <f>H555-I555</f>
        <v>10144329.6</v>
      </c>
      <c r="K555" s="20">
        <f>J555*30.2%</f>
        <v>3063587.5392</v>
      </c>
      <c r="L555" s="20">
        <f>J555+K555</f>
        <v>13207917.1392</v>
      </c>
    </row>
    <row r="556" spans="1:12" x14ac:dyDescent="0.3">
      <c r="A556" s="4"/>
      <c r="B556" s="5" t="s">
        <v>9</v>
      </c>
      <c r="C556" s="33">
        <v>16</v>
      </c>
      <c r="D556" s="33">
        <v>16</v>
      </c>
      <c r="E556" s="33">
        <v>15.9</v>
      </c>
      <c r="F556" s="33">
        <v>16</v>
      </c>
      <c r="G556" s="19">
        <f>'расчёт зарплаты'!K10</f>
        <v>28208</v>
      </c>
      <c r="H556" s="19">
        <f>E556*G556*12+ ((D556-E556)*G556/2*12)</f>
        <v>5399011.2000000002</v>
      </c>
      <c r="I556" s="19"/>
      <c r="J556" s="19"/>
      <c r="K556" s="19"/>
      <c r="L556" s="19">
        <f>G556*K556*12</f>
        <v>0</v>
      </c>
    </row>
    <row r="557" spans="1:12" x14ac:dyDescent="0.3">
      <c r="A557" s="4"/>
      <c r="B557" s="5" t="s">
        <v>10</v>
      </c>
      <c r="C557" s="33"/>
      <c r="D557" s="33"/>
      <c r="E557" s="33"/>
      <c r="F557" s="33"/>
      <c r="G557" s="19"/>
      <c r="H557" s="19">
        <f t="shared" ref="H557:H566" si="350">E557*G557*12+ ((D557-E557)*G557/2*12)</f>
        <v>0</v>
      </c>
      <c r="I557" s="19"/>
      <c r="J557" s="19"/>
      <c r="K557" s="19"/>
      <c r="L557" s="19"/>
    </row>
    <row r="558" spans="1:12" x14ac:dyDescent="0.3">
      <c r="A558" s="4"/>
      <c r="B558" s="5" t="s">
        <v>13</v>
      </c>
      <c r="C558" s="33">
        <v>2</v>
      </c>
      <c r="D558" s="33">
        <v>2</v>
      </c>
      <c r="E558" s="33">
        <v>2</v>
      </c>
      <c r="F558" s="33">
        <v>2</v>
      </c>
      <c r="G558" s="19">
        <f>'расчёт зарплаты'!K38</f>
        <v>28896</v>
      </c>
      <c r="H558" s="19">
        <f t="shared" si="350"/>
        <v>693504</v>
      </c>
      <c r="I558" s="19"/>
      <c r="J558" s="19"/>
      <c r="K558" s="19"/>
      <c r="L558" s="19"/>
    </row>
    <row r="559" spans="1:12" ht="28.2" x14ac:dyDescent="0.3">
      <c r="A559" s="4"/>
      <c r="B559" s="5" t="s">
        <v>14</v>
      </c>
      <c r="C559" s="33"/>
      <c r="D559" s="33"/>
      <c r="E559" s="33"/>
      <c r="F559" s="33"/>
      <c r="G559" s="19"/>
      <c r="H559" s="19">
        <f t="shared" si="350"/>
        <v>0</v>
      </c>
      <c r="I559" s="19"/>
      <c r="J559" s="19"/>
      <c r="K559" s="19"/>
      <c r="L559" s="19"/>
    </row>
    <row r="560" spans="1:12" x14ac:dyDescent="0.3">
      <c r="A560" s="4"/>
      <c r="B560" s="5" t="s">
        <v>15</v>
      </c>
      <c r="C560" s="33">
        <v>5</v>
      </c>
      <c r="D560" s="33">
        <v>5</v>
      </c>
      <c r="E560" s="33">
        <v>3.9</v>
      </c>
      <c r="F560" s="33">
        <v>5</v>
      </c>
      <c r="G560" s="19">
        <f>'расчёт зарплаты'!K34</f>
        <v>30976</v>
      </c>
      <c r="H560" s="19">
        <f t="shared" si="350"/>
        <v>1654118.3999999999</v>
      </c>
      <c r="I560" s="19"/>
      <c r="J560" s="19"/>
      <c r="K560" s="19"/>
      <c r="L560" s="19"/>
    </row>
    <row r="561" spans="1:12" x14ac:dyDescent="0.3">
      <c r="A561" s="4"/>
      <c r="B561" s="5" t="s">
        <v>16</v>
      </c>
      <c r="C561" s="33">
        <v>6</v>
      </c>
      <c r="D561" s="33">
        <v>6</v>
      </c>
      <c r="E561" s="33">
        <v>6</v>
      </c>
      <c r="F561" s="33">
        <v>6</v>
      </c>
      <c r="G561" s="19">
        <f>'расчёт зарплаты'!K8</f>
        <v>28600</v>
      </c>
      <c r="H561" s="19">
        <f t="shared" si="350"/>
        <v>2059200</v>
      </c>
      <c r="I561" s="19"/>
      <c r="J561" s="19"/>
      <c r="K561" s="19"/>
      <c r="L561" s="19"/>
    </row>
    <row r="562" spans="1:12" ht="42" x14ac:dyDescent="0.3">
      <c r="A562" s="4"/>
      <c r="B562" s="5" t="s">
        <v>17</v>
      </c>
      <c r="C562" s="33">
        <v>1</v>
      </c>
      <c r="D562" s="33">
        <v>1</v>
      </c>
      <c r="E562" s="33">
        <v>1</v>
      </c>
      <c r="F562" s="33">
        <v>1</v>
      </c>
      <c r="G562" s="19">
        <f>'расчёт зарплаты'!K10</f>
        <v>28208</v>
      </c>
      <c r="H562" s="19">
        <f t="shared" si="350"/>
        <v>338496</v>
      </c>
      <c r="I562" s="19"/>
      <c r="J562" s="19"/>
      <c r="K562" s="19"/>
      <c r="L562" s="19"/>
    </row>
    <row r="563" spans="1:12" ht="28.2" x14ac:dyDescent="0.3">
      <c r="A563" s="4"/>
      <c r="B563" s="5" t="s">
        <v>18</v>
      </c>
      <c r="C563" s="33"/>
      <c r="D563" s="33"/>
      <c r="E563" s="33"/>
      <c r="F563" s="33"/>
      <c r="G563" s="19"/>
      <c r="H563" s="19">
        <f t="shared" si="350"/>
        <v>0</v>
      </c>
      <c r="I563" s="19"/>
      <c r="J563" s="19"/>
      <c r="K563" s="19"/>
      <c r="L563" s="19"/>
    </row>
    <row r="564" spans="1:12" ht="42" x14ac:dyDescent="0.3">
      <c r="A564" s="4"/>
      <c r="B564" s="5" t="s">
        <v>91</v>
      </c>
      <c r="C564" s="33"/>
      <c r="D564" s="33"/>
      <c r="E564" s="33"/>
      <c r="F564" s="33"/>
      <c r="G564" s="19"/>
      <c r="H564" s="19">
        <f t="shared" si="350"/>
        <v>0</v>
      </c>
      <c r="I564" s="19"/>
      <c r="J564" s="19"/>
      <c r="K564" s="19"/>
      <c r="L564" s="19"/>
    </row>
    <row r="565" spans="1:12" x14ac:dyDescent="0.3">
      <c r="A565" s="4"/>
      <c r="B565" s="5" t="s">
        <v>20</v>
      </c>
      <c r="C565" s="33"/>
      <c r="D565" s="33"/>
      <c r="E565" s="33"/>
      <c r="F565" s="33"/>
      <c r="G565" s="19"/>
      <c r="H565" s="19">
        <f t="shared" si="350"/>
        <v>0</v>
      </c>
      <c r="I565" s="19"/>
      <c r="J565" s="19"/>
      <c r="K565" s="19"/>
      <c r="L565" s="19"/>
    </row>
    <row r="566" spans="1:12" ht="39.6" x14ac:dyDescent="0.3">
      <c r="A566" s="4"/>
      <c r="B566" s="6" t="s">
        <v>21</v>
      </c>
      <c r="C566" s="33"/>
      <c r="D566" s="33"/>
      <c r="E566" s="33"/>
      <c r="F566" s="33"/>
      <c r="G566" s="19"/>
      <c r="H566" s="19">
        <f t="shared" si="350"/>
        <v>0</v>
      </c>
      <c r="I566" s="19"/>
      <c r="J566" s="19"/>
      <c r="K566" s="19"/>
      <c r="L566" s="19"/>
    </row>
    <row r="567" spans="1:12" x14ac:dyDescent="0.3">
      <c r="A567" s="4"/>
      <c r="B567" s="5" t="s">
        <v>22</v>
      </c>
      <c r="C567" s="33"/>
      <c r="D567" s="33"/>
      <c r="E567" s="33"/>
      <c r="F567" s="33"/>
      <c r="G567" s="19"/>
      <c r="H567" s="19">
        <f t="shared" ref="H567" si="351">E567*G567*12</f>
        <v>0</v>
      </c>
      <c r="I567" s="19"/>
      <c r="J567" s="19"/>
      <c r="K567" s="19"/>
      <c r="L567" s="19"/>
    </row>
    <row r="568" spans="1:12" x14ac:dyDescent="0.3">
      <c r="A568" s="38" t="s">
        <v>57</v>
      </c>
      <c r="B568" s="39"/>
      <c r="C568" s="41">
        <f>C569+C570+C571</f>
        <v>6</v>
      </c>
      <c r="D568" s="41">
        <f t="shared" ref="D568" si="352">D569+D570+D571</f>
        <v>6</v>
      </c>
      <c r="E568" s="41">
        <f t="shared" ref="E568" si="353">E569+E570+E571</f>
        <v>4</v>
      </c>
      <c r="F568" s="41">
        <f t="shared" ref="F568" si="354">F569+F570+F571</f>
        <v>5</v>
      </c>
      <c r="G568" s="41"/>
      <c r="H568" s="42">
        <f t="shared" ref="H568" si="355">H569+H570+H571</f>
        <v>1671264</v>
      </c>
      <c r="I568" s="42">
        <f t="shared" ref="I568" si="356">I569+I570+I571</f>
        <v>0</v>
      </c>
      <c r="J568" s="42">
        <f t="shared" ref="J568" si="357">J569+J570+J571</f>
        <v>0</v>
      </c>
      <c r="K568" s="42">
        <f t="shared" ref="K568" si="358">K569+K570+K571</f>
        <v>0</v>
      </c>
      <c r="L568" s="42">
        <f t="shared" ref="L568" si="359">L569+L570+L571</f>
        <v>0</v>
      </c>
    </row>
    <row r="569" spans="1:12" x14ac:dyDescent="0.3">
      <c r="A569" s="4"/>
      <c r="B569" s="5" t="s">
        <v>11</v>
      </c>
      <c r="C569" s="9">
        <v>1</v>
      </c>
      <c r="D569" s="9">
        <v>1</v>
      </c>
      <c r="E569" s="9">
        <v>1</v>
      </c>
      <c r="F569" s="9">
        <v>1</v>
      </c>
      <c r="G569" s="19">
        <f>'расчёт зарплаты'!K26</f>
        <v>27300</v>
      </c>
      <c r="H569" s="19">
        <f t="shared" ref="H569:H572" si="360">E569*G569*12+ ((D569-E569)*G569/2*12)</f>
        <v>327600</v>
      </c>
      <c r="I569" s="19"/>
      <c r="J569" s="19"/>
      <c r="K569" s="19"/>
      <c r="L569" s="19"/>
    </row>
    <row r="570" spans="1:12" x14ac:dyDescent="0.3">
      <c r="A570" s="4"/>
      <c r="B570" s="5" t="s">
        <v>12</v>
      </c>
      <c r="C570" s="9">
        <v>1</v>
      </c>
      <c r="D570" s="9">
        <v>1</v>
      </c>
      <c r="E570" s="9">
        <v>1</v>
      </c>
      <c r="F570" s="9">
        <v>1</v>
      </c>
      <c r="G570" s="19">
        <f>'расчёт зарплаты'!K26</f>
        <v>27300</v>
      </c>
      <c r="H570" s="19">
        <f t="shared" si="360"/>
        <v>327600</v>
      </c>
      <c r="I570" s="19"/>
      <c r="J570" s="19"/>
      <c r="K570" s="19"/>
      <c r="L570" s="19"/>
    </row>
    <row r="571" spans="1:12" ht="28.2" x14ac:dyDescent="0.3">
      <c r="A571" s="4"/>
      <c r="B571" s="5" t="s">
        <v>19</v>
      </c>
      <c r="C571" s="9">
        <v>4</v>
      </c>
      <c r="D571" s="9">
        <v>4</v>
      </c>
      <c r="E571" s="9">
        <v>2</v>
      </c>
      <c r="F571" s="9">
        <v>3</v>
      </c>
      <c r="G571" s="19">
        <f>'расчёт зарплаты'!K40</f>
        <v>28224</v>
      </c>
      <c r="H571" s="19">
        <f t="shared" si="360"/>
        <v>1016064</v>
      </c>
      <c r="I571" s="19"/>
      <c r="J571" s="19"/>
      <c r="K571" s="19"/>
      <c r="L571" s="19"/>
    </row>
    <row r="572" spans="1:12" x14ac:dyDescent="0.3">
      <c r="A572" s="135" t="s">
        <v>23</v>
      </c>
      <c r="B572" s="135"/>
      <c r="C572" s="7">
        <f t="shared" ref="C572:F572" si="361">C573+C579</f>
        <v>6.5</v>
      </c>
      <c r="D572" s="7">
        <f t="shared" si="361"/>
        <v>6.5</v>
      </c>
      <c r="E572" s="7">
        <f t="shared" si="361"/>
        <v>5</v>
      </c>
      <c r="F572" s="7">
        <f t="shared" si="361"/>
        <v>5</v>
      </c>
      <c r="G572" s="19"/>
      <c r="H572" s="19">
        <f t="shared" si="360"/>
        <v>0</v>
      </c>
      <c r="I572" s="19"/>
      <c r="J572" s="20">
        <f t="shared" ref="J572:K572" si="362">J573+J579</f>
        <v>1951752</v>
      </c>
      <c r="K572" s="20">
        <f t="shared" si="362"/>
        <v>589429.10400000005</v>
      </c>
      <c r="L572" s="20">
        <f>L573+L579</f>
        <v>2541181.1039999998</v>
      </c>
    </row>
    <row r="573" spans="1:12" x14ac:dyDescent="0.3">
      <c r="A573" s="136" t="s">
        <v>24</v>
      </c>
      <c r="B573" s="136"/>
      <c r="C573" s="7">
        <f t="shared" ref="C573:F573" si="363">C574+C575+C576+C577+C578</f>
        <v>4</v>
      </c>
      <c r="D573" s="7">
        <f t="shared" si="363"/>
        <v>4</v>
      </c>
      <c r="E573" s="7">
        <f t="shared" si="363"/>
        <v>3</v>
      </c>
      <c r="F573" s="7">
        <f t="shared" si="363"/>
        <v>3</v>
      </c>
      <c r="G573" s="20"/>
      <c r="H573" s="20">
        <f>H574+H575+H576+H577+H578</f>
        <v>1146600</v>
      </c>
      <c r="I573" s="20">
        <f t="shared" ref="I573" si="364">I574+I575+I576+I577+I578</f>
        <v>0</v>
      </c>
      <c r="J573" s="20">
        <f>H573</f>
        <v>1146600</v>
      </c>
      <c r="K573" s="20">
        <f>J573*30.2%</f>
        <v>346273.2</v>
      </c>
      <c r="L573" s="20">
        <f>J573+K573</f>
        <v>1492873.2</v>
      </c>
    </row>
    <row r="574" spans="1:12" x14ac:dyDescent="0.3">
      <c r="A574" s="4"/>
      <c r="B574" s="5" t="s">
        <v>25</v>
      </c>
      <c r="C574" s="33"/>
      <c r="D574" s="33"/>
      <c r="E574" s="33"/>
      <c r="F574" s="33"/>
      <c r="G574" s="19"/>
      <c r="H574" s="19">
        <f t="shared" ref="H574:H578" si="365">E574*G574*12+ ((D574-E574)*G574/2*12)</f>
        <v>0</v>
      </c>
      <c r="I574" s="19"/>
      <c r="J574" s="19"/>
      <c r="K574" s="19"/>
      <c r="L574" s="19"/>
    </row>
    <row r="575" spans="1:12" x14ac:dyDescent="0.3">
      <c r="A575" s="4"/>
      <c r="B575" s="5" t="s">
        <v>26</v>
      </c>
      <c r="C575" s="33"/>
      <c r="D575" s="33"/>
      <c r="E575" s="33"/>
      <c r="F575" s="33"/>
      <c r="G575" s="19"/>
      <c r="H575" s="19">
        <f t="shared" si="365"/>
        <v>0</v>
      </c>
      <c r="I575" s="19"/>
      <c r="J575" s="19"/>
      <c r="K575" s="19"/>
      <c r="L575" s="19"/>
    </row>
    <row r="576" spans="1:12" x14ac:dyDescent="0.3">
      <c r="A576" s="4"/>
      <c r="B576" s="5" t="s">
        <v>27</v>
      </c>
      <c r="C576" s="33"/>
      <c r="D576" s="33"/>
      <c r="E576" s="33"/>
      <c r="F576" s="33"/>
      <c r="G576" s="19"/>
      <c r="H576" s="19">
        <f t="shared" si="365"/>
        <v>0</v>
      </c>
      <c r="I576" s="19"/>
      <c r="J576" s="19"/>
      <c r="K576" s="19"/>
      <c r="L576" s="19"/>
    </row>
    <row r="577" spans="1:12" ht="28.2" x14ac:dyDescent="0.3">
      <c r="A577" s="4"/>
      <c r="B577" s="5" t="s">
        <v>28</v>
      </c>
      <c r="C577" s="33">
        <v>2</v>
      </c>
      <c r="D577" s="33">
        <v>2</v>
      </c>
      <c r="E577" s="33">
        <v>1</v>
      </c>
      <c r="F577" s="33">
        <v>1</v>
      </c>
      <c r="G577" s="19">
        <f>'расчёт зарплаты'!K26</f>
        <v>27300</v>
      </c>
      <c r="H577" s="19">
        <f t="shared" si="365"/>
        <v>491400</v>
      </c>
      <c r="I577" s="19"/>
      <c r="J577" s="19"/>
      <c r="K577" s="19"/>
      <c r="L577" s="19"/>
    </row>
    <row r="578" spans="1:12" x14ac:dyDescent="0.3">
      <c r="A578" s="4"/>
      <c r="B578" s="5" t="s">
        <v>29</v>
      </c>
      <c r="C578" s="33">
        <v>2</v>
      </c>
      <c r="D578" s="33">
        <v>2</v>
      </c>
      <c r="E578" s="33">
        <v>2</v>
      </c>
      <c r="F578" s="33">
        <v>2</v>
      </c>
      <c r="G578" s="19">
        <f>'расчёт зарплаты'!K26</f>
        <v>27300</v>
      </c>
      <c r="H578" s="19">
        <f t="shared" si="365"/>
        <v>655200</v>
      </c>
      <c r="I578" s="19"/>
      <c r="J578" s="19"/>
      <c r="K578" s="19"/>
      <c r="L578" s="19"/>
    </row>
    <row r="579" spans="1:12" x14ac:dyDescent="0.3">
      <c r="A579" s="136" t="s">
        <v>30</v>
      </c>
      <c r="B579" s="136"/>
      <c r="C579" s="7">
        <f t="shared" ref="C579:F579" si="366">C580+C581+C582</f>
        <v>2.5</v>
      </c>
      <c r="D579" s="7">
        <f t="shared" si="366"/>
        <v>2.5</v>
      </c>
      <c r="E579" s="7">
        <f t="shared" si="366"/>
        <v>2</v>
      </c>
      <c r="F579" s="7">
        <f t="shared" si="366"/>
        <v>2</v>
      </c>
      <c r="G579" s="20"/>
      <c r="H579" s="20">
        <f>H580+H581+H582</f>
        <v>805152</v>
      </c>
      <c r="I579" s="20">
        <f t="shared" ref="I579" si="367">I580+I581+I582</f>
        <v>0</v>
      </c>
      <c r="J579" s="20">
        <f>H579</f>
        <v>805152</v>
      </c>
      <c r="K579" s="20">
        <f>J579*30.2%</f>
        <v>243155.90399999998</v>
      </c>
      <c r="L579" s="20">
        <f>J579+K579</f>
        <v>1048307.904</v>
      </c>
    </row>
    <row r="580" spans="1:12" x14ac:dyDescent="0.3">
      <c r="A580" s="4"/>
      <c r="B580" s="5" t="s">
        <v>31</v>
      </c>
      <c r="C580" s="33">
        <v>1</v>
      </c>
      <c r="D580" s="33">
        <v>1</v>
      </c>
      <c r="E580" s="33">
        <v>1</v>
      </c>
      <c r="F580" s="33">
        <v>1</v>
      </c>
      <c r="G580" s="19">
        <f>'расчёт зарплаты'!K34</f>
        <v>30976</v>
      </c>
      <c r="H580" s="19">
        <f t="shared" ref="H580:H582" si="368">E580*G580*12+ ((D580-E580)*G580/2*12)</f>
        <v>371712</v>
      </c>
      <c r="I580" s="19"/>
      <c r="J580" s="19"/>
      <c r="K580" s="19"/>
      <c r="L580" s="19"/>
    </row>
    <row r="581" spans="1:12" x14ac:dyDescent="0.3">
      <c r="A581" s="4"/>
      <c r="B581" s="5" t="s">
        <v>32</v>
      </c>
      <c r="C581" s="33"/>
      <c r="D581" s="33"/>
      <c r="E581" s="33"/>
      <c r="F581" s="33"/>
      <c r="G581" s="19"/>
      <c r="H581" s="19">
        <f t="shared" si="368"/>
        <v>0</v>
      </c>
      <c r="I581" s="19"/>
      <c r="J581" s="19"/>
      <c r="K581" s="19"/>
      <c r="L581" s="19"/>
    </row>
    <row r="582" spans="1:12" x14ac:dyDescent="0.3">
      <c r="A582" s="4"/>
      <c r="B582" s="5" t="s">
        <v>33</v>
      </c>
      <c r="C582" s="33">
        <v>1.5</v>
      </c>
      <c r="D582" s="33">
        <v>1.5</v>
      </c>
      <c r="E582" s="33">
        <v>1</v>
      </c>
      <c r="F582" s="33">
        <v>1</v>
      </c>
      <c r="G582" s="19">
        <f>'расчёт зарплаты'!K38</f>
        <v>28896</v>
      </c>
      <c r="H582" s="19">
        <f t="shared" si="368"/>
        <v>433440</v>
      </c>
      <c r="I582" s="19"/>
      <c r="J582" s="19"/>
      <c r="K582" s="19"/>
      <c r="L582" s="19"/>
    </row>
    <row r="583" spans="1:12" x14ac:dyDescent="0.3">
      <c r="A583" s="141" t="s">
        <v>78</v>
      </c>
      <c r="B583" s="141"/>
      <c r="C583" s="141"/>
      <c r="D583" s="141"/>
      <c r="E583" s="141"/>
      <c r="F583" s="141"/>
      <c r="G583" s="141"/>
      <c r="H583" s="141"/>
      <c r="I583" s="141"/>
      <c r="J583" s="141"/>
      <c r="K583" s="141"/>
      <c r="L583" s="141"/>
    </row>
    <row r="584" spans="1:12" ht="14.4" customHeight="1" x14ac:dyDescent="0.3">
      <c r="A584" s="133" t="s">
        <v>7</v>
      </c>
      <c r="B584" s="134"/>
      <c r="C584" s="8">
        <f>C585+C602+C598</f>
        <v>19.75</v>
      </c>
      <c r="D584" s="8">
        <f>D585+D602+D598</f>
        <v>19.75</v>
      </c>
      <c r="E584" s="8">
        <f>E585+E602+E598</f>
        <v>19</v>
      </c>
      <c r="F584" s="8">
        <f>F585+F602+F598</f>
        <v>19</v>
      </c>
      <c r="G584" s="19"/>
      <c r="H584" s="19"/>
      <c r="I584" s="19"/>
      <c r="J584" s="19"/>
      <c r="K584" s="19"/>
      <c r="L584" s="19"/>
    </row>
    <row r="585" spans="1:12" ht="14.4" customHeight="1" x14ac:dyDescent="0.3">
      <c r="A585" s="133" t="s">
        <v>89</v>
      </c>
      <c r="B585" s="134"/>
      <c r="C585" s="8">
        <f>SUM(C586:C597)</f>
        <v>15</v>
      </c>
      <c r="D585" s="8">
        <f>SUM(D586:D597)</f>
        <v>15</v>
      </c>
      <c r="E585" s="8">
        <f>SUM(E586:E597)</f>
        <v>15</v>
      </c>
      <c r="F585" s="8">
        <f>SUM(F586:F597)</f>
        <v>15</v>
      </c>
      <c r="G585" s="8"/>
      <c r="H585" s="40">
        <f>SUM(H586:H597)</f>
        <v>5199456</v>
      </c>
      <c r="I585" s="20"/>
      <c r="J585" s="20">
        <f>H585-I585</f>
        <v>5199456</v>
      </c>
      <c r="K585" s="20">
        <f>J585*30.2%</f>
        <v>1570235.7120000001</v>
      </c>
      <c r="L585" s="20">
        <f>J585+K585</f>
        <v>6769691.7120000003</v>
      </c>
    </row>
    <row r="586" spans="1:12" x14ac:dyDescent="0.3">
      <c r="A586" s="4"/>
      <c r="B586" s="5" t="s">
        <v>9</v>
      </c>
      <c r="C586" s="33">
        <v>7</v>
      </c>
      <c r="D586" s="33">
        <v>7</v>
      </c>
      <c r="E586" s="33">
        <v>7</v>
      </c>
      <c r="F586" s="33">
        <v>7</v>
      </c>
      <c r="G586" s="19">
        <f>'расчёт зарплаты'!K10</f>
        <v>28208</v>
      </c>
      <c r="H586" s="19">
        <f>E586*G586*12+ ((D586-E586)*G586/2*12)</f>
        <v>2369472</v>
      </c>
      <c r="I586" s="19"/>
      <c r="J586" s="19"/>
      <c r="K586" s="19"/>
      <c r="L586" s="19">
        <f>G586*K586*12</f>
        <v>0</v>
      </c>
    </row>
    <row r="587" spans="1:12" x14ac:dyDescent="0.3">
      <c r="A587" s="4"/>
      <c r="B587" s="5" t="s">
        <v>10</v>
      </c>
      <c r="C587" s="33"/>
      <c r="D587" s="33"/>
      <c r="E587" s="33"/>
      <c r="F587" s="33"/>
      <c r="G587" s="19"/>
      <c r="H587" s="19">
        <f t="shared" ref="H587:H596" si="369">E587*G587*12+ ((D587-E587)*G587/2*12)</f>
        <v>0</v>
      </c>
      <c r="I587" s="19"/>
      <c r="J587" s="19"/>
      <c r="K587" s="19"/>
      <c r="L587" s="19"/>
    </row>
    <row r="588" spans="1:12" x14ac:dyDescent="0.3">
      <c r="A588" s="4"/>
      <c r="B588" s="5" t="s">
        <v>13</v>
      </c>
      <c r="C588" s="33">
        <v>1</v>
      </c>
      <c r="D588" s="33">
        <v>1</v>
      </c>
      <c r="E588" s="33">
        <v>1</v>
      </c>
      <c r="F588" s="33">
        <v>1</v>
      </c>
      <c r="G588" s="19">
        <f>'расчёт зарплаты'!K38</f>
        <v>28896</v>
      </c>
      <c r="H588" s="19">
        <f t="shared" si="369"/>
        <v>346752</v>
      </c>
      <c r="I588" s="19"/>
      <c r="J588" s="19"/>
      <c r="K588" s="19"/>
      <c r="L588" s="19"/>
    </row>
    <row r="589" spans="1:12" ht="28.2" x14ac:dyDescent="0.3">
      <c r="A589" s="4"/>
      <c r="B589" s="5" t="s">
        <v>14</v>
      </c>
      <c r="C589" s="33"/>
      <c r="D589" s="33"/>
      <c r="E589" s="33"/>
      <c r="F589" s="33"/>
      <c r="G589" s="19"/>
      <c r="H589" s="19">
        <f t="shared" si="369"/>
        <v>0</v>
      </c>
      <c r="I589" s="19"/>
      <c r="J589" s="19"/>
      <c r="K589" s="19"/>
      <c r="L589" s="19"/>
    </row>
    <row r="590" spans="1:12" x14ac:dyDescent="0.3">
      <c r="A590" s="4"/>
      <c r="B590" s="5" t="s">
        <v>15</v>
      </c>
      <c r="C590" s="33">
        <v>2</v>
      </c>
      <c r="D590" s="33">
        <v>2</v>
      </c>
      <c r="E590" s="33">
        <v>2</v>
      </c>
      <c r="F590" s="33">
        <v>2</v>
      </c>
      <c r="G590" s="19">
        <f>'расчёт зарплаты'!K34</f>
        <v>30976</v>
      </c>
      <c r="H590" s="19">
        <f t="shared" si="369"/>
        <v>743424</v>
      </c>
      <c r="I590" s="19"/>
      <c r="J590" s="19"/>
      <c r="K590" s="19"/>
      <c r="L590" s="19"/>
    </row>
    <row r="591" spans="1:12" x14ac:dyDescent="0.3">
      <c r="A591" s="4"/>
      <c r="B591" s="5" t="s">
        <v>16</v>
      </c>
      <c r="C591" s="33">
        <v>3</v>
      </c>
      <c r="D591" s="33">
        <v>3</v>
      </c>
      <c r="E591" s="33">
        <v>3</v>
      </c>
      <c r="F591" s="33">
        <v>3</v>
      </c>
      <c r="G591" s="19">
        <f>'расчёт зарплаты'!K8</f>
        <v>28600</v>
      </c>
      <c r="H591" s="19">
        <f t="shared" si="369"/>
        <v>1029600</v>
      </c>
      <c r="I591" s="19"/>
      <c r="J591" s="19"/>
      <c r="K591" s="19"/>
      <c r="L591" s="19"/>
    </row>
    <row r="592" spans="1:12" ht="42" x14ac:dyDescent="0.3">
      <c r="A592" s="4"/>
      <c r="B592" s="5" t="s">
        <v>17</v>
      </c>
      <c r="C592" s="33">
        <v>1</v>
      </c>
      <c r="D592" s="33">
        <v>1</v>
      </c>
      <c r="E592" s="33">
        <v>1</v>
      </c>
      <c r="F592" s="33">
        <v>1</v>
      </c>
      <c r="G592" s="19">
        <f>'расчёт зарплаты'!K10</f>
        <v>28208</v>
      </c>
      <c r="H592" s="19">
        <f t="shared" si="369"/>
        <v>338496</v>
      </c>
      <c r="I592" s="19"/>
      <c r="J592" s="19"/>
      <c r="K592" s="19"/>
      <c r="L592" s="19"/>
    </row>
    <row r="593" spans="1:12" ht="28.2" x14ac:dyDescent="0.3">
      <c r="A593" s="4"/>
      <c r="B593" s="5" t="s">
        <v>18</v>
      </c>
      <c r="C593" s="33"/>
      <c r="D593" s="33"/>
      <c r="E593" s="33"/>
      <c r="F593" s="33"/>
      <c r="G593" s="19"/>
      <c r="H593" s="19">
        <f t="shared" si="369"/>
        <v>0</v>
      </c>
      <c r="I593" s="19"/>
      <c r="J593" s="19"/>
      <c r="K593" s="19"/>
      <c r="L593" s="19"/>
    </row>
    <row r="594" spans="1:12" ht="42" x14ac:dyDescent="0.3">
      <c r="A594" s="4"/>
      <c r="B594" s="5" t="s">
        <v>91</v>
      </c>
      <c r="C594" s="33"/>
      <c r="D594" s="33"/>
      <c r="E594" s="33"/>
      <c r="F594" s="33"/>
      <c r="G594" s="19"/>
      <c r="H594" s="19">
        <f t="shared" si="369"/>
        <v>0</v>
      </c>
      <c r="I594" s="19"/>
      <c r="J594" s="19"/>
      <c r="K594" s="19"/>
      <c r="L594" s="19"/>
    </row>
    <row r="595" spans="1:12" x14ac:dyDescent="0.3">
      <c r="A595" s="4"/>
      <c r="B595" s="5" t="s">
        <v>20</v>
      </c>
      <c r="C595" s="33">
        <v>1</v>
      </c>
      <c r="D595" s="33">
        <v>1</v>
      </c>
      <c r="E595" s="33">
        <v>1</v>
      </c>
      <c r="F595" s="33">
        <v>1</v>
      </c>
      <c r="G595" s="19">
        <f>'расчёт зарплаты'!K34</f>
        <v>30976</v>
      </c>
      <c r="H595" s="19">
        <f t="shared" si="369"/>
        <v>371712</v>
      </c>
      <c r="I595" s="19"/>
      <c r="J595" s="19"/>
      <c r="K595" s="19"/>
      <c r="L595" s="19"/>
    </row>
    <row r="596" spans="1:12" ht="39.6" x14ac:dyDescent="0.3">
      <c r="A596" s="4"/>
      <c r="B596" s="6" t="s">
        <v>21</v>
      </c>
      <c r="C596" s="33"/>
      <c r="D596" s="33"/>
      <c r="E596" s="33"/>
      <c r="F596" s="33"/>
      <c r="G596" s="19"/>
      <c r="H596" s="19">
        <f t="shared" si="369"/>
        <v>0</v>
      </c>
      <c r="I596" s="19"/>
      <c r="J596" s="19"/>
      <c r="K596" s="19"/>
      <c r="L596" s="19"/>
    </row>
    <row r="597" spans="1:12" x14ac:dyDescent="0.3">
      <c r="A597" s="4"/>
      <c r="B597" s="5" t="s">
        <v>22</v>
      </c>
      <c r="C597" s="33"/>
      <c r="D597" s="33"/>
      <c r="E597" s="33"/>
      <c r="F597" s="33"/>
      <c r="G597" s="19"/>
      <c r="H597" s="19">
        <f t="shared" ref="H597" si="370">E597*G597*12</f>
        <v>0</v>
      </c>
      <c r="I597" s="19"/>
      <c r="J597" s="19"/>
      <c r="K597" s="19"/>
      <c r="L597" s="19"/>
    </row>
    <row r="598" spans="1:12" x14ac:dyDescent="0.3">
      <c r="A598" s="38" t="s">
        <v>57</v>
      </c>
      <c r="B598" s="39"/>
      <c r="C598" s="41">
        <f>C599+C600+C601</f>
        <v>1.5</v>
      </c>
      <c r="D598" s="41">
        <f t="shared" ref="D598" si="371">D599+D600+D601</f>
        <v>1.5</v>
      </c>
      <c r="E598" s="41">
        <f t="shared" ref="E598" si="372">E599+E600+E601</f>
        <v>1</v>
      </c>
      <c r="F598" s="41">
        <f t="shared" ref="F598" si="373">F599+F600+F601</f>
        <v>1</v>
      </c>
      <c r="G598" s="41"/>
      <c r="H598" s="41">
        <f t="shared" ref="H598" si="374">H599+H600+H601</f>
        <v>420588</v>
      </c>
      <c r="I598" s="42">
        <f t="shared" ref="I598" si="375">I599+I600+I601</f>
        <v>0</v>
      </c>
      <c r="J598" s="42">
        <f t="shared" ref="J598" si="376">J599+J600+J601</f>
        <v>0</v>
      </c>
      <c r="K598" s="42">
        <f t="shared" ref="K598" si="377">K599+K600+K601</f>
        <v>0</v>
      </c>
      <c r="L598" s="42">
        <f t="shared" ref="L598" si="378">L599+L600+L601</f>
        <v>0</v>
      </c>
    </row>
    <row r="599" spans="1:12" x14ac:dyDescent="0.3">
      <c r="A599" s="4"/>
      <c r="B599" s="5" t="s">
        <v>11</v>
      </c>
      <c r="C599" s="9">
        <v>0.5</v>
      </c>
      <c r="D599" s="9">
        <v>0.5</v>
      </c>
      <c r="E599" s="9">
        <v>0</v>
      </c>
      <c r="F599" s="9">
        <v>0</v>
      </c>
      <c r="G599" s="19">
        <f>'расчёт зарплаты'!K26</f>
        <v>27300</v>
      </c>
      <c r="H599" s="19">
        <f t="shared" ref="H599:H602" si="379">E599*G599*12+ ((D599-E599)*G599/2*12)</f>
        <v>81900</v>
      </c>
      <c r="I599" s="19"/>
      <c r="J599" s="19"/>
      <c r="K599" s="19"/>
      <c r="L599" s="19"/>
    </row>
    <row r="600" spans="1:12" x14ac:dyDescent="0.3">
      <c r="A600" s="4"/>
      <c r="B600" s="5" t="s">
        <v>12</v>
      </c>
      <c r="C600" s="9"/>
      <c r="D600" s="9"/>
      <c r="E600" s="9"/>
      <c r="F600" s="9"/>
      <c r="G600" s="19"/>
      <c r="H600" s="19">
        <f t="shared" si="379"/>
        <v>0</v>
      </c>
      <c r="I600" s="19"/>
      <c r="J600" s="19"/>
      <c r="K600" s="19"/>
      <c r="L600" s="19"/>
    </row>
    <row r="601" spans="1:12" ht="28.2" x14ac:dyDescent="0.3">
      <c r="A601" s="4"/>
      <c r="B601" s="5" t="s">
        <v>19</v>
      </c>
      <c r="C601" s="9">
        <v>1</v>
      </c>
      <c r="D601" s="9">
        <v>1</v>
      </c>
      <c r="E601" s="9">
        <v>1</v>
      </c>
      <c r="F601" s="9">
        <v>1</v>
      </c>
      <c r="G601" s="19">
        <f>'расчёт зарплаты'!K40</f>
        <v>28224</v>
      </c>
      <c r="H601" s="19">
        <f t="shared" si="379"/>
        <v>338688</v>
      </c>
      <c r="I601" s="19"/>
      <c r="J601" s="19"/>
      <c r="K601" s="19"/>
      <c r="L601" s="19"/>
    </row>
    <row r="602" spans="1:12" x14ac:dyDescent="0.3">
      <c r="A602" s="135" t="s">
        <v>23</v>
      </c>
      <c r="B602" s="135"/>
      <c r="C602" s="7">
        <f t="shared" ref="C602:F602" si="380">C603+C609</f>
        <v>3.25</v>
      </c>
      <c r="D602" s="7">
        <f t="shared" si="380"/>
        <v>3.25</v>
      </c>
      <c r="E602" s="7">
        <f t="shared" si="380"/>
        <v>3</v>
      </c>
      <c r="F602" s="7">
        <f t="shared" si="380"/>
        <v>3</v>
      </c>
      <c r="G602" s="19"/>
      <c r="H602" s="19">
        <f t="shared" si="379"/>
        <v>0</v>
      </c>
      <c r="I602" s="19"/>
      <c r="J602" s="20">
        <f t="shared" ref="J602:K602" si="381">J603+J609</f>
        <v>1072650</v>
      </c>
      <c r="K602" s="20">
        <f t="shared" si="381"/>
        <v>323940.3</v>
      </c>
      <c r="L602" s="20">
        <f>L603+L609</f>
        <v>1396590.3</v>
      </c>
    </row>
    <row r="603" spans="1:12" x14ac:dyDescent="0.3">
      <c r="A603" s="136" t="s">
        <v>24</v>
      </c>
      <c r="B603" s="136"/>
      <c r="C603" s="7">
        <f t="shared" ref="C603:F603" si="382">C604+C605+C606+C607+C608</f>
        <v>1.75</v>
      </c>
      <c r="D603" s="7">
        <f t="shared" si="382"/>
        <v>1.75</v>
      </c>
      <c r="E603" s="7">
        <f t="shared" si="382"/>
        <v>2</v>
      </c>
      <c r="F603" s="7">
        <f t="shared" si="382"/>
        <v>2</v>
      </c>
      <c r="G603" s="20"/>
      <c r="H603" s="20">
        <f>H604+H605+H606+H607+H608</f>
        <v>614250</v>
      </c>
      <c r="I603" s="20">
        <f t="shared" ref="I603" si="383">I604+I605+I606+I607+I608</f>
        <v>0</v>
      </c>
      <c r="J603" s="20">
        <f>H603</f>
        <v>614250</v>
      </c>
      <c r="K603" s="20">
        <f>J603*30.2%</f>
        <v>185503.5</v>
      </c>
      <c r="L603" s="20">
        <f>J603+K603</f>
        <v>799753.5</v>
      </c>
    </row>
    <row r="604" spans="1:12" x14ac:dyDescent="0.3">
      <c r="A604" s="4"/>
      <c r="B604" s="5" t="s">
        <v>25</v>
      </c>
      <c r="C604" s="33"/>
      <c r="D604" s="33"/>
      <c r="E604" s="33"/>
      <c r="F604" s="33"/>
      <c r="G604" s="19"/>
      <c r="H604" s="19">
        <f t="shared" ref="H604:H608" si="384">E604*G604*12+ ((D604-E604)*G604/2*12)</f>
        <v>0</v>
      </c>
      <c r="I604" s="19"/>
      <c r="J604" s="19"/>
      <c r="K604" s="19"/>
      <c r="L604" s="19"/>
    </row>
    <row r="605" spans="1:12" x14ac:dyDescent="0.3">
      <c r="A605" s="4"/>
      <c r="B605" s="5" t="s">
        <v>26</v>
      </c>
      <c r="C605" s="33"/>
      <c r="D605" s="33"/>
      <c r="E605" s="33"/>
      <c r="F605" s="33"/>
      <c r="G605" s="19"/>
      <c r="H605" s="19">
        <f t="shared" si="384"/>
        <v>0</v>
      </c>
      <c r="I605" s="19"/>
      <c r="J605" s="19"/>
      <c r="K605" s="19"/>
      <c r="L605" s="19"/>
    </row>
    <row r="606" spans="1:12" x14ac:dyDescent="0.3">
      <c r="A606" s="4"/>
      <c r="B606" s="5" t="s">
        <v>27</v>
      </c>
      <c r="C606" s="33"/>
      <c r="D606" s="33"/>
      <c r="E606" s="33"/>
      <c r="F606" s="33"/>
      <c r="G606" s="19"/>
      <c r="H606" s="19">
        <f t="shared" si="384"/>
        <v>0</v>
      </c>
      <c r="I606" s="19"/>
      <c r="J606" s="19"/>
      <c r="K606" s="19"/>
      <c r="L606" s="19"/>
    </row>
    <row r="607" spans="1:12" ht="28.2" x14ac:dyDescent="0.3">
      <c r="A607" s="4"/>
      <c r="B607" s="5" t="s">
        <v>28</v>
      </c>
      <c r="C607" s="33">
        <v>0.75</v>
      </c>
      <c r="D607" s="33">
        <v>0.75</v>
      </c>
      <c r="E607" s="33">
        <v>1</v>
      </c>
      <c r="F607" s="33">
        <v>1</v>
      </c>
      <c r="G607" s="19">
        <f>'расчёт зарплаты'!K26</f>
        <v>27300</v>
      </c>
      <c r="H607" s="19">
        <f t="shared" si="384"/>
        <v>286650</v>
      </c>
      <c r="I607" s="19"/>
      <c r="J607" s="19"/>
      <c r="K607" s="19"/>
      <c r="L607" s="19"/>
    </row>
    <row r="608" spans="1:12" x14ac:dyDescent="0.3">
      <c r="A608" s="4"/>
      <c r="B608" s="5" t="s">
        <v>29</v>
      </c>
      <c r="C608" s="33">
        <v>1</v>
      </c>
      <c r="D608" s="33">
        <v>1</v>
      </c>
      <c r="E608" s="33">
        <v>1</v>
      </c>
      <c r="F608" s="33">
        <v>1</v>
      </c>
      <c r="G608" s="19">
        <f>'расчёт зарплаты'!K26</f>
        <v>27300</v>
      </c>
      <c r="H608" s="19">
        <f t="shared" si="384"/>
        <v>327600</v>
      </c>
      <c r="I608" s="19"/>
      <c r="J608" s="19"/>
      <c r="K608" s="19"/>
      <c r="L608" s="19"/>
    </row>
    <row r="609" spans="1:13" x14ac:dyDescent="0.3">
      <c r="A609" s="136" t="s">
        <v>30</v>
      </c>
      <c r="B609" s="136"/>
      <c r="C609" s="7">
        <f t="shared" ref="C609:F609" si="385">C610+C611+C612</f>
        <v>1.5</v>
      </c>
      <c r="D609" s="7">
        <f t="shared" si="385"/>
        <v>1.5</v>
      </c>
      <c r="E609" s="7">
        <f t="shared" si="385"/>
        <v>1</v>
      </c>
      <c r="F609" s="7">
        <f t="shared" si="385"/>
        <v>1</v>
      </c>
      <c r="G609" s="20"/>
      <c r="H609" s="20">
        <f>H610+H611+H612</f>
        <v>458400</v>
      </c>
      <c r="I609" s="20">
        <f t="shared" ref="I609" si="386">I610+I611+I612</f>
        <v>0</v>
      </c>
      <c r="J609" s="20">
        <f>H609</f>
        <v>458400</v>
      </c>
      <c r="K609" s="20">
        <f>J609*30.2%</f>
        <v>138436.79999999999</v>
      </c>
      <c r="L609" s="20">
        <f>J609+K609</f>
        <v>596836.80000000005</v>
      </c>
    </row>
    <row r="610" spans="1:13" x14ac:dyDescent="0.3">
      <c r="A610" s="4"/>
      <c r="B610" s="5" t="s">
        <v>31</v>
      </c>
      <c r="C610" s="33">
        <v>1</v>
      </c>
      <c r="D610" s="33">
        <v>1</v>
      </c>
      <c r="E610" s="33">
        <v>1</v>
      </c>
      <c r="F610" s="33">
        <v>1</v>
      </c>
      <c r="G610" s="19">
        <f>'расчёт зарплаты'!K34</f>
        <v>30976</v>
      </c>
      <c r="H610" s="19">
        <f t="shared" ref="H610:H612" si="387">E610*G610*12+ ((D610-E610)*G610/2*12)</f>
        <v>371712</v>
      </c>
      <c r="I610" s="19"/>
      <c r="J610" s="19"/>
      <c r="K610" s="19"/>
      <c r="L610" s="19"/>
    </row>
    <row r="611" spans="1:13" x14ac:dyDescent="0.3">
      <c r="A611" s="4"/>
      <c r="B611" s="5" t="s">
        <v>32</v>
      </c>
      <c r="C611" s="33"/>
      <c r="D611" s="33"/>
      <c r="E611" s="33"/>
      <c r="F611" s="33"/>
      <c r="G611" s="19"/>
      <c r="H611" s="19">
        <f t="shared" si="387"/>
        <v>0</v>
      </c>
      <c r="I611" s="19"/>
      <c r="J611" s="19"/>
      <c r="K611" s="19"/>
      <c r="L611" s="19"/>
    </row>
    <row r="612" spans="1:13" x14ac:dyDescent="0.3">
      <c r="A612" s="4"/>
      <c r="B612" s="5" t="s">
        <v>33</v>
      </c>
      <c r="C612" s="33">
        <v>0.5</v>
      </c>
      <c r="D612" s="33">
        <v>0.5</v>
      </c>
      <c r="E612" s="33">
        <v>0</v>
      </c>
      <c r="F612" s="33">
        <v>0</v>
      </c>
      <c r="G612" s="19">
        <f>'расчёт зарплаты'!K38</f>
        <v>28896</v>
      </c>
      <c r="H612" s="19">
        <f t="shared" si="387"/>
        <v>86688</v>
      </c>
      <c r="I612" s="19"/>
      <c r="J612" s="19"/>
      <c r="K612" s="19"/>
      <c r="L612" s="19"/>
    </row>
    <row r="613" spans="1:13" x14ac:dyDescent="0.3">
      <c r="A613" s="141"/>
      <c r="B613" s="141"/>
      <c r="C613" s="141"/>
      <c r="D613" s="141"/>
      <c r="E613" s="141"/>
      <c r="F613" s="141"/>
      <c r="G613" s="141"/>
      <c r="H613" s="141"/>
      <c r="I613" s="141"/>
      <c r="J613" s="141"/>
      <c r="K613" s="141"/>
      <c r="L613" s="141"/>
    </row>
    <row r="614" spans="1:13" ht="14.4" customHeight="1" x14ac:dyDescent="0.3">
      <c r="A614" s="133" t="s">
        <v>7</v>
      </c>
      <c r="B614" s="134"/>
      <c r="C614" s="8">
        <f>C615+C634+C630</f>
        <v>1460.25</v>
      </c>
      <c r="D614" s="8">
        <f>D615+D634+D630</f>
        <v>1349.41</v>
      </c>
      <c r="E614" s="8">
        <f>E615+E634+E630</f>
        <v>1162.3499999999999</v>
      </c>
      <c r="F614" s="8">
        <f>F615+F634+F630</f>
        <v>1220.1500000000001</v>
      </c>
      <c r="G614" s="19"/>
      <c r="H614" s="19"/>
      <c r="I614" s="19"/>
      <c r="J614" s="19"/>
      <c r="K614" s="19"/>
      <c r="L614" s="19"/>
    </row>
    <row r="615" spans="1:13" ht="14.4" customHeight="1" x14ac:dyDescent="0.3">
      <c r="A615" s="133" t="s">
        <v>89</v>
      </c>
      <c r="B615" s="134"/>
      <c r="C615" s="8">
        <f t="shared" ref="C615:D615" si="388">SUM(C616:C629)</f>
        <v>1030.25</v>
      </c>
      <c r="D615" s="8">
        <f t="shared" si="388"/>
        <v>968</v>
      </c>
      <c r="E615" s="8">
        <f>SUM(E616:E629)</f>
        <v>855.55</v>
      </c>
      <c r="F615" s="8">
        <f>SUM(F616:F629)</f>
        <v>906.65</v>
      </c>
      <c r="G615" s="8"/>
      <c r="H615" s="40">
        <f>SUM(H616:H629)</f>
        <v>317751698.40000004</v>
      </c>
      <c r="I615" s="20"/>
      <c r="J615" s="20">
        <f>H615-I615</f>
        <v>317751698.40000004</v>
      </c>
      <c r="K615" s="20">
        <f>J615*30.2%</f>
        <v>95961012.916800007</v>
      </c>
      <c r="L615" s="20">
        <f>J615+K615</f>
        <v>413712711.31680006</v>
      </c>
      <c r="M615" s="34">
        <f>J585+J555+J524+J493+J462+J432+J402+J372+J342+J312+J281+J251+J221+J191+J161+J131+J101+J69+J39+J8</f>
        <v>316903183.19999999</v>
      </c>
    </row>
    <row r="616" spans="1:13" x14ac:dyDescent="0.3">
      <c r="A616" s="4"/>
      <c r="B616" s="5" t="s">
        <v>9</v>
      </c>
      <c r="C616" s="9">
        <f>C586+C556+C525+C494+C463+C433+C403+C373+C343+C313+C282+C252+C222+C192+C162+C132+C102+C70+C40+C9</f>
        <v>510.25</v>
      </c>
      <c r="D616" s="9">
        <f t="shared" ref="D616:F616" si="389">D586+D556+D525+D494+D463+D433+D403+D373+D343+D313+D282+D252+D222+D192+D162+D132+D102+D70+D40+D9</f>
        <v>489.75</v>
      </c>
      <c r="E616" s="9">
        <f t="shared" si="389"/>
        <v>436.25000000000006</v>
      </c>
      <c r="F616" s="9">
        <f t="shared" si="389"/>
        <v>466.4</v>
      </c>
      <c r="G616" s="19">
        <f>'расчёт зарплаты'!K10</f>
        <v>28208</v>
      </c>
      <c r="H616" s="19">
        <f>E616*G616*12+ ((D616-E616)*G616/2*12)</f>
        <v>156723648.00000003</v>
      </c>
      <c r="I616" s="19"/>
      <c r="J616" s="19"/>
      <c r="K616" s="19"/>
      <c r="L616" s="19">
        <f>G616*K616*12</f>
        <v>0</v>
      </c>
    </row>
    <row r="617" spans="1:13" ht="28.2" x14ac:dyDescent="0.3">
      <c r="A617" s="4"/>
      <c r="B617" s="5" t="s">
        <v>92</v>
      </c>
      <c r="C617" s="9">
        <f>C526+C495+C464+C283+C71</f>
        <v>41.75</v>
      </c>
      <c r="D617" s="9">
        <f t="shared" ref="D617:F617" si="390">D526+D495+D464+D283+D71</f>
        <v>41.75</v>
      </c>
      <c r="E617" s="9">
        <f t="shared" si="390"/>
        <v>41.75</v>
      </c>
      <c r="F617" s="9">
        <f t="shared" si="390"/>
        <v>41.75</v>
      </c>
      <c r="G617" s="19">
        <f>'расчёт зарплаты'!K12</f>
        <v>30960</v>
      </c>
      <c r="H617" s="19">
        <f t="shared" ref="H617:H624" si="391">E617*G617*12+ ((D617-E617)*G617/2*12)</f>
        <v>15510960</v>
      </c>
      <c r="I617" s="19"/>
      <c r="J617" s="19"/>
      <c r="K617" s="19"/>
      <c r="L617" s="19"/>
    </row>
    <row r="618" spans="1:13" x14ac:dyDescent="0.3">
      <c r="A618" s="4"/>
      <c r="B618" s="5" t="s">
        <v>10</v>
      </c>
      <c r="C618" s="9">
        <f>C587+C557+C527+C496+C465+C434+C404+C374+C344+C314+C284+C253+C223+C193+C163+C133+C103+C72+C41+C10</f>
        <v>10</v>
      </c>
      <c r="D618" s="9">
        <f t="shared" ref="D618:F618" si="392">D587+D557+D527+D496+D465+D434+D404+D374+D344+D314+D284+D253+D223+D193+D163+D133+D103+D72+D41+D10</f>
        <v>8</v>
      </c>
      <c r="E618" s="9">
        <f t="shared" si="392"/>
        <v>6</v>
      </c>
      <c r="F618" s="9">
        <f t="shared" si="392"/>
        <v>6</v>
      </c>
      <c r="G618" s="19">
        <v>25862.400000000001</v>
      </c>
      <c r="H618" s="19">
        <f t="shared" si="391"/>
        <v>2172441.6000000006</v>
      </c>
      <c r="I618" s="19"/>
      <c r="J618" s="19"/>
      <c r="K618" s="19"/>
      <c r="L618" s="19"/>
    </row>
    <row r="619" spans="1:13" ht="28.2" x14ac:dyDescent="0.3">
      <c r="A619" s="4"/>
      <c r="B619" s="5" t="s">
        <v>93</v>
      </c>
      <c r="C619" s="9">
        <f>C73</f>
        <v>2.25</v>
      </c>
      <c r="D619" s="9">
        <f t="shared" ref="D619:F619" si="393">D73</f>
        <v>0.5</v>
      </c>
      <c r="E619" s="9">
        <f t="shared" si="393"/>
        <v>2</v>
      </c>
      <c r="F619" s="9">
        <f t="shared" si="393"/>
        <v>2</v>
      </c>
      <c r="G619" s="19">
        <f>'расчёт зарплаты'!K22</f>
        <v>32384</v>
      </c>
      <c r="H619" s="19">
        <f t="shared" si="391"/>
        <v>485760</v>
      </c>
      <c r="I619" s="19"/>
      <c r="J619" s="19"/>
      <c r="K619" s="19"/>
      <c r="L619" s="19"/>
    </row>
    <row r="620" spans="1:13" x14ac:dyDescent="0.3">
      <c r="A620" s="4"/>
      <c r="B620" s="5" t="s">
        <v>13</v>
      </c>
      <c r="C620" s="9">
        <f>C588+C558+C528+C497+C466+C435+C405+C375+C345+C315+C285+C254+C224+C194+C164+C134+C104+C74+C42+C11</f>
        <v>90.75</v>
      </c>
      <c r="D620" s="9">
        <f t="shared" ref="D620:F621" si="394">D588+D558+D528+D497+D466+D435+D405+D375+D345+D315+D285+D254+D224+D194+D164+D134+D104+D74+D42+D11</f>
        <v>82.25</v>
      </c>
      <c r="E620" s="9">
        <f t="shared" si="394"/>
        <v>59.45</v>
      </c>
      <c r="F620" s="9">
        <f t="shared" si="394"/>
        <v>70</v>
      </c>
      <c r="G620" s="19">
        <f>'расчёт зарплаты'!K38</f>
        <v>28896</v>
      </c>
      <c r="H620" s="19">
        <f t="shared" si="391"/>
        <v>24567379.200000003</v>
      </c>
      <c r="I620" s="19"/>
      <c r="J620" s="19"/>
      <c r="K620" s="19"/>
      <c r="L620" s="19"/>
    </row>
    <row r="621" spans="1:13" ht="28.2" x14ac:dyDescent="0.3">
      <c r="A621" s="4"/>
      <c r="B621" s="5" t="s">
        <v>14</v>
      </c>
      <c r="C621" s="9">
        <f>C589+C559+C529+C498+C467+C436+C406+C376+C346+C316+C286+C255+C225+C195+C165+C135+C105+C75+C43+C12</f>
        <v>1</v>
      </c>
      <c r="D621" s="9">
        <f t="shared" si="394"/>
        <v>1</v>
      </c>
      <c r="E621" s="9">
        <f t="shared" si="394"/>
        <v>1</v>
      </c>
      <c r="F621" s="9">
        <f t="shared" si="394"/>
        <v>1</v>
      </c>
      <c r="G621" s="19">
        <f>'расчёт зарплаты'!K38</f>
        <v>28896</v>
      </c>
      <c r="H621" s="19">
        <f t="shared" si="391"/>
        <v>346752</v>
      </c>
      <c r="I621" s="19"/>
      <c r="J621" s="19"/>
      <c r="K621" s="19"/>
      <c r="L621" s="19"/>
    </row>
    <row r="622" spans="1:13" x14ac:dyDescent="0.3">
      <c r="A622" s="4"/>
      <c r="B622" s="5" t="s">
        <v>15</v>
      </c>
      <c r="C622" s="9">
        <f t="shared" ref="C622:F622" si="395">C590+C560+C530+C499+C468+C437+C407+C377+C347+C317+C287+C256+C226+C196+C166+C136+C106+C76+C44+C13</f>
        <v>128</v>
      </c>
      <c r="D622" s="9">
        <f t="shared" si="395"/>
        <v>112.5</v>
      </c>
      <c r="E622" s="9">
        <f t="shared" si="395"/>
        <v>87.9</v>
      </c>
      <c r="F622" s="9">
        <f t="shared" si="395"/>
        <v>95</v>
      </c>
      <c r="G622" s="19">
        <f>'расчёт зарплаты'!K34</f>
        <v>30976</v>
      </c>
      <c r="H622" s="19">
        <f t="shared" si="391"/>
        <v>37245542.400000006</v>
      </c>
      <c r="I622" s="19"/>
      <c r="J622" s="19"/>
      <c r="K622" s="19"/>
      <c r="L622" s="19"/>
    </row>
    <row r="623" spans="1:13" x14ac:dyDescent="0.3">
      <c r="A623" s="4"/>
      <c r="B623" s="5" t="s">
        <v>16</v>
      </c>
      <c r="C623" s="9">
        <f t="shared" ref="C623:F623" si="396">C591+C561+C531+C500+C469+C438+C408+C378+C348+C318+C288+C257+C227+C197+C167+C137+C107+C77+C45+C14</f>
        <v>165</v>
      </c>
      <c r="D623" s="9">
        <f t="shared" si="396"/>
        <v>161</v>
      </c>
      <c r="E623" s="9">
        <f t="shared" si="396"/>
        <v>157.85</v>
      </c>
      <c r="F623" s="9">
        <f t="shared" si="396"/>
        <v>161</v>
      </c>
      <c r="G623" s="19">
        <f>'расчёт зарплаты'!K8</f>
        <v>28600</v>
      </c>
      <c r="H623" s="19">
        <f t="shared" si="391"/>
        <v>54714660</v>
      </c>
      <c r="I623" s="19"/>
      <c r="J623" s="19"/>
      <c r="K623" s="19"/>
      <c r="L623" s="19"/>
    </row>
    <row r="624" spans="1:13" ht="42" x14ac:dyDescent="0.3">
      <c r="A624" s="4"/>
      <c r="B624" s="5" t="s">
        <v>17</v>
      </c>
      <c r="C624" s="9">
        <f t="shared" ref="C624:F624" si="397">C592+C562+C532+C501+C470+C439+C409+C379+C349+C319+C289+C258+C228+C198+C168+C138+C108+C78+C46+C15</f>
        <v>35</v>
      </c>
      <c r="D624" s="9">
        <f t="shared" si="397"/>
        <v>29.5</v>
      </c>
      <c r="E624" s="9">
        <f t="shared" si="397"/>
        <v>23.05</v>
      </c>
      <c r="F624" s="9">
        <f t="shared" si="397"/>
        <v>22.5</v>
      </c>
      <c r="G624" s="19">
        <f>'расчёт зарплаты'!K10</f>
        <v>28208</v>
      </c>
      <c r="H624" s="19">
        <f t="shared" si="391"/>
        <v>8893982.4000000004</v>
      </c>
      <c r="I624" s="19"/>
      <c r="J624" s="19"/>
      <c r="K624" s="19"/>
      <c r="L624" s="19"/>
    </row>
    <row r="625" spans="1:13" ht="28.2" x14ac:dyDescent="0.3">
      <c r="A625" s="4"/>
      <c r="B625" s="5" t="s">
        <v>18</v>
      </c>
      <c r="C625" s="9">
        <f t="shared" ref="C625:F625" si="398">C593+C563+C533+C502+C471+C440+C410+C380+C350+C320+C290+C259+C229+C199+C169+C139+C109+C79+C47+C16</f>
        <v>29.25</v>
      </c>
      <c r="D625" s="9">
        <f t="shared" si="398"/>
        <v>27</v>
      </c>
      <c r="E625" s="9">
        <f t="shared" si="398"/>
        <v>26</v>
      </c>
      <c r="F625" s="9">
        <f t="shared" si="398"/>
        <v>26</v>
      </c>
      <c r="G625" s="19">
        <f>'расчёт зарплаты'!K20</f>
        <v>31648</v>
      </c>
      <c r="H625" s="19">
        <f t="shared" ref="H625:H628" si="399">E625*G625*12+ ((D625-E625)*G625/2*12)</f>
        <v>10064064</v>
      </c>
      <c r="I625" s="19"/>
      <c r="J625" s="19"/>
      <c r="K625" s="19"/>
      <c r="L625" s="19"/>
    </row>
    <row r="626" spans="1:13" ht="46.2" customHeight="1" x14ac:dyDescent="0.3">
      <c r="A626" s="4"/>
      <c r="B626" s="5" t="s">
        <v>91</v>
      </c>
      <c r="C626" s="9">
        <f t="shared" ref="C626:F626" si="400">C594+C564+C534+C503+C472+C441+C411+C381+C351+C321+C291+C260+C230+C200+C170+C140+C110+C80+C48+C17</f>
        <v>4</v>
      </c>
      <c r="D626" s="9">
        <f t="shared" si="400"/>
        <v>2</v>
      </c>
      <c r="E626" s="9">
        <f t="shared" si="400"/>
        <v>2</v>
      </c>
      <c r="F626" s="9">
        <f t="shared" si="400"/>
        <v>2</v>
      </c>
      <c r="G626" s="19">
        <f>'расчёт зарплаты'!K10</f>
        <v>28208</v>
      </c>
      <c r="H626" s="19">
        <f t="shared" si="399"/>
        <v>676992</v>
      </c>
      <c r="I626" s="19"/>
      <c r="J626" s="19"/>
      <c r="K626" s="19"/>
      <c r="L626" s="19"/>
    </row>
    <row r="627" spans="1:13" x14ac:dyDescent="0.3">
      <c r="A627" s="4"/>
      <c r="B627" s="5" t="s">
        <v>20</v>
      </c>
      <c r="C627" s="9">
        <f t="shared" ref="C627:E627" si="401">C595+C565+C535+C504+C473+C442+C412+C382+C352+C322+C292+C261+C231+C201+C171+C141+C111+C81+C49+C18</f>
        <v>2.5</v>
      </c>
      <c r="D627" s="9">
        <f t="shared" si="401"/>
        <v>2.5</v>
      </c>
      <c r="E627" s="9">
        <f t="shared" si="401"/>
        <v>2.5</v>
      </c>
      <c r="F627" s="9">
        <f>F595+F565+F535+F504+F473+F442+F412+F382+F352+F322+F292+F261+F231+F201+F171+F141+F111+F81+F49+F18</f>
        <v>3</v>
      </c>
      <c r="G627" s="19">
        <f>'расчёт зарплаты'!K34</f>
        <v>30976</v>
      </c>
      <c r="H627" s="19">
        <f t="shared" si="399"/>
        <v>929280</v>
      </c>
      <c r="I627" s="19"/>
      <c r="J627" s="19"/>
      <c r="K627" s="19"/>
      <c r="L627" s="19"/>
    </row>
    <row r="628" spans="1:13" ht="39.6" x14ac:dyDescent="0.3">
      <c r="A628" s="4"/>
      <c r="B628" s="6" t="s">
        <v>21</v>
      </c>
      <c r="C628" s="9">
        <f t="shared" ref="C628:F628" si="402">C596+C566+C536+C505+C474+C443+C413+C383+C353+C323+C293+C262+C232+C202+C172+C142+C112+C82+C50+C19</f>
        <v>10.5</v>
      </c>
      <c r="D628" s="9">
        <f t="shared" si="402"/>
        <v>10.25</v>
      </c>
      <c r="E628" s="9">
        <f t="shared" si="402"/>
        <v>9.8000000000000007</v>
      </c>
      <c r="F628" s="9">
        <f t="shared" si="402"/>
        <v>10</v>
      </c>
      <c r="G628" s="19">
        <f>'расчёт зарплаты'!K44</f>
        <v>45056</v>
      </c>
      <c r="H628" s="19">
        <f t="shared" si="399"/>
        <v>5420236.8000000007</v>
      </c>
      <c r="I628" s="19"/>
      <c r="J628" s="19"/>
      <c r="K628" s="19"/>
      <c r="L628" s="19"/>
    </row>
    <row r="629" spans="1:13" x14ac:dyDescent="0.3">
      <c r="A629" s="4"/>
      <c r="B629" s="5" t="s">
        <v>22</v>
      </c>
      <c r="C629" s="9">
        <f t="shared" ref="C629:F629" si="403">C597+C567+C537+C506+C475+C444+C414+C384+C354+C324+C294+C263+C233+C203+C173+C143+C113+C83+C51+C20</f>
        <v>0</v>
      </c>
      <c r="D629" s="9">
        <f t="shared" si="403"/>
        <v>0</v>
      </c>
      <c r="E629" s="9">
        <f t="shared" si="403"/>
        <v>0</v>
      </c>
      <c r="F629" s="9">
        <f t="shared" si="403"/>
        <v>0</v>
      </c>
      <c r="G629" s="19">
        <v>24736.48</v>
      </c>
      <c r="H629" s="19">
        <f t="shared" ref="H629" si="404">E629*G629*12</f>
        <v>0</v>
      </c>
      <c r="I629" s="19"/>
      <c r="J629" s="19"/>
      <c r="K629" s="19"/>
      <c r="L629" s="19"/>
    </row>
    <row r="630" spans="1:13" x14ac:dyDescent="0.3">
      <c r="A630" s="38" t="s">
        <v>57</v>
      </c>
      <c r="B630" s="39"/>
      <c r="C630" s="41">
        <f>C631+C632+C633</f>
        <v>177</v>
      </c>
      <c r="D630" s="41">
        <f t="shared" ref="D630" si="405">D631+D632+D633</f>
        <v>149.25</v>
      </c>
      <c r="E630" s="41">
        <f t="shared" ref="E630" si="406">E631+E632+E633</f>
        <v>120.7</v>
      </c>
      <c r="F630" s="41">
        <f t="shared" ref="F630" si="407">F631+F632+F633</f>
        <v>120</v>
      </c>
      <c r="G630" s="41"/>
      <c r="H630" s="42">
        <f t="shared" ref="H630" si="408">H631+H632+H633</f>
        <v>44886970.799999997</v>
      </c>
      <c r="I630" s="42">
        <f t="shared" ref="I630" si="409">I631+I632+I633</f>
        <v>0</v>
      </c>
      <c r="J630" s="42">
        <f t="shared" ref="J630" si="410">J631+J632+J633</f>
        <v>0</v>
      </c>
      <c r="K630" s="42">
        <f t="shared" ref="K630" si="411">K631+K632+K633</f>
        <v>0</v>
      </c>
      <c r="L630" s="42">
        <f t="shared" ref="L630" si="412">L631+L632+L633</f>
        <v>0</v>
      </c>
      <c r="M630" s="34"/>
    </row>
    <row r="631" spans="1:13" x14ac:dyDescent="0.3">
      <c r="A631" s="4"/>
      <c r="B631" s="5" t="s">
        <v>11</v>
      </c>
      <c r="C631" s="9">
        <f t="shared" ref="C631:F631" si="413">C599+C569+C539+C508+C477+C446+C416+C386+C356+C326+C296+C265+C235+C205+C175+C145+C115+C85+C53+C22</f>
        <v>40.75</v>
      </c>
      <c r="D631" s="9">
        <f t="shared" si="413"/>
        <v>30.75</v>
      </c>
      <c r="E631" s="9">
        <f t="shared" si="413"/>
        <v>22</v>
      </c>
      <c r="F631" s="9">
        <f t="shared" si="413"/>
        <v>24</v>
      </c>
      <c r="G631" s="19">
        <f>'расчёт зарплаты'!K26</f>
        <v>27300</v>
      </c>
      <c r="H631" s="19">
        <f t="shared" ref="H631:H634" si="414">E631*G631*12+ ((D631-E631)*G631/2*12)</f>
        <v>8640450</v>
      </c>
      <c r="I631" s="19"/>
      <c r="J631" s="19"/>
      <c r="K631" s="19"/>
      <c r="L631" s="19"/>
    </row>
    <row r="632" spans="1:13" x14ac:dyDescent="0.3">
      <c r="A632" s="4"/>
      <c r="B632" s="5" t="s">
        <v>12</v>
      </c>
      <c r="C632" s="9">
        <f t="shared" ref="C632:F632" si="415">C600+C570+C540+C509+C478+C447+C417+C387+C357+C327+C297+C266+C236+C206+C176+C146+C116+C86+C54+C23</f>
        <v>52.5</v>
      </c>
      <c r="D632" s="9">
        <f t="shared" si="415"/>
        <v>49.5</v>
      </c>
      <c r="E632" s="9">
        <f t="shared" si="415"/>
        <v>47</v>
      </c>
      <c r="F632" s="9">
        <f t="shared" si="415"/>
        <v>47</v>
      </c>
      <c r="G632" s="19">
        <f>'расчёт зарплаты'!K26</f>
        <v>27300</v>
      </c>
      <c r="H632" s="19">
        <f t="shared" si="414"/>
        <v>15806700</v>
      </c>
      <c r="I632" s="19"/>
      <c r="J632" s="19"/>
      <c r="K632" s="19"/>
      <c r="L632" s="19"/>
    </row>
    <row r="633" spans="1:13" ht="28.2" x14ac:dyDescent="0.3">
      <c r="A633" s="4"/>
      <c r="B633" s="5" t="s">
        <v>19</v>
      </c>
      <c r="C633" s="9">
        <f t="shared" ref="C633:F633" si="416">C601+C571+C541+C510+C479+C448+C418+C388+C358+C328+C298+C267+C237+C207+C177+C147+C117+C87+C55+C24</f>
        <v>83.75</v>
      </c>
      <c r="D633" s="9">
        <f t="shared" si="416"/>
        <v>69</v>
      </c>
      <c r="E633" s="9">
        <f t="shared" si="416"/>
        <v>51.7</v>
      </c>
      <c r="F633" s="9">
        <f t="shared" si="416"/>
        <v>49</v>
      </c>
      <c r="G633" s="19">
        <f>'расчёт зарплаты'!K40</f>
        <v>28224</v>
      </c>
      <c r="H633" s="19">
        <f t="shared" si="414"/>
        <v>20439820.800000001</v>
      </c>
      <c r="I633" s="19"/>
      <c r="J633" s="19"/>
      <c r="K633" s="19"/>
      <c r="L633" s="19"/>
    </row>
    <row r="634" spans="1:13" x14ac:dyDescent="0.3">
      <c r="A634" s="135" t="s">
        <v>23</v>
      </c>
      <c r="B634" s="135"/>
      <c r="C634" s="8">
        <f t="shared" ref="C634:F634" si="417">C635+C642</f>
        <v>253</v>
      </c>
      <c r="D634" s="8">
        <f t="shared" si="417"/>
        <v>232.16</v>
      </c>
      <c r="E634" s="8">
        <f t="shared" si="417"/>
        <v>186.1</v>
      </c>
      <c r="F634" s="8">
        <f t="shared" si="417"/>
        <v>193.5</v>
      </c>
      <c r="G634" s="19"/>
      <c r="H634" s="19">
        <f t="shared" si="414"/>
        <v>0</v>
      </c>
      <c r="I634" s="19"/>
      <c r="J634" s="20">
        <f>H635+H642</f>
        <v>63352152</v>
      </c>
      <c r="K634" s="19"/>
      <c r="L634" s="19"/>
    </row>
    <row r="635" spans="1:13" x14ac:dyDescent="0.3">
      <c r="A635" s="136" t="s">
        <v>24</v>
      </c>
      <c r="B635" s="136"/>
      <c r="C635" s="8">
        <f t="shared" ref="C635:F635" si="418">C636+C637+C638+C639+C641</f>
        <v>172.5</v>
      </c>
      <c r="D635" s="8">
        <f t="shared" si="418"/>
        <v>156.41</v>
      </c>
      <c r="E635" s="8">
        <f t="shared" si="418"/>
        <v>127.1</v>
      </c>
      <c r="F635" s="8">
        <f t="shared" si="418"/>
        <v>133</v>
      </c>
      <c r="G635" s="20"/>
      <c r="H635" s="20">
        <f>H636+H637+H638+H639+H641</f>
        <v>42095064</v>
      </c>
      <c r="I635" s="20">
        <f t="shared" ref="I635" si="419">I636+I637+I638+I639+I641</f>
        <v>0</v>
      </c>
      <c r="J635" s="20">
        <f t="shared" ref="J635" si="420">J636+J637+J638+J639+J641</f>
        <v>0</v>
      </c>
      <c r="K635" s="20">
        <f t="shared" ref="K635" si="421">K636+K637+K638+K639+K641</f>
        <v>0</v>
      </c>
      <c r="L635" s="20">
        <f t="shared" ref="L635" si="422">L636+L637+L638+L639+L641</f>
        <v>0</v>
      </c>
    </row>
    <row r="636" spans="1:13" x14ac:dyDescent="0.3">
      <c r="A636" s="4"/>
      <c r="B636" s="5" t="s">
        <v>25</v>
      </c>
      <c r="C636" s="9">
        <f t="shared" ref="C636:F636" si="423">C604+C574+C544+C513+C482+C451+C421+C391+C361+C331+C301+C270+C240+C210+C180+C150+C120+C90+C58+C27</f>
        <v>6</v>
      </c>
      <c r="D636" s="9">
        <f t="shared" si="423"/>
        <v>5</v>
      </c>
      <c r="E636" s="9">
        <f t="shared" si="423"/>
        <v>4</v>
      </c>
      <c r="F636" s="9">
        <f t="shared" si="423"/>
        <v>4</v>
      </c>
      <c r="G636" s="19">
        <f>'расчёт зарплаты'!K14</f>
        <v>33792</v>
      </c>
      <c r="H636" s="19">
        <f>E636*G636*12</f>
        <v>1622016</v>
      </c>
      <c r="I636" s="19"/>
      <c r="J636" s="19"/>
      <c r="K636" s="19"/>
      <c r="L636" s="19"/>
    </row>
    <row r="637" spans="1:13" x14ac:dyDescent="0.3">
      <c r="A637" s="4"/>
      <c r="B637" s="5" t="s">
        <v>26</v>
      </c>
      <c r="C637" s="9">
        <f t="shared" ref="C637:F637" si="424">C605+C575+C545+C514+C483+C452+C422+C392+C362+C332+C302+C271+C241+C211+C181+C151+C121+C91+C59+C28</f>
        <v>0</v>
      </c>
      <c r="D637" s="9">
        <f t="shared" si="424"/>
        <v>0</v>
      </c>
      <c r="E637" s="9">
        <f t="shared" si="424"/>
        <v>0</v>
      </c>
      <c r="F637" s="9">
        <f t="shared" si="424"/>
        <v>0</v>
      </c>
      <c r="G637" s="19">
        <f>'расчёт зарплаты'!K16</f>
        <v>36608</v>
      </c>
      <c r="H637" s="19">
        <f t="shared" ref="H637:H641" si="425">E637*G637*12</f>
        <v>0</v>
      </c>
      <c r="I637" s="19"/>
      <c r="J637" s="19"/>
      <c r="K637" s="19"/>
      <c r="L637" s="19"/>
    </row>
    <row r="638" spans="1:13" x14ac:dyDescent="0.3">
      <c r="A638" s="4"/>
      <c r="B638" s="5" t="s">
        <v>27</v>
      </c>
      <c r="C638" s="9">
        <f t="shared" ref="C638:F638" si="426">C606+C576+C546+C515+C484+C453+C423+C393+C363+C333+C303+C272+C242+C212+C182+C152+C122+C92+C60+C29</f>
        <v>1</v>
      </c>
      <c r="D638" s="9">
        <f t="shared" si="426"/>
        <v>1</v>
      </c>
      <c r="E638" s="9">
        <f t="shared" si="426"/>
        <v>1</v>
      </c>
      <c r="F638" s="9">
        <f t="shared" si="426"/>
        <v>1</v>
      </c>
      <c r="G638" s="19">
        <f>'расчёт зарплаты'!K18</f>
        <v>39424</v>
      </c>
      <c r="H638" s="19">
        <f t="shared" si="425"/>
        <v>473088</v>
      </c>
      <c r="I638" s="19"/>
      <c r="J638" s="19"/>
      <c r="K638" s="19"/>
      <c r="L638" s="19"/>
    </row>
    <row r="639" spans="1:13" ht="28.2" x14ac:dyDescent="0.3">
      <c r="A639" s="4"/>
      <c r="B639" s="5" t="s">
        <v>28</v>
      </c>
      <c r="C639" s="9">
        <f>C607+C577+C547+C516+C485+C454+C424+C394+C364+C334+C304+C273+C243+C213+C183+C153+C123+C93+C61+C31</f>
        <v>70</v>
      </c>
      <c r="D639" s="9">
        <f t="shared" ref="D639:F639" si="427">D607+D577+D547+D516+D485+D454+D424+D394+D364+D334+D304+D273+D243+D213+D183+D153+D123+D93+D61+D31</f>
        <v>66</v>
      </c>
      <c r="E639" s="9">
        <f t="shared" si="427"/>
        <v>54.5</v>
      </c>
      <c r="F639" s="9">
        <f t="shared" si="427"/>
        <v>55</v>
      </c>
      <c r="G639" s="19">
        <f>'расчёт зарплаты'!K26</f>
        <v>27300</v>
      </c>
      <c r="H639" s="19">
        <f t="shared" si="425"/>
        <v>17854200</v>
      </c>
      <c r="I639" s="19"/>
      <c r="J639" s="19"/>
      <c r="K639" s="19"/>
      <c r="L639" s="19"/>
    </row>
    <row r="640" spans="1:13" x14ac:dyDescent="0.3">
      <c r="A640" s="4"/>
      <c r="B640" s="5" t="s">
        <v>84</v>
      </c>
      <c r="C640" s="9">
        <f>C30</f>
        <v>8</v>
      </c>
      <c r="D640" s="9">
        <f t="shared" ref="D640:F640" si="428">D30</f>
        <v>8</v>
      </c>
      <c r="E640" s="9">
        <f t="shared" si="428"/>
        <v>8</v>
      </c>
      <c r="F640" s="9">
        <f t="shared" si="428"/>
        <v>8</v>
      </c>
      <c r="G640" s="19">
        <f>'расчёт зарплаты'!K36</f>
        <v>45056</v>
      </c>
      <c r="H640" s="19">
        <f t="shared" si="425"/>
        <v>4325376</v>
      </c>
      <c r="I640" s="19"/>
      <c r="J640" s="19"/>
      <c r="K640" s="19"/>
      <c r="L640" s="19"/>
    </row>
    <row r="641" spans="1:12" x14ac:dyDescent="0.3">
      <c r="A641" s="4"/>
      <c r="B641" s="5" t="s">
        <v>29</v>
      </c>
      <c r="C641" s="9">
        <f>C608+C578+C548+C517+C486+C455+C425+C395+C365+C335+C305+C274+C244+C214+C184+C154+C124+C94+C62+C32</f>
        <v>95.5</v>
      </c>
      <c r="D641" s="9">
        <f t="shared" ref="D641:F641" si="429">D608+D578+D548+D517+D486+D455+D425+D395+D365+D335+D305+D274+D244+D214+D184+D154+D124+D94+D62+D32</f>
        <v>84.41</v>
      </c>
      <c r="E641" s="9">
        <f t="shared" si="429"/>
        <v>67.599999999999994</v>
      </c>
      <c r="F641" s="9">
        <f t="shared" si="429"/>
        <v>73</v>
      </c>
      <c r="G641" s="19">
        <f>'расчёт зарплаты'!K26</f>
        <v>27300</v>
      </c>
      <c r="H641" s="19">
        <f t="shared" si="425"/>
        <v>22145759.999999996</v>
      </c>
      <c r="I641" s="19"/>
      <c r="J641" s="19"/>
      <c r="K641" s="19"/>
      <c r="L641" s="19"/>
    </row>
    <row r="642" spans="1:12" x14ac:dyDescent="0.3">
      <c r="A642" s="136" t="s">
        <v>30</v>
      </c>
      <c r="B642" s="136"/>
      <c r="C642" s="8">
        <f t="shared" ref="C642:F642" si="430">C643+C644+C645</f>
        <v>80.5</v>
      </c>
      <c r="D642" s="8">
        <f t="shared" si="430"/>
        <v>75.75</v>
      </c>
      <c r="E642" s="8">
        <f t="shared" si="430"/>
        <v>59</v>
      </c>
      <c r="F642" s="8">
        <f t="shared" si="430"/>
        <v>60.5</v>
      </c>
      <c r="G642" s="20"/>
      <c r="H642" s="20">
        <f>H643+H644+H645</f>
        <v>21257088</v>
      </c>
      <c r="I642" s="20">
        <f t="shared" ref="I642" si="431">I643+I644+I645</f>
        <v>0</v>
      </c>
      <c r="J642" s="20">
        <f t="shared" ref="J642" si="432">J643+J644+J645</f>
        <v>0</v>
      </c>
      <c r="K642" s="20">
        <f t="shared" ref="K642" si="433">K643+K644+K645</f>
        <v>0</v>
      </c>
      <c r="L642" s="20">
        <f t="shared" ref="L642" si="434">L643+L644+L645</f>
        <v>0</v>
      </c>
    </row>
    <row r="643" spans="1:12" x14ac:dyDescent="0.3">
      <c r="A643" s="4"/>
      <c r="B643" s="5" t="s">
        <v>31</v>
      </c>
      <c r="C643" s="9">
        <f>C610+C580+C550+C519+C488+C457+C427+C397+C367+C337+C307+C276+C246+C216+C186+C156+C126+C96+C64+C34</f>
        <v>35.5</v>
      </c>
      <c r="D643" s="9">
        <f t="shared" ref="D643:F643" si="435">D610+D580+D550+D519+D488+D457+D427+D397+D367+D337+D307+D276+D246+D216+D186+D156+D126+D96+D64+D34</f>
        <v>34.5</v>
      </c>
      <c r="E643" s="9">
        <f t="shared" si="435"/>
        <v>32</v>
      </c>
      <c r="F643" s="9">
        <f t="shared" si="435"/>
        <v>33</v>
      </c>
      <c r="G643" s="19">
        <f>'расчёт зарплаты'!K34</f>
        <v>30976</v>
      </c>
      <c r="H643" s="19">
        <f>E643*G643*12</f>
        <v>11894784</v>
      </c>
      <c r="I643" s="19"/>
      <c r="J643" s="19"/>
      <c r="K643" s="19"/>
      <c r="L643" s="19"/>
    </row>
    <row r="644" spans="1:12" x14ac:dyDescent="0.3">
      <c r="A644" s="4"/>
      <c r="B644" s="5" t="s">
        <v>32</v>
      </c>
      <c r="C644" s="9">
        <f t="shared" ref="C644:F645" si="436">C611+C581+C551+C520+C489+C458+C428+C398+C368+C338+C308+C277+C247+C217+C187+C157+C127+C97+C65+C35</f>
        <v>2</v>
      </c>
      <c r="D644" s="9">
        <f t="shared" si="436"/>
        <v>2</v>
      </c>
      <c r="E644" s="9">
        <f t="shared" si="436"/>
        <v>1</v>
      </c>
      <c r="F644" s="9">
        <f t="shared" si="436"/>
        <v>1</v>
      </c>
      <c r="G644" s="19">
        <f>'расчёт зарплаты'!K38</f>
        <v>28896</v>
      </c>
      <c r="H644" s="19">
        <f t="shared" ref="H644:H645" si="437">E644*G644*12</f>
        <v>346752</v>
      </c>
      <c r="I644" s="19"/>
      <c r="J644" s="19"/>
      <c r="K644" s="19"/>
      <c r="L644" s="19"/>
    </row>
    <row r="645" spans="1:12" x14ac:dyDescent="0.3">
      <c r="A645" s="4"/>
      <c r="B645" s="5" t="s">
        <v>33</v>
      </c>
      <c r="C645" s="9">
        <f t="shared" si="436"/>
        <v>43</v>
      </c>
      <c r="D645" s="9">
        <f t="shared" si="436"/>
        <v>39.25</v>
      </c>
      <c r="E645" s="9">
        <f t="shared" si="436"/>
        <v>26</v>
      </c>
      <c r="F645" s="9">
        <f t="shared" si="436"/>
        <v>26.5</v>
      </c>
      <c r="G645" s="19">
        <f>'расчёт зарплаты'!K38</f>
        <v>28896</v>
      </c>
      <c r="H645" s="19">
        <f t="shared" si="437"/>
        <v>9015552</v>
      </c>
      <c r="I645" s="19"/>
      <c r="J645" s="19"/>
      <c r="K645" s="19"/>
      <c r="L645" s="19"/>
    </row>
    <row r="647" spans="1:12" ht="14.4" customHeight="1" x14ac:dyDescent="0.3"/>
    <row r="648" spans="1:12" ht="14.4" customHeight="1" x14ac:dyDescent="0.3"/>
    <row r="663" ht="14.4" customHeight="1" x14ac:dyDescent="0.3"/>
    <row r="664" ht="14.4" customHeight="1" x14ac:dyDescent="0.3"/>
    <row r="670" ht="14.4" customHeight="1" x14ac:dyDescent="0.3"/>
    <row r="675" ht="14.4" customHeight="1" x14ac:dyDescent="0.3"/>
    <row r="676" ht="14.4" customHeight="1" x14ac:dyDescent="0.3"/>
    <row r="691" ht="14.4" customHeight="1" x14ac:dyDescent="0.3"/>
    <row r="692" ht="14.4" customHeight="1" x14ac:dyDescent="0.3"/>
    <row r="698" ht="14.4" customHeight="1" x14ac:dyDescent="0.3"/>
    <row r="703" ht="14.4" customHeight="1" x14ac:dyDescent="0.3"/>
    <row r="704" ht="14.4" customHeight="1" x14ac:dyDescent="0.3"/>
    <row r="719" ht="14.4" customHeight="1" x14ac:dyDescent="0.3"/>
    <row r="720" ht="14.4" customHeight="1" x14ac:dyDescent="0.3"/>
    <row r="726" ht="14.4" customHeight="1" x14ac:dyDescent="0.3"/>
    <row r="731" ht="14.4" customHeight="1" x14ac:dyDescent="0.3"/>
    <row r="732" ht="14.4" customHeight="1" x14ac:dyDescent="0.3"/>
    <row r="747" ht="14.4" customHeight="1" x14ac:dyDescent="0.3"/>
    <row r="748" ht="14.4" customHeight="1" x14ac:dyDescent="0.3"/>
    <row r="754" ht="14.4" customHeight="1" x14ac:dyDescent="0.3"/>
    <row r="759" ht="14.4" customHeight="1" x14ac:dyDescent="0.3"/>
    <row r="760" ht="14.4" customHeight="1" x14ac:dyDescent="0.3"/>
    <row r="775" ht="14.4" customHeight="1" x14ac:dyDescent="0.3"/>
    <row r="776" ht="14.4" customHeight="1" x14ac:dyDescent="0.3"/>
    <row r="782" ht="14.4" customHeight="1" x14ac:dyDescent="0.3"/>
  </sheetData>
  <mergeCells count="126">
    <mergeCell ref="A37:L37"/>
    <mergeCell ref="A38:B38"/>
    <mergeCell ref="A39:B39"/>
    <mergeCell ref="A56:B56"/>
    <mergeCell ref="A57:B57"/>
    <mergeCell ref="A63:B63"/>
    <mergeCell ref="A6:L6"/>
    <mergeCell ref="A7:B7"/>
    <mergeCell ref="A8:B8"/>
    <mergeCell ref="A25:B25"/>
    <mergeCell ref="A26:B26"/>
    <mergeCell ref="A33:B33"/>
    <mergeCell ref="A99:L99"/>
    <mergeCell ref="A100:B100"/>
    <mergeCell ref="A101:B101"/>
    <mergeCell ref="A118:B118"/>
    <mergeCell ref="A119:B119"/>
    <mergeCell ref="A125:B125"/>
    <mergeCell ref="A67:L67"/>
    <mergeCell ref="A68:B68"/>
    <mergeCell ref="A69:B69"/>
    <mergeCell ref="A88:B88"/>
    <mergeCell ref="A89:B89"/>
    <mergeCell ref="A95:B95"/>
    <mergeCell ref="A159:L159"/>
    <mergeCell ref="A160:B160"/>
    <mergeCell ref="A161:B161"/>
    <mergeCell ref="A178:B178"/>
    <mergeCell ref="A179:B179"/>
    <mergeCell ref="A185:B185"/>
    <mergeCell ref="A129:L129"/>
    <mergeCell ref="A130:B130"/>
    <mergeCell ref="A131:B131"/>
    <mergeCell ref="A148:B148"/>
    <mergeCell ref="A149:B149"/>
    <mergeCell ref="A155:B155"/>
    <mergeCell ref="A219:L219"/>
    <mergeCell ref="A220:B220"/>
    <mergeCell ref="A221:B221"/>
    <mergeCell ref="A238:B238"/>
    <mergeCell ref="A239:B239"/>
    <mergeCell ref="A245:B245"/>
    <mergeCell ref="A189:L189"/>
    <mergeCell ref="A190:B190"/>
    <mergeCell ref="A191:B191"/>
    <mergeCell ref="A208:B208"/>
    <mergeCell ref="A209:B209"/>
    <mergeCell ref="A215:B215"/>
    <mergeCell ref="A279:L279"/>
    <mergeCell ref="A280:B280"/>
    <mergeCell ref="A281:B281"/>
    <mergeCell ref="A299:B299"/>
    <mergeCell ref="A300:B300"/>
    <mergeCell ref="A306:B306"/>
    <mergeCell ref="A249:L249"/>
    <mergeCell ref="A250:B250"/>
    <mergeCell ref="A251:B251"/>
    <mergeCell ref="A268:B268"/>
    <mergeCell ref="A269:B269"/>
    <mergeCell ref="A275:B275"/>
    <mergeCell ref="A340:L340"/>
    <mergeCell ref="A341:B341"/>
    <mergeCell ref="A342:B342"/>
    <mergeCell ref="A359:B359"/>
    <mergeCell ref="A360:B360"/>
    <mergeCell ref="A366:B366"/>
    <mergeCell ref="A310:L310"/>
    <mergeCell ref="A311:B311"/>
    <mergeCell ref="A312:B312"/>
    <mergeCell ref="A329:B329"/>
    <mergeCell ref="A330:B330"/>
    <mergeCell ref="A336:B336"/>
    <mergeCell ref="A430:L430"/>
    <mergeCell ref="A431:B431"/>
    <mergeCell ref="A432:B432"/>
    <mergeCell ref="A449:B449"/>
    <mergeCell ref="A450:B450"/>
    <mergeCell ref="A456:B456"/>
    <mergeCell ref="A370:L370"/>
    <mergeCell ref="A371:B371"/>
    <mergeCell ref="A372:B372"/>
    <mergeCell ref="A389:B389"/>
    <mergeCell ref="A390:B390"/>
    <mergeCell ref="A396:B396"/>
    <mergeCell ref="A400:L400"/>
    <mergeCell ref="A401:B401"/>
    <mergeCell ref="A402:B402"/>
    <mergeCell ref="A419:B419"/>
    <mergeCell ref="A420:B420"/>
    <mergeCell ref="A426:B426"/>
    <mergeCell ref="A511:B511"/>
    <mergeCell ref="A512:B512"/>
    <mergeCell ref="A518:B518"/>
    <mergeCell ref="A460:L460"/>
    <mergeCell ref="A461:B461"/>
    <mergeCell ref="A462:B462"/>
    <mergeCell ref="A480:B480"/>
    <mergeCell ref="A481:B481"/>
    <mergeCell ref="A487:B487"/>
    <mergeCell ref="A491:L491"/>
    <mergeCell ref="A492:B492"/>
    <mergeCell ref="A493:B493"/>
    <mergeCell ref="A634:B634"/>
    <mergeCell ref="A635:B635"/>
    <mergeCell ref="A642:B642"/>
    <mergeCell ref="A583:L583"/>
    <mergeCell ref="A584:B584"/>
    <mergeCell ref="A585:B585"/>
    <mergeCell ref="A602:B602"/>
    <mergeCell ref="A603:B603"/>
    <mergeCell ref="A609:B609"/>
    <mergeCell ref="A613:L613"/>
    <mergeCell ref="A614:B614"/>
    <mergeCell ref="A615:B615"/>
    <mergeCell ref="A553:L553"/>
    <mergeCell ref="A554:B554"/>
    <mergeCell ref="A555:B555"/>
    <mergeCell ref="A572:B572"/>
    <mergeCell ref="A573:B573"/>
    <mergeCell ref="A579:B579"/>
    <mergeCell ref="A522:L522"/>
    <mergeCell ref="A523:B523"/>
    <mergeCell ref="A524:B524"/>
    <mergeCell ref="A542:B542"/>
    <mergeCell ref="A543:B543"/>
    <mergeCell ref="A549:B549"/>
  </mergeCells>
  <pageMargins left="0.70866141732283472" right="0.70866141732283472" top="0.74803149606299213" bottom="0.74803149606299213" header="0.31496062992125984" footer="0.31496062992125984"/>
  <pageSetup paperSize="9" scale="6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92D050"/>
  </sheetPr>
  <dimension ref="A4:T782"/>
  <sheetViews>
    <sheetView tabSelected="1" workbookViewId="0">
      <pane xSplit="2" ySplit="4" topLeftCell="K613" activePane="bottomRight" state="frozen"/>
      <selection pane="topRight" activeCell="C1" sqref="C1"/>
      <selection pane="bottomLeft" activeCell="A5" sqref="A5"/>
      <selection pane="bottomRight" activeCell="R624" sqref="R624"/>
    </sheetView>
  </sheetViews>
  <sheetFormatPr defaultRowHeight="14.4" x14ac:dyDescent="0.3"/>
  <cols>
    <col min="1" max="1" width="4.109375" customWidth="1"/>
    <col min="2" max="2" width="27.109375" customWidth="1"/>
    <col min="3" max="3" width="10.6640625" customWidth="1"/>
    <col min="4" max="4" width="10.109375" customWidth="1"/>
    <col min="5" max="5" width="18.5546875" customWidth="1"/>
    <col min="6" max="6" width="13" customWidth="1"/>
    <col min="7" max="7" width="14.44140625" customWidth="1"/>
    <col min="8" max="8" width="20.109375" customWidth="1"/>
    <col min="9" max="9" width="12.88671875" hidden="1" customWidth="1"/>
    <col min="10" max="10" width="16.33203125" hidden="1" customWidth="1"/>
    <col min="11" max="11" width="18.5546875" customWidth="1"/>
    <col min="12" max="12" width="17.109375" customWidth="1"/>
    <col min="13" max="13" width="16.5546875" hidden="1" customWidth="1"/>
    <col min="14" max="14" width="19" customWidth="1"/>
    <col min="15" max="18" width="20.109375" customWidth="1"/>
    <col min="19" max="20" width="18.88671875" customWidth="1"/>
  </cols>
  <sheetData>
    <row r="4" spans="1:20" ht="129" customHeight="1" x14ac:dyDescent="0.3">
      <c r="A4" s="1"/>
      <c r="B4" s="3" t="s">
        <v>0</v>
      </c>
      <c r="C4" s="2" t="s">
        <v>1</v>
      </c>
      <c r="D4" s="2" t="s">
        <v>2</v>
      </c>
      <c r="E4" s="2" t="s">
        <v>85</v>
      </c>
      <c r="F4" s="2" t="s">
        <v>3</v>
      </c>
      <c r="G4" s="2" t="s">
        <v>86</v>
      </c>
      <c r="H4" s="2" t="s">
        <v>222</v>
      </c>
      <c r="I4" s="2" t="s">
        <v>57</v>
      </c>
      <c r="J4" s="2" t="s">
        <v>58</v>
      </c>
      <c r="K4" s="2" t="s">
        <v>59</v>
      </c>
      <c r="L4" s="2" t="s">
        <v>5</v>
      </c>
      <c r="N4" s="78" t="s">
        <v>223</v>
      </c>
      <c r="O4" s="78" t="s">
        <v>134</v>
      </c>
      <c r="P4" s="78" t="s">
        <v>133</v>
      </c>
      <c r="Q4" s="78" t="s">
        <v>136</v>
      </c>
      <c r="R4" s="78" t="s">
        <v>221</v>
      </c>
      <c r="S4" s="78" t="s">
        <v>224</v>
      </c>
      <c r="T4" s="78" t="s">
        <v>225</v>
      </c>
    </row>
    <row r="5" spans="1:20" ht="21" customHeight="1" x14ac:dyDescent="0.3">
      <c r="A5" s="1"/>
      <c r="B5" s="3"/>
      <c r="C5" s="2"/>
      <c r="D5" s="2"/>
      <c r="E5" s="2"/>
      <c r="F5" s="2"/>
      <c r="G5" s="2"/>
      <c r="H5" s="2"/>
      <c r="I5" s="2"/>
      <c r="J5" s="2"/>
      <c r="K5" s="2"/>
      <c r="L5" s="2"/>
      <c r="O5" s="2"/>
      <c r="P5" s="2"/>
      <c r="Q5" s="2"/>
      <c r="R5" s="2"/>
      <c r="S5" s="2"/>
      <c r="T5" s="2"/>
    </row>
    <row r="6" spans="1:20" x14ac:dyDescent="0.3">
      <c r="A6" s="141" t="s">
        <v>6</v>
      </c>
      <c r="B6" s="141"/>
      <c r="C6" s="141"/>
      <c r="D6" s="141"/>
      <c r="E6" s="141"/>
      <c r="F6" s="141"/>
      <c r="G6" s="141"/>
      <c r="H6" s="141"/>
      <c r="I6" s="141"/>
      <c r="J6" s="141"/>
      <c r="K6" s="141"/>
      <c r="L6" s="141"/>
    </row>
    <row r="7" spans="1:20" ht="14.4" customHeight="1" x14ac:dyDescent="0.3">
      <c r="A7" s="133" t="s">
        <v>7</v>
      </c>
      <c r="B7" s="134"/>
      <c r="C7" s="8">
        <f>C8+C25+C21</f>
        <v>214.25</v>
      </c>
      <c r="D7" s="8">
        <f>D8+D25+D21</f>
        <v>185</v>
      </c>
      <c r="E7" s="8">
        <f>E8+E25+E21</f>
        <v>152</v>
      </c>
      <c r="F7" s="8">
        <f>F8+F25+F21</f>
        <v>185</v>
      </c>
      <c r="G7" s="19"/>
      <c r="H7" s="19"/>
      <c r="I7" s="19"/>
      <c r="J7" s="19"/>
      <c r="K7" s="19"/>
      <c r="L7" s="19"/>
      <c r="O7" s="19"/>
      <c r="P7" s="19"/>
      <c r="Q7" s="19"/>
      <c r="R7" s="19"/>
      <c r="S7" s="19"/>
      <c r="T7" s="19"/>
    </row>
    <row r="8" spans="1:20" ht="27.6" customHeight="1" x14ac:dyDescent="0.3">
      <c r="A8" s="133" t="s">
        <v>89</v>
      </c>
      <c r="B8" s="134"/>
      <c r="C8" s="40">
        <f t="shared" ref="C8:G8" si="0">SUM(C9:C20)</f>
        <v>149.25</v>
      </c>
      <c r="D8" s="40">
        <f t="shared" si="0"/>
        <v>139</v>
      </c>
      <c r="E8" s="40">
        <f t="shared" si="0"/>
        <v>113</v>
      </c>
      <c r="F8" s="40">
        <f t="shared" si="0"/>
        <v>139</v>
      </c>
      <c r="G8" s="40">
        <f t="shared" si="0"/>
        <v>202398.4</v>
      </c>
      <c r="H8" s="40">
        <f>SUM(H9:H20)</f>
        <v>43473840</v>
      </c>
      <c r="I8" s="20"/>
      <c r="J8" s="20">
        <f>H8-I8</f>
        <v>43473840</v>
      </c>
      <c r="K8" s="20">
        <f>J8*30.2%</f>
        <v>13129099.68</v>
      </c>
      <c r="L8" s="20">
        <f>J8+K8</f>
        <v>56602939.68</v>
      </c>
      <c r="O8" s="40">
        <f t="shared" ref="O8:T8" si="1">SUM(O9:O20)</f>
        <v>0</v>
      </c>
      <c r="P8" s="40">
        <f t="shared" si="1"/>
        <v>0</v>
      </c>
      <c r="Q8" s="40">
        <f t="shared" si="1"/>
        <v>0</v>
      </c>
      <c r="R8" s="40">
        <f t="shared" si="1"/>
        <v>0</v>
      </c>
      <c r="S8" s="40">
        <f t="shared" si="1"/>
        <v>0</v>
      </c>
      <c r="T8" s="40">
        <f t="shared" si="1"/>
        <v>0</v>
      </c>
    </row>
    <row r="9" spans="1:20" x14ac:dyDescent="0.3">
      <c r="A9" s="4"/>
      <c r="B9" s="5" t="s">
        <v>9</v>
      </c>
      <c r="C9" s="9">
        <v>77.75</v>
      </c>
      <c r="D9" s="9">
        <v>76</v>
      </c>
      <c r="E9" s="9">
        <v>67</v>
      </c>
      <c r="F9" s="9">
        <v>76</v>
      </c>
      <c r="G9" s="19">
        <f>'расчёт зарплаты'!K10</f>
        <v>28208</v>
      </c>
      <c r="H9" s="19">
        <f>E9*G9*12+ ((D9-E9)*G9/2*12)</f>
        <v>24202464</v>
      </c>
      <c r="I9" s="19"/>
      <c r="J9" s="19"/>
      <c r="K9" s="19"/>
      <c r="L9" s="19">
        <f>G9*K9*12</f>
        <v>0</v>
      </c>
      <c r="O9" s="19">
        <f t="shared" ref="O9:O20" si="2">J9*L9*12+ ((I9-J9)*L9/2*12)</f>
        <v>0</v>
      </c>
      <c r="P9" s="19">
        <f t="shared" ref="P9:P20" si="3">K9*M9*12+ ((J9-K9)*M9/2*12)</f>
        <v>0</v>
      </c>
      <c r="Q9" s="19">
        <f t="shared" ref="Q9:Q20" si="4">L9*O9*12+ ((K9-L9)*O9/2*12)</f>
        <v>0</v>
      </c>
      <c r="R9" s="19">
        <f t="shared" ref="R9:R20" si="5">M9*P9*12+ ((L9-M9)*P9/2*12)</f>
        <v>0</v>
      </c>
      <c r="S9" s="19">
        <f t="shared" ref="S9:T20" si="6">O9*Q9*12+ ((M9-O9)*Q9/2*12)</f>
        <v>0</v>
      </c>
      <c r="T9" s="19">
        <f t="shared" si="6"/>
        <v>0</v>
      </c>
    </row>
    <row r="10" spans="1:20" x14ac:dyDescent="0.3">
      <c r="A10" s="4"/>
      <c r="B10" s="5" t="s">
        <v>10</v>
      </c>
      <c r="C10" s="9">
        <v>0</v>
      </c>
      <c r="D10" s="9">
        <v>0</v>
      </c>
      <c r="E10" s="9">
        <v>0</v>
      </c>
      <c r="F10" s="9">
        <v>0</v>
      </c>
      <c r="G10" s="19">
        <v>25862.400000000001</v>
      </c>
      <c r="H10" s="19">
        <f t="shared" ref="H10:H25" si="7">E10*G10*12+ ((D10-E10)*G10/2*12)</f>
        <v>0</v>
      </c>
      <c r="I10" s="19"/>
      <c r="J10" s="19"/>
      <c r="K10" s="19"/>
      <c r="L10" s="19"/>
      <c r="O10" s="19">
        <f t="shared" si="2"/>
        <v>0</v>
      </c>
      <c r="P10" s="19">
        <f t="shared" si="3"/>
        <v>0</v>
      </c>
      <c r="Q10" s="19">
        <f t="shared" si="4"/>
        <v>0</v>
      </c>
      <c r="R10" s="19">
        <f t="shared" si="5"/>
        <v>0</v>
      </c>
      <c r="S10" s="19">
        <f t="shared" si="6"/>
        <v>0</v>
      </c>
      <c r="T10" s="19">
        <f t="shared" si="6"/>
        <v>0</v>
      </c>
    </row>
    <row r="11" spans="1:20" x14ac:dyDescent="0.3">
      <c r="A11" s="4"/>
      <c r="B11" s="5" t="s">
        <v>13</v>
      </c>
      <c r="C11" s="9">
        <v>15.5</v>
      </c>
      <c r="D11" s="9">
        <v>12</v>
      </c>
      <c r="E11" s="9">
        <v>7</v>
      </c>
      <c r="F11" s="9">
        <v>12</v>
      </c>
      <c r="G11" s="19">
        <f>'расчёт зарплаты'!K38</f>
        <v>28896</v>
      </c>
      <c r="H11" s="19">
        <f t="shared" si="7"/>
        <v>3294144</v>
      </c>
      <c r="I11" s="19"/>
      <c r="J11" s="19"/>
      <c r="K11" s="19"/>
      <c r="L11" s="19"/>
      <c r="O11" s="19">
        <f t="shared" si="2"/>
        <v>0</v>
      </c>
      <c r="P11" s="19">
        <f t="shared" si="3"/>
        <v>0</v>
      </c>
      <c r="Q11" s="19">
        <f t="shared" si="4"/>
        <v>0</v>
      </c>
      <c r="R11" s="19">
        <f t="shared" si="5"/>
        <v>0</v>
      </c>
      <c r="S11" s="19">
        <f t="shared" si="6"/>
        <v>0</v>
      </c>
      <c r="T11" s="19">
        <f t="shared" si="6"/>
        <v>0</v>
      </c>
    </row>
    <row r="12" spans="1:20" ht="28.2" x14ac:dyDescent="0.3">
      <c r="A12" s="4"/>
      <c r="B12" s="5" t="s">
        <v>14</v>
      </c>
      <c r="C12" s="9"/>
      <c r="D12" s="9"/>
      <c r="E12" s="9"/>
      <c r="F12" s="9"/>
      <c r="G12" s="19"/>
      <c r="H12" s="19">
        <f t="shared" si="7"/>
        <v>0</v>
      </c>
      <c r="I12" s="19"/>
      <c r="J12" s="19"/>
      <c r="K12" s="19"/>
      <c r="L12" s="19"/>
      <c r="O12" s="19">
        <f t="shared" si="2"/>
        <v>0</v>
      </c>
      <c r="P12" s="19">
        <f t="shared" si="3"/>
        <v>0</v>
      </c>
      <c r="Q12" s="19">
        <f t="shared" si="4"/>
        <v>0</v>
      </c>
      <c r="R12" s="19">
        <f t="shared" si="5"/>
        <v>0</v>
      </c>
      <c r="S12" s="19">
        <f t="shared" si="6"/>
        <v>0</v>
      </c>
      <c r="T12" s="19">
        <f t="shared" si="6"/>
        <v>0</v>
      </c>
    </row>
    <row r="13" spans="1:20" x14ac:dyDescent="0.3">
      <c r="A13" s="4"/>
      <c r="B13" s="5" t="s">
        <v>15</v>
      </c>
      <c r="C13" s="9">
        <v>19</v>
      </c>
      <c r="D13" s="9">
        <v>14</v>
      </c>
      <c r="E13" s="9">
        <v>9</v>
      </c>
      <c r="F13" s="9">
        <v>14</v>
      </c>
      <c r="G13" s="19">
        <f>'расчёт зарплаты'!K34</f>
        <v>30976</v>
      </c>
      <c r="H13" s="19">
        <f t="shared" si="7"/>
        <v>4274688</v>
      </c>
      <c r="I13" s="19"/>
      <c r="J13" s="19"/>
      <c r="K13" s="19"/>
      <c r="L13" s="19"/>
      <c r="O13" s="19">
        <f t="shared" si="2"/>
        <v>0</v>
      </c>
      <c r="P13" s="19">
        <f t="shared" si="3"/>
        <v>0</v>
      </c>
      <c r="Q13" s="19">
        <f t="shared" si="4"/>
        <v>0</v>
      </c>
      <c r="R13" s="19">
        <f t="shared" si="5"/>
        <v>0</v>
      </c>
      <c r="S13" s="19">
        <f t="shared" si="6"/>
        <v>0</v>
      </c>
      <c r="T13" s="19">
        <f t="shared" si="6"/>
        <v>0</v>
      </c>
    </row>
    <row r="14" spans="1:20" x14ac:dyDescent="0.3">
      <c r="A14" s="4"/>
      <c r="B14" s="5" t="s">
        <v>16</v>
      </c>
      <c r="C14" s="9">
        <v>27</v>
      </c>
      <c r="D14" s="9">
        <v>27</v>
      </c>
      <c r="E14" s="9">
        <v>22</v>
      </c>
      <c r="F14" s="9">
        <v>27</v>
      </c>
      <c r="G14" s="19">
        <f>'расчёт зарплаты'!K8</f>
        <v>28600</v>
      </c>
      <c r="H14" s="19">
        <f t="shared" si="7"/>
        <v>8408400</v>
      </c>
      <c r="I14" s="19"/>
      <c r="J14" s="19"/>
      <c r="K14" s="19"/>
      <c r="L14" s="19"/>
      <c r="O14" s="19">
        <f t="shared" si="2"/>
        <v>0</v>
      </c>
      <c r="P14" s="19">
        <f t="shared" si="3"/>
        <v>0</v>
      </c>
      <c r="Q14" s="19">
        <f t="shared" si="4"/>
        <v>0</v>
      </c>
      <c r="R14" s="19">
        <f t="shared" si="5"/>
        <v>0</v>
      </c>
      <c r="S14" s="19">
        <f t="shared" si="6"/>
        <v>0</v>
      </c>
      <c r="T14" s="19">
        <f t="shared" si="6"/>
        <v>0</v>
      </c>
    </row>
    <row r="15" spans="1:20" ht="42" x14ac:dyDescent="0.3">
      <c r="A15" s="4"/>
      <c r="B15" s="5" t="s">
        <v>17</v>
      </c>
      <c r="C15" s="9">
        <v>4</v>
      </c>
      <c r="D15" s="9">
        <v>4</v>
      </c>
      <c r="E15" s="9">
        <v>2</v>
      </c>
      <c r="F15" s="9">
        <v>4</v>
      </c>
      <c r="G15" s="19">
        <f>'расчёт зарплаты'!K10</f>
        <v>28208</v>
      </c>
      <c r="H15" s="19">
        <f t="shared" si="7"/>
        <v>1015488</v>
      </c>
      <c r="I15" s="19"/>
      <c r="J15" s="19"/>
      <c r="K15" s="19"/>
      <c r="L15" s="19"/>
      <c r="O15" s="19">
        <f t="shared" si="2"/>
        <v>0</v>
      </c>
      <c r="P15" s="19">
        <f t="shared" si="3"/>
        <v>0</v>
      </c>
      <c r="Q15" s="19">
        <f t="shared" si="4"/>
        <v>0</v>
      </c>
      <c r="R15" s="19">
        <f t="shared" si="5"/>
        <v>0</v>
      </c>
      <c r="S15" s="19">
        <f t="shared" si="6"/>
        <v>0</v>
      </c>
      <c r="T15" s="19">
        <f t="shared" si="6"/>
        <v>0</v>
      </c>
    </row>
    <row r="16" spans="1:20" ht="28.2" x14ac:dyDescent="0.3">
      <c r="A16" s="4"/>
      <c r="B16" s="5" t="s">
        <v>18</v>
      </c>
      <c r="C16" s="9">
        <v>6</v>
      </c>
      <c r="D16" s="9">
        <v>6</v>
      </c>
      <c r="E16" s="9">
        <v>6</v>
      </c>
      <c r="F16" s="9">
        <v>6</v>
      </c>
      <c r="G16" s="19">
        <f>'расчёт зарплаты'!K20</f>
        <v>31648</v>
      </c>
      <c r="H16" s="19">
        <f t="shared" si="7"/>
        <v>2278656</v>
      </c>
      <c r="I16" s="19"/>
      <c r="J16" s="19"/>
      <c r="K16" s="19"/>
      <c r="L16" s="19"/>
      <c r="O16" s="19">
        <f t="shared" si="2"/>
        <v>0</v>
      </c>
      <c r="P16" s="19">
        <f t="shared" si="3"/>
        <v>0</v>
      </c>
      <c r="Q16" s="19">
        <f t="shared" si="4"/>
        <v>0</v>
      </c>
      <c r="R16" s="19">
        <f t="shared" si="5"/>
        <v>0</v>
      </c>
      <c r="S16" s="19">
        <f t="shared" si="6"/>
        <v>0</v>
      </c>
      <c r="T16" s="19">
        <f t="shared" si="6"/>
        <v>0</v>
      </c>
    </row>
    <row r="17" spans="1:20" ht="42" x14ac:dyDescent="0.3">
      <c r="A17" s="4"/>
      <c r="B17" s="5" t="s">
        <v>91</v>
      </c>
      <c r="C17" s="9"/>
      <c r="D17" s="9"/>
      <c r="E17" s="9"/>
      <c r="F17" s="9"/>
      <c r="G17" s="19"/>
      <c r="H17" s="19">
        <f t="shared" si="7"/>
        <v>0</v>
      </c>
      <c r="I17" s="19"/>
      <c r="J17" s="19"/>
      <c r="K17" s="19"/>
      <c r="L17" s="19"/>
      <c r="O17" s="19">
        <f t="shared" si="2"/>
        <v>0</v>
      </c>
      <c r="P17" s="19">
        <f t="shared" si="3"/>
        <v>0</v>
      </c>
      <c r="Q17" s="19">
        <f t="shared" si="4"/>
        <v>0</v>
      </c>
      <c r="R17" s="19">
        <f t="shared" si="5"/>
        <v>0</v>
      </c>
      <c r="S17" s="19">
        <f t="shared" si="6"/>
        <v>0</v>
      </c>
      <c r="T17" s="19">
        <f t="shared" si="6"/>
        <v>0</v>
      </c>
    </row>
    <row r="18" spans="1:20" x14ac:dyDescent="0.3">
      <c r="A18" s="4"/>
      <c r="B18" s="5" t="s">
        <v>20</v>
      </c>
      <c r="C18" s="9">
        <v>0</v>
      </c>
      <c r="D18" s="9">
        <v>0</v>
      </c>
      <c r="E18" s="9">
        <v>0</v>
      </c>
      <c r="F18" s="9">
        <v>0</v>
      </c>
      <c r="G18" s="19"/>
      <c r="H18" s="19">
        <f t="shared" si="7"/>
        <v>0</v>
      </c>
      <c r="I18" s="19"/>
      <c r="J18" s="19"/>
      <c r="K18" s="19"/>
      <c r="L18" s="19"/>
      <c r="O18" s="19">
        <f t="shared" si="2"/>
        <v>0</v>
      </c>
      <c r="P18" s="19">
        <f t="shared" si="3"/>
        <v>0</v>
      </c>
      <c r="Q18" s="19">
        <f t="shared" si="4"/>
        <v>0</v>
      </c>
      <c r="R18" s="19">
        <f t="shared" si="5"/>
        <v>0</v>
      </c>
      <c r="S18" s="19">
        <f t="shared" si="6"/>
        <v>0</v>
      </c>
      <c r="T18" s="19">
        <f t="shared" si="6"/>
        <v>0</v>
      </c>
    </row>
    <row r="19" spans="1:20" ht="39.6" x14ac:dyDescent="0.3">
      <c r="A19" s="4"/>
      <c r="B19" s="6" t="s">
        <v>21</v>
      </c>
      <c r="C19" s="9"/>
      <c r="D19" s="9"/>
      <c r="E19" s="9"/>
      <c r="F19" s="9"/>
      <c r="G19" s="19"/>
      <c r="H19" s="19">
        <f t="shared" si="7"/>
        <v>0</v>
      </c>
      <c r="I19" s="19"/>
      <c r="J19" s="19"/>
      <c r="K19" s="19"/>
      <c r="L19" s="19"/>
      <c r="O19" s="19">
        <f t="shared" si="2"/>
        <v>0</v>
      </c>
      <c r="P19" s="19">
        <f t="shared" si="3"/>
        <v>0</v>
      </c>
      <c r="Q19" s="19">
        <f t="shared" si="4"/>
        <v>0</v>
      </c>
      <c r="R19" s="19">
        <f t="shared" si="5"/>
        <v>0</v>
      </c>
      <c r="S19" s="19">
        <f t="shared" si="6"/>
        <v>0</v>
      </c>
      <c r="T19" s="19">
        <f t="shared" si="6"/>
        <v>0</v>
      </c>
    </row>
    <row r="20" spans="1:20" x14ac:dyDescent="0.3">
      <c r="A20" s="4"/>
      <c r="B20" s="5" t="s">
        <v>22</v>
      </c>
      <c r="C20" s="9"/>
      <c r="D20" s="9"/>
      <c r="E20" s="9"/>
      <c r="F20" s="9"/>
      <c r="G20" s="19"/>
      <c r="H20" s="19">
        <f t="shared" si="7"/>
        <v>0</v>
      </c>
      <c r="I20" s="19"/>
      <c r="J20" s="19"/>
      <c r="K20" s="19"/>
      <c r="L20" s="19"/>
      <c r="O20" s="19">
        <f t="shared" si="2"/>
        <v>0</v>
      </c>
      <c r="P20" s="19">
        <f t="shared" si="3"/>
        <v>0</v>
      </c>
      <c r="Q20" s="19">
        <f t="shared" si="4"/>
        <v>0</v>
      </c>
      <c r="R20" s="19">
        <f t="shared" si="5"/>
        <v>0</v>
      </c>
      <c r="S20" s="19">
        <f t="shared" si="6"/>
        <v>0</v>
      </c>
      <c r="T20" s="19">
        <f t="shared" si="6"/>
        <v>0</v>
      </c>
    </row>
    <row r="21" spans="1:20" x14ac:dyDescent="0.3">
      <c r="A21" s="38" t="s">
        <v>57</v>
      </c>
      <c r="B21" s="39"/>
      <c r="C21" s="41">
        <f>C22+C23+C24</f>
        <v>28</v>
      </c>
      <c r="D21" s="41">
        <f t="shared" ref="D21:L21" si="8">D22+D23+D24</f>
        <v>16</v>
      </c>
      <c r="E21" s="41">
        <f t="shared" si="8"/>
        <v>16</v>
      </c>
      <c r="F21" s="41">
        <f t="shared" si="8"/>
        <v>16</v>
      </c>
      <c r="G21" s="41"/>
      <c r="H21" s="42">
        <f t="shared" si="8"/>
        <v>5297040</v>
      </c>
      <c r="I21" s="42">
        <f t="shared" si="8"/>
        <v>0</v>
      </c>
      <c r="J21" s="42">
        <f t="shared" si="8"/>
        <v>0</v>
      </c>
      <c r="K21" s="42">
        <f t="shared" si="8"/>
        <v>0</v>
      </c>
      <c r="L21" s="42">
        <f t="shared" si="8"/>
        <v>0</v>
      </c>
      <c r="O21" s="42">
        <f t="shared" ref="O21:P21" si="9">O22+O23+O24</f>
        <v>0</v>
      </c>
      <c r="P21" s="42">
        <f t="shared" si="9"/>
        <v>0</v>
      </c>
      <c r="Q21" s="42">
        <f t="shared" ref="Q21" si="10">Q22+Q23+Q24</f>
        <v>0</v>
      </c>
      <c r="R21" s="42">
        <f t="shared" ref="R21:S21" si="11">R22+R23+R24</f>
        <v>0</v>
      </c>
      <c r="S21" s="42">
        <f t="shared" si="11"/>
        <v>0</v>
      </c>
      <c r="T21" s="42">
        <f t="shared" ref="T21" si="12">T22+T23+T24</f>
        <v>0</v>
      </c>
    </row>
    <row r="22" spans="1:20" x14ac:dyDescent="0.3">
      <c r="A22" s="4"/>
      <c r="B22" s="5" t="s">
        <v>11</v>
      </c>
      <c r="C22" s="9">
        <v>8.25</v>
      </c>
      <c r="D22" s="9">
        <v>6</v>
      </c>
      <c r="E22" s="9">
        <v>4</v>
      </c>
      <c r="F22" s="9">
        <v>6</v>
      </c>
      <c r="G22" s="19">
        <f>'расчёт зарплаты'!K26</f>
        <v>27300</v>
      </c>
      <c r="H22" s="19">
        <f t="shared" si="7"/>
        <v>1638000</v>
      </c>
      <c r="I22" s="19"/>
      <c r="J22" s="19"/>
      <c r="K22" s="19"/>
      <c r="L22" s="19"/>
      <c r="O22" s="19">
        <f t="shared" ref="O22:P25" si="13">J22*L22*12+ ((I22-J22)*L22/2*12)</f>
        <v>0</v>
      </c>
      <c r="P22" s="19">
        <f t="shared" si="13"/>
        <v>0</v>
      </c>
      <c r="Q22" s="19">
        <f t="shared" ref="Q22:R25" si="14">L22*O22*12+ ((K22-L22)*O22/2*12)</f>
        <v>0</v>
      </c>
      <c r="R22" s="19">
        <f t="shared" si="14"/>
        <v>0</v>
      </c>
      <c r="S22" s="19">
        <f t="shared" ref="S22:T25" si="15">O22*Q22*12+ ((M22-O22)*Q22/2*12)</f>
        <v>0</v>
      </c>
      <c r="T22" s="19">
        <f t="shared" si="15"/>
        <v>0</v>
      </c>
    </row>
    <row r="23" spans="1:20" x14ac:dyDescent="0.3">
      <c r="A23" s="4"/>
      <c r="B23" s="5" t="s">
        <v>12</v>
      </c>
      <c r="C23" s="9">
        <v>8.5</v>
      </c>
      <c r="D23" s="9">
        <v>6</v>
      </c>
      <c r="E23" s="9">
        <v>6</v>
      </c>
      <c r="F23" s="9">
        <v>6</v>
      </c>
      <c r="G23" s="19">
        <f>'расчёт зарплаты'!K26</f>
        <v>27300</v>
      </c>
      <c r="H23" s="19">
        <f t="shared" si="7"/>
        <v>1965600</v>
      </c>
      <c r="I23" s="19"/>
      <c r="J23" s="19"/>
      <c r="K23" s="19"/>
      <c r="L23" s="19"/>
      <c r="O23" s="19">
        <f t="shared" si="13"/>
        <v>0</v>
      </c>
      <c r="P23" s="19">
        <f t="shared" si="13"/>
        <v>0</v>
      </c>
      <c r="Q23" s="19">
        <f t="shared" si="14"/>
        <v>0</v>
      </c>
      <c r="R23" s="19">
        <f t="shared" si="14"/>
        <v>0</v>
      </c>
      <c r="S23" s="19">
        <f t="shared" si="15"/>
        <v>0</v>
      </c>
      <c r="T23" s="19">
        <f t="shared" si="15"/>
        <v>0</v>
      </c>
    </row>
    <row r="24" spans="1:20" ht="28.2" x14ac:dyDescent="0.3">
      <c r="A24" s="4"/>
      <c r="B24" s="5" t="s">
        <v>19</v>
      </c>
      <c r="C24" s="9">
        <v>11.25</v>
      </c>
      <c r="D24" s="9">
        <v>4</v>
      </c>
      <c r="E24" s="9">
        <v>6</v>
      </c>
      <c r="F24" s="9">
        <v>4</v>
      </c>
      <c r="G24" s="19">
        <f>'расчёт зарплаты'!K40</f>
        <v>28224</v>
      </c>
      <c r="H24" s="19">
        <f t="shared" si="7"/>
        <v>1693440</v>
      </c>
      <c r="I24" s="19"/>
      <c r="J24" s="19"/>
      <c r="K24" s="19"/>
      <c r="L24" s="19"/>
      <c r="O24" s="19">
        <f t="shared" si="13"/>
        <v>0</v>
      </c>
      <c r="P24" s="19">
        <f t="shared" si="13"/>
        <v>0</v>
      </c>
      <c r="Q24" s="19">
        <f t="shared" si="14"/>
        <v>0</v>
      </c>
      <c r="R24" s="19">
        <f t="shared" si="14"/>
        <v>0</v>
      </c>
      <c r="S24" s="19">
        <f t="shared" si="15"/>
        <v>0</v>
      </c>
      <c r="T24" s="19">
        <f t="shared" si="15"/>
        <v>0</v>
      </c>
    </row>
    <row r="25" spans="1:20" x14ac:dyDescent="0.3">
      <c r="A25" s="135" t="s">
        <v>23</v>
      </c>
      <c r="B25" s="135"/>
      <c r="C25" s="8">
        <f t="shared" ref="C25:F25" si="16">C26+C33</f>
        <v>37</v>
      </c>
      <c r="D25" s="8">
        <f t="shared" si="16"/>
        <v>30</v>
      </c>
      <c r="E25" s="8">
        <f t="shared" si="16"/>
        <v>23</v>
      </c>
      <c r="F25" s="8">
        <f t="shared" si="16"/>
        <v>30</v>
      </c>
      <c r="G25" s="19"/>
      <c r="H25" s="19">
        <f t="shared" si="7"/>
        <v>0</v>
      </c>
      <c r="I25" s="19"/>
      <c r="J25" s="20">
        <f t="shared" ref="J25:K25" si="17">J26+J33</f>
        <v>13512576</v>
      </c>
      <c r="K25" s="20">
        <f t="shared" si="17"/>
        <v>4080797.952</v>
      </c>
      <c r="L25" s="20">
        <f>L26+L33</f>
        <v>17593373.952</v>
      </c>
      <c r="O25" s="19">
        <f t="shared" si="13"/>
        <v>1426390815736922</v>
      </c>
      <c r="P25" s="19">
        <f t="shared" si="13"/>
        <v>0</v>
      </c>
      <c r="Q25" s="19">
        <f t="shared" si="14"/>
        <v>1.8549503845541297E+23</v>
      </c>
      <c r="R25" s="19">
        <f t="shared" si="14"/>
        <v>0</v>
      </c>
      <c r="S25" s="19">
        <f t="shared" si="15"/>
        <v>1.5875305153054094E+39</v>
      </c>
      <c r="T25" s="19">
        <f t="shared" si="15"/>
        <v>0</v>
      </c>
    </row>
    <row r="26" spans="1:20" x14ac:dyDescent="0.3">
      <c r="A26" s="136" t="s">
        <v>24</v>
      </c>
      <c r="B26" s="136"/>
      <c r="C26" s="8">
        <f t="shared" ref="C26:F26" si="18">C27+C28+C29+C31+C32</f>
        <v>26.5</v>
      </c>
      <c r="D26" s="8">
        <f t="shared" si="18"/>
        <v>21</v>
      </c>
      <c r="E26" s="8">
        <f t="shared" si="18"/>
        <v>15</v>
      </c>
      <c r="F26" s="8">
        <f t="shared" si="18"/>
        <v>21</v>
      </c>
      <c r="G26" s="20"/>
      <c r="H26" s="20">
        <f>H27+H28+H29+H31+H32+H30</f>
        <v>10377984</v>
      </c>
      <c r="I26" s="20">
        <f t="shared" ref="I26" si="19">I27+I28+I29+I31+I32</f>
        <v>0</v>
      </c>
      <c r="J26" s="20">
        <f>H26</f>
        <v>10377984</v>
      </c>
      <c r="K26" s="20">
        <f>J26*30.2%</f>
        <v>3134151.1680000001</v>
      </c>
      <c r="L26" s="20">
        <f>J26+K26</f>
        <v>13512135.168</v>
      </c>
      <c r="O26" s="20">
        <f t="shared" ref="O26:T26" si="20">O27+O28+O29+O31+O32+O30</f>
        <v>0</v>
      </c>
      <c r="P26" s="20">
        <f t="shared" si="20"/>
        <v>0</v>
      </c>
      <c r="Q26" s="20">
        <f t="shared" si="20"/>
        <v>0</v>
      </c>
      <c r="R26" s="20">
        <f t="shared" si="20"/>
        <v>0</v>
      </c>
      <c r="S26" s="20">
        <f t="shared" si="20"/>
        <v>0</v>
      </c>
      <c r="T26" s="20">
        <f t="shared" si="20"/>
        <v>0</v>
      </c>
    </row>
    <row r="27" spans="1:20" x14ac:dyDescent="0.3">
      <c r="A27" s="4"/>
      <c r="B27" s="5" t="s">
        <v>25</v>
      </c>
      <c r="C27" s="9">
        <v>3</v>
      </c>
      <c r="D27" s="9">
        <v>2</v>
      </c>
      <c r="E27" s="9">
        <v>2</v>
      </c>
      <c r="F27" s="9">
        <v>2</v>
      </c>
      <c r="G27" s="19">
        <f>'расчёт зарплаты'!K14</f>
        <v>33792</v>
      </c>
      <c r="H27" s="19">
        <f t="shared" ref="H27:H32" si="21">E27*G27*12+ ((D27-E27)*G27/2*12)</f>
        <v>811008</v>
      </c>
      <c r="I27" s="19"/>
      <c r="J27" s="19"/>
      <c r="K27" s="19"/>
      <c r="L27" s="19"/>
      <c r="O27" s="19">
        <f t="shared" ref="O27:P32" si="22">J27*L27*12+ ((I27-J27)*L27/2*12)</f>
        <v>0</v>
      </c>
      <c r="P27" s="19">
        <f t="shared" si="22"/>
        <v>0</v>
      </c>
      <c r="Q27" s="19">
        <f t="shared" ref="Q27:R32" si="23">L27*O27*12+ ((K27-L27)*O27/2*12)</f>
        <v>0</v>
      </c>
      <c r="R27" s="19">
        <f t="shared" si="23"/>
        <v>0</v>
      </c>
      <c r="S27" s="19">
        <f t="shared" ref="S27:T32" si="24">O27*Q27*12+ ((M27-O27)*Q27/2*12)</f>
        <v>0</v>
      </c>
      <c r="T27" s="19">
        <f t="shared" si="24"/>
        <v>0</v>
      </c>
    </row>
    <row r="28" spans="1:20" x14ac:dyDescent="0.3">
      <c r="A28" s="4"/>
      <c r="B28" s="5" t="s">
        <v>26</v>
      </c>
      <c r="C28" s="9"/>
      <c r="D28" s="9"/>
      <c r="E28" s="9"/>
      <c r="F28" s="9"/>
      <c r="G28" s="19">
        <f>'расчёт зарплаты'!K16</f>
        <v>36608</v>
      </c>
      <c r="H28" s="19">
        <f t="shared" si="21"/>
        <v>0</v>
      </c>
      <c r="I28" s="19"/>
      <c r="J28" s="19"/>
      <c r="K28" s="19"/>
      <c r="L28" s="19"/>
      <c r="O28" s="19">
        <f t="shared" si="22"/>
        <v>0</v>
      </c>
      <c r="P28" s="19">
        <f t="shared" si="22"/>
        <v>0</v>
      </c>
      <c r="Q28" s="19">
        <f t="shared" si="23"/>
        <v>0</v>
      </c>
      <c r="R28" s="19">
        <f t="shared" si="23"/>
        <v>0</v>
      </c>
      <c r="S28" s="19">
        <f t="shared" si="24"/>
        <v>0</v>
      </c>
      <c r="T28" s="19">
        <f t="shared" si="24"/>
        <v>0</v>
      </c>
    </row>
    <row r="29" spans="1:20" x14ac:dyDescent="0.3">
      <c r="A29" s="4"/>
      <c r="B29" s="5" t="s">
        <v>27</v>
      </c>
      <c r="C29" s="9"/>
      <c r="D29" s="9"/>
      <c r="E29" s="9"/>
      <c r="F29" s="9"/>
      <c r="G29" s="19">
        <f>'расчёт зарплаты'!K18</f>
        <v>39424</v>
      </c>
      <c r="H29" s="19">
        <f t="shared" si="21"/>
        <v>0</v>
      </c>
      <c r="I29" s="19"/>
      <c r="J29" s="19"/>
      <c r="K29" s="19"/>
      <c r="L29" s="19"/>
      <c r="O29" s="19">
        <f t="shared" si="22"/>
        <v>0</v>
      </c>
      <c r="P29" s="19">
        <f t="shared" si="22"/>
        <v>0</v>
      </c>
      <c r="Q29" s="19">
        <f t="shared" si="23"/>
        <v>0</v>
      </c>
      <c r="R29" s="19">
        <f t="shared" si="23"/>
        <v>0</v>
      </c>
      <c r="S29" s="19">
        <f t="shared" si="24"/>
        <v>0</v>
      </c>
      <c r="T29" s="19">
        <f t="shared" si="24"/>
        <v>0</v>
      </c>
    </row>
    <row r="30" spans="1:20" x14ac:dyDescent="0.3">
      <c r="A30" s="4"/>
      <c r="B30" s="43" t="s">
        <v>84</v>
      </c>
      <c r="C30" s="10">
        <v>8</v>
      </c>
      <c r="D30" s="10">
        <v>8</v>
      </c>
      <c r="E30" s="10">
        <v>8</v>
      </c>
      <c r="F30" s="10">
        <v>8</v>
      </c>
      <c r="G30" s="36">
        <f>'расчёт зарплаты'!K36</f>
        <v>45056</v>
      </c>
      <c r="H30" s="19">
        <f t="shared" si="21"/>
        <v>4325376</v>
      </c>
      <c r="I30" s="36"/>
      <c r="J30" s="36"/>
      <c r="K30" s="36"/>
      <c r="L30" s="36"/>
      <c r="O30" s="19">
        <f t="shared" si="22"/>
        <v>0</v>
      </c>
      <c r="P30" s="19">
        <f t="shared" si="22"/>
        <v>0</v>
      </c>
      <c r="Q30" s="19">
        <f t="shared" si="23"/>
        <v>0</v>
      </c>
      <c r="R30" s="19">
        <f t="shared" si="23"/>
        <v>0</v>
      </c>
      <c r="S30" s="19">
        <f t="shared" si="24"/>
        <v>0</v>
      </c>
      <c r="T30" s="19">
        <f t="shared" si="24"/>
        <v>0</v>
      </c>
    </row>
    <row r="31" spans="1:20" ht="28.2" x14ac:dyDescent="0.3">
      <c r="A31" s="4"/>
      <c r="B31" s="5" t="s">
        <v>28</v>
      </c>
      <c r="C31" s="9">
        <v>8.5</v>
      </c>
      <c r="D31" s="9">
        <v>7</v>
      </c>
      <c r="E31" s="9">
        <v>6</v>
      </c>
      <c r="F31" s="9">
        <v>7</v>
      </c>
      <c r="G31" s="19">
        <f>'расчёт зарплаты'!K26</f>
        <v>27300</v>
      </c>
      <c r="H31" s="19">
        <f t="shared" si="21"/>
        <v>2129400</v>
      </c>
      <c r="I31" s="19"/>
      <c r="J31" s="19"/>
      <c r="K31" s="19"/>
      <c r="L31" s="19"/>
      <c r="M31" s="37"/>
      <c r="N31" s="37"/>
      <c r="O31" s="19">
        <f t="shared" si="22"/>
        <v>0</v>
      </c>
      <c r="P31" s="19">
        <f t="shared" si="22"/>
        <v>0</v>
      </c>
      <c r="Q31" s="19">
        <f t="shared" si="23"/>
        <v>0</v>
      </c>
      <c r="R31" s="19">
        <f t="shared" si="23"/>
        <v>0</v>
      </c>
      <c r="S31" s="19">
        <f t="shared" si="24"/>
        <v>0</v>
      </c>
      <c r="T31" s="19">
        <f t="shared" si="24"/>
        <v>0</v>
      </c>
    </row>
    <row r="32" spans="1:20" x14ac:dyDescent="0.3">
      <c r="A32" s="4"/>
      <c r="B32" s="5" t="s">
        <v>29</v>
      </c>
      <c r="C32" s="9">
        <v>15</v>
      </c>
      <c r="D32" s="9">
        <v>12</v>
      </c>
      <c r="E32" s="9">
        <v>7</v>
      </c>
      <c r="F32" s="9">
        <v>12</v>
      </c>
      <c r="G32" s="19">
        <f>'расчёт зарплаты'!K26</f>
        <v>27300</v>
      </c>
      <c r="H32" s="19">
        <f t="shared" si="21"/>
        <v>3112200</v>
      </c>
      <c r="I32" s="19"/>
      <c r="J32" s="19"/>
      <c r="K32" s="19"/>
      <c r="L32" s="19"/>
      <c r="O32" s="19">
        <f t="shared" si="22"/>
        <v>0</v>
      </c>
      <c r="P32" s="19">
        <f t="shared" si="22"/>
        <v>0</v>
      </c>
      <c r="Q32" s="19">
        <f t="shared" si="23"/>
        <v>0</v>
      </c>
      <c r="R32" s="19">
        <f t="shared" si="23"/>
        <v>0</v>
      </c>
      <c r="S32" s="19">
        <f t="shared" si="24"/>
        <v>0</v>
      </c>
      <c r="T32" s="19">
        <f t="shared" si="24"/>
        <v>0</v>
      </c>
    </row>
    <row r="33" spans="1:20" x14ac:dyDescent="0.3">
      <c r="A33" s="136" t="s">
        <v>30</v>
      </c>
      <c r="B33" s="136"/>
      <c r="C33" s="8">
        <f t="shared" ref="C33:F33" si="25">C34+C35+C36</f>
        <v>10.5</v>
      </c>
      <c r="D33" s="8">
        <f t="shared" si="25"/>
        <v>9</v>
      </c>
      <c r="E33" s="8">
        <f t="shared" si="25"/>
        <v>8</v>
      </c>
      <c r="F33" s="8">
        <f t="shared" si="25"/>
        <v>9</v>
      </c>
      <c r="G33" s="20"/>
      <c r="H33" s="20">
        <f>H34+H35+H36</f>
        <v>3134592</v>
      </c>
      <c r="I33" s="20">
        <f t="shared" ref="I33" si="26">I34+I35+I36</f>
        <v>0</v>
      </c>
      <c r="J33" s="20">
        <f>H33</f>
        <v>3134592</v>
      </c>
      <c r="K33" s="20">
        <f>J33*30.2%</f>
        <v>946646.78399999999</v>
      </c>
      <c r="L33" s="20">
        <f>J33+K33</f>
        <v>4081238.784</v>
      </c>
      <c r="O33" s="20">
        <f t="shared" ref="O33:T33" si="27">O34+O35+O36</f>
        <v>0</v>
      </c>
      <c r="P33" s="20">
        <f t="shared" si="27"/>
        <v>0</v>
      </c>
      <c r="Q33" s="20">
        <f t="shared" si="27"/>
        <v>0</v>
      </c>
      <c r="R33" s="20">
        <f t="shared" si="27"/>
        <v>0</v>
      </c>
      <c r="S33" s="20">
        <f t="shared" si="27"/>
        <v>0</v>
      </c>
      <c r="T33" s="20">
        <f t="shared" si="27"/>
        <v>0</v>
      </c>
    </row>
    <row r="34" spans="1:20" x14ac:dyDescent="0.3">
      <c r="A34" s="4"/>
      <c r="B34" s="5" t="s">
        <v>31</v>
      </c>
      <c r="C34" s="9">
        <v>8</v>
      </c>
      <c r="D34" s="9">
        <v>8</v>
      </c>
      <c r="E34" s="9">
        <v>7</v>
      </c>
      <c r="F34" s="9">
        <v>8</v>
      </c>
      <c r="G34" s="19">
        <f>'расчёт зарплаты'!K34</f>
        <v>30976</v>
      </c>
      <c r="H34" s="19">
        <f t="shared" ref="H34:H36" si="28">E34*G34*12+ ((D34-E34)*G34/2*12)</f>
        <v>2787840</v>
      </c>
      <c r="I34" s="19"/>
      <c r="J34" s="19"/>
      <c r="K34" s="19"/>
      <c r="L34" s="19"/>
      <c r="O34" s="19">
        <f t="shared" ref="O34:P36" si="29">J34*L34*12+ ((I34-J34)*L34/2*12)</f>
        <v>0</v>
      </c>
      <c r="P34" s="19">
        <f t="shared" si="29"/>
        <v>0</v>
      </c>
      <c r="Q34" s="19">
        <f t="shared" ref="Q34:R36" si="30">L34*O34*12+ ((K34-L34)*O34/2*12)</f>
        <v>0</v>
      </c>
      <c r="R34" s="19">
        <f t="shared" si="30"/>
        <v>0</v>
      </c>
      <c r="S34" s="19">
        <f t="shared" ref="S34:T36" si="31">O34*Q34*12+ ((M34-O34)*Q34/2*12)</f>
        <v>0</v>
      </c>
      <c r="T34" s="19">
        <f t="shared" si="31"/>
        <v>0</v>
      </c>
    </row>
    <row r="35" spans="1:20" x14ac:dyDescent="0.3">
      <c r="A35" s="4"/>
      <c r="B35" s="5" t="s">
        <v>32</v>
      </c>
      <c r="C35" s="9"/>
      <c r="D35" s="9"/>
      <c r="E35" s="9"/>
      <c r="F35" s="9"/>
      <c r="G35" s="19">
        <f>'расчёт зарплаты'!K38</f>
        <v>28896</v>
      </c>
      <c r="H35" s="19">
        <f t="shared" si="28"/>
        <v>0</v>
      </c>
      <c r="I35" s="19"/>
      <c r="J35" s="19"/>
      <c r="K35" s="19"/>
      <c r="L35" s="19"/>
      <c r="O35" s="19">
        <f t="shared" si="29"/>
        <v>0</v>
      </c>
      <c r="P35" s="19">
        <f t="shared" si="29"/>
        <v>0</v>
      </c>
      <c r="Q35" s="19">
        <f t="shared" si="30"/>
        <v>0</v>
      </c>
      <c r="R35" s="19">
        <f t="shared" si="30"/>
        <v>0</v>
      </c>
      <c r="S35" s="19">
        <f t="shared" si="31"/>
        <v>0</v>
      </c>
      <c r="T35" s="19">
        <f t="shared" si="31"/>
        <v>0</v>
      </c>
    </row>
    <row r="36" spans="1:20" x14ac:dyDescent="0.3">
      <c r="A36" s="4"/>
      <c r="B36" s="5" t="s">
        <v>33</v>
      </c>
      <c r="C36" s="9">
        <v>2.5</v>
      </c>
      <c r="D36" s="9">
        <v>1</v>
      </c>
      <c r="E36" s="9">
        <v>1</v>
      </c>
      <c r="F36" s="9">
        <v>1</v>
      </c>
      <c r="G36" s="19">
        <f>'расчёт зарплаты'!K38</f>
        <v>28896</v>
      </c>
      <c r="H36" s="19">
        <f t="shared" si="28"/>
        <v>346752</v>
      </c>
      <c r="I36" s="19"/>
      <c r="J36" s="19"/>
      <c r="K36" s="19"/>
      <c r="L36" s="19"/>
      <c r="O36" s="19">
        <f t="shared" si="29"/>
        <v>0</v>
      </c>
      <c r="P36" s="19">
        <f t="shared" si="29"/>
        <v>0</v>
      </c>
      <c r="Q36" s="19">
        <f t="shared" si="30"/>
        <v>0</v>
      </c>
      <c r="R36" s="19">
        <f t="shared" si="30"/>
        <v>0</v>
      </c>
      <c r="S36" s="19">
        <f t="shared" si="31"/>
        <v>0</v>
      </c>
      <c r="T36" s="19">
        <f t="shared" si="31"/>
        <v>0</v>
      </c>
    </row>
    <row r="37" spans="1:20" x14ac:dyDescent="0.3">
      <c r="A37" s="141" t="s">
        <v>60</v>
      </c>
      <c r="B37" s="141"/>
      <c r="C37" s="141"/>
      <c r="D37" s="141"/>
      <c r="E37" s="141"/>
      <c r="F37" s="141"/>
      <c r="G37" s="141"/>
      <c r="H37" s="141"/>
      <c r="I37" s="141"/>
      <c r="J37" s="141"/>
      <c r="K37" s="141"/>
      <c r="L37" s="141"/>
    </row>
    <row r="38" spans="1:20" ht="14.4" customHeight="1" x14ac:dyDescent="0.3">
      <c r="A38" s="133" t="s">
        <v>7</v>
      </c>
      <c r="B38" s="134"/>
      <c r="C38" s="8">
        <f>C39+C56+C52</f>
        <v>79</v>
      </c>
      <c r="D38" s="8">
        <f>D39+D56+D52</f>
        <v>79</v>
      </c>
      <c r="E38" s="8">
        <f>E39+E56+E52</f>
        <v>69</v>
      </c>
      <c r="F38" s="8">
        <f>F39+F56+F52</f>
        <v>69</v>
      </c>
      <c r="G38" s="19"/>
      <c r="H38" s="19"/>
      <c r="I38" s="19"/>
      <c r="J38" s="19"/>
      <c r="K38" s="19"/>
      <c r="L38" s="19"/>
      <c r="O38" s="19"/>
      <c r="P38" s="19"/>
      <c r="Q38" s="19"/>
      <c r="R38" s="19"/>
      <c r="S38" s="19"/>
      <c r="T38" s="19"/>
    </row>
    <row r="39" spans="1:20" ht="14.4" customHeight="1" x14ac:dyDescent="0.3">
      <c r="A39" s="133" t="s">
        <v>89</v>
      </c>
      <c r="B39" s="134"/>
      <c r="C39" s="40">
        <f t="shared" ref="C39:G39" si="32">SUM(C40:C51)</f>
        <v>55</v>
      </c>
      <c r="D39" s="40">
        <f t="shared" si="32"/>
        <v>55</v>
      </c>
      <c r="E39" s="40">
        <f t="shared" si="32"/>
        <v>50</v>
      </c>
      <c r="F39" s="40">
        <f t="shared" si="32"/>
        <v>50</v>
      </c>
      <c r="G39" s="40">
        <f t="shared" si="32"/>
        <v>207512</v>
      </c>
      <c r="H39" s="40">
        <f>SUM(H40:H51)</f>
        <v>18118872</v>
      </c>
      <c r="I39" s="20"/>
      <c r="J39" s="20">
        <f>H39-I39</f>
        <v>18118872</v>
      </c>
      <c r="K39" s="20">
        <f>J39*30.2%</f>
        <v>5471899.3439999996</v>
      </c>
      <c r="L39" s="20">
        <f>J39+K39</f>
        <v>23590771.344000001</v>
      </c>
      <c r="O39" s="40">
        <f t="shared" ref="O39:T39" si="33">SUM(O40:O51)</f>
        <v>0</v>
      </c>
      <c r="P39" s="40">
        <f t="shared" si="33"/>
        <v>0</v>
      </c>
      <c r="Q39" s="40">
        <f t="shared" si="33"/>
        <v>0</v>
      </c>
      <c r="R39" s="40">
        <f t="shared" si="33"/>
        <v>0</v>
      </c>
      <c r="S39" s="40">
        <f t="shared" si="33"/>
        <v>0</v>
      </c>
      <c r="T39" s="40">
        <f t="shared" si="33"/>
        <v>0</v>
      </c>
    </row>
    <row r="40" spans="1:20" x14ac:dyDescent="0.3">
      <c r="A40" s="4"/>
      <c r="B40" s="5" t="s">
        <v>9</v>
      </c>
      <c r="C40" s="22">
        <v>30</v>
      </c>
      <c r="D40" s="22">
        <v>30</v>
      </c>
      <c r="E40" s="22">
        <v>30</v>
      </c>
      <c r="F40" s="22">
        <v>30</v>
      </c>
      <c r="G40" s="19">
        <f>'расчёт зарплаты'!K10</f>
        <v>28208</v>
      </c>
      <c r="H40" s="19">
        <f>E40*G40*12+ ((D40-E40)*G40/2*12)</f>
        <v>10154880</v>
      </c>
      <c r="I40" s="19"/>
      <c r="J40" s="19"/>
      <c r="K40" s="19"/>
      <c r="L40" s="19">
        <f>G40*K40*12</f>
        <v>0</v>
      </c>
      <c r="O40" s="19">
        <f t="shared" ref="O40:O51" si="34">J40*L40*12+ ((I40-J40)*L40/2*12)</f>
        <v>0</v>
      </c>
      <c r="P40" s="19">
        <f t="shared" ref="P40:P51" si="35">K40*M40*12+ ((J40-K40)*M40/2*12)</f>
        <v>0</v>
      </c>
      <c r="Q40" s="19">
        <f t="shared" ref="Q40:Q51" si="36">L40*O40*12+ ((K40-L40)*O40/2*12)</f>
        <v>0</v>
      </c>
      <c r="R40" s="19">
        <f t="shared" ref="R40:R51" si="37">M40*P40*12+ ((L40-M40)*P40/2*12)</f>
        <v>0</v>
      </c>
      <c r="S40" s="19">
        <f t="shared" ref="S40:T51" si="38">O40*Q40*12+ ((M40-O40)*Q40/2*12)</f>
        <v>0</v>
      </c>
      <c r="T40" s="19">
        <f t="shared" si="38"/>
        <v>0</v>
      </c>
    </row>
    <row r="41" spans="1:20" x14ac:dyDescent="0.3">
      <c r="A41" s="4"/>
      <c r="B41" s="5" t="s">
        <v>10</v>
      </c>
      <c r="C41" s="22">
        <v>0</v>
      </c>
      <c r="D41" s="22">
        <v>0</v>
      </c>
      <c r="E41" s="22">
        <v>0</v>
      </c>
      <c r="F41" s="22">
        <v>0</v>
      </c>
      <c r="G41" s="19"/>
      <c r="H41" s="19">
        <f t="shared" ref="H41:H56" si="39">E41*G41*12+ ((D41-E41)*G41/2*12)</f>
        <v>0</v>
      </c>
      <c r="I41" s="19"/>
      <c r="J41" s="19"/>
      <c r="K41" s="19"/>
      <c r="L41" s="19"/>
      <c r="O41" s="19">
        <f t="shared" si="34"/>
        <v>0</v>
      </c>
      <c r="P41" s="19">
        <f t="shared" si="35"/>
        <v>0</v>
      </c>
      <c r="Q41" s="19">
        <f t="shared" si="36"/>
        <v>0</v>
      </c>
      <c r="R41" s="19">
        <f t="shared" si="37"/>
        <v>0</v>
      </c>
      <c r="S41" s="19">
        <f t="shared" si="38"/>
        <v>0</v>
      </c>
      <c r="T41" s="19">
        <f t="shared" si="38"/>
        <v>0</v>
      </c>
    </row>
    <row r="42" spans="1:20" x14ac:dyDescent="0.3">
      <c r="A42" s="4"/>
      <c r="B42" s="5" t="s">
        <v>13</v>
      </c>
      <c r="C42" s="22">
        <v>5.75</v>
      </c>
      <c r="D42" s="22">
        <v>5.75</v>
      </c>
      <c r="E42" s="22">
        <v>4</v>
      </c>
      <c r="F42" s="22">
        <v>4</v>
      </c>
      <c r="G42" s="19">
        <f>'расчёт зарплаты'!K38</f>
        <v>28896</v>
      </c>
      <c r="H42" s="19">
        <f t="shared" si="39"/>
        <v>1690416</v>
      </c>
      <c r="I42" s="19"/>
      <c r="J42" s="19"/>
      <c r="K42" s="19"/>
      <c r="L42" s="19"/>
      <c r="O42" s="19">
        <f t="shared" si="34"/>
        <v>0</v>
      </c>
      <c r="P42" s="19">
        <f t="shared" si="35"/>
        <v>0</v>
      </c>
      <c r="Q42" s="19">
        <f t="shared" si="36"/>
        <v>0</v>
      </c>
      <c r="R42" s="19">
        <f t="shared" si="37"/>
        <v>0</v>
      </c>
      <c r="S42" s="19">
        <f t="shared" si="38"/>
        <v>0</v>
      </c>
      <c r="T42" s="19">
        <f t="shared" si="38"/>
        <v>0</v>
      </c>
    </row>
    <row r="43" spans="1:20" ht="28.2" x14ac:dyDescent="0.3">
      <c r="A43" s="4"/>
      <c r="B43" s="5" t="s">
        <v>14</v>
      </c>
      <c r="C43" s="22"/>
      <c r="D43" s="22"/>
      <c r="E43" s="22"/>
      <c r="F43" s="22"/>
      <c r="G43" s="19"/>
      <c r="H43" s="19">
        <f t="shared" si="39"/>
        <v>0</v>
      </c>
      <c r="I43" s="19"/>
      <c r="J43" s="19"/>
      <c r="K43" s="19"/>
      <c r="L43" s="19"/>
      <c r="O43" s="19">
        <f t="shared" si="34"/>
        <v>0</v>
      </c>
      <c r="P43" s="19">
        <f t="shared" si="35"/>
        <v>0</v>
      </c>
      <c r="Q43" s="19">
        <f t="shared" si="36"/>
        <v>0</v>
      </c>
      <c r="R43" s="19">
        <f t="shared" si="37"/>
        <v>0</v>
      </c>
      <c r="S43" s="19">
        <f t="shared" si="38"/>
        <v>0</v>
      </c>
      <c r="T43" s="19">
        <f t="shared" si="38"/>
        <v>0</v>
      </c>
    </row>
    <row r="44" spans="1:20" x14ac:dyDescent="0.3">
      <c r="A44" s="4"/>
      <c r="B44" s="5" t="s">
        <v>15</v>
      </c>
      <c r="C44" s="22">
        <v>6</v>
      </c>
      <c r="D44" s="22">
        <v>6</v>
      </c>
      <c r="E44" s="22">
        <v>3</v>
      </c>
      <c r="F44" s="22">
        <v>3</v>
      </c>
      <c r="G44" s="19">
        <f>'расчёт зарплаты'!K34</f>
        <v>30976</v>
      </c>
      <c r="H44" s="19">
        <f t="shared" si="39"/>
        <v>1672704</v>
      </c>
      <c r="I44" s="19"/>
      <c r="J44" s="19"/>
      <c r="K44" s="19"/>
      <c r="L44" s="19"/>
      <c r="O44" s="19">
        <f t="shared" si="34"/>
        <v>0</v>
      </c>
      <c r="P44" s="19">
        <f t="shared" si="35"/>
        <v>0</v>
      </c>
      <c r="Q44" s="19">
        <f t="shared" si="36"/>
        <v>0</v>
      </c>
      <c r="R44" s="19">
        <f t="shared" si="37"/>
        <v>0</v>
      </c>
      <c r="S44" s="19">
        <f t="shared" si="38"/>
        <v>0</v>
      </c>
      <c r="T44" s="19">
        <f t="shared" si="38"/>
        <v>0</v>
      </c>
    </row>
    <row r="45" spans="1:20" x14ac:dyDescent="0.3">
      <c r="A45" s="4"/>
      <c r="B45" s="5" t="s">
        <v>16</v>
      </c>
      <c r="C45" s="22">
        <v>9</v>
      </c>
      <c r="D45" s="22">
        <v>9</v>
      </c>
      <c r="E45" s="22">
        <v>9</v>
      </c>
      <c r="F45" s="22">
        <v>9</v>
      </c>
      <c r="G45" s="19">
        <f>'расчёт зарплаты'!K8</f>
        <v>28600</v>
      </c>
      <c r="H45" s="19">
        <f t="shared" si="39"/>
        <v>3088800</v>
      </c>
      <c r="I45" s="19"/>
      <c r="J45" s="19"/>
      <c r="K45" s="19"/>
      <c r="L45" s="19"/>
      <c r="O45" s="19">
        <f t="shared" si="34"/>
        <v>0</v>
      </c>
      <c r="P45" s="19">
        <f t="shared" si="35"/>
        <v>0</v>
      </c>
      <c r="Q45" s="19">
        <f t="shared" si="36"/>
        <v>0</v>
      </c>
      <c r="R45" s="19">
        <f t="shared" si="37"/>
        <v>0</v>
      </c>
      <c r="S45" s="19">
        <f t="shared" si="38"/>
        <v>0</v>
      </c>
      <c r="T45" s="19">
        <f t="shared" si="38"/>
        <v>0</v>
      </c>
    </row>
    <row r="46" spans="1:20" ht="42" x14ac:dyDescent="0.3">
      <c r="A46" s="4"/>
      <c r="B46" s="5" t="s">
        <v>17</v>
      </c>
      <c r="C46" s="22">
        <v>1.25</v>
      </c>
      <c r="D46" s="22">
        <v>1.25</v>
      </c>
      <c r="E46" s="22">
        <v>1</v>
      </c>
      <c r="F46" s="22">
        <v>1</v>
      </c>
      <c r="G46" s="19">
        <f>'расчёт зарплаты'!K10</f>
        <v>28208</v>
      </c>
      <c r="H46" s="19">
        <f t="shared" si="39"/>
        <v>380808</v>
      </c>
      <c r="I46" s="19"/>
      <c r="J46" s="19"/>
      <c r="K46" s="19"/>
      <c r="L46" s="19"/>
      <c r="O46" s="19">
        <f t="shared" si="34"/>
        <v>0</v>
      </c>
      <c r="P46" s="19">
        <f t="shared" si="35"/>
        <v>0</v>
      </c>
      <c r="Q46" s="19">
        <f t="shared" si="36"/>
        <v>0</v>
      </c>
      <c r="R46" s="19">
        <f t="shared" si="37"/>
        <v>0</v>
      </c>
      <c r="S46" s="19">
        <f t="shared" si="38"/>
        <v>0</v>
      </c>
      <c r="T46" s="19">
        <f t="shared" si="38"/>
        <v>0</v>
      </c>
    </row>
    <row r="47" spans="1:20" ht="28.2" x14ac:dyDescent="0.3">
      <c r="A47" s="4"/>
      <c r="B47" s="5" t="s">
        <v>18</v>
      </c>
      <c r="C47" s="22">
        <v>2</v>
      </c>
      <c r="D47" s="22">
        <v>2</v>
      </c>
      <c r="E47" s="22">
        <v>2</v>
      </c>
      <c r="F47" s="22">
        <v>2</v>
      </c>
      <c r="G47" s="19">
        <f>'расчёт зарплаты'!K20</f>
        <v>31648</v>
      </c>
      <c r="H47" s="19">
        <f t="shared" si="39"/>
        <v>759552</v>
      </c>
      <c r="I47" s="19"/>
      <c r="J47" s="19"/>
      <c r="K47" s="19"/>
      <c r="L47" s="19"/>
      <c r="O47" s="19">
        <f t="shared" si="34"/>
        <v>0</v>
      </c>
      <c r="P47" s="19">
        <f t="shared" si="35"/>
        <v>0</v>
      </c>
      <c r="Q47" s="19">
        <f t="shared" si="36"/>
        <v>0</v>
      </c>
      <c r="R47" s="19">
        <f t="shared" si="37"/>
        <v>0</v>
      </c>
      <c r="S47" s="19">
        <f t="shared" si="38"/>
        <v>0</v>
      </c>
      <c r="T47" s="19">
        <f t="shared" si="38"/>
        <v>0</v>
      </c>
    </row>
    <row r="48" spans="1:20" ht="42" x14ac:dyDescent="0.3">
      <c r="A48" s="4"/>
      <c r="B48" s="5" t="s">
        <v>91</v>
      </c>
      <c r="C48" s="22"/>
      <c r="D48" s="22"/>
      <c r="E48" s="22"/>
      <c r="F48" s="22"/>
      <c r="G48" s="19"/>
      <c r="H48" s="19">
        <f t="shared" si="39"/>
        <v>0</v>
      </c>
      <c r="I48" s="19"/>
      <c r="J48" s="19"/>
      <c r="K48" s="19"/>
      <c r="L48" s="19"/>
      <c r="O48" s="19">
        <f t="shared" si="34"/>
        <v>0</v>
      </c>
      <c r="P48" s="19">
        <f t="shared" si="35"/>
        <v>0</v>
      </c>
      <c r="Q48" s="19">
        <f t="shared" si="36"/>
        <v>0</v>
      </c>
      <c r="R48" s="19">
        <f t="shared" si="37"/>
        <v>0</v>
      </c>
      <c r="S48" s="19">
        <f t="shared" si="38"/>
        <v>0</v>
      </c>
      <c r="T48" s="19">
        <f t="shared" si="38"/>
        <v>0</v>
      </c>
    </row>
    <row r="49" spans="1:20" x14ac:dyDescent="0.3">
      <c r="A49" s="4"/>
      <c r="B49" s="5" t="s">
        <v>20</v>
      </c>
      <c r="C49" s="22">
        <v>1</v>
      </c>
      <c r="D49" s="22">
        <v>1</v>
      </c>
      <c r="E49" s="22">
        <v>1</v>
      </c>
      <c r="F49" s="22">
        <v>1</v>
      </c>
      <c r="G49" s="19">
        <f>'расчёт зарплаты'!K34</f>
        <v>30976</v>
      </c>
      <c r="H49" s="19">
        <f t="shared" si="39"/>
        <v>371712</v>
      </c>
      <c r="I49" s="19"/>
      <c r="J49" s="19"/>
      <c r="K49" s="19"/>
      <c r="L49" s="19"/>
      <c r="O49" s="19">
        <f t="shared" si="34"/>
        <v>0</v>
      </c>
      <c r="P49" s="19">
        <f t="shared" si="35"/>
        <v>0</v>
      </c>
      <c r="Q49" s="19">
        <f t="shared" si="36"/>
        <v>0</v>
      </c>
      <c r="R49" s="19">
        <f t="shared" si="37"/>
        <v>0</v>
      </c>
      <c r="S49" s="19">
        <f t="shared" si="38"/>
        <v>0</v>
      </c>
      <c r="T49" s="19">
        <f t="shared" si="38"/>
        <v>0</v>
      </c>
    </row>
    <row r="50" spans="1:20" ht="39.6" x14ac:dyDescent="0.3">
      <c r="A50" s="4"/>
      <c r="B50" s="6" t="s">
        <v>21</v>
      </c>
      <c r="C50" s="22"/>
      <c r="D50" s="22"/>
      <c r="E50" s="22"/>
      <c r="F50" s="22"/>
      <c r="G50" s="19"/>
      <c r="H50" s="19">
        <f t="shared" si="39"/>
        <v>0</v>
      </c>
      <c r="I50" s="19"/>
      <c r="J50" s="19"/>
      <c r="K50" s="19"/>
      <c r="L50" s="19"/>
      <c r="O50" s="19">
        <f t="shared" si="34"/>
        <v>0</v>
      </c>
      <c r="P50" s="19">
        <f t="shared" si="35"/>
        <v>0</v>
      </c>
      <c r="Q50" s="19">
        <f t="shared" si="36"/>
        <v>0</v>
      </c>
      <c r="R50" s="19">
        <f t="shared" si="37"/>
        <v>0</v>
      </c>
      <c r="S50" s="19">
        <f t="shared" si="38"/>
        <v>0</v>
      </c>
      <c r="T50" s="19">
        <f t="shared" si="38"/>
        <v>0</v>
      </c>
    </row>
    <row r="51" spans="1:20" x14ac:dyDescent="0.3">
      <c r="A51" s="4"/>
      <c r="B51" s="5" t="s">
        <v>22</v>
      </c>
      <c r="C51" s="22"/>
      <c r="D51" s="22"/>
      <c r="E51" s="22"/>
      <c r="F51" s="22"/>
      <c r="G51" s="19"/>
      <c r="H51" s="19">
        <f t="shared" si="39"/>
        <v>0</v>
      </c>
      <c r="I51" s="19"/>
      <c r="J51" s="19"/>
      <c r="K51" s="19"/>
      <c r="L51" s="19"/>
      <c r="O51" s="19">
        <f t="shared" si="34"/>
        <v>0</v>
      </c>
      <c r="P51" s="19">
        <f t="shared" si="35"/>
        <v>0</v>
      </c>
      <c r="Q51" s="19">
        <f t="shared" si="36"/>
        <v>0</v>
      </c>
      <c r="R51" s="19">
        <f t="shared" si="37"/>
        <v>0</v>
      </c>
      <c r="S51" s="19">
        <f t="shared" si="38"/>
        <v>0</v>
      </c>
      <c r="T51" s="19">
        <f t="shared" si="38"/>
        <v>0</v>
      </c>
    </row>
    <row r="52" spans="1:20" x14ac:dyDescent="0.3">
      <c r="A52" s="38" t="s">
        <v>57</v>
      </c>
      <c r="B52" s="39"/>
      <c r="C52" s="41">
        <f>C53+C54+C55</f>
        <v>7</v>
      </c>
      <c r="D52" s="41">
        <f t="shared" ref="D52:F52" si="40">D53+D54+D55</f>
        <v>7</v>
      </c>
      <c r="E52" s="41">
        <f t="shared" si="40"/>
        <v>5</v>
      </c>
      <c r="F52" s="41">
        <f t="shared" si="40"/>
        <v>5</v>
      </c>
      <c r="G52" s="41"/>
      <c r="H52" s="42">
        <f t="shared" ref="H52:L52" si="41">H53+H54+H55</f>
        <v>1991934</v>
      </c>
      <c r="I52" s="42">
        <f t="shared" si="41"/>
        <v>0</v>
      </c>
      <c r="J52" s="42">
        <f t="shared" si="41"/>
        <v>0</v>
      </c>
      <c r="K52" s="42">
        <f t="shared" si="41"/>
        <v>0</v>
      </c>
      <c r="L52" s="42">
        <f t="shared" si="41"/>
        <v>0</v>
      </c>
      <c r="O52" s="42">
        <f t="shared" ref="O52:P52" si="42">O53+O54+O55</f>
        <v>0</v>
      </c>
      <c r="P52" s="42">
        <f t="shared" si="42"/>
        <v>0</v>
      </c>
      <c r="Q52" s="42">
        <f t="shared" ref="Q52" si="43">Q53+Q54+Q55</f>
        <v>0</v>
      </c>
      <c r="R52" s="42">
        <f t="shared" ref="R52:S52" si="44">R53+R54+R55</f>
        <v>0</v>
      </c>
      <c r="S52" s="42">
        <f t="shared" si="44"/>
        <v>0</v>
      </c>
      <c r="T52" s="42">
        <f t="shared" ref="T52" si="45">T53+T54+T55</f>
        <v>0</v>
      </c>
    </row>
    <row r="53" spans="1:20" x14ac:dyDescent="0.3">
      <c r="A53" s="4"/>
      <c r="B53" s="5" t="s">
        <v>11</v>
      </c>
      <c r="C53" s="9">
        <v>1.25</v>
      </c>
      <c r="D53" s="9">
        <v>1.25</v>
      </c>
      <c r="E53" s="9">
        <v>0</v>
      </c>
      <c r="F53" s="9">
        <v>0</v>
      </c>
      <c r="G53" s="19">
        <f>'расчёт зарплаты'!K26</f>
        <v>27300</v>
      </c>
      <c r="H53" s="19">
        <f t="shared" si="39"/>
        <v>204750</v>
      </c>
      <c r="I53" s="19"/>
      <c r="J53" s="19"/>
      <c r="K53" s="19"/>
      <c r="L53" s="19"/>
      <c r="O53" s="19">
        <f t="shared" ref="O53:P56" si="46">J53*L53*12+ ((I53-J53)*L53/2*12)</f>
        <v>0</v>
      </c>
      <c r="P53" s="19">
        <f t="shared" si="46"/>
        <v>0</v>
      </c>
      <c r="Q53" s="19">
        <f t="shared" ref="Q53:R56" si="47">L53*O53*12+ ((K53-L53)*O53/2*12)</f>
        <v>0</v>
      </c>
      <c r="R53" s="19">
        <f t="shared" si="47"/>
        <v>0</v>
      </c>
      <c r="S53" s="19">
        <f t="shared" ref="S53:T56" si="48">O53*Q53*12+ ((M53-O53)*Q53/2*12)</f>
        <v>0</v>
      </c>
      <c r="T53" s="19">
        <f t="shared" si="48"/>
        <v>0</v>
      </c>
    </row>
    <row r="54" spans="1:20" x14ac:dyDescent="0.3">
      <c r="A54" s="4"/>
      <c r="B54" s="5" t="s">
        <v>12</v>
      </c>
      <c r="C54" s="9">
        <v>3</v>
      </c>
      <c r="D54" s="9">
        <v>3</v>
      </c>
      <c r="E54" s="9">
        <v>3</v>
      </c>
      <c r="F54" s="9">
        <v>3</v>
      </c>
      <c r="G54" s="19">
        <f>'расчёт зарплаты'!K26</f>
        <v>27300</v>
      </c>
      <c r="H54" s="19">
        <f t="shared" si="39"/>
        <v>982800</v>
      </c>
      <c r="I54" s="19"/>
      <c r="J54" s="19"/>
      <c r="K54" s="19"/>
      <c r="L54" s="19"/>
      <c r="O54" s="19">
        <f t="shared" si="46"/>
        <v>0</v>
      </c>
      <c r="P54" s="19">
        <f t="shared" si="46"/>
        <v>0</v>
      </c>
      <c r="Q54" s="19">
        <f t="shared" si="47"/>
        <v>0</v>
      </c>
      <c r="R54" s="19">
        <f t="shared" si="47"/>
        <v>0</v>
      </c>
      <c r="S54" s="19">
        <f t="shared" si="48"/>
        <v>0</v>
      </c>
      <c r="T54" s="19">
        <f t="shared" si="48"/>
        <v>0</v>
      </c>
    </row>
    <row r="55" spans="1:20" ht="28.2" x14ac:dyDescent="0.3">
      <c r="A55" s="4"/>
      <c r="B55" s="5" t="s">
        <v>19</v>
      </c>
      <c r="C55" s="9">
        <v>2.75</v>
      </c>
      <c r="D55" s="9">
        <v>2.75</v>
      </c>
      <c r="E55" s="9">
        <v>2</v>
      </c>
      <c r="F55" s="9">
        <v>2</v>
      </c>
      <c r="G55" s="19">
        <f>'расчёт зарплаты'!K40</f>
        <v>28224</v>
      </c>
      <c r="H55" s="19">
        <f t="shared" si="39"/>
        <v>804384</v>
      </c>
      <c r="I55" s="19"/>
      <c r="J55" s="19"/>
      <c r="K55" s="19"/>
      <c r="L55" s="19"/>
      <c r="O55" s="19">
        <f t="shared" si="46"/>
        <v>0</v>
      </c>
      <c r="P55" s="19">
        <f t="shared" si="46"/>
        <v>0</v>
      </c>
      <c r="Q55" s="19">
        <f t="shared" si="47"/>
        <v>0</v>
      </c>
      <c r="R55" s="19">
        <f t="shared" si="47"/>
        <v>0</v>
      </c>
      <c r="S55" s="19">
        <f t="shared" si="48"/>
        <v>0</v>
      </c>
      <c r="T55" s="19">
        <f t="shared" si="48"/>
        <v>0</v>
      </c>
    </row>
    <row r="56" spans="1:20" x14ac:dyDescent="0.3">
      <c r="A56" s="135" t="s">
        <v>23</v>
      </c>
      <c r="B56" s="135"/>
      <c r="C56" s="21">
        <f t="shared" ref="C56:F56" si="49">C57+C63</f>
        <v>17</v>
      </c>
      <c r="D56" s="21">
        <f t="shared" si="49"/>
        <v>17</v>
      </c>
      <c r="E56" s="21">
        <f t="shared" si="49"/>
        <v>14</v>
      </c>
      <c r="F56" s="21">
        <f t="shared" si="49"/>
        <v>14</v>
      </c>
      <c r="G56" s="19"/>
      <c r="H56" s="19">
        <f t="shared" si="39"/>
        <v>0</v>
      </c>
      <c r="I56" s="19"/>
      <c r="J56" s="20">
        <f t="shared" ref="J56:K56" si="50">J57+J63</f>
        <v>5348406</v>
      </c>
      <c r="K56" s="20">
        <f t="shared" si="50"/>
        <v>1615218.612</v>
      </c>
      <c r="L56" s="20">
        <f>L57+L63</f>
        <v>6963624.6119999997</v>
      </c>
      <c r="O56" s="19">
        <f t="shared" si="46"/>
        <v>223465749939410.81</v>
      </c>
      <c r="P56" s="19">
        <f t="shared" si="46"/>
        <v>0</v>
      </c>
      <c r="Q56" s="19">
        <f t="shared" si="47"/>
        <v>1.1502465807982757E+22</v>
      </c>
      <c r="R56" s="19">
        <f t="shared" si="47"/>
        <v>0</v>
      </c>
      <c r="S56" s="19">
        <f t="shared" si="48"/>
        <v>1.5422442887599785E+37</v>
      </c>
      <c r="T56" s="19">
        <f t="shared" si="48"/>
        <v>0</v>
      </c>
    </row>
    <row r="57" spans="1:20" x14ac:dyDescent="0.3">
      <c r="A57" s="136" t="s">
        <v>24</v>
      </c>
      <c r="B57" s="136"/>
      <c r="C57" s="21">
        <f t="shared" ref="C57:F57" si="51">C58+C59+C60+C61+C62</f>
        <v>11.5</v>
      </c>
      <c r="D57" s="21">
        <f t="shared" si="51"/>
        <v>11.5</v>
      </c>
      <c r="E57" s="21">
        <f t="shared" si="51"/>
        <v>9</v>
      </c>
      <c r="F57" s="21">
        <f t="shared" si="51"/>
        <v>9</v>
      </c>
      <c r="G57" s="20"/>
      <c r="H57" s="20">
        <f>H58+H59+H60+H61+H62</f>
        <v>3453078</v>
      </c>
      <c r="I57" s="20">
        <f t="shared" ref="I57" si="52">I58+I59+I60+I61+I62</f>
        <v>0</v>
      </c>
      <c r="J57" s="20">
        <f>H57</f>
        <v>3453078</v>
      </c>
      <c r="K57" s="20">
        <f>J57*30.2%</f>
        <v>1042829.556</v>
      </c>
      <c r="L57" s="20">
        <f>J57+K57</f>
        <v>4495907.5559999999</v>
      </c>
      <c r="O57" s="20">
        <f t="shared" ref="O57:T57" si="53">O58+O59+O60+O61+O62</f>
        <v>0</v>
      </c>
      <c r="P57" s="20">
        <f t="shared" si="53"/>
        <v>0</v>
      </c>
      <c r="Q57" s="20">
        <f t="shared" si="53"/>
        <v>0</v>
      </c>
      <c r="R57" s="20">
        <f t="shared" si="53"/>
        <v>0</v>
      </c>
      <c r="S57" s="20">
        <f t="shared" si="53"/>
        <v>0</v>
      </c>
      <c r="T57" s="20">
        <f t="shared" si="53"/>
        <v>0</v>
      </c>
    </row>
    <row r="58" spans="1:20" x14ac:dyDescent="0.3">
      <c r="A58" s="4"/>
      <c r="B58" s="5" t="s">
        <v>25</v>
      </c>
      <c r="C58" s="22">
        <v>3</v>
      </c>
      <c r="D58" s="22">
        <v>3</v>
      </c>
      <c r="E58" s="22">
        <v>2</v>
      </c>
      <c r="F58" s="22">
        <v>2</v>
      </c>
      <c r="G58" s="19">
        <f>'расчёт зарплаты'!K14</f>
        <v>33792</v>
      </c>
      <c r="H58" s="19">
        <f t="shared" ref="H58:H62" si="54">E58*G58*12+ ((D58-E58)*G58/2*12)</f>
        <v>1013760</v>
      </c>
      <c r="I58" s="19"/>
      <c r="J58" s="19"/>
      <c r="K58" s="19"/>
      <c r="L58" s="19"/>
      <c r="O58" s="19">
        <f t="shared" ref="O58:P62" si="55">J58*L58*12+ ((I58-J58)*L58/2*12)</f>
        <v>0</v>
      </c>
      <c r="P58" s="19">
        <f t="shared" si="55"/>
        <v>0</v>
      </c>
      <c r="Q58" s="19">
        <f t="shared" ref="Q58:R62" si="56">L58*O58*12+ ((K58-L58)*O58/2*12)</f>
        <v>0</v>
      </c>
      <c r="R58" s="19">
        <f t="shared" si="56"/>
        <v>0</v>
      </c>
      <c r="S58" s="19">
        <f t="shared" ref="S58:T62" si="57">O58*Q58*12+ ((M58-O58)*Q58/2*12)</f>
        <v>0</v>
      </c>
      <c r="T58" s="19">
        <f t="shared" si="57"/>
        <v>0</v>
      </c>
    </row>
    <row r="59" spans="1:20" x14ac:dyDescent="0.3">
      <c r="A59" s="4"/>
      <c r="B59" s="5" t="s">
        <v>26</v>
      </c>
      <c r="C59" s="22"/>
      <c r="D59" s="22"/>
      <c r="E59" s="22"/>
      <c r="F59" s="22"/>
      <c r="G59" s="19"/>
      <c r="H59" s="19">
        <f t="shared" si="54"/>
        <v>0</v>
      </c>
      <c r="I59" s="19"/>
      <c r="J59" s="19"/>
      <c r="K59" s="19"/>
      <c r="L59" s="19"/>
      <c r="O59" s="19">
        <f t="shared" si="55"/>
        <v>0</v>
      </c>
      <c r="P59" s="19">
        <f t="shared" si="55"/>
        <v>0</v>
      </c>
      <c r="Q59" s="19">
        <f t="shared" si="56"/>
        <v>0</v>
      </c>
      <c r="R59" s="19">
        <f t="shared" si="56"/>
        <v>0</v>
      </c>
      <c r="S59" s="19">
        <f t="shared" si="57"/>
        <v>0</v>
      </c>
      <c r="T59" s="19">
        <f t="shared" si="57"/>
        <v>0</v>
      </c>
    </row>
    <row r="60" spans="1:20" x14ac:dyDescent="0.3">
      <c r="A60" s="4"/>
      <c r="B60" s="5" t="s">
        <v>27</v>
      </c>
      <c r="C60" s="22">
        <v>1</v>
      </c>
      <c r="D60" s="22">
        <v>1</v>
      </c>
      <c r="E60" s="22">
        <v>1</v>
      </c>
      <c r="F60" s="22">
        <v>1</v>
      </c>
      <c r="G60" s="19">
        <f>'расчёт зарплаты'!K18</f>
        <v>39424</v>
      </c>
      <c r="H60" s="19">
        <f t="shared" si="54"/>
        <v>473088</v>
      </c>
      <c r="I60" s="19"/>
      <c r="J60" s="19"/>
      <c r="K60" s="19"/>
      <c r="L60" s="19"/>
      <c r="O60" s="19">
        <f t="shared" si="55"/>
        <v>0</v>
      </c>
      <c r="P60" s="19">
        <f t="shared" si="55"/>
        <v>0</v>
      </c>
      <c r="Q60" s="19">
        <f t="shared" si="56"/>
        <v>0</v>
      </c>
      <c r="R60" s="19">
        <f t="shared" si="56"/>
        <v>0</v>
      </c>
      <c r="S60" s="19">
        <f t="shared" si="57"/>
        <v>0</v>
      </c>
      <c r="T60" s="19">
        <f t="shared" si="57"/>
        <v>0</v>
      </c>
    </row>
    <row r="61" spans="1:20" ht="28.2" x14ac:dyDescent="0.3">
      <c r="A61" s="4"/>
      <c r="B61" s="5" t="s">
        <v>28</v>
      </c>
      <c r="C61" s="22">
        <v>4.25</v>
      </c>
      <c r="D61" s="22">
        <v>4.25</v>
      </c>
      <c r="E61" s="22">
        <v>3</v>
      </c>
      <c r="F61" s="22">
        <v>3</v>
      </c>
      <c r="G61" s="19">
        <f>'расчёт зарплаты'!K26</f>
        <v>27300</v>
      </c>
      <c r="H61" s="19">
        <f t="shared" si="54"/>
        <v>1187550</v>
      </c>
      <c r="I61" s="19"/>
      <c r="J61" s="19"/>
      <c r="K61" s="19"/>
      <c r="L61" s="19"/>
      <c r="O61" s="19">
        <f t="shared" si="55"/>
        <v>0</v>
      </c>
      <c r="P61" s="19">
        <f t="shared" si="55"/>
        <v>0</v>
      </c>
      <c r="Q61" s="19">
        <f t="shared" si="56"/>
        <v>0</v>
      </c>
      <c r="R61" s="19">
        <f t="shared" si="56"/>
        <v>0</v>
      </c>
      <c r="S61" s="19">
        <f t="shared" si="57"/>
        <v>0</v>
      </c>
      <c r="T61" s="19">
        <f t="shared" si="57"/>
        <v>0</v>
      </c>
    </row>
    <row r="62" spans="1:20" x14ac:dyDescent="0.3">
      <c r="A62" s="4"/>
      <c r="B62" s="5" t="s">
        <v>29</v>
      </c>
      <c r="C62" s="22">
        <v>3.25</v>
      </c>
      <c r="D62" s="22">
        <v>3.25</v>
      </c>
      <c r="E62" s="22">
        <v>3</v>
      </c>
      <c r="F62" s="22">
        <v>3</v>
      </c>
      <c r="G62" s="19">
        <v>20764.8</v>
      </c>
      <c r="H62" s="19">
        <f t="shared" si="54"/>
        <v>778679.99999999988</v>
      </c>
      <c r="I62" s="19"/>
      <c r="J62" s="19"/>
      <c r="K62" s="19"/>
      <c r="L62" s="19"/>
      <c r="O62" s="19">
        <f t="shared" si="55"/>
        <v>0</v>
      </c>
      <c r="P62" s="19">
        <f t="shared" si="55"/>
        <v>0</v>
      </c>
      <c r="Q62" s="19">
        <f t="shared" si="56"/>
        <v>0</v>
      </c>
      <c r="R62" s="19">
        <f t="shared" si="56"/>
        <v>0</v>
      </c>
      <c r="S62" s="19">
        <f t="shared" si="57"/>
        <v>0</v>
      </c>
      <c r="T62" s="19">
        <f t="shared" si="57"/>
        <v>0</v>
      </c>
    </row>
    <row r="63" spans="1:20" x14ac:dyDescent="0.3">
      <c r="A63" s="136" t="s">
        <v>30</v>
      </c>
      <c r="B63" s="136"/>
      <c r="C63" s="21">
        <f t="shared" ref="C63:F63" si="58">C64+C65+C66</f>
        <v>5.5</v>
      </c>
      <c r="D63" s="21">
        <f t="shared" si="58"/>
        <v>5.5</v>
      </c>
      <c r="E63" s="21">
        <f t="shared" si="58"/>
        <v>5</v>
      </c>
      <c r="F63" s="21">
        <f t="shared" si="58"/>
        <v>5</v>
      </c>
      <c r="G63" s="20"/>
      <c r="H63" s="20">
        <f>H64+H65+H66</f>
        <v>1895328</v>
      </c>
      <c r="I63" s="20">
        <f t="shared" ref="I63" si="59">I64+I65+I66</f>
        <v>0</v>
      </c>
      <c r="J63" s="20">
        <f>H63</f>
        <v>1895328</v>
      </c>
      <c r="K63" s="20">
        <f>J63*30.2%</f>
        <v>572389.05599999998</v>
      </c>
      <c r="L63" s="20">
        <f>J63+K63</f>
        <v>2467717.0559999999</v>
      </c>
      <c r="O63" s="20">
        <f t="shared" ref="O63:T63" si="60">O64+O65+O66</f>
        <v>0</v>
      </c>
      <c r="P63" s="20">
        <f t="shared" si="60"/>
        <v>0</v>
      </c>
      <c r="Q63" s="20">
        <f t="shared" si="60"/>
        <v>0</v>
      </c>
      <c r="R63" s="20">
        <f t="shared" si="60"/>
        <v>0</v>
      </c>
      <c r="S63" s="20">
        <f t="shared" si="60"/>
        <v>0</v>
      </c>
      <c r="T63" s="20">
        <f t="shared" si="60"/>
        <v>0</v>
      </c>
    </row>
    <row r="64" spans="1:20" x14ac:dyDescent="0.3">
      <c r="A64" s="4"/>
      <c r="B64" s="5" t="s">
        <v>31</v>
      </c>
      <c r="C64" s="22">
        <v>3</v>
      </c>
      <c r="D64" s="22">
        <v>3</v>
      </c>
      <c r="E64" s="22">
        <v>3</v>
      </c>
      <c r="F64" s="22">
        <v>3</v>
      </c>
      <c r="G64" s="19">
        <f>'расчёт зарплаты'!K34</f>
        <v>30976</v>
      </c>
      <c r="H64" s="19">
        <f t="shared" ref="H64:H66" si="61">E64*G64*12+ ((D64-E64)*G64/2*12)</f>
        <v>1115136</v>
      </c>
      <c r="I64" s="19"/>
      <c r="J64" s="19"/>
      <c r="K64" s="19"/>
      <c r="L64" s="19"/>
      <c r="O64" s="19">
        <f t="shared" ref="O64:P66" si="62">J64*L64*12+ ((I64-J64)*L64/2*12)</f>
        <v>0</v>
      </c>
      <c r="P64" s="19">
        <f t="shared" si="62"/>
        <v>0</v>
      </c>
      <c r="Q64" s="19">
        <f t="shared" ref="Q64:R66" si="63">L64*O64*12+ ((K64-L64)*O64/2*12)</f>
        <v>0</v>
      </c>
      <c r="R64" s="19">
        <f t="shared" si="63"/>
        <v>0</v>
      </c>
      <c r="S64" s="19">
        <f t="shared" ref="S64:T66" si="64">O64*Q64*12+ ((M64-O64)*Q64/2*12)</f>
        <v>0</v>
      </c>
      <c r="T64" s="19">
        <f t="shared" si="64"/>
        <v>0</v>
      </c>
    </row>
    <row r="65" spans="1:20" x14ac:dyDescent="0.3">
      <c r="A65" s="4"/>
      <c r="B65" s="5" t="s">
        <v>32</v>
      </c>
      <c r="C65" s="22">
        <v>0</v>
      </c>
      <c r="D65" s="22">
        <v>0</v>
      </c>
      <c r="E65" s="22">
        <v>0</v>
      </c>
      <c r="F65" s="22">
        <v>0</v>
      </c>
      <c r="G65" s="19"/>
      <c r="H65" s="19">
        <f t="shared" si="61"/>
        <v>0</v>
      </c>
      <c r="I65" s="19"/>
      <c r="J65" s="19"/>
      <c r="K65" s="19"/>
      <c r="L65" s="19"/>
      <c r="O65" s="19">
        <f t="shared" si="62"/>
        <v>0</v>
      </c>
      <c r="P65" s="19">
        <f t="shared" si="62"/>
        <v>0</v>
      </c>
      <c r="Q65" s="19">
        <f t="shared" si="63"/>
        <v>0</v>
      </c>
      <c r="R65" s="19">
        <f t="shared" si="63"/>
        <v>0</v>
      </c>
      <c r="S65" s="19">
        <f t="shared" si="64"/>
        <v>0</v>
      </c>
      <c r="T65" s="19">
        <f t="shared" si="64"/>
        <v>0</v>
      </c>
    </row>
    <row r="66" spans="1:20" x14ac:dyDescent="0.3">
      <c r="A66" s="4"/>
      <c r="B66" s="5" t="s">
        <v>33</v>
      </c>
      <c r="C66" s="22">
        <v>2.5</v>
      </c>
      <c r="D66" s="22">
        <v>2.5</v>
      </c>
      <c r="E66" s="22">
        <v>2</v>
      </c>
      <c r="F66" s="22">
        <v>2</v>
      </c>
      <c r="G66" s="19">
        <f>'расчёт зарплаты'!K38</f>
        <v>28896</v>
      </c>
      <c r="H66" s="19">
        <f t="shared" si="61"/>
        <v>780192</v>
      </c>
      <c r="I66" s="19"/>
      <c r="J66" s="19"/>
      <c r="K66" s="19"/>
      <c r="L66" s="19"/>
      <c r="O66" s="19">
        <f t="shared" si="62"/>
        <v>0</v>
      </c>
      <c r="P66" s="19">
        <f t="shared" si="62"/>
        <v>0</v>
      </c>
      <c r="Q66" s="19">
        <f t="shared" si="63"/>
        <v>0</v>
      </c>
      <c r="R66" s="19">
        <f t="shared" si="63"/>
        <v>0</v>
      </c>
      <c r="S66" s="19">
        <f t="shared" si="64"/>
        <v>0</v>
      </c>
      <c r="T66" s="19">
        <f t="shared" si="64"/>
        <v>0</v>
      </c>
    </row>
    <row r="67" spans="1:20" x14ac:dyDescent="0.3">
      <c r="A67" s="141" t="s">
        <v>61</v>
      </c>
      <c r="B67" s="141"/>
      <c r="C67" s="141"/>
      <c r="D67" s="141"/>
      <c r="E67" s="141"/>
      <c r="F67" s="141"/>
      <c r="G67" s="141"/>
      <c r="H67" s="141"/>
      <c r="I67" s="141"/>
      <c r="J67" s="141"/>
      <c r="K67" s="141"/>
      <c r="L67" s="141"/>
    </row>
    <row r="68" spans="1:20" ht="14.4" customHeight="1" x14ac:dyDescent="0.3">
      <c r="A68" s="133" t="s">
        <v>7</v>
      </c>
      <c r="B68" s="134"/>
      <c r="C68" s="8">
        <f>C69+C86+C82</f>
        <v>86.5</v>
      </c>
      <c r="D68" s="8">
        <f>D69+D86+D82</f>
        <v>83</v>
      </c>
      <c r="E68" s="8">
        <f>E69+E86+E82</f>
        <v>73</v>
      </c>
      <c r="F68" s="8">
        <f>F69+F86+F82</f>
        <v>75</v>
      </c>
      <c r="G68" s="19"/>
      <c r="H68" s="19"/>
      <c r="I68" s="19"/>
      <c r="J68" s="19"/>
      <c r="K68" s="19"/>
      <c r="L68" s="19"/>
      <c r="O68" s="19"/>
      <c r="P68" s="19"/>
      <c r="Q68" s="19"/>
      <c r="R68" s="19"/>
      <c r="S68" s="19"/>
      <c r="T68" s="19"/>
    </row>
    <row r="69" spans="1:20" ht="14.4" customHeight="1" x14ac:dyDescent="0.3">
      <c r="A69" s="133" t="s">
        <v>89</v>
      </c>
      <c r="B69" s="134"/>
      <c r="C69" s="8">
        <f>SUM(C70:C83)</f>
        <v>81.5</v>
      </c>
      <c r="D69" s="8">
        <f t="shared" ref="D69:F69" si="65">SUM(D70:D83)</f>
        <v>78</v>
      </c>
      <c r="E69" s="8">
        <f t="shared" si="65"/>
        <v>68</v>
      </c>
      <c r="F69" s="8">
        <f t="shared" si="65"/>
        <v>70</v>
      </c>
      <c r="G69" s="8"/>
      <c r="H69" s="40">
        <f>SUM(H70:H83)</f>
        <v>25370246.399999999</v>
      </c>
      <c r="I69" s="20"/>
      <c r="J69" s="20">
        <f>H69-I69</f>
        <v>25370246.399999999</v>
      </c>
      <c r="K69" s="20">
        <f>J69*30.2%</f>
        <v>7661814.4127999991</v>
      </c>
      <c r="L69" s="20">
        <f>J69+K69</f>
        <v>33032060.812799998</v>
      </c>
      <c r="O69" s="40">
        <f t="shared" ref="O69:T69" si="66">SUM(O70:O83)</f>
        <v>0</v>
      </c>
      <c r="P69" s="40">
        <f t="shared" si="66"/>
        <v>0</v>
      </c>
      <c r="Q69" s="40">
        <f t="shared" si="66"/>
        <v>0</v>
      </c>
      <c r="R69" s="40">
        <f t="shared" si="66"/>
        <v>0</v>
      </c>
      <c r="S69" s="40">
        <f t="shared" si="66"/>
        <v>0</v>
      </c>
      <c r="T69" s="40">
        <f t="shared" si="66"/>
        <v>0</v>
      </c>
    </row>
    <row r="70" spans="1:20" x14ac:dyDescent="0.3">
      <c r="A70" s="4"/>
      <c r="B70" s="5" t="s">
        <v>9</v>
      </c>
      <c r="C70" s="24">
        <v>23.75</v>
      </c>
      <c r="D70" s="24">
        <v>22</v>
      </c>
      <c r="E70" s="24">
        <v>17</v>
      </c>
      <c r="F70" s="24">
        <v>19</v>
      </c>
      <c r="G70" s="19">
        <f>'расчёт зарплаты'!K10</f>
        <v>28208</v>
      </c>
      <c r="H70" s="19">
        <f>E70*G70*12+ ((D70-E70)*G70/2*12)</f>
        <v>6600672</v>
      </c>
      <c r="I70" s="19"/>
      <c r="J70" s="19"/>
      <c r="K70" s="19"/>
      <c r="L70" s="19">
        <f>G70*K70*12</f>
        <v>0</v>
      </c>
      <c r="O70" s="19">
        <f t="shared" ref="O70:O82" si="67">J70*L70*12+ ((I70-J70)*L70/2*12)</f>
        <v>0</v>
      </c>
      <c r="P70" s="19">
        <f t="shared" ref="P70:P82" si="68">K70*M70*12+ ((J70-K70)*M70/2*12)</f>
        <v>0</v>
      </c>
      <c r="Q70" s="19">
        <f t="shared" ref="Q70:Q82" si="69">L70*O70*12+ ((K70-L70)*O70/2*12)</f>
        <v>0</v>
      </c>
      <c r="R70" s="19">
        <f t="shared" ref="R70:R82" si="70">M70*P70*12+ ((L70-M70)*P70/2*12)</f>
        <v>0</v>
      </c>
      <c r="S70" s="19">
        <f t="shared" ref="S70:T82" si="71">O70*Q70*12+ ((M70-O70)*Q70/2*12)</f>
        <v>0</v>
      </c>
      <c r="T70" s="19">
        <f t="shared" si="71"/>
        <v>0</v>
      </c>
    </row>
    <row r="71" spans="1:20" ht="28.2" x14ac:dyDescent="0.3">
      <c r="A71" s="4"/>
      <c r="B71" s="5" t="s">
        <v>79</v>
      </c>
      <c r="C71" s="24">
        <v>19</v>
      </c>
      <c r="D71" s="24">
        <v>19</v>
      </c>
      <c r="E71" s="24">
        <v>19</v>
      </c>
      <c r="F71" s="24">
        <v>19</v>
      </c>
      <c r="G71" s="19">
        <f>'расчёт зарплаты'!K12</f>
        <v>30960</v>
      </c>
      <c r="H71" s="19">
        <f t="shared" ref="H71:H82" si="72">E71*G71*12+ ((D71-E71)*G71/2*12)</f>
        <v>7058880</v>
      </c>
      <c r="I71" s="19"/>
      <c r="J71" s="19"/>
      <c r="K71" s="19"/>
      <c r="L71" s="19"/>
      <c r="O71" s="19">
        <f t="shared" si="67"/>
        <v>0</v>
      </c>
      <c r="P71" s="19">
        <f t="shared" si="68"/>
        <v>0</v>
      </c>
      <c r="Q71" s="19">
        <f t="shared" si="69"/>
        <v>0</v>
      </c>
      <c r="R71" s="19">
        <f t="shared" si="70"/>
        <v>0</v>
      </c>
      <c r="S71" s="19">
        <f t="shared" si="71"/>
        <v>0</v>
      </c>
      <c r="T71" s="19">
        <f t="shared" si="71"/>
        <v>0</v>
      </c>
    </row>
    <row r="72" spans="1:20" x14ac:dyDescent="0.3">
      <c r="A72" s="4"/>
      <c r="B72" s="5" t="s">
        <v>10</v>
      </c>
      <c r="C72" s="24">
        <v>1.5</v>
      </c>
      <c r="D72" s="24">
        <v>1.5</v>
      </c>
      <c r="E72" s="24">
        <v>0</v>
      </c>
      <c r="F72" s="24">
        <v>0</v>
      </c>
      <c r="G72" s="19">
        <f>'расчёт зарплаты'!K20</f>
        <v>31648</v>
      </c>
      <c r="H72" s="19">
        <f t="shared" si="72"/>
        <v>284832</v>
      </c>
      <c r="I72" s="19"/>
      <c r="J72" s="19"/>
      <c r="K72" s="19"/>
      <c r="L72" s="19"/>
      <c r="O72" s="19">
        <f t="shared" si="67"/>
        <v>0</v>
      </c>
      <c r="P72" s="19">
        <f t="shared" si="68"/>
        <v>0</v>
      </c>
      <c r="Q72" s="19">
        <f t="shared" si="69"/>
        <v>0</v>
      </c>
      <c r="R72" s="19">
        <f t="shared" si="70"/>
        <v>0</v>
      </c>
      <c r="S72" s="19">
        <f t="shared" si="71"/>
        <v>0</v>
      </c>
      <c r="T72" s="19">
        <f t="shared" si="71"/>
        <v>0</v>
      </c>
    </row>
    <row r="73" spans="1:20" x14ac:dyDescent="0.3">
      <c r="A73" s="4"/>
      <c r="B73" s="5" t="s">
        <v>80</v>
      </c>
      <c r="C73" s="24">
        <v>2.25</v>
      </c>
      <c r="D73" s="24">
        <v>0.5</v>
      </c>
      <c r="E73" s="24">
        <v>2</v>
      </c>
      <c r="F73" s="24">
        <v>2</v>
      </c>
      <c r="G73" s="19">
        <f>'расчёт зарплаты'!K22</f>
        <v>32384</v>
      </c>
      <c r="H73" s="19">
        <f t="shared" si="72"/>
        <v>485760</v>
      </c>
      <c r="I73" s="19"/>
      <c r="J73" s="19"/>
      <c r="K73" s="19"/>
      <c r="L73" s="19"/>
      <c r="O73" s="19">
        <f t="shared" si="67"/>
        <v>0</v>
      </c>
      <c r="P73" s="19">
        <f t="shared" si="68"/>
        <v>0</v>
      </c>
      <c r="Q73" s="19">
        <f t="shared" si="69"/>
        <v>0</v>
      </c>
      <c r="R73" s="19">
        <f t="shared" si="70"/>
        <v>0</v>
      </c>
      <c r="S73" s="19">
        <f t="shared" si="71"/>
        <v>0</v>
      </c>
      <c r="T73" s="19">
        <f t="shared" si="71"/>
        <v>0</v>
      </c>
    </row>
    <row r="74" spans="1:20" x14ac:dyDescent="0.3">
      <c r="A74" s="4"/>
      <c r="B74" s="5" t="s">
        <v>13</v>
      </c>
      <c r="C74" s="24">
        <v>6.5</v>
      </c>
      <c r="D74" s="24">
        <v>6.5</v>
      </c>
      <c r="E74" s="24">
        <v>6</v>
      </c>
      <c r="F74" s="24">
        <v>6</v>
      </c>
      <c r="G74" s="19">
        <v>21971.84</v>
      </c>
      <c r="H74" s="19">
        <f t="shared" si="72"/>
        <v>1647888</v>
      </c>
      <c r="I74" s="19"/>
      <c r="J74" s="19"/>
      <c r="K74" s="19"/>
      <c r="L74" s="19"/>
      <c r="O74" s="19">
        <f t="shared" si="67"/>
        <v>0</v>
      </c>
      <c r="P74" s="19">
        <f t="shared" si="68"/>
        <v>0</v>
      </c>
      <c r="Q74" s="19">
        <f t="shared" si="69"/>
        <v>0</v>
      </c>
      <c r="R74" s="19">
        <f t="shared" si="70"/>
        <v>0</v>
      </c>
      <c r="S74" s="19">
        <f t="shared" si="71"/>
        <v>0</v>
      </c>
      <c r="T74" s="19">
        <f t="shared" si="71"/>
        <v>0</v>
      </c>
    </row>
    <row r="75" spans="1:20" ht="28.2" x14ac:dyDescent="0.3">
      <c r="A75" s="4"/>
      <c r="B75" s="5" t="s">
        <v>14</v>
      </c>
      <c r="C75" s="24"/>
      <c r="D75" s="24"/>
      <c r="E75" s="24"/>
      <c r="F75" s="24"/>
      <c r="G75" s="19"/>
      <c r="H75" s="19">
        <f t="shared" si="72"/>
        <v>0</v>
      </c>
      <c r="I75" s="19"/>
      <c r="J75" s="19"/>
      <c r="K75" s="19"/>
      <c r="L75" s="19"/>
      <c r="O75" s="19">
        <f t="shared" si="67"/>
        <v>0</v>
      </c>
      <c r="P75" s="19">
        <f t="shared" si="68"/>
        <v>0</v>
      </c>
      <c r="Q75" s="19">
        <f t="shared" si="69"/>
        <v>0</v>
      </c>
      <c r="R75" s="19">
        <f t="shared" si="70"/>
        <v>0</v>
      </c>
      <c r="S75" s="19">
        <f t="shared" si="71"/>
        <v>0</v>
      </c>
      <c r="T75" s="19">
        <f t="shared" si="71"/>
        <v>0</v>
      </c>
    </row>
    <row r="76" spans="1:20" x14ac:dyDescent="0.3">
      <c r="A76" s="4"/>
      <c r="B76" s="5" t="s">
        <v>15</v>
      </c>
      <c r="C76" s="24">
        <v>9</v>
      </c>
      <c r="D76" s="24">
        <v>9</v>
      </c>
      <c r="E76" s="24">
        <v>5</v>
      </c>
      <c r="F76" s="24">
        <v>5</v>
      </c>
      <c r="G76" s="19">
        <f>'расчёт зарплаты'!K34</f>
        <v>30976</v>
      </c>
      <c r="H76" s="19">
        <f t="shared" si="72"/>
        <v>2601984</v>
      </c>
      <c r="I76" s="19"/>
      <c r="J76" s="19"/>
      <c r="K76" s="19"/>
      <c r="L76" s="19"/>
      <c r="O76" s="19">
        <f t="shared" si="67"/>
        <v>0</v>
      </c>
      <c r="P76" s="19">
        <f t="shared" si="68"/>
        <v>0</v>
      </c>
      <c r="Q76" s="19">
        <f t="shared" si="69"/>
        <v>0</v>
      </c>
      <c r="R76" s="19">
        <f t="shared" si="70"/>
        <v>0</v>
      </c>
      <c r="S76" s="19">
        <f t="shared" si="71"/>
        <v>0</v>
      </c>
      <c r="T76" s="19">
        <f t="shared" si="71"/>
        <v>0</v>
      </c>
    </row>
    <row r="77" spans="1:20" x14ac:dyDescent="0.3">
      <c r="A77" s="4"/>
      <c r="B77" s="5" t="s">
        <v>16</v>
      </c>
      <c r="C77" s="24">
        <v>12</v>
      </c>
      <c r="D77" s="24">
        <v>12</v>
      </c>
      <c r="E77" s="24">
        <v>12</v>
      </c>
      <c r="F77" s="24">
        <v>12</v>
      </c>
      <c r="G77" s="19">
        <f>'расчёт зарплаты'!K8</f>
        <v>28600</v>
      </c>
      <c r="H77" s="19">
        <f t="shared" si="72"/>
        <v>4118400</v>
      </c>
      <c r="I77" s="19"/>
      <c r="J77" s="19"/>
      <c r="K77" s="19"/>
      <c r="L77" s="19"/>
      <c r="O77" s="19">
        <f t="shared" si="67"/>
        <v>0</v>
      </c>
      <c r="P77" s="19">
        <f t="shared" si="68"/>
        <v>0</v>
      </c>
      <c r="Q77" s="19">
        <f t="shared" si="69"/>
        <v>0</v>
      </c>
      <c r="R77" s="19">
        <f t="shared" si="70"/>
        <v>0</v>
      </c>
      <c r="S77" s="19">
        <f t="shared" si="71"/>
        <v>0</v>
      </c>
      <c r="T77" s="19">
        <f t="shared" si="71"/>
        <v>0</v>
      </c>
    </row>
    <row r="78" spans="1:20" ht="42" x14ac:dyDescent="0.3">
      <c r="A78" s="4"/>
      <c r="B78" s="5" t="s">
        <v>17</v>
      </c>
      <c r="C78" s="24">
        <v>3.5</v>
      </c>
      <c r="D78" s="24">
        <v>3.5</v>
      </c>
      <c r="E78" s="24">
        <v>3</v>
      </c>
      <c r="F78" s="24">
        <v>3</v>
      </c>
      <c r="G78" s="19">
        <f>'расчёт зарплаты'!K10</f>
        <v>28208</v>
      </c>
      <c r="H78" s="19">
        <f t="shared" si="72"/>
        <v>1100112</v>
      </c>
      <c r="I78" s="19"/>
      <c r="J78" s="19"/>
      <c r="K78" s="19"/>
      <c r="L78" s="19"/>
      <c r="O78" s="19">
        <f t="shared" si="67"/>
        <v>0</v>
      </c>
      <c r="P78" s="19">
        <f t="shared" si="68"/>
        <v>0</v>
      </c>
      <c r="Q78" s="19">
        <f t="shared" si="69"/>
        <v>0</v>
      </c>
      <c r="R78" s="19">
        <f t="shared" si="70"/>
        <v>0</v>
      </c>
      <c r="S78" s="19">
        <f t="shared" si="71"/>
        <v>0</v>
      </c>
      <c r="T78" s="19">
        <f t="shared" si="71"/>
        <v>0</v>
      </c>
    </row>
    <row r="79" spans="1:20" ht="28.2" x14ac:dyDescent="0.3">
      <c r="A79" s="4"/>
      <c r="B79" s="5" t="s">
        <v>18</v>
      </c>
      <c r="C79" s="24">
        <v>3</v>
      </c>
      <c r="D79" s="24">
        <v>3</v>
      </c>
      <c r="E79" s="24">
        <v>3</v>
      </c>
      <c r="F79" s="24">
        <v>3</v>
      </c>
      <c r="G79" s="19">
        <v>25862.400000000001</v>
      </c>
      <c r="H79" s="19">
        <f t="shared" si="72"/>
        <v>931046.40000000014</v>
      </c>
      <c r="I79" s="19"/>
      <c r="J79" s="19"/>
      <c r="K79" s="19"/>
      <c r="L79" s="19"/>
      <c r="O79" s="19">
        <f t="shared" si="67"/>
        <v>0</v>
      </c>
      <c r="P79" s="19">
        <f t="shared" si="68"/>
        <v>0</v>
      </c>
      <c r="Q79" s="19">
        <f t="shared" si="69"/>
        <v>0</v>
      </c>
      <c r="R79" s="19">
        <f t="shared" si="70"/>
        <v>0</v>
      </c>
      <c r="S79" s="19">
        <f t="shared" si="71"/>
        <v>0</v>
      </c>
      <c r="T79" s="19">
        <f t="shared" si="71"/>
        <v>0</v>
      </c>
    </row>
    <row r="80" spans="1:20" ht="42" x14ac:dyDescent="0.3">
      <c r="A80" s="4"/>
      <c r="B80" s="5" t="s">
        <v>91</v>
      </c>
      <c r="C80" s="24"/>
      <c r="D80" s="24"/>
      <c r="E80" s="24"/>
      <c r="F80" s="24"/>
      <c r="G80" s="19"/>
      <c r="H80" s="19">
        <f t="shared" si="72"/>
        <v>0</v>
      </c>
      <c r="I80" s="19"/>
      <c r="J80" s="19"/>
      <c r="K80" s="19"/>
      <c r="L80" s="19"/>
      <c r="O80" s="19">
        <f t="shared" si="67"/>
        <v>0</v>
      </c>
      <c r="P80" s="19">
        <f t="shared" si="68"/>
        <v>0</v>
      </c>
      <c r="Q80" s="19">
        <f t="shared" si="69"/>
        <v>0</v>
      </c>
      <c r="R80" s="19">
        <f t="shared" si="70"/>
        <v>0</v>
      </c>
      <c r="S80" s="19">
        <f t="shared" si="71"/>
        <v>0</v>
      </c>
      <c r="T80" s="19">
        <f t="shared" si="71"/>
        <v>0</v>
      </c>
    </row>
    <row r="81" spans="1:20" x14ac:dyDescent="0.3">
      <c r="A81" s="4"/>
      <c r="B81" s="5" t="s">
        <v>20</v>
      </c>
      <c r="C81" s="24"/>
      <c r="D81" s="24"/>
      <c r="E81" s="24"/>
      <c r="F81" s="24"/>
      <c r="G81" s="19"/>
      <c r="H81" s="19">
        <f t="shared" si="72"/>
        <v>0</v>
      </c>
      <c r="I81" s="19"/>
      <c r="J81" s="19"/>
      <c r="K81" s="19"/>
      <c r="L81" s="19"/>
      <c r="O81" s="19">
        <f t="shared" si="67"/>
        <v>0</v>
      </c>
      <c r="P81" s="19">
        <f t="shared" si="68"/>
        <v>0</v>
      </c>
      <c r="Q81" s="19">
        <f t="shared" si="69"/>
        <v>0</v>
      </c>
      <c r="R81" s="19">
        <f t="shared" si="70"/>
        <v>0</v>
      </c>
      <c r="S81" s="19">
        <f t="shared" si="71"/>
        <v>0</v>
      </c>
      <c r="T81" s="19">
        <f t="shared" si="71"/>
        <v>0</v>
      </c>
    </row>
    <row r="82" spans="1:20" ht="39.6" x14ac:dyDescent="0.3">
      <c r="A82" s="4"/>
      <c r="B82" s="6" t="s">
        <v>21</v>
      </c>
      <c r="C82" s="24">
        <v>1</v>
      </c>
      <c r="D82" s="24">
        <v>1</v>
      </c>
      <c r="E82" s="24">
        <v>1</v>
      </c>
      <c r="F82" s="24">
        <v>1</v>
      </c>
      <c r="G82" s="19">
        <f>'расчёт зарплаты'!K44</f>
        <v>45056</v>
      </c>
      <c r="H82" s="19">
        <f t="shared" si="72"/>
        <v>540672</v>
      </c>
      <c r="I82" s="19"/>
      <c r="J82" s="19"/>
      <c r="K82" s="19"/>
      <c r="L82" s="19"/>
      <c r="O82" s="19">
        <f t="shared" si="67"/>
        <v>0</v>
      </c>
      <c r="P82" s="19">
        <f t="shared" si="68"/>
        <v>0</v>
      </c>
      <c r="Q82" s="19">
        <f t="shared" si="69"/>
        <v>0</v>
      </c>
      <c r="R82" s="19">
        <f t="shared" si="70"/>
        <v>0</v>
      </c>
      <c r="S82" s="19">
        <f t="shared" si="71"/>
        <v>0</v>
      </c>
      <c r="T82" s="19">
        <f t="shared" si="71"/>
        <v>0</v>
      </c>
    </row>
    <row r="83" spans="1:20" x14ac:dyDescent="0.3">
      <c r="A83" s="4"/>
      <c r="B83" s="5" t="s">
        <v>22</v>
      </c>
      <c r="C83" s="24"/>
      <c r="D83" s="24"/>
      <c r="E83" s="24"/>
      <c r="F83" s="24"/>
      <c r="G83" s="19"/>
      <c r="H83" s="19">
        <f t="shared" ref="H83" si="73">E83*G83*12</f>
        <v>0</v>
      </c>
      <c r="I83" s="19"/>
      <c r="J83" s="19"/>
      <c r="K83" s="19"/>
      <c r="L83" s="19"/>
      <c r="O83" s="19">
        <f>J83*L83*12</f>
        <v>0</v>
      </c>
      <c r="P83" s="19">
        <f>K83*M83*12</f>
        <v>0</v>
      </c>
      <c r="Q83" s="19">
        <f>L83*O83*12</f>
        <v>0</v>
      </c>
      <c r="R83" s="19">
        <f>M83*P83*12</f>
        <v>0</v>
      </c>
      <c r="S83" s="19">
        <f t="shared" ref="S83:T83" si="74">O83*Q83*12</f>
        <v>0</v>
      </c>
      <c r="T83" s="19">
        <f t="shared" si="74"/>
        <v>0</v>
      </c>
    </row>
    <row r="84" spans="1:20" x14ac:dyDescent="0.3">
      <c r="A84" s="38" t="s">
        <v>57</v>
      </c>
      <c r="B84" s="39"/>
      <c r="C84" s="41">
        <f>C85+C86+C87</f>
        <v>15.5</v>
      </c>
      <c r="D84" s="41">
        <f t="shared" ref="D84:F84" si="75">D85+D86+D87</f>
        <v>14.5</v>
      </c>
      <c r="E84" s="41">
        <f t="shared" si="75"/>
        <v>11</v>
      </c>
      <c r="F84" s="41">
        <f t="shared" si="75"/>
        <v>11</v>
      </c>
      <c r="G84" s="41"/>
      <c r="H84" s="42">
        <f t="shared" ref="H84:L84" si="76">H85+H86+H87</f>
        <v>4237884</v>
      </c>
      <c r="I84" s="42">
        <f t="shared" si="76"/>
        <v>0</v>
      </c>
      <c r="J84" s="42">
        <f t="shared" si="76"/>
        <v>0</v>
      </c>
      <c r="K84" s="42">
        <f t="shared" si="76"/>
        <v>0</v>
      </c>
      <c r="L84" s="42">
        <f t="shared" si="76"/>
        <v>0</v>
      </c>
      <c r="O84" s="42">
        <f t="shared" ref="O84:P84" si="77">O85+O86+O87</f>
        <v>0</v>
      </c>
      <c r="P84" s="42">
        <f t="shared" si="77"/>
        <v>0</v>
      </c>
      <c r="Q84" s="42">
        <f t="shared" ref="Q84" si="78">Q85+Q86+Q87</f>
        <v>0</v>
      </c>
      <c r="R84" s="42">
        <f t="shared" ref="R84:S84" si="79">R85+R86+R87</f>
        <v>0</v>
      </c>
      <c r="S84" s="42">
        <f t="shared" si="79"/>
        <v>0</v>
      </c>
      <c r="T84" s="42">
        <f t="shared" ref="T84" si="80">T85+T86+T87</f>
        <v>0</v>
      </c>
    </row>
    <row r="85" spans="1:20" x14ac:dyDescent="0.3">
      <c r="A85" s="4"/>
      <c r="B85" s="5" t="s">
        <v>11</v>
      </c>
      <c r="C85" s="9">
        <v>3.5</v>
      </c>
      <c r="D85" s="9">
        <v>3.5</v>
      </c>
      <c r="E85" s="9">
        <v>3</v>
      </c>
      <c r="F85" s="9">
        <v>3</v>
      </c>
      <c r="G85" s="19">
        <f>'расчёт зарплаты'!K26</f>
        <v>27300</v>
      </c>
      <c r="H85" s="19">
        <f t="shared" ref="H85:H88" si="81">E85*G85*12+ ((D85-E85)*G85/2*12)</f>
        <v>1064700</v>
      </c>
      <c r="I85" s="19"/>
      <c r="J85" s="19"/>
      <c r="K85" s="19"/>
      <c r="L85" s="19"/>
      <c r="O85" s="19">
        <f t="shared" ref="O85:P88" si="82">J85*L85*12+ ((I85-J85)*L85/2*12)</f>
        <v>0</v>
      </c>
      <c r="P85" s="19">
        <f t="shared" si="82"/>
        <v>0</v>
      </c>
      <c r="Q85" s="19">
        <f t="shared" ref="Q85:R88" si="83">L85*O85*12+ ((K85-L85)*O85/2*12)</f>
        <v>0</v>
      </c>
      <c r="R85" s="19">
        <f t="shared" si="83"/>
        <v>0</v>
      </c>
      <c r="S85" s="19">
        <f t="shared" ref="S85:T88" si="84">O85*Q85*12+ ((M85-O85)*Q85/2*12)</f>
        <v>0</v>
      </c>
      <c r="T85" s="19">
        <f t="shared" si="84"/>
        <v>0</v>
      </c>
    </row>
    <row r="86" spans="1:20" x14ac:dyDescent="0.3">
      <c r="A86" s="4"/>
      <c r="B86" s="5" t="s">
        <v>12</v>
      </c>
      <c r="C86" s="9">
        <v>4</v>
      </c>
      <c r="D86" s="9">
        <v>4</v>
      </c>
      <c r="E86" s="9">
        <v>4</v>
      </c>
      <c r="F86" s="9">
        <v>4</v>
      </c>
      <c r="G86" s="19">
        <f>'расчёт зарплаты'!K26</f>
        <v>27300</v>
      </c>
      <c r="H86" s="19">
        <f t="shared" si="81"/>
        <v>1310400</v>
      </c>
      <c r="I86" s="19"/>
      <c r="J86" s="19"/>
      <c r="K86" s="19"/>
      <c r="L86" s="19"/>
      <c r="O86" s="19">
        <f t="shared" si="82"/>
        <v>0</v>
      </c>
      <c r="P86" s="19">
        <f t="shared" si="82"/>
        <v>0</v>
      </c>
      <c r="Q86" s="19">
        <f t="shared" si="83"/>
        <v>0</v>
      </c>
      <c r="R86" s="19">
        <f t="shared" si="83"/>
        <v>0</v>
      </c>
      <c r="S86" s="19">
        <f t="shared" si="84"/>
        <v>0</v>
      </c>
      <c r="T86" s="19">
        <f t="shared" si="84"/>
        <v>0</v>
      </c>
    </row>
    <row r="87" spans="1:20" ht="28.2" x14ac:dyDescent="0.3">
      <c r="A87" s="4"/>
      <c r="B87" s="5" t="s">
        <v>19</v>
      </c>
      <c r="C87" s="24">
        <v>8</v>
      </c>
      <c r="D87" s="24">
        <v>7</v>
      </c>
      <c r="E87" s="24">
        <v>4</v>
      </c>
      <c r="F87" s="24">
        <v>4</v>
      </c>
      <c r="G87" s="19">
        <f>'расчёт зарплаты'!K40</f>
        <v>28224</v>
      </c>
      <c r="H87" s="19">
        <f t="shared" si="81"/>
        <v>1862784</v>
      </c>
      <c r="I87" s="19"/>
      <c r="J87" s="19"/>
      <c r="K87" s="19"/>
      <c r="L87" s="19"/>
      <c r="O87" s="19">
        <f t="shared" si="82"/>
        <v>0</v>
      </c>
      <c r="P87" s="19">
        <f t="shared" si="82"/>
        <v>0</v>
      </c>
      <c r="Q87" s="19">
        <f t="shared" si="83"/>
        <v>0</v>
      </c>
      <c r="R87" s="19">
        <f t="shared" si="83"/>
        <v>0</v>
      </c>
      <c r="S87" s="19">
        <f t="shared" si="84"/>
        <v>0</v>
      </c>
      <c r="T87" s="19">
        <f t="shared" si="84"/>
        <v>0</v>
      </c>
    </row>
    <row r="88" spans="1:20" x14ac:dyDescent="0.3">
      <c r="A88" s="135" t="s">
        <v>23</v>
      </c>
      <c r="B88" s="135"/>
      <c r="C88" s="23">
        <f t="shared" ref="C88:F88" si="85">C89+C95</f>
        <v>18.75</v>
      </c>
      <c r="D88" s="23">
        <f t="shared" si="85"/>
        <v>18.5</v>
      </c>
      <c r="E88" s="23">
        <f t="shared" si="85"/>
        <v>15</v>
      </c>
      <c r="F88" s="23">
        <f t="shared" si="85"/>
        <v>15</v>
      </c>
      <c r="G88" s="19"/>
      <c r="H88" s="19">
        <f t="shared" si="81"/>
        <v>0</v>
      </c>
      <c r="I88" s="19"/>
      <c r="J88" s="20">
        <f t="shared" ref="J88:K88" si="86">J89+J95</f>
        <v>5651190</v>
      </c>
      <c r="K88" s="20">
        <f t="shared" si="86"/>
        <v>1706659.38</v>
      </c>
      <c r="L88" s="20">
        <f>L89+L95</f>
        <v>7357849.3799999999</v>
      </c>
      <c r="O88" s="19">
        <f t="shared" si="82"/>
        <v>249483629026573.22</v>
      </c>
      <c r="P88" s="19">
        <f t="shared" si="82"/>
        <v>0</v>
      </c>
      <c r="Q88" s="19">
        <f t="shared" si="83"/>
        <v>1.3568679244727778E+22</v>
      </c>
      <c r="R88" s="19">
        <f t="shared" si="83"/>
        <v>0</v>
      </c>
      <c r="S88" s="19">
        <f t="shared" si="84"/>
        <v>2.031098003443337E+37</v>
      </c>
      <c r="T88" s="19">
        <f t="shared" si="84"/>
        <v>0</v>
      </c>
    </row>
    <row r="89" spans="1:20" x14ac:dyDescent="0.3">
      <c r="A89" s="136" t="s">
        <v>24</v>
      </c>
      <c r="B89" s="136"/>
      <c r="C89" s="23">
        <f t="shared" ref="C89:E89" si="87">C90+C91+C92+C93+C94</f>
        <v>11.25</v>
      </c>
      <c r="D89" s="23">
        <f t="shared" si="87"/>
        <v>11.25</v>
      </c>
      <c r="E89" s="23">
        <f t="shared" si="87"/>
        <v>11</v>
      </c>
      <c r="F89" s="23">
        <f>F90+F91+F92+F93+F94</f>
        <v>11</v>
      </c>
      <c r="G89" s="20"/>
      <c r="H89" s="20">
        <f>H90+H91+H92+H93+H94</f>
        <v>3644550</v>
      </c>
      <c r="I89" s="20">
        <f t="shared" ref="I89" si="88">I90+I91+I92+I93+I94</f>
        <v>0</v>
      </c>
      <c r="J89" s="20">
        <f>H89</f>
        <v>3644550</v>
      </c>
      <c r="K89" s="20">
        <f>J89*30.2%</f>
        <v>1100654.0999999999</v>
      </c>
      <c r="L89" s="20">
        <f>J89+K89</f>
        <v>4745204.0999999996</v>
      </c>
      <c r="O89" s="20">
        <f t="shared" ref="O89:T89" si="89">O90+O91+O92+O93+O94</f>
        <v>0</v>
      </c>
      <c r="P89" s="20">
        <f t="shared" si="89"/>
        <v>0</v>
      </c>
      <c r="Q89" s="20">
        <f t="shared" si="89"/>
        <v>0</v>
      </c>
      <c r="R89" s="20">
        <f t="shared" si="89"/>
        <v>0</v>
      </c>
      <c r="S89" s="20">
        <f t="shared" si="89"/>
        <v>0</v>
      </c>
      <c r="T89" s="20">
        <f t="shared" si="89"/>
        <v>0</v>
      </c>
    </row>
    <row r="90" spans="1:20" x14ac:dyDescent="0.3">
      <c r="A90" s="4"/>
      <c r="B90" s="5" t="s">
        <v>25</v>
      </c>
      <c r="C90" s="24"/>
      <c r="D90" s="24"/>
      <c r="E90" s="24"/>
      <c r="F90" s="24"/>
      <c r="G90" s="19"/>
      <c r="H90" s="19">
        <f t="shared" ref="H90:H94" si="90">E90*G90*12+ ((D90-E90)*G90/2*12)</f>
        <v>0</v>
      </c>
      <c r="I90" s="19"/>
      <c r="J90" s="19"/>
      <c r="K90" s="19"/>
      <c r="L90" s="19"/>
      <c r="O90" s="19">
        <f t="shared" ref="O90:P94" si="91">J90*L90*12+ ((I90-J90)*L90/2*12)</f>
        <v>0</v>
      </c>
      <c r="P90" s="19">
        <f t="shared" si="91"/>
        <v>0</v>
      </c>
      <c r="Q90" s="19">
        <f t="shared" ref="Q90:R94" si="92">L90*O90*12+ ((K90-L90)*O90/2*12)</f>
        <v>0</v>
      </c>
      <c r="R90" s="19">
        <f t="shared" si="92"/>
        <v>0</v>
      </c>
      <c r="S90" s="19">
        <f t="shared" ref="S90:T94" si="93">O90*Q90*12+ ((M90-O90)*Q90/2*12)</f>
        <v>0</v>
      </c>
      <c r="T90" s="19">
        <f t="shared" si="93"/>
        <v>0</v>
      </c>
    </row>
    <row r="91" spans="1:20" x14ac:dyDescent="0.3">
      <c r="A91" s="4"/>
      <c r="B91" s="5" t="s">
        <v>26</v>
      </c>
      <c r="C91" s="24"/>
      <c r="D91" s="24"/>
      <c r="E91" s="24"/>
      <c r="F91" s="24"/>
      <c r="G91" s="19"/>
      <c r="H91" s="19">
        <f t="shared" si="90"/>
        <v>0</v>
      </c>
      <c r="I91" s="19"/>
      <c r="J91" s="19"/>
      <c r="K91" s="19"/>
      <c r="L91" s="19"/>
      <c r="O91" s="19">
        <f t="shared" si="91"/>
        <v>0</v>
      </c>
      <c r="P91" s="19">
        <f t="shared" si="91"/>
        <v>0</v>
      </c>
      <c r="Q91" s="19">
        <f t="shared" si="92"/>
        <v>0</v>
      </c>
      <c r="R91" s="19">
        <f t="shared" si="92"/>
        <v>0</v>
      </c>
      <c r="S91" s="19">
        <f t="shared" si="93"/>
        <v>0</v>
      </c>
      <c r="T91" s="19">
        <f t="shared" si="93"/>
        <v>0</v>
      </c>
    </row>
    <row r="92" spans="1:20" x14ac:dyDescent="0.3">
      <c r="A92" s="4"/>
      <c r="B92" s="5" t="s">
        <v>27</v>
      </c>
      <c r="C92" s="24"/>
      <c r="D92" s="24"/>
      <c r="E92" s="24"/>
      <c r="F92" s="24"/>
      <c r="G92" s="19"/>
      <c r="H92" s="19">
        <f t="shared" si="90"/>
        <v>0</v>
      </c>
      <c r="I92" s="19"/>
      <c r="J92" s="19"/>
      <c r="K92" s="19"/>
      <c r="L92" s="19"/>
      <c r="O92" s="19">
        <f t="shared" si="91"/>
        <v>0</v>
      </c>
      <c r="P92" s="19">
        <f t="shared" si="91"/>
        <v>0</v>
      </c>
      <c r="Q92" s="19">
        <f t="shared" si="92"/>
        <v>0</v>
      </c>
      <c r="R92" s="19">
        <f t="shared" si="92"/>
        <v>0</v>
      </c>
      <c r="S92" s="19">
        <f t="shared" si="93"/>
        <v>0</v>
      </c>
      <c r="T92" s="19">
        <f t="shared" si="93"/>
        <v>0</v>
      </c>
    </row>
    <row r="93" spans="1:20" ht="28.2" x14ac:dyDescent="0.3">
      <c r="A93" s="4"/>
      <c r="B93" s="5" t="s">
        <v>28</v>
      </c>
      <c r="C93" s="24">
        <v>4</v>
      </c>
      <c r="D93" s="24">
        <v>4</v>
      </c>
      <c r="E93" s="24">
        <v>4</v>
      </c>
      <c r="F93" s="24">
        <v>4</v>
      </c>
      <c r="G93" s="19">
        <f>'расчёт зарплаты'!K26</f>
        <v>27300</v>
      </c>
      <c r="H93" s="19">
        <f t="shared" si="90"/>
        <v>1310400</v>
      </c>
      <c r="I93" s="19"/>
      <c r="J93" s="19"/>
      <c r="K93" s="19"/>
      <c r="L93" s="19"/>
      <c r="O93" s="19">
        <f t="shared" si="91"/>
        <v>0</v>
      </c>
      <c r="P93" s="19">
        <f t="shared" si="91"/>
        <v>0</v>
      </c>
      <c r="Q93" s="19">
        <f t="shared" si="92"/>
        <v>0</v>
      </c>
      <c r="R93" s="19">
        <f t="shared" si="92"/>
        <v>0</v>
      </c>
      <c r="S93" s="19">
        <f t="shared" si="93"/>
        <v>0</v>
      </c>
      <c r="T93" s="19">
        <f t="shared" si="93"/>
        <v>0</v>
      </c>
    </row>
    <row r="94" spans="1:20" x14ac:dyDescent="0.3">
      <c r="A94" s="4"/>
      <c r="B94" s="5" t="s">
        <v>29</v>
      </c>
      <c r="C94" s="24">
        <v>7.25</v>
      </c>
      <c r="D94" s="24">
        <v>7.25</v>
      </c>
      <c r="E94" s="24">
        <v>7</v>
      </c>
      <c r="F94" s="24">
        <v>7</v>
      </c>
      <c r="G94" s="19">
        <f>'расчёт зарплаты'!K26</f>
        <v>27300</v>
      </c>
      <c r="H94" s="19">
        <f t="shared" si="90"/>
        <v>2334150</v>
      </c>
      <c r="I94" s="19"/>
      <c r="J94" s="19"/>
      <c r="K94" s="19"/>
      <c r="L94" s="19"/>
      <c r="O94" s="19">
        <f t="shared" si="91"/>
        <v>0</v>
      </c>
      <c r="P94" s="19">
        <f t="shared" si="91"/>
        <v>0</v>
      </c>
      <c r="Q94" s="19">
        <f t="shared" si="92"/>
        <v>0</v>
      </c>
      <c r="R94" s="19">
        <f t="shared" si="92"/>
        <v>0</v>
      </c>
      <c r="S94" s="19">
        <f t="shared" si="93"/>
        <v>0</v>
      </c>
      <c r="T94" s="19">
        <f t="shared" si="93"/>
        <v>0</v>
      </c>
    </row>
    <row r="95" spans="1:20" x14ac:dyDescent="0.3">
      <c r="A95" s="136" t="s">
        <v>30</v>
      </c>
      <c r="B95" s="136"/>
      <c r="C95" s="23">
        <f t="shared" ref="C95:E95" si="94">C96+C97+C98</f>
        <v>7.5</v>
      </c>
      <c r="D95" s="23">
        <f t="shared" si="94"/>
        <v>7.25</v>
      </c>
      <c r="E95" s="23">
        <f t="shared" si="94"/>
        <v>4</v>
      </c>
      <c r="F95" s="23">
        <f>F96+F97+F98</f>
        <v>4</v>
      </c>
      <c r="G95" s="20"/>
      <c r="H95" s="20">
        <f>H96+H97+H98</f>
        <v>2006640</v>
      </c>
      <c r="I95" s="20">
        <f t="shared" ref="I95" si="95">I96+I97+I98</f>
        <v>0</v>
      </c>
      <c r="J95" s="20">
        <f>H95</f>
        <v>2006640</v>
      </c>
      <c r="K95" s="20">
        <f>J95*30.2%</f>
        <v>606005.28</v>
      </c>
      <c r="L95" s="20">
        <f>J95+K95</f>
        <v>2612645.2800000003</v>
      </c>
      <c r="O95" s="20">
        <f t="shared" ref="O95:T95" si="96">O96+O97+O98</f>
        <v>0</v>
      </c>
      <c r="P95" s="20">
        <f t="shared" si="96"/>
        <v>0</v>
      </c>
      <c r="Q95" s="20">
        <f t="shared" si="96"/>
        <v>0</v>
      </c>
      <c r="R95" s="20">
        <f t="shared" si="96"/>
        <v>0</v>
      </c>
      <c r="S95" s="20">
        <f t="shared" si="96"/>
        <v>0</v>
      </c>
      <c r="T95" s="20">
        <f t="shared" si="96"/>
        <v>0</v>
      </c>
    </row>
    <row r="96" spans="1:20" x14ac:dyDescent="0.3">
      <c r="A96" s="4"/>
      <c r="B96" s="5" t="s">
        <v>31</v>
      </c>
      <c r="C96" s="24">
        <v>2.5</v>
      </c>
      <c r="D96" s="24">
        <v>2.5</v>
      </c>
      <c r="E96" s="24">
        <v>2</v>
      </c>
      <c r="F96" s="24">
        <v>2</v>
      </c>
      <c r="G96" s="19">
        <f>'расчёт зарплаты'!K34</f>
        <v>30976</v>
      </c>
      <c r="H96" s="19">
        <f t="shared" ref="H96:H98" si="97">E96*G96*12+ ((D96-E96)*G96/2*12)</f>
        <v>836352</v>
      </c>
      <c r="I96" s="19"/>
      <c r="J96" s="19"/>
      <c r="K96" s="19"/>
      <c r="L96" s="19"/>
      <c r="O96" s="19">
        <f t="shared" ref="O96:P98" si="98">J96*L96*12+ ((I96-J96)*L96/2*12)</f>
        <v>0</v>
      </c>
      <c r="P96" s="19">
        <f t="shared" si="98"/>
        <v>0</v>
      </c>
      <c r="Q96" s="19">
        <f t="shared" ref="Q96:R98" si="99">L96*O96*12+ ((K96-L96)*O96/2*12)</f>
        <v>0</v>
      </c>
      <c r="R96" s="19">
        <f t="shared" si="99"/>
        <v>0</v>
      </c>
      <c r="S96" s="19">
        <f t="shared" ref="S96:T98" si="100">O96*Q96*12+ ((M96-O96)*Q96/2*12)</f>
        <v>0</v>
      </c>
      <c r="T96" s="19">
        <f t="shared" si="100"/>
        <v>0</v>
      </c>
    </row>
    <row r="97" spans="1:20" x14ac:dyDescent="0.3">
      <c r="A97" s="4"/>
      <c r="B97" s="5" t="s">
        <v>32</v>
      </c>
      <c r="C97" s="24"/>
      <c r="D97" s="24"/>
      <c r="E97" s="24"/>
      <c r="F97" s="24"/>
      <c r="G97" s="19"/>
      <c r="H97" s="19">
        <f t="shared" si="97"/>
        <v>0</v>
      </c>
      <c r="I97" s="19"/>
      <c r="J97" s="19"/>
      <c r="K97" s="19"/>
      <c r="L97" s="19"/>
      <c r="O97" s="19">
        <f t="shared" si="98"/>
        <v>0</v>
      </c>
      <c r="P97" s="19">
        <f t="shared" si="98"/>
        <v>0</v>
      </c>
      <c r="Q97" s="19">
        <f t="shared" si="99"/>
        <v>0</v>
      </c>
      <c r="R97" s="19">
        <f t="shared" si="99"/>
        <v>0</v>
      </c>
      <c r="S97" s="19">
        <f t="shared" si="100"/>
        <v>0</v>
      </c>
      <c r="T97" s="19">
        <f t="shared" si="100"/>
        <v>0</v>
      </c>
    </row>
    <row r="98" spans="1:20" x14ac:dyDescent="0.3">
      <c r="A98" s="4"/>
      <c r="B98" s="5" t="s">
        <v>33</v>
      </c>
      <c r="C98" s="24">
        <v>5</v>
      </c>
      <c r="D98" s="24">
        <v>4.75</v>
      </c>
      <c r="E98" s="24">
        <v>2</v>
      </c>
      <c r="F98" s="24">
        <v>2</v>
      </c>
      <c r="G98" s="19">
        <f>'расчёт зарплаты'!K38</f>
        <v>28896</v>
      </c>
      <c r="H98" s="19">
        <f t="shared" si="97"/>
        <v>1170288</v>
      </c>
      <c r="I98" s="19"/>
      <c r="J98" s="19"/>
      <c r="K98" s="19"/>
      <c r="L98" s="19"/>
      <c r="O98" s="19">
        <f t="shared" si="98"/>
        <v>0</v>
      </c>
      <c r="P98" s="19">
        <f t="shared" si="98"/>
        <v>0</v>
      </c>
      <c r="Q98" s="19">
        <f t="shared" si="99"/>
        <v>0</v>
      </c>
      <c r="R98" s="19">
        <f t="shared" si="99"/>
        <v>0</v>
      </c>
      <c r="S98" s="19">
        <f t="shared" si="100"/>
        <v>0</v>
      </c>
      <c r="T98" s="19">
        <f t="shared" si="100"/>
        <v>0</v>
      </c>
    </row>
    <row r="99" spans="1:20" x14ac:dyDescent="0.3">
      <c r="A99" s="141" t="s">
        <v>62</v>
      </c>
      <c r="B99" s="141"/>
      <c r="C99" s="141"/>
      <c r="D99" s="141"/>
      <c r="E99" s="141"/>
      <c r="F99" s="141"/>
      <c r="G99" s="141"/>
      <c r="H99" s="141"/>
      <c r="I99" s="141"/>
      <c r="J99" s="141"/>
      <c r="K99" s="141"/>
      <c r="L99" s="141"/>
    </row>
    <row r="100" spans="1:20" ht="14.4" customHeight="1" x14ac:dyDescent="0.3">
      <c r="A100" s="133" t="s">
        <v>7</v>
      </c>
      <c r="B100" s="134"/>
      <c r="C100" s="8">
        <f>C101+C118+C114</f>
        <v>82.25</v>
      </c>
      <c r="D100" s="8">
        <f>D101+D118+D114</f>
        <v>78.25</v>
      </c>
      <c r="E100" s="8">
        <f>E101+E118+E114</f>
        <v>58</v>
      </c>
      <c r="F100" s="8">
        <f>F101+F118+F114</f>
        <v>58</v>
      </c>
      <c r="G100" s="19"/>
      <c r="H100" s="19"/>
      <c r="I100" s="19"/>
      <c r="J100" s="19"/>
      <c r="K100" s="19"/>
      <c r="L100" s="19"/>
      <c r="O100" s="19"/>
      <c r="P100" s="19"/>
      <c r="Q100" s="19"/>
      <c r="R100" s="19"/>
      <c r="S100" s="19"/>
      <c r="T100" s="19"/>
    </row>
    <row r="101" spans="1:20" ht="14.4" customHeight="1" x14ac:dyDescent="0.3">
      <c r="A101" s="133" t="s">
        <v>89</v>
      </c>
      <c r="B101" s="134"/>
      <c r="C101" s="40">
        <f t="shared" ref="C101:G101" si="101">SUM(C102:C113)</f>
        <v>59.5</v>
      </c>
      <c r="D101" s="40">
        <f t="shared" si="101"/>
        <v>58</v>
      </c>
      <c r="E101" s="40">
        <f t="shared" si="101"/>
        <v>48</v>
      </c>
      <c r="F101" s="40">
        <f t="shared" si="101"/>
        <v>48</v>
      </c>
      <c r="G101" s="40">
        <f t="shared" si="101"/>
        <v>176536</v>
      </c>
      <c r="H101" s="40">
        <f>SUM(H102:H113)</f>
        <v>18287769.600000001</v>
      </c>
      <c r="I101" s="20"/>
      <c r="J101" s="20">
        <f>H101-I101</f>
        <v>18287769.600000001</v>
      </c>
      <c r="K101" s="20">
        <f>J101*30.2%</f>
        <v>5522906.4192000004</v>
      </c>
      <c r="L101" s="20">
        <f>J101+K101</f>
        <v>23810676.019200001</v>
      </c>
      <c r="O101" s="40">
        <f t="shared" ref="O101:T101" si="102">SUM(O102:O113)</f>
        <v>0</v>
      </c>
      <c r="P101" s="40">
        <f t="shared" si="102"/>
        <v>0</v>
      </c>
      <c r="Q101" s="40">
        <f t="shared" si="102"/>
        <v>0</v>
      </c>
      <c r="R101" s="40">
        <f t="shared" si="102"/>
        <v>0</v>
      </c>
      <c r="S101" s="40">
        <f t="shared" si="102"/>
        <v>0</v>
      </c>
      <c r="T101" s="40">
        <f t="shared" si="102"/>
        <v>0</v>
      </c>
    </row>
    <row r="102" spans="1:20" x14ac:dyDescent="0.3">
      <c r="A102" s="4"/>
      <c r="B102" s="5" t="s">
        <v>9</v>
      </c>
      <c r="C102" s="26">
        <v>32.5</v>
      </c>
      <c r="D102" s="26">
        <v>32.5</v>
      </c>
      <c r="E102" s="26">
        <v>24.8</v>
      </c>
      <c r="F102" s="26">
        <v>25</v>
      </c>
      <c r="G102" s="19">
        <f>'расчёт зарплаты'!K10</f>
        <v>28208</v>
      </c>
      <c r="H102" s="19">
        <f>E102*G102*12+ ((D102-E102)*G102/2*12)</f>
        <v>9697910.4000000004</v>
      </c>
      <c r="I102" s="19"/>
      <c r="J102" s="19"/>
      <c r="K102" s="19"/>
      <c r="L102" s="19">
        <f>G102*K102*12</f>
        <v>0</v>
      </c>
      <c r="O102" s="19">
        <f t="shared" ref="O102:O112" si="103">J102*L102*12+ ((I102-J102)*L102/2*12)</f>
        <v>0</v>
      </c>
      <c r="P102" s="19">
        <f t="shared" ref="P102:P112" si="104">K102*M102*12+ ((J102-K102)*M102/2*12)</f>
        <v>0</v>
      </c>
      <c r="Q102" s="19">
        <f t="shared" ref="Q102:Q112" si="105">L102*O102*12+ ((K102-L102)*O102/2*12)</f>
        <v>0</v>
      </c>
      <c r="R102" s="19">
        <f t="shared" ref="R102:R112" si="106">M102*P102*12+ ((L102-M102)*P102/2*12)</f>
        <v>0</v>
      </c>
      <c r="S102" s="19">
        <f t="shared" ref="S102:T112" si="107">O102*Q102*12+ ((M102-O102)*Q102/2*12)</f>
        <v>0</v>
      </c>
      <c r="T102" s="19">
        <f t="shared" si="107"/>
        <v>0</v>
      </c>
    </row>
    <row r="103" spans="1:20" x14ac:dyDescent="0.3">
      <c r="A103" s="4"/>
      <c r="B103" s="5" t="s">
        <v>10</v>
      </c>
      <c r="C103" s="26"/>
      <c r="D103" s="26"/>
      <c r="E103" s="26"/>
      <c r="F103" s="26"/>
      <c r="G103" s="19"/>
      <c r="H103" s="19">
        <f t="shared" ref="H103:H112" si="108">E103*G103*12+ ((D103-E103)*G103/2*12)</f>
        <v>0</v>
      </c>
      <c r="I103" s="19"/>
      <c r="J103" s="19"/>
      <c r="K103" s="19"/>
      <c r="L103" s="19"/>
      <c r="O103" s="19">
        <f t="shared" si="103"/>
        <v>0</v>
      </c>
      <c r="P103" s="19">
        <f t="shared" si="104"/>
        <v>0</v>
      </c>
      <c r="Q103" s="19">
        <f t="shared" si="105"/>
        <v>0</v>
      </c>
      <c r="R103" s="19">
        <f t="shared" si="106"/>
        <v>0</v>
      </c>
      <c r="S103" s="19">
        <f t="shared" si="107"/>
        <v>0</v>
      </c>
      <c r="T103" s="19">
        <f t="shared" si="107"/>
        <v>0</v>
      </c>
    </row>
    <row r="104" spans="1:20" x14ac:dyDescent="0.3">
      <c r="A104" s="4"/>
      <c r="B104" s="5" t="s">
        <v>13</v>
      </c>
      <c r="C104" s="26">
        <v>4.5</v>
      </c>
      <c r="D104" s="26">
        <v>4.5</v>
      </c>
      <c r="E104" s="26">
        <v>3.7</v>
      </c>
      <c r="F104" s="26">
        <v>4</v>
      </c>
      <c r="G104" s="19">
        <f>'расчёт зарплаты'!K38</f>
        <v>28896</v>
      </c>
      <c r="H104" s="19">
        <f t="shared" si="108"/>
        <v>1421683.2000000002</v>
      </c>
      <c r="I104" s="19"/>
      <c r="J104" s="19"/>
      <c r="K104" s="19"/>
      <c r="L104" s="19"/>
      <c r="O104" s="19">
        <f t="shared" si="103"/>
        <v>0</v>
      </c>
      <c r="P104" s="19">
        <f t="shared" si="104"/>
        <v>0</v>
      </c>
      <c r="Q104" s="19">
        <f t="shared" si="105"/>
        <v>0</v>
      </c>
      <c r="R104" s="19">
        <f t="shared" si="106"/>
        <v>0</v>
      </c>
      <c r="S104" s="19">
        <f t="shared" si="107"/>
        <v>0</v>
      </c>
      <c r="T104" s="19">
        <f t="shared" si="107"/>
        <v>0</v>
      </c>
    </row>
    <row r="105" spans="1:20" ht="28.2" x14ac:dyDescent="0.3">
      <c r="A105" s="4"/>
      <c r="B105" s="5" t="s">
        <v>14</v>
      </c>
      <c r="C105" s="26"/>
      <c r="D105" s="26"/>
      <c r="E105" s="26"/>
      <c r="F105" s="26"/>
      <c r="G105" s="19"/>
      <c r="H105" s="19">
        <f t="shared" si="108"/>
        <v>0</v>
      </c>
      <c r="I105" s="19"/>
      <c r="J105" s="19"/>
      <c r="K105" s="19"/>
      <c r="L105" s="19"/>
      <c r="O105" s="19">
        <f t="shared" si="103"/>
        <v>0</v>
      </c>
      <c r="P105" s="19">
        <f t="shared" si="104"/>
        <v>0</v>
      </c>
      <c r="Q105" s="19">
        <f t="shared" si="105"/>
        <v>0</v>
      </c>
      <c r="R105" s="19">
        <f t="shared" si="106"/>
        <v>0</v>
      </c>
      <c r="S105" s="19">
        <f t="shared" si="107"/>
        <v>0</v>
      </c>
      <c r="T105" s="19">
        <f t="shared" si="107"/>
        <v>0</v>
      </c>
    </row>
    <row r="106" spans="1:20" x14ac:dyDescent="0.3">
      <c r="A106" s="4"/>
      <c r="B106" s="5" t="s">
        <v>15</v>
      </c>
      <c r="C106" s="26">
        <v>7</v>
      </c>
      <c r="D106" s="26">
        <v>7</v>
      </c>
      <c r="E106" s="26">
        <v>6</v>
      </c>
      <c r="F106" s="26">
        <v>6</v>
      </c>
      <c r="G106" s="19">
        <f>'расчёт зарплаты'!K34</f>
        <v>30976</v>
      </c>
      <c r="H106" s="19">
        <f t="shared" si="108"/>
        <v>2416128</v>
      </c>
      <c r="I106" s="19"/>
      <c r="J106" s="19"/>
      <c r="K106" s="19"/>
      <c r="L106" s="19"/>
      <c r="O106" s="19">
        <f t="shared" si="103"/>
        <v>0</v>
      </c>
      <c r="P106" s="19">
        <f t="shared" si="104"/>
        <v>0</v>
      </c>
      <c r="Q106" s="19">
        <f t="shared" si="105"/>
        <v>0</v>
      </c>
      <c r="R106" s="19">
        <f t="shared" si="106"/>
        <v>0</v>
      </c>
      <c r="S106" s="19">
        <f t="shared" si="107"/>
        <v>0</v>
      </c>
      <c r="T106" s="19">
        <f t="shared" si="107"/>
        <v>0</v>
      </c>
    </row>
    <row r="107" spans="1:20" x14ac:dyDescent="0.3">
      <c r="A107" s="4"/>
      <c r="B107" s="5" t="s">
        <v>16</v>
      </c>
      <c r="C107" s="26">
        <v>12</v>
      </c>
      <c r="D107" s="26">
        <v>12</v>
      </c>
      <c r="E107" s="26">
        <v>12</v>
      </c>
      <c r="F107" s="26">
        <v>12</v>
      </c>
      <c r="G107" s="19">
        <f>'расчёт зарплаты'!K8</f>
        <v>28600</v>
      </c>
      <c r="H107" s="19">
        <f t="shared" si="108"/>
        <v>4118400</v>
      </c>
      <c r="I107" s="19"/>
      <c r="J107" s="19"/>
      <c r="K107" s="19"/>
      <c r="L107" s="19"/>
      <c r="O107" s="19">
        <f t="shared" si="103"/>
        <v>0</v>
      </c>
      <c r="P107" s="19">
        <f t="shared" si="104"/>
        <v>0</v>
      </c>
      <c r="Q107" s="19">
        <f t="shared" si="105"/>
        <v>0</v>
      </c>
      <c r="R107" s="19">
        <f t="shared" si="106"/>
        <v>0</v>
      </c>
      <c r="S107" s="19">
        <f t="shared" si="107"/>
        <v>0</v>
      </c>
      <c r="T107" s="19">
        <f t="shared" si="107"/>
        <v>0</v>
      </c>
    </row>
    <row r="108" spans="1:20" ht="42" x14ac:dyDescent="0.3">
      <c r="A108" s="4"/>
      <c r="B108" s="5" t="s">
        <v>17</v>
      </c>
      <c r="C108" s="26">
        <v>2.5</v>
      </c>
      <c r="D108" s="26">
        <v>1</v>
      </c>
      <c r="E108" s="26">
        <v>0.5</v>
      </c>
      <c r="F108" s="26">
        <v>0</v>
      </c>
      <c r="G108" s="19">
        <f>'расчёт зарплаты'!K10</f>
        <v>28208</v>
      </c>
      <c r="H108" s="19">
        <f t="shared" si="108"/>
        <v>253872</v>
      </c>
      <c r="I108" s="19"/>
      <c r="J108" s="19"/>
      <c r="K108" s="19"/>
      <c r="L108" s="19"/>
      <c r="O108" s="19">
        <f t="shared" si="103"/>
        <v>0</v>
      </c>
      <c r="P108" s="19">
        <f t="shared" si="104"/>
        <v>0</v>
      </c>
      <c r="Q108" s="19">
        <f t="shared" si="105"/>
        <v>0</v>
      </c>
      <c r="R108" s="19">
        <f t="shared" si="106"/>
        <v>0</v>
      </c>
      <c r="S108" s="19">
        <f t="shared" si="107"/>
        <v>0</v>
      </c>
      <c r="T108" s="19">
        <f t="shared" si="107"/>
        <v>0</v>
      </c>
    </row>
    <row r="109" spans="1:20" ht="28.2" x14ac:dyDescent="0.3">
      <c r="A109" s="4"/>
      <c r="B109" s="5" t="s">
        <v>18</v>
      </c>
      <c r="C109" s="26">
        <v>1</v>
      </c>
      <c r="D109" s="26">
        <v>1</v>
      </c>
      <c r="E109" s="26">
        <v>1</v>
      </c>
      <c r="F109" s="26">
        <v>1</v>
      </c>
      <c r="G109" s="19">
        <f>'расчёт зарплаты'!K20</f>
        <v>31648</v>
      </c>
      <c r="H109" s="19">
        <f t="shared" si="108"/>
        <v>379776</v>
      </c>
      <c r="I109" s="19"/>
      <c r="J109" s="19"/>
      <c r="K109" s="19"/>
      <c r="L109" s="19"/>
      <c r="O109" s="19">
        <f t="shared" si="103"/>
        <v>0</v>
      </c>
      <c r="P109" s="19">
        <f t="shared" si="104"/>
        <v>0</v>
      </c>
      <c r="Q109" s="19">
        <f t="shared" si="105"/>
        <v>0</v>
      </c>
      <c r="R109" s="19">
        <f t="shared" si="106"/>
        <v>0</v>
      </c>
      <c r="S109" s="19">
        <f t="shared" si="107"/>
        <v>0</v>
      </c>
      <c r="T109" s="19">
        <f t="shared" si="107"/>
        <v>0</v>
      </c>
    </row>
    <row r="110" spans="1:20" ht="42" x14ac:dyDescent="0.3">
      <c r="A110" s="4"/>
      <c r="B110" s="5" t="s">
        <v>91</v>
      </c>
      <c r="C110" s="26"/>
      <c r="D110" s="26"/>
      <c r="E110" s="26"/>
      <c r="F110" s="26"/>
      <c r="G110" s="19"/>
      <c r="H110" s="19">
        <f t="shared" si="108"/>
        <v>0</v>
      </c>
      <c r="I110" s="19"/>
      <c r="J110" s="19"/>
      <c r="K110" s="19"/>
      <c r="L110" s="19"/>
      <c r="O110" s="19">
        <f t="shared" si="103"/>
        <v>0</v>
      </c>
      <c r="P110" s="19">
        <f t="shared" si="104"/>
        <v>0</v>
      </c>
      <c r="Q110" s="19">
        <f t="shared" si="105"/>
        <v>0</v>
      </c>
      <c r="R110" s="19">
        <f t="shared" si="106"/>
        <v>0</v>
      </c>
      <c r="S110" s="19">
        <f t="shared" si="107"/>
        <v>0</v>
      </c>
      <c r="T110" s="19">
        <f t="shared" si="107"/>
        <v>0</v>
      </c>
    </row>
    <row r="111" spans="1:20" x14ac:dyDescent="0.3">
      <c r="A111" s="4"/>
      <c r="B111" s="5" t="s">
        <v>20</v>
      </c>
      <c r="C111" s="26"/>
      <c r="D111" s="26"/>
      <c r="E111" s="26"/>
      <c r="F111" s="26"/>
      <c r="G111" s="19"/>
      <c r="H111" s="19">
        <f t="shared" si="108"/>
        <v>0</v>
      </c>
      <c r="I111" s="19"/>
      <c r="J111" s="19"/>
      <c r="K111" s="19"/>
      <c r="L111" s="19"/>
      <c r="O111" s="19">
        <f t="shared" si="103"/>
        <v>0</v>
      </c>
      <c r="P111" s="19">
        <f t="shared" si="104"/>
        <v>0</v>
      </c>
      <c r="Q111" s="19">
        <f t="shared" si="105"/>
        <v>0</v>
      </c>
      <c r="R111" s="19">
        <f t="shared" si="106"/>
        <v>0</v>
      </c>
      <c r="S111" s="19">
        <f t="shared" si="107"/>
        <v>0</v>
      </c>
      <c r="T111" s="19">
        <f t="shared" si="107"/>
        <v>0</v>
      </c>
    </row>
    <row r="112" spans="1:20" ht="39.6" x14ac:dyDescent="0.3">
      <c r="A112" s="4"/>
      <c r="B112" s="6" t="s">
        <v>21</v>
      </c>
      <c r="C112" s="26"/>
      <c r="D112" s="26"/>
      <c r="E112" s="26"/>
      <c r="F112" s="26"/>
      <c r="G112" s="19"/>
      <c r="H112" s="19">
        <f t="shared" si="108"/>
        <v>0</v>
      </c>
      <c r="I112" s="19"/>
      <c r="J112" s="19"/>
      <c r="K112" s="19"/>
      <c r="L112" s="19"/>
      <c r="O112" s="19">
        <f t="shared" si="103"/>
        <v>0</v>
      </c>
      <c r="P112" s="19">
        <f t="shared" si="104"/>
        <v>0</v>
      </c>
      <c r="Q112" s="19">
        <f t="shared" si="105"/>
        <v>0</v>
      </c>
      <c r="R112" s="19">
        <f t="shared" si="106"/>
        <v>0</v>
      </c>
      <c r="S112" s="19">
        <f t="shared" si="107"/>
        <v>0</v>
      </c>
      <c r="T112" s="19">
        <f t="shared" si="107"/>
        <v>0</v>
      </c>
    </row>
    <row r="113" spans="1:20" x14ac:dyDescent="0.3">
      <c r="A113" s="4"/>
      <c r="B113" s="5" t="s">
        <v>22</v>
      </c>
      <c r="C113" s="26"/>
      <c r="D113" s="26"/>
      <c r="E113" s="26"/>
      <c r="F113" s="26"/>
      <c r="G113" s="19"/>
      <c r="H113" s="19">
        <f t="shared" ref="H113" si="109">E113*G113*12</f>
        <v>0</v>
      </c>
      <c r="I113" s="19"/>
      <c r="J113" s="19"/>
      <c r="K113" s="19"/>
      <c r="L113" s="19"/>
      <c r="O113" s="19">
        <f>J113*L113*12</f>
        <v>0</v>
      </c>
      <c r="P113" s="19">
        <f>K113*M113*12</f>
        <v>0</v>
      </c>
      <c r="Q113" s="19">
        <f>L113*O113*12</f>
        <v>0</v>
      </c>
      <c r="R113" s="19">
        <f>M113*P113*12</f>
        <v>0</v>
      </c>
      <c r="S113" s="19">
        <f t="shared" ref="S113:T113" si="110">O113*Q113*12</f>
        <v>0</v>
      </c>
      <c r="T113" s="19">
        <f t="shared" si="110"/>
        <v>0</v>
      </c>
    </row>
    <row r="114" spans="1:20" x14ac:dyDescent="0.3">
      <c r="A114" s="38" t="s">
        <v>57</v>
      </c>
      <c r="B114" s="39"/>
      <c r="C114" s="41">
        <f>C115+C116+C117</f>
        <v>9</v>
      </c>
      <c r="D114" s="41">
        <f t="shared" ref="D114:F114" si="111">D115+D116+D117</f>
        <v>9</v>
      </c>
      <c r="E114" s="41">
        <f t="shared" si="111"/>
        <v>6</v>
      </c>
      <c r="F114" s="41">
        <f t="shared" si="111"/>
        <v>6</v>
      </c>
      <c r="G114" s="41"/>
      <c r="H114" s="42">
        <f t="shared" ref="H114:L114" si="112">H115+H116+H117</f>
        <v>2495808</v>
      </c>
      <c r="I114" s="42">
        <f t="shared" si="112"/>
        <v>0</v>
      </c>
      <c r="J114" s="42">
        <f t="shared" si="112"/>
        <v>0</v>
      </c>
      <c r="K114" s="42">
        <f t="shared" si="112"/>
        <v>0</v>
      </c>
      <c r="L114" s="42">
        <f t="shared" si="112"/>
        <v>0</v>
      </c>
      <c r="O114" s="42">
        <f t="shared" ref="O114:P114" si="113">O115+O116+O117</f>
        <v>0</v>
      </c>
      <c r="P114" s="42">
        <f t="shared" si="113"/>
        <v>0</v>
      </c>
      <c r="Q114" s="42">
        <f t="shared" ref="Q114" si="114">Q115+Q116+Q117</f>
        <v>0</v>
      </c>
      <c r="R114" s="42">
        <f t="shared" ref="R114:S114" si="115">R115+R116+R117</f>
        <v>0</v>
      </c>
      <c r="S114" s="42">
        <f t="shared" si="115"/>
        <v>0</v>
      </c>
      <c r="T114" s="42">
        <f t="shared" ref="T114" si="116">T115+T116+T117</f>
        <v>0</v>
      </c>
    </row>
    <row r="115" spans="1:20" x14ac:dyDescent="0.3">
      <c r="A115" s="4"/>
      <c r="B115" s="5" t="s">
        <v>11</v>
      </c>
      <c r="C115" s="9">
        <v>1.5</v>
      </c>
      <c r="D115" s="9">
        <v>1.5</v>
      </c>
      <c r="E115" s="9">
        <v>0</v>
      </c>
      <c r="F115" s="9">
        <v>0</v>
      </c>
      <c r="G115" s="19">
        <f>'расчёт зарплаты'!K26</f>
        <v>27300</v>
      </c>
      <c r="H115" s="19">
        <f t="shared" ref="H115:H118" si="117">E115*G115*12+ ((D115-E115)*G115/2*12)</f>
        <v>245700</v>
      </c>
      <c r="I115" s="19"/>
      <c r="J115" s="19"/>
      <c r="K115" s="19"/>
      <c r="L115" s="19"/>
      <c r="O115" s="19">
        <f t="shared" ref="O115:P118" si="118">J115*L115*12+ ((I115-J115)*L115/2*12)</f>
        <v>0</v>
      </c>
      <c r="P115" s="19">
        <f t="shared" si="118"/>
        <v>0</v>
      </c>
      <c r="Q115" s="19">
        <f t="shared" ref="Q115:R118" si="119">L115*O115*12+ ((K115-L115)*O115/2*12)</f>
        <v>0</v>
      </c>
      <c r="R115" s="19">
        <f t="shared" si="119"/>
        <v>0</v>
      </c>
      <c r="S115" s="19">
        <f t="shared" ref="S115:T118" si="120">O115*Q115*12+ ((M115-O115)*Q115/2*12)</f>
        <v>0</v>
      </c>
      <c r="T115" s="19">
        <f t="shared" si="120"/>
        <v>0</v>
      </c>
    </row>
    <row r="116" spans="1:20" x14ac:dyDescent="0.3">
      <c r="A116" s="4"/>
      <c r="B116" s="5" t="s">
        <v>12</v>
      </c>
      <c r="C116" s="9">
        <v>3.5</v>
      </c>
      <c r="D116" s="9">
        <v>3.5</v>
      </c>
      <c r="E116" s="9">
        <v>3</v>
      </c>
      <c r="F116" s="9">
        <v>3</v>
      </c>
      <c r="G116" s="19">
        <f>'расчёт зарплаты'!K26</f>
        <v>27300</v>
      </c>
      <c r="H116" s="19">
        <f t="shared" si="117"/>
        <v>1064700</v>
      </c>
      <c r="I116" s="19"/>
      <c r="J116" s="19"/>
      <c r="K116" s="19"/>
      <c r="L116" s="19"/>
      <c r="O116" s="19">
        <f t="shared" si="118"/>
        <v>0</v>
      </c>
      <c r="P116" s="19">
        <f t="shared" si="118"/>
        <v>0</v>
      </c>
      <c r="Q116" s="19">
        <f t="shared" si="119"/>
        <v>0</v>
      </c>
      <c r="R116" s="19">
        <f t="shared" si="119"/>
        <v>0</v>
      </c>
      <c r="S116" s="19">
        <f t="shared" si="120"/>
        <v>0</v>
      </c>
      <c r="T116" s="19">
        <f t="shared" si="120"/>
        <v>0</v>
      </c>
    </row>
    <row r="117" spans="1:20" ht="28.2" x14ac:dyDescent="0.3">
      <c r="A117" s="4"/>
      <c r="B117" s="5" t="s">
        <v>19</v>
      </c>
      <c r="C117" s="9">
        <v>4</v>
      </c>
      <c r="D117" s="9">
        <v>4</v>
      </c>
      <c r="E117" s="9">
        <v>3</v>
      </c>
      <c r="F117" s="9">
        <v>3</v>
      </c>
      <c r="G117" s="19">
        <f>'расчёт зарплаты'!K40</f>
        <v>28224</v>
      </c>
      <c r="H117" s="19">
        <f t="shared" si="117"/>
        <v>1185408</v>
      </c>
      <c r="I117" s="19"/>
      <c r="J117" s="19"/>
      <c r="K117" s="19"/>
      <c r="L117" s="19"/>
      <c r="O117" s="19">
        <f t="shared" si="118"/>
        <v>0</v>
      </c>
      <c r="P117" s="19">
        <f t="shared" si="118"/>
        <v>0</v>
      </c>
      <c r="Q117" s="19">
        <f t="shared" si="119"/>
        <v>0</v>
      </c>
      <c r="R117" s="19">
        <f t="shared" si="119"/>
        <v>0</v>
      </c>
      <c r="S117" s="19">
        <f t="shared" si="120"/>
        <v>0</v>
      </c>
      <c r="T117" s="19">
        <f t="shared" si="120"/>
        <v>0</v>
      </c>
    </row>
    <row r="118" spans="1:20" x14ac:dyDescent="0.3">
      <c r="A118" s="135" t="s">
        <v>23</v>
      </c>
      <c r="B118" s="135"/>
      <c r="C118" s="25">
        <f t="shared" ref="C118:F118" si="121">C119+C125</f>
        <v>13.75</v>
      </c>
      <c r="D118" s="25">
        <f t="shared" si="121"/>
        <v>11.25</v>
      </c>
      <c r="E118" s="25">
        <f t="shared" si="121"/>
        <v>4</v>
      </c>
      <c r="F118" s="25">
        <f t="shared" si="121"/>
        <v>4</v>
      </c>
      <c r="G118" s="19"/>
      <c r="H118" s="19">
        <f t="shared" si="117"/>
        <v>0</v>
      </c>
      <c r="I118" s="19"/>
      <c r="J118" s="20">
        <f t="shared" ref="J118:K118" si="122">J119+J125</f>
        <v>2519496</v>
      </c>
      <c r="K118" s="20">
        <f t="shared" si="122"/>
        <v>760887.7919999999</v>
      </c>
      <c r="L118" s="20">
        <f>L119+L125</f>
        <v>3280383.7919999999</v>
      </c>
      <c r="O118" s="19">
        <f t="shared" si="118"/>
        <v>49589483054452.992</v>
      </c>
      <c r="P118" s="19">
        <f t="shared" si="118"/>
        <v>0</v>
      </c>
      <c r="Q118" s="19">
        <f t="shared" si="119"/>
        <v>1.2024274123992625E+21</v>
      </c>
      <c r="R118" s="19">
        <f t="shared" si="119"/>
        <v>0</v>
      </c>
      <c r="S118" s="19">
        <f t="shared" si="120"/>
        <v>3.5776652274829795E+35</v>
      </c>
      <c r="T118" s="19">
        <f t="shared" si="120"/>
        <v>0</v>
      </c>
    </row>
    <row r="119" spans="1:20" x14ac:dyDescent="0.3">
      <c r="A119" s="136" t="s">
        <v>24</v>
      </c>
      <c r="B119" s="136"/>
      <c r="C119" s="25">
        <f t="shared" ref="C119:F119" si="123">C120+C121+C122+C123+C124</f>
        <v>11.5</v>
      </c>
      <c r="D119" s="25">
        <f t="shared" si="123"/>
        <v>10</v>
      </c>
      <c r="E119" s="25">
        <f t="shared" si="123"/>
        <v>3</v>
      </c>
      <c r="F119" s="25">
        <f t="shared" si="123"/>
        <v>3</v>
      </c>
      <c r="G119" s="20"/>
      <c r="H119" s="20">
        <f>H120+H121+H122+H123+H124</f>
        <v>2129400</v>
      </c>
      <c r="I119" s="20">
        <f t="shared" ref="I119" si="124">I120+I121+I122+I123+I124</f>
        <v>0</v>
      </c>
      <c r="J119" s="20">
        <f>H119</f>
        <v>2129400</v>
      </c>
      <c r="K119" s="20">
        <f>J119*30.2%</f>
        <v>643078.79999999993</v>
      </c>
      <c r="L119" s="20">
        <f>J119+K119</f>
        <v>2772478.8</v>
      </c>
      <c r="O119" s="20">
        <f t="shared" ref="O119:T119" si="125">O120+O121+O122+O123+O124</f>
        <v>0</v>
      </c>
      <c r="P119" s="20">
        <f t="shared" si="125"/>
        <v>0</v>
      </c>
      <c r="Q119" s="20">
        <f t="shared" si="125"/>
        <v>0</v>
      </c>
      <c r="R119" s="20">
        <f t="shared" si="125"/>
        <v>0</v>
      </c>
      <c r="S119" s="20">
        <f t="shared" si="125"/>
        <v>0</v>
      </c>
      <c r="T119" s="20">
        <f t="shared" si="125"/>
        <v>0</v>
      </c>
    </row>
    <row r="120" spans="1:20" x14ac:dyDescent="0.3">
      <c r="A120" s="4"/>
      <c r="B120" s="5" t="s">
        <v>25</v>
      </c>
      <c r="C120" s="26"/>
      <c r="D120" s="26"/>
      <c r="E120" s="26"/>
      <c r="F120" s="26"/>
      <c r="G120" s="19"/>
      <c r="H120" s="19">
        <f t="shared" ref="H120:H124" si="126">E120*G120*12+ ((D120-E120)*G120/2*12)</f>
        <v>0</v>
      </c>
      <c r="I120" s="19"/>
      <c r="J120" s="19"/>
      <c r="K120" s="19"/>
      <c r="L120" s="19"/>
      <c r="O120" s="19">
        <f t="shared" ref="O120:P124" si="127">J120*L120*12+ ((I120-J120)*L120/2*12)</f>
        <v>0</v>
      </c>
      <c r="P120" s="19">
        <f t="shared" si="127"/>
        <v>0</v>
      </c>
      <c r="Q120" s="19">
        <f t="shared" ref="Q120:R124" si="128">L120*O120*12+ ((K120-L120)*O120/2*12)</f>
        <v>0</v>
      </c>
      <c r="R120" s="19">
        <f t="shared" si="128"/>
        <v>0</v>
      </c>
      <c r="S120" s="19">
        <f t="shared" ref="S120:T124" si="129">O120*Q120*12+ ((M120-O120)*Q120/2*12)</f>
        <v>0</v>
      </c>
      <c r="T120" s="19">
        <f t="shared" si="129"/>
        <v>0</v>
      </c>
    </row>
    <row r="121" spans="1:20" x14ac:dyDescent="0.3">
      <c r="A121" s="4"/>
      <c r="B121" s="5" t="s">
        <v>26</v>
      </c>
      <c r="C121" s="26"/>
      <c r="D121" s="26"/>
      <c r="E121" s="26"/>
      <c r="F121" s="26"/>
      <c r="G121" s="19"/>
      <c r="H121" s="19">
        <f t="shared" si="126"/>
        <v>0</v>
      </c>
      <c r="I121" s="19"/>
      <c r="J121" s="19"/>
      <c r="K121" s="19"/>
      <c r="L121" s="19"/>
      <c r="O121" s="19">
        <f t="shared" si="127"/>
        <v>0</v>
      </c>
      <c r="P121" s="19">
        <f t="shared" si="127"/>
        <v>0</v>
      </c>
      <c r="Q121" s="19">
        <f t="shared" si="128"/>
        <v>0</v>
      </c>
      <c r="R121" s="19">
        <f t="shared" si="128"/>
        <v>0</v>
      </c>
      <c r="S121" s="19">
        <f t="shared" si="129"/>
        <v>0</v>
      </c>
      <c r="T121" s="19">
        <f t="shared" si="129"/>
        <v>0</v>
      </c>
    </row>
    <row r="122" spans="1:20" x14ac:dyDescent="0.3">
      <c r="A122" s="4"/>
      <c r="B122" s="5" t="s">
        <v>27</v>
      </c>
      <c r="C122" s="26"/>
      <c r="D122" s="26"/>
      <c r="E122" s="26"/>
      <c r="F122" s="26"/>
      <c r="G122" s="19"/>
      <c r="H122" s="19">
        <f t="shared" si="126"/>
        <v>0</v>
      </c>
      <c r="I122" s="19"/>
      <c r="J122" s="19"/>
      <c r="K122" s="19"/>
      <c r="L122" s="19"/>
      <c r="O122" s="19">
        <f t="shared" si="127"/>
        <v>0</v>
      </c>
      <c r="P122" s="19">
        <f t="shared" si="127"/>
        <v>0</v>
      </c>
      <c r="Q122" s="19">
        <f t="shared" si="128"/>
        <v>0</v>
      </c>
      <c r="R122" s="19">
        <f t="shared" si="128"/>
        <v>0</v>
      </c>
      <c r="S122" s="19">
        <f t="shared" si="129"/>
        <v>0</v>
      </c>
      <c r="T122" s="19">
        <f t="shared" si="129"/>
        <v>0</v>
      </c>
    </row>
    <row r="123" spans="1:20" ht="28.2" x14ac:dyDescent="0.3">
      <c r="A123" s="4"/>
      <c r="B123" s="5" t="s">
        <v>28</v>
      </c>
      <c r="C123" s="26">
        <v>5</v>
      </c>
      <c r="D123" s="26">
        <v>5</v>
      </c>
      <c r="E123" s="26">
        <v>1</v>
      </c>
      <c r="F123" s="26">
        <v>1</v>
      </c>
      <c r="G123" s="19">
        <f>'расчёт зарплаты'!K26</f>
        <v>27300</v>
      </c>
      <c r="H123" s="19">
        <f t="shared" si="126"/>
        <v>982800</v>
      </c>
      <c r="I123" s="19"/>
      <c r="J123" s="19"/>
      <c r="K123" s="19"/>
      <c r="L123" s="19"/>
      <c r="O123" s="19">
        <f t="shared" si="127"/>
        <v>0</v>
      </c>
      <c r="P123" s="19">
        <f t="shared" si="127"/>
        <v>0</v>
      </c>
      <c r="Q123" s="19">
        <f t="shared" si="128"/>
        <v>0</v>
      </c>
      <c r="R123" s="19">
        <f t="shared" si="128"/>
        <v>0</v>
      </c>
      <c r="S123" s="19">
        <f t="shared" si="129"/>
        <v>0</v>
      </c>
      <c r="T123" s="19">
        <f t="shared" si="129"/>
        <v>0</v>
      </c>
    </row>
    <row r="124" spans="1:20" x14ac:dyDescent="0.3">
      <c r="A124" s="4"/>
      <c r="B124" s="5" t="s">
        <v>29</v>
      </c>
      <c r="C124" s="26">
        <v>6.5</v>
      </c>
      <c r="D124" s="26">
        <v>5</v>
      </c>
      <c r="E124" s="26">
        <v>2</v>
      </c>
      <c r="F124" s="26">
        <v>2</v>
      </c>
      <c r="G124" s="19">
        <f>'расчёт зарплаты'!K26</f>
        <v>27300</v>
      </c>
      <c r="H124" s="19">
        <f t="shared" si="126"/>
        <v>1146600</v>
      </c>
      <c r="I124" s="19"/>
      <c r="J124" s="19"/>
      <c r="K124" s="19"/>
      <c r="L124" s="19"/>
      <c r="O124" s="19">
        <f t="shared" si="127"/>
        <v>0</v>
      </c>
      <c r="P124" s="19">
        <f t="shared" si="127"/>
        <v>0</v>
      </c>
      <c r="Q124" s="19">
        <f t="shared" si="128"/>
        <v>0</v>
      </c>
      <c r="R124" s="19">
        <f t="shared" si="128"/>
        <v>0</v>
      </c>
      <c r="S124" s="19">
        <f t="shared" si="129"/>
        <v>0</v>
      </c>
      <c r="T124" s="19">
        <f t="shared" si="129"/>
        <v>0</v>
      </c>
    </row>
    <row r="125" spans="1:20" ht="32.25" customHeight="1" x14ac:dyDescent="0.3">
      <c r="A125" s="136" t="s">
        <v>30</v>
      </c>
      <c r="B125" s="136"/>
      <c r="C125" s="25">
        <f t="shared" ref="C125:F125" si="130">C126+C127+C128</f>
        <v>2.25</v>
      </c>
      <c r="D125" s="25">
        <f t="shared" si="130"/>
        <v>1.25</v>
      </c>
      <c r="E125" s="25">
        <f t="shared" si="130"/>
        <v>1</v>
      </c>
      <c r="F125" s="25">
        <f t="shared" si="130"/>
        <v>1</v>
      </c>
      <c r="G125" s="20"/>
      <c r="H125" s="20">
        <f>H126+H127+H128</f>
        <v>390096</v>
      </c>
      <c r="I125" s="20">
        <f t="shared" ref="I125" si="131">I126+I127+I128</f>
        <v>0</v>
      </c>
      <c r="J125" s="20">
        <f>H125</f>
        <v>390096</v>
      </c>
      <c r="K125" s="20">
        <f>J125*30.2%</f>
        <v>117808.992</v>
      </c>
      <c r="L125" s="20">
        <f>J125+K125</f>
        <v>507904.99199999997</v>
      </c>
      <c r="O125" s="20">
        <f t="shared" ref="O125:T125" si="132">O126+O127+O128</f>
        <v>0</v>
      </c>
      <c r="P125" s="20">
        <f t="shared" si="132"/>
        <v>0</v>
      </c>
      <c r="Q125" s="20">
        <f t="shared" si="132"/>
        <v>0</v>
      </c>
      <c r="R125" s="20">
        <f t="shared" si="132"/>
        <v>0</v>
      </c>
      <c r="S125" s="20">
        <f t="shared" si="132"/>
        <v>0</v>
      </c>
      <c r="T125" s="20">
        <f t="shared" si="132"/>
        <v>0</v>
      </c>
    </row>
    <row r="126" spans="1:20" x14ac:dyDescent="0.3">
      <c r="A126" s="4"/>
      <c r="B126" s="5" t="s">
        <v>31</v>
      </c>
      <c r="C126" s="26">
        <v>1</v>
      </c>
      <c r="D126" s="26">
        <v>0</v>
      </c>
      <c r="E126" s="26">
        <v>0</v>
      </c>
      <c r="F126" s="26">
        <v>0</v>
      </c>
      <c r="G126" s="19">
        <f>'расчёт зарплаты'!K34</f>
        <v>30976</v>
      </c>
      <c r="H126" s="19">
        <f t="shared" ref="H126:H128" si="133">E126*G126*12+ ((D126-E126)*G126/2*12)</f>
        <v>0</v>
      </c>
      <c r="I126" s="19"/>
      <c r="J126" s="19"/>
      <c r="K126" s="19"/>
      <c r="L126" s="19"/>
      <c r="O126" s="19">
        <f t="shared" ref="O126:P128" si="134">J126*L126*12+ ((I126-J126)*L126/2*12)</f>
        <v>0</v>
      </c>
      <c r="P126" s="19">
        <f t="shared" si="134"/>
        <v>0</v>
      </c>
      <c r="Q126" s="19">
        <f t="shared" ref="Q126:R128" si="135">L126*O126*12+ ((K126-L126)*O126/2*12)</f>
        <v>0</v>
      </c>
      <c r="R126" s="19">
        <f t="shared" si="135"/>
        <v>0</v>
      </c>
      <c r="S126" s="19">
        <f t="shared" ref="S126:T128" si="136">O126*Q126*12+ ((M126-O126)*Q126/2*12)</f>
        <v>0</v>
      </c>
      <c r="T126" s="19">
        <f t="shared" si="136"/>
        <v>0</v>
      </c>
    </row>
    <row r="127" spans="1:20" x14ac:dyDescent="0.3">
      <c r="A127" s="4"/>
      <c r="B127" s="5" t="s">
        <v>32</v>
      </c>
      <c r="C127" s="26"/>
      <c r="D127" s="26"/>
      <c r="E127" s="26"/>
      <c r="F127" s="26"/>
      <c r="G127" s="19"/>
      <c r="H127" s="19">
        <f t="shared" si="133"/>
        <v>0</v>
      </c>
      <c r="I127" s="19"/>
      <c r="J127" s="19"/>
      <c r="K127" s="19"/>
      <c r="L127" s="19"/>
      <c r="O127" s="19">
        <f t="shared" si="134"/>
        <v>0</v>
      </c>
      <c r="P127" s="19">
        <f t="shared" si="134"/>
        <v>0</v>
      </c>
      <c r="Q127" s="19">
        <f t="shared" si="135"/>
        <v>0</v>
      </c>
      <c r="R127" s="19">
        <f t="shared" si="135"/>
        <v>0</v>
      </c>
      <c r="S127" s="19">
        <f t="shared" si="136"/>
        <v>0</v>
      </c>
      <c r="T127" s="19">
        <f t="shared" si="136"/>
        <v>0</v>
      </c>
    </row>
    <row r="128" spans="1:20" x14ac:dyDescent="0.3">
      <c r="A128" s="4"/>
      <c r="B128" s="5" t="s">
        <v>33</v>
      </c>
      <c r="C128" s="26">
        <v>1.25</v>
      </c>
      <c r="D128" s="26">
        <v>1.25</v>
      </c>
      <c r="E128" s="26">
        <v>1</v>
      </c>
      <c r="F128" s="26">
        <v>1</v>
      </c>
      <c r="G128" s="19">
        <f>'расчёт зарплаты'!K38</f>
        <v>28896</v>
      </c>
      <c r="H128" s="19">
        <f t="shared" si="133"/>
        <v>390096</v>
      </c>
      <c r="I128" s="19"/>
      <c r="J128" s="19"/>
      <c r="K128" s="19"/>
      <c r="L128" s="19"/>
      <c r="O128" s="19">
        <f t="shared" si="134"/>
        <v>0</v>
      </c>
      <c r="P128" s="19">
        <f t="shared" si="134"/>
        <v>0</v>
      </c>
      <c r="Q128" s="19">
        <f t="shared" si="135"/>
        <v>0</v>
      </c>
      <c r="R128" s="19">
        <f t="shared" si="135"/>
        <v>0</v>
      </c>
      <c r="S128" s="19">
        <f t="shared" si="136"/>
        <v>0</v>
      </c>
      <c r="T128" s="19">
        <f t="shared" si="136"/>
        <v>0</v>
      </c>
    </row>
    <row r="129" spans="1:20" x14ac:dyDescent="0.3">
      <c r="A129" s="141" t="s">
        <v>63</v>
      </c>
      <c r="B129" s="141"/>
      <c r="C129" s="141"/>
      <c r="D129" s="141"/>
      <c r="E129" s="141"/>
      <c r="F129" s="141"/>
      <c r="G129" s="141"/>
      <c r="H129" s="141"/>
      <c r="I129" s="141"/>
      <c r="J129" s="141"/>
      <c r="K129" s="141"/>
      <c r="L129" s="141"/>
    </row>
    <row r="130" spans="1:20" ht="14.4" customHeight="1" x14ac:dyDescent="0.3">
      <c r="A130" s="133" t="s">
        <v>7</v>
      </c>
      <c r="B130" s="134"/>
      <c r="C130" s="8">
        <f>C131+C148+C144</f>
        <v>42</v>
      </c>
      <c r="D130" s="8">
        <f>D131+D148+D144</f>
        <v>41.5</v>
      </c>
      <c r="E130" s="8">
        <f>E131+E148+E144</f>
        <v>42</v>
      </c>
      <c r="F130" s="8">
        <f>F131+F148+F144</f>
        <v>40</v>
      </c>
      <c r="G130" s="19"/>
      <c r="H130" s="19"/>
      <c r="I130" s="19"/>
      <c r="J130" s="19"/>
      <c r="K130" s="19"/>
      <c r="L130" s="19"/>
      <c r="O130" s="19"/>
      <c r="P130" s="19"/>
      <c r="Q130" s="19"/>
      <c r="R130" s="19"/>
      <c r="S130" s="19"/>
      <c r="T130" s="19"/>
    </row>
    <row r="131" spans="1:20" ht="14.4" customHeight="1" x14ac:dyDescent="0.3">
      <c r="A131" s="133" t="s">
        <v>89</v>
      </c>
      <c r="B131" s="134"/>
      <c r="C131" s="40">
        <f t="shared" ref="C131:G131" si="137">SUM(C132:C143)</f>
        <v>29.75</v>
      </c>
      <c r="D131" s="40">
        <f t="shared" si="137"/>
        <v>29.75</v>
      </c>
      <c r="E131" s="40">
        <f t="shared" si="137"/>
        <v>30</v>
      </c>
      <c r="F131" s="40">
        <f t="shared" si="137"/>
        <v>29</v>
      </c>
      <c r="G131" s="40">
        <f t="shared" si="137"/>
        <v>173784</v>
      </c>
      <c r="H131" s="40">
        <f>SUM(H132:H143)</f>
        <v>10305648</v>
      </c>
      <c r="I131" s="20"/>
      <c r="J131" s="20">
        <f>H131-I131</f>
        <v>10305648</v>
      </c>
      <c r="K131" s="20">
        <f>J131*30.2%</f>
        <v>3112305.696</v>
      </c>
      <c r="L131" s="20">
        <f>J131+K131</f>
        <v>13417953.696</v>
      </c>
      <c r="O131" s="40">
        <f t="shared" ref="O131:T131" si="138">SUM(O132:O143)</f>
        <v>0</v>
      </c>
      <c r="P131" s="40">
        <f t="shared" si="138"/>
        <v>0</v>
      </c>
      <c r="Q131" s="40">
        <f t="shared" si="138"/>
        <v>0</v>
      </c>
      <c r="R131" s="40">
        <f t="shared" si="138"/>
        <v>0</v>
      </c>
      <c r="S131" s="40">
        <f t="shared" si="138"/>
        <v>0</v>
      </c>
      <c r="T131" s="40">
        <f t="shared" si="138"/>
        <v>0</v>
      </c>
    </row>
    <row r="132" spans="1:20" x14ac:dyDescent="0.3">
      <c r="A132" s="4"/>
      <c r="B132" s="5" t="s">
        <v>9</v>
      </c>
      <c r="C132" s="28">
        <v>15</v>
      </c>
      <c r="D132" s="28">
        <v>15</v>
      </c>
      <c r="E132" s="28">
        <v>15</v>
      </c>
      <c r="F132" s="28">
        <v>15</v>
      </c>
      <c r="G132" s="19">
        <f>'расчёт зарплаты'!K10</f>
        <v>28208</v>
      </c>
      <c r="H132" s="19">
        <f>E132*G132*12+ ((D132-E132)*G132/2*12)</f>
        <v>5077440</v>
      </c>
      <c r="I132" s="19"/>
      <c r="J132" s="19"/>
      <c r="K132" s="19"/>
      <c r="L132" s="19">
        <f>G132*K132*12</f>
        <v>0</v>
      </c>
      <c r="O132" s="19">
        <f t="shared" ref="O132:O142" si="139">J132*L132*12+ ((I132-J132)*L132/2*12)</f>
        <v>0</v>
      </c>
      <c r="P132" s="19">
        <f t="shared" ref="P132:P142" si="140">K132*M132*12+ ((J132-K132)*M132/2*12)</f>
        <v>0</v>
      </c>
      <c r="Q132" s="19">
        <f t="shared" ref="Q132:Q142" si="141">L132*O132*12+ ((K132-L132)*O132/2*12)</f>
        <v>0</v>
      </c>
      <c r="R132" s="19">
        <f t="shared" ref="R132:R142" si="142">M132*P132*12+ ((L132-M132)*P132/2*12)</f>
        <v>0</v>
      </c>
      <c r="S132" s="19">
        <f t="shared" ref="S132:T142" si="143">O132*Q132*12+ ((M132-O132)*Q132/2*12)</f>
        <v>0</v>
      </c>
      <c r="T132" s="19">
        <f t="shared" si="143"/>
        <v>0</v>
      </c>
    </row>
    <row r="133" spans="1:20" x14ac:dyDescent="0.3">
      <c r="A133" s="4"/>
      <c r="B133" s="5" t="s">
        <v>10</v>
      </c>
      <c r="C133" s="28"/>
      <c r="D133" s="28"/>
      <c r="E133" s="28"/>
      <c r="F133" s="28"/>
      <c r="G133" s="19"/>
      <c r="H133" s="19">
        <f t="shared" ref="H133:H142" si="144">E133*G133*12+ ((D133-E133)*G133/2*12)</f>
        <v>0</v>
      </c>
      <c r="I133" s="19"/>
      <c r="J133" s="19"/>
      <c r="K133" s="19"/>
      <c r="L133" s="19"/>
      <c r="O133" s="19">
        <f t="shared" si="139"/>
        <v>0</v>
      </c>
      <c r="P133" s="19">
        <f t="shared" si="140"/>
        <v>0</v>
      </c>
      <c r="Q133" s="19">
        <f t="shared" si="141"/>
        <v>0</v>
      </c>
      <c r="R133" s="19">
        <f t="shared" si="142"/>
        <v>0</v>
      </c>
      <c r="S133" s="19">
        <f t="shared" si="143"/>
        <v>0</v>
      </c>
      <c r="T133" s="19">
        <f t="shared" si="143"/>
        <v>0</v>
      </c>
    </row>
    <row r="134" spans="1:20" x14ac:dyDescent="0.3">
      <c r="A134" s="4"/>
      <c r="B134" s="5" t="s">
        <v>13</v>
      </c>
      <c r="C134" s="28">
        <v>2.75</v>
      </c>
      <c r="D134" s="28">
        <v>2.75</v>
      </c>
      <c r="E134" s="28">
        <v>3</v>
      </c>
      <c r="F134" s="28">
        <v>2</v>
      </c>
      <c r="G134" s="19">
        <f>'расчёт зарплаты'!K38</f>
        <v>28896</v>
      </c>
      <c r="H134" s="19">
        <f t="shared" si="144"/>
        <v>996912</v>
      </c>
      <c r="I134" s="19"/>
      <c r="J134" s="19"/>
      <c r="K134" s="19"/>
      <c r="L134" s="19"/>
      <c r="O134" s="19">
        <f t="shared" si="139"/>
        <v>0</v>
      </c>
      <c r="P134" s="19">
        <f t="shared" si="140"/>
        <v>0</v>
      </c>
      <c r="Q134" s="19">
        <f t="shared" si="141"/>
        <v>0</v>
      </c>
      <c r="R134" s="19">
        <f t="shared" si="142"/>
        <v>0</v>
      </c>
      <c r="S134" s="19">
        <f t="shared" si="143"/>
        <v>0</v>
      </c>
      <c r="T134" s="19">
        <f t="shared" si="143"/>
        <v>0</v>
      </c>
    </row>
    <row r="135" spans="1:20" ht="28.2" x14ac:dyDescent="0.3">
      <c r="A135" s="4"/>
      <c r="B135" s="5" t="s">
        <v>14</v>
      </c>
      <c r="C135" s="28">
        <v>1</v>
      </c>
      <c r="D135" s="28">
        <v>1</v>
      </c>
      <c r="E135" s="28">
        <v>1</v>
      </c>
      <c r="F135" s="28">
        <v>1</v>
      </c>
      <c r="G135" s="19">
        <f>'расчёт зарплаты'!K38</f>
        <v>28896</v>
      </c>
      <c r="H135" s="19">
        <f t="shared" si="144"/>
        <v>346752</v>
      </c>
      <c r="I135" s="19"/>
      <c r="J135" s="19"/>
      <c r="K135" s="19"/>
      <c r="L135" s="19"/>
      <c r="O135" s="19">
        <f t="shared" si="139"/>
        <v>0</v>
      </c>
      <c r="P135" s="19">
        <f t="shared" si="140"/>
        <v>0</v>
      </c>
      <c r="Q135" s="19">
        <f t="shared" si="141"/>
        <v>0</v>
      </c>
      <c r="R135" s="19">
        <f t="shared" si="142"/>
        <v>0</v>
      </c>
      <c r="S135" s="19">
        <f t="shared" si="143"/>
        <v>0</v>
      </c>
      <c r="T135" s="19">
        <f t="shared" si="143"/>
        <v>0</v>
      </c>
    </row>
    <row r="136" spans="1:20" x14ac:dyDescent="0.3">
      <c r="A136" s="4"/>
      <c r="B136" s="5" t="s">
        <v>15</v>
      </c>
      <c r="C136" s="28">
        <v>4</v>
      </c>
      <c r="D136" s="28">
        <v>4</v>
      </c>
      <c r="E136" s="28">
        <v>4</v>
      </c>
      <c r="F136" s="28">
        <v>4</v>
      </c>
      <c r="G136" s="19">
        <f>'расчёт зарплаты'!K34</f>
        <v>30976</v>
      </c>
      <c r="H136" s="19">
        <f t="shared" si="144"/>
        <v>1486848</v>
      </c>
      <c r="I136" s="19"/>
      <c r="J136" s="19"/>
      <c r="K136" s="19"/>
      <c r="L136" s="19"/>
      <c r="O136" s="19">
        <f t="shared" si="139"/>
        <v>0</v>
      </c>
      <c r="P136" s="19">
        <f t="shared" si="140"/>
        <v>0</v>
      </c>
      <c r="Q136" s="19">
        <f t="shared" si="141"/>
        <v>0</v>
      </c>
      <c r="R136" s="19">
        <f t="shared" si="142"/>
        <v>0</v>
      </c>
      <c r="S136" s="19">
        <f t="shared" si="143"/>
        <v>0</v>
      </c>
      <c r="T136" s="19">
        <f t="shared" si="143"/>
        <v>0</v>
      </c>
    </row>
    <row r="137" spans="1:20" x14ac:dyDescent="0.3">
      <c r="A137" s="4"/>
      <c r="B137" s="5" t="s">
        <v>16</v>
      </c>
      <c r="C137" s="28">
        <v>6</v>
      </c>
      <c r="D137" s="28">
        <v>6</v>
      </c>
      <c r="E137" s="28">
        <v>6</v>
      </c>
      <c r="F137" s="28">
        <v>6</v>
      </c>
      <c r="G137" s="19">
        <f>'расчёт зарплаты'!K8</f>
        <v>28600</v>
      </c>
      <c r="H137" s="19">
        <f t="shared" si="144"/>
        <v>2059200</v>
      </c>
      <c r="I137" s="19"/>
      <c r="J137" s="19"/>
      <c r="K137" s="19"/>
      <c r="L137" s="19"/>
      <c r="O137" s="19">
        <f t="shared" si="139"/>
        <v>0</v>
      </c>
      <c r="P137" s="19">
        <f t="shared" si="140"/>
        <v>0</v>
      </c>
      <c r="Q137" s="19">
        <f t="shared" si="141"/>
        <v>0</v>
      </c>
      <c r="R137" s="19">
        <f t="shared" si="142"/>
        <v>0</v>
      </c>
      <c r="S137" s="19">
        <f t="shared" si="143"/>
        <v>0</v>
      </c>
      <c r="T137" s="19">
        <f t="shared" si="143"/>
        <v>0</v>
      </c>
    </row>
    <row r="138" spans="1:20" ht="42" x14ac:dyDescent="0.3">
      <c r="A138" s="4"/>
      <c r="B138" s="5" t="s">
        <v>17</v>
      </c>
      <c r="C138" s="28">
        <v>1</v>
      </c>
      <c r="D138" s="28">
        <v>1</v>
      </c>
      <c r="E138" s="28">
        <v>1</v>
      </c>
      <c r="F138" s="28">
        <v>1</v>
      </c>
      <c r="G138" s="19">
        <f>'расчёт зарплаты'!K10</f>
        <v>28208</v>
      </c>
      <c r="H138" s="19">
        <f t="shared" si="144"/>
        <v>338496</v>
      </c>
      <c r="I138" s="19"/>
      <c r="J138" s="19"/>
      <c r="K138" s="19"/>
      <c r="L138" s="19"/>
      <c r="O138" s="19">
        <f t="shared" si="139"/>
        <v>0</v>
      </c>
      <c r="P138" s="19">
        <f t="shared" si="140"/>
        <v>0</v>
      </c>
      <c r="Q138" s="19">
        <f t="shared" si="141"/>
        <v>0</v>
      </c>
      <c r="R138" s="19">
        <f t="shared" si="142"/>
        <v>0</v>
      </c>
      <c r="S138" s="19">
        <f t="shared" si="143"/>
        <v>0</v>
      </c>
      <c r="T138" s="19">
        <f t="shared" si="143"/>
        <v>0</v>
      </c>
    </row>
    <row r="139" spans="1:20" ht="28.2" x14ac:dyDescent="0.3">
      <c r="A139" s="4"/>
      <c r="B139" s="5" t="s">
        <v>18</v>
      </c>
      <c r="C139" s="28"/>
      <c r="D139" s="28"/>
      <c r="E139" s="28"/>
      <c r="F139" s="28"/>
      <c r="G139" s="19"/>
      <c r="H139" s="19">
        <f t="shared" si="144"/>
        <v>0</v>
      </c>
      <c r="I139" s="19"/>
      <c r="J139" s="19"/>
      <c r="K139" s="19"/>
      <c r="L139" s="19"/>
      <c r="O139" s="19">
        <f t="shared" si="139"/>
        <v>0</v>
      </c>
      <c r="P139" s="19">
        <f t="shared" si="140"/>
        <v>0</v>
      </c>
      <c r="Q139" s="19">
        <f t="shared" si="141"/>
        <v>0</v>
      </c>
      <c r="R139" s="19">
        <f t="shared" si="142"/>
        <v>0</v>
      </c>
      <c r="S139" s="19">
        <f t="shared" si="143"/>
        <v>0</v>
      </c>
      <c r="T139" s="19">
        <f t="shared" si="143"/>
        <v>0</v>
      </c>
    </row>
    <row r="140" spans="1:20" ht="42" x14ac:dyDescent="0.3">
      <c r="A140" s="4"/>
      <c r="B140" s="5" t="s">
        <v>91</v>
      </c>
      <c r="C140" s="28"/>
      <c r="D140" s="28"/>
      <c r="E140" s="28"/>
      <c r="F140" s="28"/>
      <c r="G140" s="19"/>
      <c r="H140" s="19">
        <f t="shared" si="144"/>
        <v>0</v>
      </c>
      <c r="I140" s="19"/>
      <c r="J140" s="19"/>
      <c r="K140" s="19"/>
      <c r="L140" s="19"/>
      <c r="O140" s="19">
        <f t="shared" si="139"/>
        <v>0</v>
      </c>
      <c r="P140" s="19">
        <f t="shared" si="140"/>
        <v>0</v>
      </c>
      <c r="Q140" s="19">
        <f t="shared" si="141"/>
        <v>0</v>
      </c>
      <c r="R140" s="19">
        <f t="shared" si="142"/>
        <v>0</v>
      </c>
      <c r="S140" s="19">
        <f t="shared" si="143"/>
        <v>0</v>
      </c>
      <c r="T140" s="19">
        <f t="shared" si="143"/>
        <v>0</v>
      </c>
    </row>
    <row r="141" spans="1:20" x14ac:dyDescent="0.3">
      <c r="A141" s="4"/>
      <c r="B141" s="5" t="s">
        <v>20</v>
      </c>
      <c r="C141" s="28"/>
      <c r="D141" s="28"/>
      <c r="E141" s="28"/>
      <c r="F141" s="28"/>
      <c r="G141" s="19"/>
      <c r="H141" s="19">
        <f t="shared" si="144"/>
        <v>0</v>
      </c>
      <c r="I141" s="19"/>
      <c r="J141" s="19"/>
      <c r="K141" s="19"/>
      <c r="L141" s="19"/>
      <c r="O141" s="19">
        <f t="shared" si="139"/>
        <v>0</v>
      </c>
      <c r="P141" s="19">
        <f t="shared" si="140"/>
        <v>0</v>
      </c>
      <c r="Q141" s="19">
        <f t="shared" si="141"/>
        <v>0</v>
      </c>
      <c r="R141" s="19">
        <f t="shared" si="142"/>
        <v>0</v>
      </c>
      <c r="S141" s="19">
        <f t="shared" si="143"/>
        <v>0</v>
      </c>
      <c r="T141" s="19">
        <f t="shared" si="143"/>
        <v>0</v>
      </c>
    </row>
    <row r="142" spans="1:20" ht="39.6" x14ac:dyDescent="0.3">
      <c r="A142" s="4"/>
      <c r="B142" s="6" t="s">
        <v>21</v>
      </c>
      <c r="C142" s="28"/>
      <c r="D142" s="28"/>
      <c r="E142" s="28"/>
      <c r="F142" s="28"/>
      <c r="G142" s="19"/>
      <c r="H142" s="19">
        <f t="shared" si="144"/>
        <v>0</v>
      </c>
      <c r="I142" s="19"/>
      <c r="J142" s="19"/>
      <c r="K142" s="19"/>
      <c r="L142" s="19"/>
      <c r="O142" s="19">
        <f t="shared" si="139"/>
        <v>0</v>
      </c>
      <c r="P142" s="19">
        <f t="shared" si="140"/>
        <v>0</v>
      </c>
      <c r="Q142" s="19">
        <f t="shared" si="141"/>
        <v>0</v>
      </c>
      <c r="R142" s="19">
        <f t="shared" si="142"/>
        <v>0</v>
      </c>
      <c r="S142" s="19">
        <f t="shared" si="143"/>
        <v>0</v>
      </c>
      <c r="T142" s="19">
        <f t="shared" si="143"/>
        <v>0</v>
      </c>
    </row>
    <row r="143" spans="1:20" x14ac:dyDescent="0.3">
      <c r="A143" s="4"/>
      <c r="B143" s="5" t="s">
        <v>22</v>
      </c>
      <c r="C143" s="28"/>
      <c r="D143" s="28"/>
      <c r="E143" s="28"/>
      <c r="F143" s="28"/>
      <c r="G143" s="19"/>
      <c r="H143" s="19">
        <f t="shared" ref="H143" si="145">E143*G143*12</f>
        <v>0</v>
      </c>
      <c r="I143" s="19"/>
      <c r="J143" s="19"/>
      <c r="K143" s="19"/>
      <c r="L143" s="19"/>
      <c r="O143" s="19">
        <f>J143*L143*12</f>
        <v>0</v>
      </c>
      <c r="P143" s="19">
        <f>K143*M143*12</f>
        <v>0</v>
      </c>
      <c r="Q143" s="19">
        <f>L143*O143*12</f>
        <v>0</v>
      </c>
      <c r="R143" s="19">
        <f>M143*P143*12</f>
        <v>0</v>
      </c>
      <c r="S143" s="19">
        <f t="shared" ref="S143:T143" si="146">O143*Q143*12</f>
        <v>0</v>
      </c>
      <c r="T143" s="19">
        <f t="shared" si="146"/>
        <v>0</v>
      </c>
    </row>
    <row r="144" spans="1:20" x14ac:dyDescent="0.3">
      <c r="A144" s="38" t="s">
        <v>57</v>
      </c>
      <c r="B144" s="39"/>
      <c r="C144" s="41">
        <f>C145+C146+C147</f>
        <v>3.75</v>
      </c>
      <c r="D144" s="41">
        <f t="shared" ref="D144:F144" si="147">D145+D146+D147</f>
        <v>3.75</v>
      </c>
      <c r="E144" s="41">
        <f t="shared" si="147"/>
        <v>4</v>
      </c>
      <c r="F144" s="41">
        <f t="shared" si="147"/>
        <v>3</v>
      </c>
      <c r="G144" s="41"/>
      <c r="H144" s="41">
        <f t="shared" ref="H144:L144" si="148">H145+H146+H147</f>
        <v>1290240</v>
      </c>
      <c r="I144" s="42">
        <f t="shared" si="148"/>
        <v>0</v>
      </c>
      <c r="J144" s="42">
        <f t="shared" si="148"/>
        <v>0</v>
      </c>
      <c r="K144" s="42">
        <f t="shared" si="148"/>
        <v>0</v>
      </c>
      <c r="L144" s="42">
        <f t="shared" si="148"/>
        <v>0</v>
      </c>
      <c r="O144" s="41">
        <f t="shared" ref="O144:P144" si="149">O145+O146+O147</f>
        <v>0</v>
      </c>
      <c r="P144" s="41">
        <f t="shared" si="149"/>
        <v>0</v>
      </c>
      <c r="Q144" s="41">
        <f t="shared" ref="Q144" si="150">Q145+Q146+Q147</f>
        <v>0</v>
      </c>
      <c r="R144" s="41">
        <f t="shared" ref="R144:S144" si="151">R145+R146+R147</f>
        <v>0</v>
      </c>
      <c r="S144" s="41">
        <f t="shared" si="151"/>
        <v>0</v>
      </c>
      <c r="T144" s="41">
        <f t="shared" ref="T144" si="152">T145+T146+T147</f>
        <v>0</v>
      </c>
    </row>
    <row r="145" spans="1:20" x14ac:dyDescent="0.3">
      <c r="A145" s="4"/>
      <c r="B145" s="5" t="s">
        <v>11</v>
      </c>
      <c r="C145" s="9">
        <v>1</v>
      </c>
      <c r="D145" s="9">
        <v>1</v>
      </c>
      <c r="E145" s="9">
        <v>1</v>
      </c>
      <c r="F145" s="9">
        <v>1</v>
      </c>
      <c r="G145" s="19">
        <f>'расчёт зарплаты'!K26</f>
        <v>27300</v>
      </c>
      <c r="H145" s="19">
        <f t="shared" ref="H145:H148" si="153">E145*G145*12+ ((D145-E145)*G145/2*12)</f>
        <v>327600</v>
      </c>
      <c r="I145" s="19"/>
      <c r="J145" s="19"/>
      <c r="K145" s="19"/>
      <c r="L145" s="19"/>
      <c r="O145" s="19">
        <f t="shared" ref="O145:P148" si="154">J145*L145*12+ ((I145-J145)*L145/2*12)</f>
        <v>0</v>
      </c>
      <c r="P145" s="19">
        <f t="shared" si="154"/>
        <v>0</v>
      </c>
      <c r="Q145" s="19">
        <f t="shared" ref="Q145:R148" si="155">L145*O145*12+ ((K145-L145)*O145/2*12)</f>
        <v>0</v>
      </c>
      <c r="R145" s="19">
        <f t="shared" si="155"/>
        <v>0</v>
      </c>
      <c r="S145" s="19">
        <f t="shared" ref="S145:T148" si="156">O145*Q145*12+ ((M145-O145)*Q145/2*12)</f>
        <v>0</v>
      </c>
      <c r="T145" s="19">
        <f t="shared" si="156"/>
        <v>0</v>
      </c>
    </row>
    <row r="146" spans="1:20" x14ac:dyDescent="0.3">
      <c r="A146" s="4"/>
      <c r="B146" s="5" t="s">
        <v>12</v>
      </c>
      <c r="C146" s="9">
        <v>1</v>
      </c>
      <c r="D146" s="9">
        <v>1</v>
      </c>
      <c r="E146" s="9">
        <v>1</v>
      </c>
      <c r="F146" s="9">
        <v>1</v>
      </c>
      <c r="G146" s="19">
        <f>'расчёт зарплаты'!K26</f>
        <v>27300</v>
      </c>
      <c r="H146" s="19">
        <f t="shared" si="153"/>
        <v>327600</v>
      </c>
      <c r="I146" s="19"/>
      <c r="J146" s="19"/>
      <c r="K146" s="19"/>
      <c r="L146" s="19"/>
      <c r="O146" s="19">
        <f t="shared" si="154"/>
        <v>0</v>
      </c>
      <c r="P146" s="19">
        <f t="shared" si="154"/>
        <v>0</v>
      </c>
      <c r="Q146" s="19">
        <f t="shared" si="155"/>
        <v>0</v>
      </c>
      <c r="R146" s="19">
        <f t="shared" si="155"/>
        <v>0</v>
      </c>
      <c r="S146" s="19">
        <f t="shared" si="156"/>
        <v>0</v>
      </c>
      <c r="T146" s="19">
        <f t="shared" si="156"/>
        <v>0</v>
      </c>
    </row>
    <row r="147" spans="1:20" ht="28.2" x14ac:dyDescent="0.3">
      <c r="A147" s="4"/>
      <c r="B147" s="5" t="s">
        <v>19</v>
      </c>
      <c r="C147" s="9">
        <v>1.75</v>
      </c>
      <c r="D147" s="9">
        <v>1.75</v>
      </c>
      <c r="E147" s="9">
        <v>2</v>
      </c>
      <c r="F147" s="9">
        <v>1</v>
      </c>
      <c r="G147" s="19">
        <f>'расчёт зарплаты'!K40</f>
        <v>28224</v>
      </c>
      <c r="H147" s="19">
        <f t="shared" si="153"/>
        <v>635040</v>
      </c>
      <c r="I147" s="19"/>
      <c r="J147" s="19"/>
      <c r="K147" s="19"/>
      <c r="L147" s="19"/>
      <c r="O147" s="19">
        <f t="shared" si="154"/>
        <v>0</v>
      </c>
      <c r="P147" s="19">
        <f t="shared" si="154"/>
        <v>0</v>
      </c>
      <c r="Q147" s="19">
        <f t="shared" si="155"/>
        <v>0</v>
      </c>
      <c r="R147" s="19">
        <f t="shared" si="155"/>
        <v>0</v>
      </c>
      <c r="S147" s="19">
        <f t="shared" si="156"/>
        <v>0</v>
      </c>
      <c r="T147" s="19">
        <f t="shared" si="156"/>
        <v>0</v>
      </c>
    </row>
    <row r="148" spans="1:20" x14ac:dyDescent="0.3">
      <c r="A148" s="135" t="s">
        <v>23</v>
      </c>
      <c r="B148" s="135"/>
      <c r="C148" s="27">
        <f t="shared" ref="C148:F148" si="157">C149+C155</f>
        <v>8.5</v>
      </c>
      <c r="D148" s="27">
        <f t="shared" si="157"/>
        <v>8</v>
      </c>
      <c r="E148" s="27">
        <f t="shared" si="157"/>
        <v>8</v>
      </c>
      <c r="F148" s="27">
        <f t="shared" si="157"/>
        <v>8</v>
      </c>
      <c r="G148" s="19"/>
      <c r="H148" s="19">
        <f t="shared" si="153"/>
        <v>0</v>
      </c>
      <c r="I148" s="19"/>
      <c r="J148" s="20">
        <f t="shared" ref="J148:K148" si="158">J149+J155</f>
        <v>2684064</v>
      </c>
      <c r="K148" s="20">
        <f t="shared" si="158"/>
        <v>810587.32799999998</v>
      </c>
      <c r="L148" s="20">
        <f>L149+L155</f>
        <v>3494651.3280000002</v>
      </c>
      <c r="O148" s="19">
        <f t="shared" si="154"/>
        <v>56279206932221.953</v>
      </c>
      <c r="P148" s="19">
        <f t="shared" si="154"/>
        <v>0</v>
      </c>
      <c r="Q148" s="19">
        <f t="shared" si="155"/>
        <v>1.4537725032817508E+21</v>
      </c>
      <c r="R148" s="19">
        <f t="shared" si="155"/>
        <v>0</v>
      </c>
      <c r="S148" s="19">
        <f t="shared" si="156"/>
        <v>4.9090298126740785E+35</v>
      </c>
      <c r="T148" s="19">
        <f t="shared" si="156"/>
        <v>0</v>
      </c>
    </row>
    <row r="149" spans="1:20" x14ac:dyDescent="0.3">
      <c r="A149" s="136" t="s">
        <v>24</v>
      </c>
      <c r="B149" s="136"/>
      <c r="C149" s="27">
        <f t="shared" ref="C149:F149" si="159">C150+C151+C152+C153+C154</f>
        <v>6.5</v>
      </c>
      <c r="D149" s="27">
        <f t="shared" si="159"/>
        <v>6</v>
      </c>
      <c r="E149" s="27">
        <f t="shared" si="159"/>
        <v>6</v>
      </c>
      <c r="F149" s="27">
        <f t="shared" si="159"/>
        <v>6</v>
      </c>
      <c r="G149" s="20"/>
      <c r="H149" s="20">
        <f>H150+H151+H152+H153+H154</f>
        <v>1965600</v>
      </c>
      <c r="I149" s="20">
        <f t="shared" ref="I149" si="160">I150+I151+I152+I153+I154</f>
        <v>0</v>
      </c>
      <c r="J149" s="20">
        <f>H149</f>
        <v>1965600</v>
      </c>
      <c r="K149" s="20">
        <f>J149*30.2%</f>
        <v>593611.19999999995</v>
      </c>
      <c r="L149" s="20">
        <f>J149+K149</f>
        <v>2559211.2000000002</v>
      </c>
      <c r="O149" s="20">
        <f t="shared" ref="O149:T149" si="161">O150+O151+O152+O153+O154</f>
        <v>0</v>
      </c>
      <c r="P149" s="20">
        <f t="shared" si="161"/>
        <v>0</v>
      </c>
      <c r="Q149" s="20">
        <f t="shared" si="161"/>
        <v>0</v>
      </c>
      <c r="R149" s="20">
        <f t="shared" si="161"/>
        <v>0</v>
      </c>
      <c r="S149" s="20">
        <f t="shared" si="161"/>
        <v>0</v>
      </c>
      <c r="T149" s="20">
        <f t="shared" si="161"/>
        <v>0</v>
      </c>
    </row>
    <row r="150" spans="1:20" x14ac:dyDescent="0.3">
      <c r="A150" s="4"/>
      <c r="B150" s="5" t="s">
        <v>25</v>
      </c>
      <c r="C150" s="28"/>
      <c r="D150" s="28"/>
      <c r="E150" s="28"/>
      <c r="F150" s="28"/>
      <c r="G150" s="19"/>
      <c r="H150" s="19">
        <f t="shared" ref="H150:H154" si="162">E150*G150*12+ ((D150-E150)*G150/2*12)</f>
        <v>0</v>
      </c>
      <c r="I150" s="19"/>
      <c r="J150" s="19"/>
      <c r="K150" s="19"/>
      <c r="L150" s="19"/>
      <c r="O150" s="19">
        <f t="shared" ref="O150:P154" si="163">J150*L150*12+ ((I150-J150)*L150/2*12)</f>
        <v>0</v>
      </c>
      <c r="P150" s="19">
        <f t="shared" si="163"/>
        <v>0</v>
      </c>
      <c r="Q150" s="19">
        <f t="shared" ref="Q150:R154" si="164">L150*O150*12+ ((K150-L150)*O150/2*12)</f>
        <v>0</v>
      </c>
      <c r="R150" s="19">
        <f t="shared" si="164"/>
        <v>0</v>
      </c>
      <c r="S150" s="19">
        <f t="shared" ref="S150:T154" si="165">O150*Q150*12+ ((M150-O150)*Q150/2*12)</f>
        <v>0</v>
      </c>
      <c r="T150" s="19">
        <f t="shared" si="165"/>
        <v>0</v>
      </c>
    </row>
    <row r="151" spans="1:20" x14ac:dyDescent="0.3">
      <c r="A151" s="4"/>
      <c r="B151" s="5" t="s">
        <v>26</v>
      </c>
      <c r="C151" s="28"/>
      <c r="D151" s="28"/>
      <c r="E151" s="28"/>
      <c r="F151" s="28"/>
      <c r="G151" s="19"/>
      <c r="H151" s="19">
        <f t="shared" si="162"/>
        <v>0</v>
      </c>
      <c r="I151" s="19"/>
      <c r="J151" s="19"/>
      <c r="K151" s="19"/>
      <c r="L151" s="19"/>
      <c r="O151" s="19">
        <f t="shared" si="163"/>
        <v>0</v>
      </c>
      <c r="P151" s="19">
        <f t="shared" si="163"/>
        <v>0</v>
      </c>
      <c r="Q151" s="19">
        <f t="shared" si="164"/>
        <v>0</v>
      </c>
      <c r="R151" s="19">
        <f t="shared" si="164"/>
        <v>0</v>
      </c>
      <c r="S151" s="19">
        <f t="shared" si="165"/>
        <v>0</v>
      </c>
      <c r="T151" s="19">
        <f t="shared" si="165"/>
        <v>0</v>
      </c>
    </row>
    <row r="152" spans="1:20" x14ac:dyDescent="0.3">
      <c r="A152" s="4"/>
      <c r="B152" s="5" t="s">
        <v>27</v>
      </c>
      <c r="C152" s="28"/>
      <c r="D152" s="28"/>
      <c r="E152" s="28"/>
      <c r="F152" s="28"/>
      <c r="G152" s="19"/>
      <c r="H152" s="19">
        <f t="shared" si="162"/>
        <v>0</v>
      </c>
      <c r="I152" s="19"/>
      <c r="J152" s="19"/>
      <c r="K152" s="19"/>
      <c r="L152" s="19"/>
      <c r="O152" s="19">
        <f t="shared" si="163"/>
        <v>0</v>
      </c>
      <c r="P152" s="19">
        <f t="shared" si="163"/>
        <v>0</v>
      </c>
      <c r="Q152" s="19">
        <f t="shared" si="164"/>
        <v>0</v>
      </c>
      <c r="R152" s="19">
        <f t="shared" si="164"/>
        <v>0</v>
      </c>
      <c r="S152" s="19">
        <f t="shared" si="165"/>
        <v>0</v>
      </c>
      <c r="T152" s="19">
        <f t="shared" si="165"/>
        <v>0</v>
      </c>
    </row>
    <row r="153" spans="1:20" ht="28.2" x14ac:dyDescent="0.3">
      <c r="A153" s="4"/>
      <c r="B153" s="5" t="s">
        <v>28</v>
      </c>
      <c r="C153" s="28">
        <v>3.5</v>
      </c>
      <c r="D153" s="28">
        <v>3</v>
      </c>
      <c r="E153" s="28">
        <v>3</v>
      </c>
      <c r="F153" s="28">
        <v>3</v>
      </c>
      <c r="G153" s="19">
        <f>'расчёт зарплаты'!K26</f>
        <v>27300</v>
      </c>
      <c r="H153" s="19">
        <f t="shared" si="162"/>
        <v>982800</v>
      </c>
      <c r="I153" s="19"/>
      <c r="J153" s="19"/>
      <c r="K153" s="19"/>
      <c r="L153" s="19"/>
      <c r="O153" s="19">
        <f t="shared" si="163"/>
        <v>0</v>
      </c>
      <c r="P153" s="19">
        <f t="shared" si="163"/>
        <v>0</v>
      </c>
      <c r="Q153" s="19">
        <f t="shared" si="164"/>
        <v>0</v>
      </c>
      <c r="R153" s="19">
        <f t="shared" si="164"/>
        <v>0</v>
      </c>
      <c r="S153" s="19">
        <f t="shared" si="165"/>
        <v>0</v>
      </c>
      <c r="T153" s="19">
        <f t="shared" si="165"/>
        <v>0</v>
      </c>
    </row>
    <row r="154" spans="1:20" x14ac:dyDescent="0.3">
      <c r="A154" s="4"/>
      <c r="B154" s="5" t="s">
        <v>29</v>
      </c>
      <c r="C154" s="28">
        <v>3</v>
      </c>
      <c r="D154" s="28">
        <v>3</v>
      </c>
      <c r="E154" s="28">
        <v>3</v>
      </c>
      <c r="F154" s="28">
        <v>3</v>
      </c>
      <c r="G154" s="19">
        <f>'расчёт зарплаты'!K26</f>
        <v>27300</v>
      </c>
      <c r="H154" s="19">
        <f t="shared" si="162"/>
        <v>982800</v>
      </c>
      <c r="I154" s="19"/>
      <c r="J154" s="19"/>
      <c r="K154" s="19"/>
      <c r="L154" s="19"/>
      <c r="O154" s="19">
        <f t="shared" si="163"/>
        <v>0</v>
      </c>
      <c r="P154" s="19">
        <f t="shared" si="163"/>
        <v>0</v>
      </c>
      <c r="Q154" s="19">
        <f t="shared" si="164"/>
        <v>0</v>
      </c>
      <c r="R154" s="19">
        <f t="shared" si="164"/>
        <v>0</v>
      </c>
      <c r="S154" s="19">
        <f t="shared" si="165"/>
        <v>0</v>
      </c>
      <c r="T154" s="19">
        <f t="shared" si="165"/>
        <v>0</v>
      </c>
    </row>
    <row r="155" spans="1:20" x14ac:dyDescent="0.3">
      <c r="A155" s="136" t="s">
        <v>30</v>
      </c>
      <c r="B155" s="136"/>
      <c r="C155" s="27">
        <f t="shared" ref="C155:F155" si="166">C156+C157+C158</f>
        <v>2</v>
      </c>
      <c r="D155" s="27">
        <f t="shared" si="166"/>
        <v>2</v>
      </c>
      <c r="E155" s="27">
        <f t="shared" si="166"/>
        <v>2</v>
      </c>
      <c r="F155" s="27">
        <f t="shared" si="166"/>
        <v>2</v>
      </c>
      <c r="G155" s="20"/>
      <c r="H155" s="20">
        <f>H156+H157+H158</f>
        <v>718464</v>
      </c>
      <c r="I155" s="20">
        <f t="shared" ref="I155" si="167">I156+I157+I158</f>
        <v>0</v>
      </c>
      <c r="J155" s="20">
        <f>H155</f>
        <v>718464</v>
      </c>
      <c r="K155" s="20">
        <f>J155*30.2%</f>
        <v>216976.128</v>
      </c>
      <c r="L155" s="20">
        <f>J155+K155</f>
        <v>935440.12800000003</v>
      </c>
      <c r="O155" s="20">
        <f t="shared" ref="O155:T155" si="168">O156+O157+O158</f>
        <v>0</v>
      </c>
      <c r="P155" s="20">
        <f t="shared" si="168"/>
        <v>0</v>
      </c>
      <c r="Q155" s="20">
        <f t="shared" si="168"/>
        <v>0</v>
      </c>
      <c r="R155" s="20">
        <f t="shared" si="168"/>
        <v>0</v>
      </c>
      <c r="S155" s="20">
        <f t="shared" si="168"/>
        <v>0</v>
      </c>
      <c r="T155" s="20">
        <f t="shared" si="168"/>
        <v>0</v>
      </c>
    </row>
    <row r="156" spans="1:20" x14ac:dyDescent="0.3">
      <c r="A156" s="4"/>
      <c r="B156" s="5" t="s">
        <v>31</v>
      </c>
      <c r="C156" s="28">
        <v>1</v>
      </c>
      <c r="D156" s="28">
        <v>1</v>
      </c>
      <c r="E156" s="28">
        <v>1</v>
      </c>
      <c r="F156" s="28">
        <v>1</v>
      </c>
      <c r="G156" s="19">
        <f>'расчёт зарплаты'!K34</f>
        <v>30976</v>
      </c>
      <c r="H156" s="19">
        <f t="shared" ref="H156:H158" si="169">E156*G156*12+ ((D156-E156)*G156/2*12)</f>
        <v>371712</v>
      </c>
      <c r="I156" s="19"/>
      <c r="J156" s="19"/>
      <c r="K156" s="19"/>
      <c r="L156" s="19"/>
      <c r="O156" s="19">
        <f t="shared" ref="O156:P158" si="170">J156*L156*12+ ((I156-J156)*L156/2*12)</f>
        <v>0</v>
      </c>
      <c r="P156" s="19">
        <f t="shared" si="170"/>
        <v>0</v>
      </c>
      <c r="Q156" s="19">
        <f t="shared" ref="Q156:R158" si="171">L156*O156*12+ ((K156-L156)*O156/2*12)</f>
        <v>0</v>
      </c>
      <c r="R156" s="19">
        <f t="shared" si="171"/>
        <v>0</v>
      </c>
      <c r="S156" s="19">
        <f t="shared" ref="S156:T158" si="172">O156*Q156*12+ ((M156-O156)*Q156/2*12)</f>
        <v>0</v>
      </c>
      <c r="T156" s="19">
        <f t="shared" si="172"/>
        <v>0</v>
      </c>
    </row>
    <row r="157" spans="1:20" x14ac:dyDescent="0.3">
      <c r="A157" s="4"/>
      <c r="B157" s="5" t="s">
        <v>32</v>
      </c>
      <c r="C157" s="28"/>
      <c r="D157" s="28"/>
      <c r="E157" s="28"/>
      <c r="F157" s="28"/>
      <c r="G157" s="19"/>
      <c r="H157" s="19">
        <f t="shared" si="169"/>
        <v>0</v>
      </c>
      <c r="I157" s="19"/>
      <c r="J157" s="19"/>
      <c r="K157" s="19"/>
      <c r="L157" s="19"/>
      <c r="O157" s="19">
        <f t="shared" si="170"/>
        <v>0</v>
      </c>
      <c r="P157" s="19">
        <f t="shared" si="170"/>
        <v>0</v>
      </c>
      <c r="Q157" s="19">
        <f t="shared" si="171"/>
        <v>0</v>
      </c>
      <c r="R157" s="19">
        <f t="shared" si="171"/>
        <v>0</v>
      </c>
      <c r="S157" s="19">
        <f t="shared" si="172"/>
        <v>0</v>
      </c>
      <c r="T157" s="19">
        <f t="shared" si="172"/>
        <v>0</v>
      </c>
    </row>
    <row r="158" spans="1:20" x14ac:dyDescent="0.3">
      <c r="A158" s="4"/>
      <c r="B158" s="5" t="s">
        <v>33</v>
      </c>
      <c r="C158" s="28">
        <v>1</v>
      </c>
      <c r="D158" s="28">
        <v>1</v>
      </c>
      <c r="E158" s="28">
        <v>1</v>
      </c>
      <c r="F158" s="28">
        <v>1</v>
      </c>
      <c r="G158" s="19">
        <f>'расчёт зарплаты'!K38</f>
        <v>28896</v>
      </c>
      <c r="H158" s="19">
        <f t="shared" si="169"/>
        <v>346752</v>
      </c>
      <c r="I158" s="19"/>
      <c r="J158" s="19"/>
      <c r="K158" s="19"/>
      <c r="L158" s="19"/>
      <c r="O158" s="19">
        <f t="shared" si="170"/>
        <v>0</v>
      </c>
      <c r="P158" s="19">
        <f t="shared" si="170"/>
        <v>0</v>
      </c>
      <c r="Q158" s="19">
        <f t="shared" si="171"/>
        <v>0</v>
      </c>
      <c r="R158" s="19">
        <f t="shared" si="171"/>
        <v>0</v>
      </c>
      <c r="S158" s="19">
        <f t="shared" si="172"/>
        <v>0</v>
      </c>
      <c r="T158" s="19">
        <f t="shared" si="172"/>
        <v>0</v>
      </c>
    </row>
    <row r="159" spans="1:20" x14ac:dyDescent="0.3">
      <c r="A159" s="141" t="s">
        <v>64</v>
      </c>
      <c r="B159" s="141"/>
      <c r="C159" s="141"/>
      <c r="D159" s="141"/>
      <c r="E159" s="141"/>
      <c r="F159" s="141"/>
      <c r="G159" s="141"/>
      <c r="H159" s="141"/>
      <c r="I159" s="141"/>
      <c r="J159" s="141"/>
      <c r="K159" s="141"/>
      <c r="L159" s="141"/>
    </row>
    <row r="160" spans="1:20" ht="14.4" customHeight="1" x14ac:dyDescent="0.3">
      <c r="A160" s="133" t="s">
        <v>7</v>
      </c>
      <c r="B160" s="134"/>
      <c r="C160" s="8">
        <f>C161+C178+C174</f>
        <v>46.25</v>
      </c>
      <c r="D160" s="8">
        <f>D161+D178+D174</f>
        <v>43.5</v>
      </c>
      <c r="E160" s="8">
        <f>E161+E178+E174</f>
        <v>40.4</v>
      </c>
      <c r="F160" s="8">
        <f>F161+F178+F174</f>
        <v>39</v>
      </c>
      <c r="G160" s="19"/>
      <c r="H160" s="19"/>
      <c r="I160" s="19"/>
      <c r="J160" s="19"/>
      <c r="K160" s="19"/>
      <c r="L160" s="19"/>
      <c r="O160" s="19"/>
      <c r="P160" s="19"/>
      <c r="Q160" s="19"/>
      <c r="R160" s="19"/>
      <c r="S160" s="19"/>
      <c r="T160" s="19"/>
    </row>
    <row r="161" spans="1:20" ht="14.4" customHeight="1" x14ac:dyDescent="0.3">
      <c r="A161" s="133" t="s">
        <v>89</v>
      </c>
      <c r="B161" s="134"/>
      <c r="C161" s="40">
        <f t="shared" ref="C161:G161" si="173">SUM(C162:C173)</f>
        <v>33.25</v>
      </c>
      <c r="D161" s="40">
        <f t="shared" si="173"/>
        <v>30.5</v>
      </c>
      <c r="E161" s="40">
        <f t="shared" si="173"/>
        <v>30</v>
      </c>
      <c r="F161" s="40">
        <f t="shared" si="173"/>
        <v>29</v>
      </c>
      <c r="G161" s="40">
        <f t="shared" si="173"/>
        <v>176536</v>
      </c>
      <c r="H161" s="40">
        <f>SUM(H162:H173)</f>
        <v>10460448</v>
      </c>
      <c r="I161" s="20"/>
      <c r="J161" s="20">
        <f>H161-I161</f>
        <v>10460448</v>
      </c>
      <c r="K161" s="20">
        <f>J161*30.2%</f>
        <v>3159055.2960000001</v>
      </c>
      <c r="L161" s="20">
        <f>J161+K161</f>
        <v>13619503.296</v>
      </c>
      <c r="O161" s="40">
        <f t="shared" ref="O161:T161" si="174">SUM(O162:O173)</f>
        <v>0</v>
      </c>
      <c r="P161" s="40">
        <f t="shared" si="174"/>
        <v>0</v>
      </c>
      <c r="Q161" s="40">
        <f t="shared" si="174"/>
        <v>0</v>
      </c>
      <c r="R161" s="40">
        <f t="shared" si="174"/>
        <v>0</v>
      </c>
      <c r="S161" s="40">
        <f t="shared" si="174"/>
        <v>0</v>
      </c>
      <c r="T161" s="40">
        <f t="shared" si="174"/>
        <v>0</v>
      </c>
    </row>
    <row r="162" spans="1:20" x14ac:dyDescent="0.3">
      <c r="A162" s="4"/>
      <c r="B162" s="5" t="s">
        <v>9</v>
      </c>
      <c r="C162" s="30">
        <v>18.75</v>
      </c>
      <c r="D162" s="30">
        <v>16</v>
      </c>
      <c r="E162" s="30">
        <v>17</v>
      </c>
      <c r="F162" s="30">
        <v>16</v>
      </c>
      <c r="G162" s="19">
        <f>'расчёт зарплаты'!K10</f>
        <v>28208</v>
      </c>
      <c r="H162" s="19">
        <f>E162*G162*12+ ((D162-E162)*G162/2*12)</f>
        <v>5585184</v>
      </c>
      <c r="I162" s="19"/>
      <c r="J162" s="19"/>
      <c r="K162" s="19"/>
      <c r="L162" s="19">
        <f>G162*K162*12</f>
        <v>0</v>
      </c>
      <c r="O162" s="19">
        <f t="shared" ref="O162:O172" si="175">J162*L162*12+ ((I162-J162)*L162/2*12)</f>
        <v>0</v>
      </c>
      <c r="P162" s="19">
        <f t="shared" ref="P162:P172" si="176">K162*M162*12+ ((J162-K162)*M162/2*12)</f>
        <v>0</v>
      </c>
      <c r="Q162" s="19">
        <f t="shared" ref="Q162:Q172" si="177">L162*O162*12+ ((K162-L162)*O162/2*12)</f>
        <v>0</v>
      </c>
      <c r="R162" s="19">
        <f t="shared" ref="R162:R172" si="178">M162*P162*12+ ((L162-M162)*P162/2*12)</f>
        <v>0</v>
      </c>
      <c r="S162" s="19">
        <f t="shared" ref="S162:T172" si="179">O162*Q162*12+ ((M162-O162)*Q162/2*12)</f>
        <v>0</v>
      </c>
      <c r="T162" s="19">
        <f t="shared" si="179"/>
        <v>0</v>
      </c>
    </row>
    <row r="163" spans="1:20" x14ac:dyDescent="0.3">
      <c r="A163" s="4"/>
      <c r="B163" s="5" t="s">
        <v>10</v>
      </c>
      <c r="C163" s="30"/>
      <c r="D163" s="30"/>
      <c r="E163" s="30"/>
      <c r="F163" s="30"/>
      <c r="G163" s="19"/>
      <c r="H163" s="19">
        <f t="shared" ref="H163:H172" si="180">E163*G163*12+ ((D163-E163)*G163/2*12)</f>
        <v>0</v>
      </c>
      <c r="I163" s="19"/>
      <c r="J163" s="19"/>
      <c r="K163" s="19"/>
      <c r="L163" s="19"/>
      <c r="O163" s="19">
        <f t="shared" si="175"/>
        <v>0</v>
      </c>
      <c r="P163" s="19">
        <f t="shared" si="176"/>
        <v>0</v>
      </c>
      <c r="Q163" s="19">
        <f t="shared" si="177"/>
        <v>0</v>
      </c>
      <c r="R163" s="19">
        <f t="shared" si="178"/>
        <v>0</v>
      </c>
      <c r="S163" s="19">
        <f t="shared" si="179"/>
        <v>0</v>
      </c>
      <c r="T163" s="19">
        <f t="shared" si="179"/>
        <v>0</v>
      </c>
    </row>
    <row r="164" spans="1:20" x14ac:dyDescent="0.3">
      <c r="A164" s="4"/>
      <c r="B164" s="5" t="s">
        <v>13</v>
      </c>
      <c r="C164" s="30">
        <v>2.5</v>
      </c>
      <c r="D164" s="30">
        <v>2.5</v>
      </c>
      <c r="E164" s="30">
        <v>2</v>
      </c>
      <c r="F164" s="30">
        <v>2</v>
      </c>
      <c r="G164" s="19">
        <f>'расчёт зарплаты'!K38</f>
        <v>28896</v>
      </c>
      <c r="H164" s="19">
        <f t="shared" si="180"/>
        <v>780192</v>
      </c>
      <c r="I164" s="19"/>
      <c r="J164" s="19"/>
      <c r="K164" s="19"/>
      <c r="L164" s="19"/>
      <c r="O164" s="19">
        <f t="shared" si="175"/>
        <v>0</v>
      </c>
      <c r="P164" s="19">
        <f t="shared" si="176"/>
        <v>0</v>
      </c>
      <c r="Q164" s="19">
        <f t="shared" si="177"/>
        <v>0</v>
      </c>
      <c r="R164" s="19">
        <f t="shared" si="178"/>
        <v>0</v>
      </c>
      <c r="S164" s="19">
        <f t="shared" si="179"/>
        <v>0</v>
      </c>
      <c r="T164" s="19">
        <f t="shared" si="179"/>
        <v>0</v>
      </c>
    </row>
    <row r="165" spans="1:20" ht="28.2" x14ac:dyDescent="0.3">
      <c r="A165" s="4"/>
      <c r="B165" s="5" t="s">
        <v>14</v>
      </c>
      <c r="C165" s="30"/>
      <c r="D165" s="30"/>
      <c r="E165" s="30"/>
      <c r="F165" s="30"/>
      <c r="G165" s="19"/>
      <c r="H165" s="19">
        <f t="shared" si="180"/>
        <v>0</v>
      </c>
      <c r="I165" s="19"/>
      <c r="J165" s="19"/>
      <c r="K165" s="19"/>
      <c r="L165" s="19"/>
      <c r="O165" s="19">
        <f t="shared" si="175"/>
        <v>0</v>
      </c>
      <c r="P165" s="19">
        <f t="shared" si="176"/>
        <v>0</v>
      </c>
      <c r="Q165" s="19">
        <f t="shared" si="177"/>
        <v>0</v>
      </c>
      <c r="R165" s="19">
        <f t="shared" si="178"/>
        <v>0</v>
      </c>
      <c r="S165" s="19">
        <f t="shared" si="179"/>
        <v>0</v>
      </c>
      <c r="T165" s="19">
        <f t="shared" si="179"/>
        <v>0</v>
      </c>
    </row>
    <row r="166" spans="1:20" x14ac:dyDescent="0.3">
      <c r="A166" s="4"/>
      <c r="B166" s="5" t="s">
        <v>15</v>
      </c>
      <c r="C166" s="30">
        <v>4</v>
      </c>
      <c r="D166" s="30">
        <v>4</v>
      </c>
      <c r="E166" s="30">
        <v>4</v>
      </c>
      <c r="F166" s="30">
        <v>4</v>
      </c>
      <c r="G166" s="19">
        <f>'расчёт зарплаты'!K34</f>
        <v>30976</v>
      </c>
      <c r="H166" s="19">
        <f t="shared" si="180"/>
        <v>1486848</v>
      </c>
      <c r="I166" s="19"/>
      <c r="J166" s="19"/>
      <c r="K166" s="19"/>
      <c r="L166" s="19"/>
      <c r="O166" s="19">
        <f t="shared" si="175"/>
        <v>0</v>
      </c>
      <c r="P166" s="19">
        <f t="shared" si="176"/>
        <v>0</v>
      </c>
      <c r="Q166" s="19">
        <f t="shared" si="177"/>
        <v>0</v>
      </c>
      <c r="R166" s="19">
        <f t="shared" si="178"/>
        <v>0</v>
      </c>
      <c r="S166" s="19">
        <f t="shared" si="179"/>
        <v>0</v>
      </c>
      <c r="T166" s="19">
        <f t="shared" si="179"/>
        <v>0</v>
      </c>
    </row>
    <row r="167" spans="1:20" x14ac:dyDescent="0.3">
      <c r="A167" s="4"/>
      <c r="B167" s="5" t="s">
        <v>16</v>
      </c>
      <c r="C167" s="30">
        <v>6</v>
      </c>
      <c r="D167" s="30">
        <v>6</v>
      </c>
      <c r="E167" s="30">
        <v>6</v>
      </c>
      <c r="F167" s="30">
        <v>6</v>
      </c>
      <c r="G167" s="19">
        <f>'расчёт зарплаты'!K8</f>
        <v>28600</v>
      </c>
      <c r="H167" s="19">
        <f t="shared" si="180"/>
        <v>2059200</v>
      </c>
      <c r="I167" s="19"/>
      <c r="J167" s="19"/>
      <c r="K167" s="19"/>
      <c r="L167" s="19"/>
      <c r="O167" s="19">
        <f t="shared" si="175"/>
        <v>0</v>
      </c>
      <c r="P167" s="19">
        <f t="shared" si="176"/>
        <v>0</v>
      </c>
      <c r="Q167" s="19">
        <f t="shared" si="177"/>
        <v>0</v>
      </c>
      <c r="R167" s="19">
        <f t="shared" si="178"/>
        <v>0</v>
      </c>
      <c r="S167" s="19">
        <f t="shared" si="179"/>
        <v>0</v>
      </c>
      <c r="T167" s="19">
        <f t="shared" si="179"/>
        <v>0</v>
      </c>
    </row>
    <row r="168" spans="1:20" ht="42" x14ac:dyDescent="0.3">
      <c r="A168" s="4"/>
      <c r="B168" s="5" t="s">
        <v>17</v>
      </c>
      <c r="C168" s="30">
        <v>1</v>
      </c>
      <c r="D168" s="30">
        <v>1</v>
      </c>
      <c r="E168" s="30">
        <v>0</v>
      </c>
      <c r="F168" s="30">
        <v>0</v>
      </c>
      <c r="G168" s="19">
        <f>'расчёт зарплаты'!K10</f>
        <v>28208</v>
      </c>
      <c r="H168" s="19">
        <f t="shared" si="180"/>
        <v>169248</v>
      </c>
      <c r="I168" s="19"/>
      <c r="J168" s="19"/>
      <c r="K168" s="19"/>
      <c r="L168" s="19"/>
      <c r="O168" s="19">
        <f t="shared" si="175"/>
        <v>0</v>
      </c>
      <c r="P168" s="19">
        <f t="shared" si="176"/>
        <v>0</v>
      </c>
      <c r="Q168" s="19">
        <f t="shared" si="177"/>
        <v>0</v>
      </c>
      <c r="R168" s="19">
        <f t="shared" si="178"/>
        <v>0</v>
      </c>
      <c r="S168" s="19">
        <f t="shared" si="179"/>
        <v>0</v>
      </c>
      <c r="T168" s="19">
        <f t="shared" si="179"/>
        <v>0</v>
      </c>
    </row>
    <row r="169" spans="1:20" ht="28.2" x14ac:dyDescent="0.3">
      <c r="A169" s="4"/>
      <c r="B169" s="5" t="s">
        <v>18</v>
      </c>
      <c r="C169" s="30">
        <v>1</v>
      </c>
      <c r="D169" s="30">
        <v>1</v>
      </c>
      <c r="E169" s="30">
        <v>1</v>
      </c>
      <c r="F169" s="30">
        <v>1</v>
      </c>
      <c r="G169" s="19">
        <f>'расчёт зарплаты'!K20</f>
        <v>31648</v>
      </c>
      <c r="H169" s="19">
        <f t="shared" si="180"/>
        <v>379776</v>
      </c>
      <c r="I169" s="19"/>
      <c r="J169" s="19"/>
      <c r="K169" s="19"/>
      <c r="L169" s="19"/>
      <c r="O169" s="19">
        <f t="shared" si="175"/>
        <v>0</v>
      </c>
      <c r="P169" s="19">
        <f t="shared" si="176"/>
        <v>0</v>
      </c>
      <c r="Q169" s="19">
        <f t="shared" si="177"/>
        <v>0</v>
      </c>
      <c r="R169" s="19">
        <f t="shared" si="178"/>
        <v>0</v>
      </c>
      <c r="S169" s="19">
        <f t="shared" si="179"/>
        <v>0</v>
      </c>
      <c r="T169" s="19">
        <f t="shared" si="179"/>
        <v>0</v>
      </c>
    </row>
    <row r="170" spans="1:20" ht="42" x14ac:dyDescent="0.3">
      <c r="A170" s="4"/>
      <c r="B170" s="5" t="s">
        <v>91</v>
      </c>
      <c r="C170" s="30"/>
      <c r="D170" s="30"/>
      <c r="E170" s="30"/>
      <c r="F170" s="30"/>
      <c r="G170" s="19"/>
      <c r="H170" s="19">
        <f t="shared" si="180"/>
        <v>0</v>
      </c>
      <c r="I170" s="19"/>
      <c r="J170" s="19"/>
      <c r="K170" s="19"/>
      <c r="L170" s="19"/>
      <c r="O170" s="19">
        <f t="shared" si="175"/>
        <v>0</v>
      </c>
      <c r="P170" s="19">
        <f t="shared" si="176"/>
        <v>0</v>
      </c>
      <c r="Q170" s="19">
        <f t="shared" si="177"/>
        <v>0</v>
      </c>
      <c r="R170" s="19">
        <f t="shared" si="178"/>
        <v>0</v>
      </c>
      <c r="S170" s="19">
        <f t="shared" si="179"/>
        <v>0</v>
      </c>
      <c r="T170" s="19">
        <f t="shared" si="179"/>
        <v>0</v>
      </c>
    </row>
    <row r="171" spans="1:20" x14ac:dyDescent="0.3">
      <c r="A171" s="4"/>
      <c r="B171" s="5" t="s">
        <v>20</v>
      </c>
      <c r="C171" s="30"/>
      <c r="D171" s="30"/>
      <c r="E171" s="30"/>
      <c r="F171" s="30"/>
      <c r="G171" s="19"/>
      <c r="H171" s="19">
        <f t="shared" si="180"/>
        <v>0</v>
      </c>
      <c r="I171" s="19"/>
      <c r="J171" s="19"/>
      <c r="K171" s="19"/>
      <c r="L171" s="19"/>
      <c r="O171" s="19">
        <f t="shared" si="175"/>
        <v>0</v>
      </c>
      <c r="P171" s="19">
        <f t="shared" si="176"/>
        <v>0</v>
      </c>
      <c r="Q171" s="19">
        <f t="shared" si="177"/>
        <v>0</v>
      </c>
      <c r="R171" s="19">
        <f t="shared" si="178"/>
        <v>0</v>
      </c>
      <c r="S171" s="19">
        <f t="shared" si="179"/>
        <v>0</v>
      </c>
      <c r="T171" s="19">
        <f t="shared" si="179"/>
        <v>0</v>
      </c>
    </row>
    <row r="172" spans="1:20" ht="39.6" x14ac:dyDescent="0.3">
      <c r="A172" s="4"/>
      <c r="B172" s="6" t="s">
        <v>21</v>
      </c>
      <c r="C172" s="30"/>
      <c r="D172" s="30"/>
      <c r="E172" s="30"/>
      <c r="F172" s="30"/>
      <c r="G172" s="19"/>
      <c r="H172" s="19">
        <f t="shared" si="180"/>
        <v>0</v>
      </c>
      <c r="I172" s="19"/>
      <c r="J172" s="19"/>
      <c r="K172" s="19"/>
      <c r="L172" s="19"/>
      <c r="O172" s="19">
        <f t="shared" si="175"/>
        <v>0</v>
      </c>
      <c r="P172" s="19">
        <f t="shared" si="176"/>
        <v>0</v>
      </c>
      <c r="Q172" s="19">
        <f t="shared" si="177"/>
        <v>0</v>
      </c>
      <c r="R172" s="19">
        <f t="shared" si="178"/>
        <v>0</v>
      </c>
      <c r="S172" s="19">
        <f t="shared" si="179"/>
        <v>0</v>
      </c>
      <c r="T172" s="19">
        <f t="shared" si="179"/>
        <v>0</v>
      </c>
    </row>
    <row r="173" spans="1:20" x14ac:dyDescent="0.3">
      <c r="A173" s="4"/>
      <c r="B173" s="5" t="s">
        <v>22</v>
      </c>
      <c r="C173" s="30"/>
      <c r="D173" s="30"/>
      <c r="E173" s="30"/>
      <c r="F173" s="30"/>
      <c r="G173" s="19"/>
      <c r="H173" s="19">
        <f t="shared" ref="H173" si="181">E173*G173*12</f>
        <v>0</v>
      </c>
      <c r="I173" s="19"/>
      <c r="J173" s="19"/>
      <c r="K173" s="19"/>
      <c r="L173" s="19"/>
      <c r="O173" s="19">
        <f>J173*L173*12</f>
        <v>0</v>
      </c>
      <c r="P173" s="19">
        <f>K173*M173*12</f>
        <v>0</v>
      </c>
      <c r="Q173" s="19">
        <f>L173*O173*12</f>
        <v>0</v>
      </c>
      <c r="R173" s="19">
        <f>M173*P173*12</f>
        <v>0</v>
      </c>
      <c r="S173" s="19">
        <f t="shared" ref="S173:T173" si="182">O173*Q173*12</f>
        <v>0</v>
      </c>
      <c r="T173" s="19">
        <f t="shared" si="182"/>
        <v>0</v>
      </c>
    </row>
    <row r="174" spans="1:20" x14ac:dyDescent="0.3">
      <c r="A174" s="38" t="s">
        <v>57</v>
      </c>
      <c r="B174" s="39"/>
      <c r="C174" s="41">
        <f>C175+C176+C177</f>
        <v>5</v>
      </c>
      <c r="D174" s="41">
        <f t="shared" ref="D174:F174" si="183">D175+D176+D177</f>
        <v>5</v>
      </c>
      <c r="E174" s="41">
        <f t="shared" si="183"/>
        <v>4</v>
      </c>
      <c r="F174" s="41">
        <f t="shared" si="183"/>
        <v>4</v>
      </c>
      <c r="G174" s="41"/>
      <c r="H174" s="42">
        <f t="shared" ref="H174:L174" si="184">H175+H176+H177</f>
        <v>1490832</v>
      </c>
      <c r="I174" s="42">
        <f t="shared" si="184"/>
        <v>0</v>
      </c>
      <c r="J174" s="42">
        <f t="shared" si="184"/>
        <v>0</v>
      </c>
      <c r="K174" s="42">
        <f t="shared" si="184"/>
        <v>0</v>
      </c>
      <c r="L174" s="42">
        <f t="shared" si="184"/>
        <v>0</v>
      </c>
      <c r="O174" s="42">
        <f t="shared" ref="O174:P174" si="185">O175+O176+O177</f>
        <v>0</v>
      </c>
      <c r="P174" s="42">
        <f t="shared" si="185"/>
        <v>0</v>
      </c>
      <c r="Q174" s="42">
        <f t="shared" ref="Q174" si="186">Q175+Q176+Q177</f>
        <v>0</v>
      </c>
      <c r="R174" s="42">
        <f t="shared" ref="R174:S174" si="187">R175+R176+R177</f>
        <v>0</v>
      </c>
      <c r="S174" s="42">
        <f t="shared" si="187"/>
        <v>0</v>
      </c>
      <c r="T174" s="42">
        <f t="shared" ref="T174" si="188">T175+T176+T177</f>
        <v>0</v>
      </c>
    </row>
    <row r="175" spans="1:20" x14ac:dyDescent="0.3">
      <c r="A175" s="4"/>
      <c r="B175" s="5" t="s">
        <v>11</v>
      </c>
      <c r="C175" s="9">
        <v>1</v>
      </c>
      <c r="D175" s="9">
        <v>1</v>
      </c>
      <c r="E175" s="9">
        <v>1</v>
      </c>
      <c r="F175" s="9">
        <v>1</v>
      </c>
      <c r="G175" s="19">
        <f>'расчёт зарплаты'!K26</f>
        <v>27300</v>
      </c>
      <c r="H175" s="19">
        <f t="shared" ref="H175:H178" si="189">E175*G175*12+ ((D175-E175)*G175/2*12)</f>
        <v>327600</v>
      </c>
      <c r="I175" s="19"/>
      <c r="J175" s="19"/>
      <c r="K175" s="19"/>
      <c r="L175" s="19"/>
      <c r="O175" s="19">
        <f t="shared" ref="O175:P178" si="190">J175*L175*12+ ((I175-J175)*L175/2*12)</f>
        <v>0</v>
      </c>
      <c r="P175" s="19">
        <f t="shared" si="190"/>
        <v>0</v>
      </c>
      <c r="Q175" s="19">
        <f t="shared" ref="Q175:R178" si="191">L175*O175*12+ ((K175-L175)*O175/2*12)</f>
        <v>0</v>
      </c>
      <c r="R175" s="19">
        <f t="shared" si="191"/>
        <v>0</v>
      </c>
      <c r="S175" s="19">
        <f t="shared" ref="S175:T178" si="192">O175*Q175*12+ ((M175-O175)*Q175/2*12)</f>
        <v>0</v>
      </c>
      <c r="T175" s="19">
        <f t="shared" si="192"/>
        <v>0</v>
      </c>
    </row>
    <row r="176" spans="1:20" x14ac:dyDescent="0.3">
      <c r="A176" s="4"/>
      <c r="B176" s="5" t="s">
        <v>12</v>
      </c>
      <c r="C176" s="9">
        <v>2</v>
      </c>
      <c r="D176" s="9">
        <v>2</v>
      </c>
      <c r="E176" s="9">
        <v>2</v>
      </c>
      <c r="F176" s="9">
        <v>2</v>
      </c>
      <c r="G176" s="19">
        <f>'расчёт зарплаты'!K26</f>
        <v>27300</v>
      </c>
      <c r="H176" s="19">
        <f t="shared" si="189"/>
        <v>655200</v>
      </c>
      <c r="I176" s="19"/>
      <c r="J176" s="19"/>
      <c r="K176" s="19"/>
      <c r="L176" s="19"/>
      <c r="O176" s="19">
        <f t="shared" si="190"/>
        <v>0</v>
      </c>
      <c r="P176" s="19">
        <f t="shared" si="190"/>
        <v>0</v>
      </c>
      <c r="Q176" s="19">
        <f t="shared" si="191"/>
        <v>0</v>
      </c>
      <c r="R176" s="19">
        <f t="shared" si="191"/>
        <v>0</v>
      </c>
      <c r="S176" s="19">
        <f t="shared" si="192"/>
        <v>0</v>
      </c>
      <c r="T176" s="19">
        <f t="shared" si="192"/>
        <v>0</v>
      </c>
    </row>
    <row r="177" spans="1:20" ht="28.2" x14ac:dyDescent="0.3">
      <c r="A177" s="4"/>
      <c r="B177" s="5" t="s">
        <v>19</v>
      </c>
      <c r="C177" s="9">
        <v>2</v>
      </c>
      <c r="D177" s="9">
        <v>2</v>
      </c>
      <c r="E177" s="9">
        <v>1</v>
      </c>
      <c r="F177" s="9">
        <v>1</v>
      </c>
      <c r="G177" s="19">
        <f>'расчёт зарплаты'!K40</f>
        <v>28224</v>
      </c>
      <c r="H177" s="19">
        <f t="shared" si="189"/>
        <v>508032</v>
      </c>
      <c r="I177" s="19"/>
      <c r="J177" s="19"/>
      <c r="K177" s="19"/>
      <c r="L177" s="19"/>
      <c r="O177" s="19">
        <f t="shared" si="190"/>
        <v>0</v>
      </c>
      <c r="P177" s="19">
        <f t="shared" si="190"/>
        <v>0</v>
      </c>
      <c r="Q177" s="19">
        <f t="shared" si="191"/>
        <v>0</v>
      </c>
      <c r="R177" s="19">
        <f t="shared" si="191"/>
        <v>0</v>
      </c>
      <c r="S177" s="19">
        <f t="shared" si="192"/>
        <v>0</v>
      </c>
      <c r="T177" s="19">
        <f t="shared" si="192"/>
        <v>0</v>
      </c>
    </row>
    <row r="178" spans="1:20" x14ac:dyDescent="0.3">
      <c r="A178" s="135" t="s">
        <v>23</v>
      </c>
      <c r="B178" s="135"/>
      <c r="C178" s="29">
        <f t="shared" ref="C178:F178" si="193">C179+C185</f>
        <v>8</v>
      </c>
      <c r="D178" s="29">
        <f t="shared" si="193"/>
        <v>8</v>
      </c>
      <c r="E178" s="29">
        <f t="shared" si="193"/>
        <v>6.4</v>
      </c>
      <c r="F178" s="29">
        <f t="shared" si="193"/>
        <v>6</v>
      </c>
      <c r="G178" s="19"/>
      <c r="H178" s="19">
        <f t="shared" si="189"/>
        <v>0</v>
      </c>
      <c r="I178" s="19"/>
      <c r="J178" s="20">
        <f t="shared" ref="J178:K178" si="194">J179+J185</f>
        <v>2426772</v>
      </c>
      <c r="K178" s="20">
        <f t="shared" si="194"/>
        <v>732885.14399999997</v>
      </c>
      <c r="L178" s="20">
        <f>L179+L185</f>
        <v>3159657.1440000003</v>
      </c>
      <c r="O178" s="19">
        <f t="shared" si="190"/>
        <v>46006604919955.016</v>
      </c>
      <c r="P178" s="19">
        <f t="shared" si="190"/>
        <v>0</v>
      </c>
      <c r="Q178" s="19">
        <f t="shared" si="191"/>
        <v>1.0744959310694024E+21</v>
      </c>
      <c r="R178" s="19">
        <f t="shared" si="191"/>
        <v>0</v>
      </c>
      <c r="S178" s="19">
        <f t="shared" si="192"/>
        <v>2.9660345873285532E+35</v>
      </c>
      <c r="T178" s="19">
        <f t="shared" si="192"/>
        <v>0</v>
      </c>
    </row>
    <row r="179" spans="1:20" x14ac:dyDescent="0.3">
      <c r="A179" s="136" t="s">
        <v>24</v>
      </c>
      <c r="B179" s="136"/>
      <c r="C179" s="29">
        <f t="shared" ref="C179:F179" si="195">C180+C181+C182+C183+C184</f>
        <v>5.5</v>
      </c>
      <c r="D179" s="29">
        <f t="shared" si="195"/>
        <v>5.5</v>
      </c>
      <c r="E179" s="29">
        <f t="shared" si="195"/>
        <v>4.4000000000000004</v>
      </c>
      <c r="F179" s="29">
        <f t="shared" si="195"/>
        <v>4</v>
      </c>
      <c r="G179" s="20"/>
      <c r="H179" s="20">
        <f>H180+H181+H182+H183+H184</f>
        <v>1621620</v>
      </c>
      <c r="I179" s="20">
        <f t="shared" ref="I179" si="196">I180+I181+I182+I183+I184</f>
        <v>0</v>
      </c>
      <c r="J179" s="20">
        <f>H179</f>
        <v>1621620</v>
      </c>
      <c r="K179" s="20">
        <f>J179*30.2%</f>
        <v>489729.24</v>
      </c>
      <c r="L179" s="20">
        <f>J179+K179</f>
        <v>2111349.2400000002</v>
      </c>
      <c r="O179" s="20">
        <f t="shared" ref="O179:T179" si="197">O180+O181+O182+O183+O184</f>
        <v>0</v>
      </c>
      <c r="P179" s="20">
        <f t="shared" si="197"/>
        <v>0</v>
      </c>
      <c r="Q179" s="20">
        <f t="shared" si="197"/>
        <v>0</v>
      </c>
      <c r="R179" s="20">
        <f t="shared" si="197"/>
        <v>0</v>
      </c>
      <c r="S179" s="20">
        <f t="shared" si="197"/>
        <v>0</v>
      </c>
      <c r="T179" s="20">
        <f t="shared" si="197"/>
        <v>0</v>
      </c>
    </row>
    <row r="180" spans="1:20" x14ac:dyDescent="0.3">
      <c r="A180" s="4"/>
      <c r="B180" s="5" t="s">
        <v>25</v>
      </c>
      <c r="C180" s="30"/>
      <c r="D180" s="30"/>
      <c r="E180" s="30"/>
      <c r="F180" s="30"/>
      <c r="G180" s="19"/>
      <c r="H180" s="19">
        <f t="shared" ref="H180:H184" si="198">E180*G180*12+ ((D180-E180)*G180/2*12)</f>
        <v>0</v>
      </c>
      <c r="I180" s="19"/>
      <c r="J180" s="19"/>
      <c r="K180" s="19"/>
      <c r="L180" s="19"/>
      <c r="O180" s="19">
        <f t="shared" ref="O180:P184" si="199">J180*L180*12+ ((I180-J180)*L180/2*12)</f>
        <v>0</v>
      </c>
      <c r="P180" s="19">
        <f t="shared" si="199"/>
        <v>0</v>
      </c>
      <c r="Q180" s="19">
        <f t="shared" ref="Q180:R184" si="200">L180*O180*12+ ((K180-L180)*O180/2*12)</f>
        <v>0</v>
      </c>
      <c r="R180" s="19">
        <f t="shared" si="200"/>
        <v>0</v>
      </c>
      <c r="S180" s="19">
        <f t="shared" ref="S180:T184" si="201">O180*Q180*12+ ((M180-O180)*Q180/2*12)</f>
        <v>0</v>
      </c>
      <c r="T180" s="19">
        <f t="shared" si="201"/>
        <v>0</v>
      </c>
    </row>
    <row r="181" spans="1:20" x14ac:dyDescent="0.3">
      <c r="A181" s="4"/>
      <c r="B181" s="5" t="s">
        <v>26</v>
      </c>
      <c r="C181" s="30"/>
      <c r="D181" s="30"/>
      <c r="E181" s="30"/>
      <c r="F181" s="30"/>
      <c r="G181" s="19"/>
      <c r="H181" s="19">
        <f t="shared" si="198"/>
        <v>0</v>
      </c>
      <c r="I181" s="19"/>
      <c r="J181" s="19"/>
      <c r="K181" s="19"/>
      <c r="L181" s="19"/>
      <c r="O181" s="19">
        <f t="shared" si="199"/>
        <v>0</v>
      </c>
      <c r="P181" s="19">
        <f t="shared" si="199"/>
        <v>0</v>
      </c>
      <c r="Q181" s="19">
        <f t="shared" si="200"/>
        <v>0</v>
      </c>
      <c r="R181" s="19">
        <f t="shared" si="200"/>
        <v>0</v>
      </c>
      <c r="S181" s="19">
        <f t="shared" si="201"/>
        <v>0</v>
      </c>
      <c r="T181" s="19">
        <f t="shared" si="201"/>
        <v>0</v>
      </c>
    </row>
    <row r="182" spans="1:20" x14ac:dyDescent="0.3">
      <c r="A182" s="4"/>
      <c r="B182" s="5" t="s">
        <v>27</v>
      </c>
      <c r="C182" s="30"/>
      <c r="D182" s="30"/>
      <c r="E182" s="30"/>
      <c r="F182" s="30"/>
      <c r="G182" s="19"/>
      <c r="H182" s="19">
        <f t="shared" si="198"/>
        <v>0</v>
      </c>
      <c r="I182" s="19"/>
      <c r="J182" s="19"/>
      <c r="K182" s="19"/>
      <c r="L182" s="19"/>
      <c r="O182" s="19">
        <f t="shared" si="199"/>
        <v>0</v>
      </c>
      <c r="P182" s="19">
        <f t="shared" si="199"/>
        <v>0</v>
      </c>
      <c r="Q182" s="19">
        <f t="shared" si="200"/>
        <v>0</v>
      </c>
      <c r="R182" s="19">
        <f t="shared" si="200"/>
        <v>0</v>
      </c>
      <c r="S182" s="19">
        <f t="shared" si="201"/>
        <v>0</v>
      </c>
      <c r="T182" s="19">
        <f t="shared" si="201"/>
        <v>0</v>
      </c>
    </row>
    <row r="183" spans="1:20" ht="28.2" x14ac:dyDescent="0.3">
      <c r="A183" s="4"/>
      <c r="B183" s="5" t="s">
        <v>28</v>
      </c>
      <c r="C183" s="30">
        <v>2.5</v>
      </c>
      <c r="D183" s="30">
        <v>2.5</v>
      </c>
      <c r="E183" s="30">
        <v>1.4</v>
      </c>
      <c r="F183" s="30">
        <v>1</v>
      </c>
      <c r="G183" s="19">
        <f>'расчёт зарплаты'!K26</f>
        <v>27300</v>
      </c>
      <c r="H183" s="19">
        <f t="shared" si="198"/>
        <v>638820</v>
      </c>
      <c r="I183" s="19"/>
      <c r="J183" s="19"/>
      <c r="K183" s="19"/>
      <c r="L183" s="19"/>
      <c r="O183" s="19">
        <f t="shared" si="199"/>
        <v>0</v>
      </c>
      <c r="P183" s="19">
        <f t="shared" si="199"/>
        <v>0</v>
      </c>
      <c r="Q183" s="19">
        <f t="shared" si="200"/>
        <v>0</v>
      </c>
      <c r="R183" s="19">
        <f t="shared" si="200"/>
        <v>0</v>
      </c>
      <c r="S183" s="19">
        <f t="shared" si="201"/>
        <v>0</v>
      </c>
      <c r="T183" s="19">
        <f t="shared" si="201"/>
        <v>0</v>
      </c>
    </row>
    <row r="184" spans="1:20" x14ac:dyDescent="0.3">
      <c r="A184" s="4"/>
      <c r="B184" s="5" t="s">
        <v>29</v>
      </c>
      <c r="C184" s="30">
        <v>3</v>
      </c>
      <c r="D184" s="30">
        <v>3</v>
      </c>
      <c r="E184" s="30">
        <v>3</v>
      </c>
      <c r="F184" s="30">
        <v>3</v>
      </c>
      <c r="G184" s="19">
        <f>'расчёт зарплаты'!K26</f>
        <v>27300</v>
      </c>
      <c r="H184" s="19">
        <f t="shared" si="198"/>
        <v>982800</v>
      </c>
      <c r="I184" s="19"/>
      <c r="J184" s="19"/>
      <c r="K184" s="19"/>
      <c r="L184" s="19"/>
      <c r="O184" s="19">
        <f t="shared" si="199"/>
        <v>0</v>
      </c>
      <c r="P184" s="19">
        <f t="shared" si="199"/>
        <v>0</v>
      </c>
      <c r="Q184" s="19">
        <f t="shared" si="200"/>
        <v>0</v>
      </c>
      <c r="R184" s="19">
        <f t="shared" si="200"/>
        <v>0</v>
      </c>
      <c r="S184" s="19">
        <f t="shared" si="201"/>
        <v>0</v>
      </c>
      <c r="T184" s="19">
        <f t="shared" si="201"/>
        <v>0</v>
      </c>
    </row>
    <row r="185" spans="1:20" x14ac:dyDescent="0.3">
      <c r="A185" s="136" t="s">
        <v>30</v>
      </c>
      <c r="B185" s="136"/>
      <c r="C185" s="29">
        <f t="shared" ref="C185:F185" si="202">C186+C187+C188</f>
        <v>2.5</v>
      </c>
      <c r="D185" s="29">
        <f t="shared" si="202"/>
        <v>2.5</v>
      </c>
      <c r="E185" s="29">
        <f t="shared" si="202"/>
        <v>2</v>
      </c>
      <c r="F185" s="29">
        <f t="shared" si="202"/>
        <v>2</v>
      </c>
      <c r="G185" s="20"/>
      <c r="H185" s="20">
        <f>H186+H187+H188</f>
        <v>805152</v>
      </c>
      <c r="I185" s="20">
        <f t="shared" ref="I185" si="203">I186+I187+I188</f>
        <v>0</v>
      </c>
      <c r="J185" s="20">
        <f>H185</f>
        <v>805152</v>
      </c>
      <c r="K185" s="20">
        <f>J185*30.2%</f>
        <v>243155.90399999998</v>
      </c>
      <c r="L185" s="20">
        <f>J185+K185</f>
        <v>1048307.904</v>
      </c>
      <c r="O185" s="20">
        <f t="shared" ref="O185:T185" si="204">O186+O187+O188</f>
        <v>0</v>
      </c>
      <c r="P185" s="20">
        <f t="shared" si="204"/>
        <v>0</v>
      </c>
      <c r="Q185" s="20">
        <f t="shared" si="204"/>
        <v>0</v>
      </c>
      <c r="R185" s="20">
        <f t="shared" si="204"/>
        <v>0</v>
      </c>
      <c r="S185" s="20">
        <f t="shared" si="204"/>
        <v>0</v>
      </c>
      <c r="T185" s="20">
        <f t="shared" si="204"/>
        <v>0</v>
      </c>
    </row>
    <row r="186" spans="1:20" x14ac:dyDescent="0.3">
      <c r="A186" s="4"/>
      <c r="B186" s="5" t="s">
        <v>31</v>
      </c>
      <c r="C186" s="30">
        <v>1</v>
      </c>
      <c r="D186" s="30">
        <v>1</v>
      </c>
      <c r="E186" s="30">
        <v>1</v>
      </c>
      <c r="F186" s="30">
        <v>1</v>
      </c>
      <c r="G186" s="19">
        <f>'расчёт зарплаты'!K34</f>
        <v>30976</v>
      </c>
      <c r="H186" s="19">
        <f t="shared" ref="H186:H188" si="205">E186*G186*12+ ((D186-E186)*G186/2*12)</f>
        <v>371712</v>
      </c>
      <c r="I186" s="19"/>
      <c r="J186" s="19"/>
      <c r="K186" s="19"/>
      <c r="L186" s="19"/>
      <c r="O186" s="19">
        <f t="shared" ref="O186:P188" si="206">J186*L186*12+ ((I186-J186)*L186/2*12)</f>
        <v>0</v>
      </c>
      <c r="P186" s="19">
        <f t="shared" si="206"/>
        <v>0</v>
      </c>
      <c r="Q186" s="19">
        <f t="shared" ref="Q186:R188" si="207">L186*O186*12+ ((K186-L186)*O186/2*12)</f>
        <v>0</v>
      </c>
      <c r="R186" s="19">
        <f t="shared" si="207"/>
        <v>0</v>
      </c>
      <c r="S186" s="19">
        <f t="shared" ref="S186:T188" si="208">O186*Q186*12+ ((M186-O186)*Q186/2*12)</f>
        <v>0</v>
      </c>
      <c r="T186" s="19">
        <f t="shared" si="208"/>
        <v>0</v>
      </c>
    </row>
    <row r="187" spans="1:20" x14ac:dyDescent="0.3">
      <c r="A187" s="4"/>
      <c r="B187" s="5" t="s">
        <v>32</v>
      </c>
      <c r="C187" s="30"/>
      <c r="D187" s="30"/>
      <c r="E187" s="30"/>
      <c r="F187" s="30"/>
      <c r="G187" s="19"/>
      <c r="H187" s="19">
        <f t="shared" si="205"/>
        <v>0</v>
      </c>
      <c r="I187" s="19"/>
      <c r="J187" s="19"/>
      <c r="K187" s="19"/>
      <c r="L187" s="19"/>
      <c r="O187" s="19">
        <f t="shared" si="206"/>
        <v>0</v>
      </c>
      <c r="P187" s="19">
        <f t="shared" si="206"/>
        <v>0</v>
      </c>
      <c r="Q187" s="19">
        <f t="shared" si="207"/>
        <v>0</v>
      </c>
      <c r="R187" s="19">
        <f t="shared" si="207"/>
        <v>0</v>
      </c>
      <c r="S187" s="19">
        <f t="shared" si="208"/>
        <v>0</v>
      </c>
      <c r="T187" s="19">
        <f t="shared" si="208"/>
        <v>0</v>
      </c>
    </row>
    <row r="188" spans="1:20" x14ac:dyDescent="0.3">
      <c r="A188" s="4"/>
      <c r="B188" s="5" t="s">
        <v>33</v>
      </c>
      <c r="C188" s="30">
        <v>1.5</v>
      </c>
      <c r="D188" s="30">
        <v>1.5</v>
      </c>
      <c r="E188" s="30">
        <v>1</v>
      </c>
      <c r="F188" s="30">
        <v>1</v>
      </c>
      <c r="G188" s="19">
        <f>'расчёт зарплаты'!K38</f>
        <v>28896</v>
      </c>
      <c r="H188" s="19">
        <f t="shared" si="205"/>
        <v>433440</v>
      </c>
      <c r="I188" s="19"/>
      <c r="J188" s="19"/>
      <c r="K188" s="19"/>
      <c r="L188" s="19"/>
      <c r="O188" s="19">
        <f t="shared" si="206"/>
        <v>0</v>
      </c>
      <c r="P188" s="19">
        <f t="shared" si="206"/>
        <v>0</v>
      </c>
      <c r="Q188" s="19">
        <f t="shared" si="207"/>
        <v>0</v>
      </c>
      <c r="R188" s="19">
        <f t="shared" si="207"/>
        <v>0</v>
      </c>
      <c r="S188" s="19">
        <f t="shared" si="208"/>
        <v>0</v>
      </c>
      <c r="T188" s="19">
        <f t="shared" si="208"/>
        <v>0</v>
      </c>
    </row>
    <row r="189" spans="1:20" x14ac:dyDescent="0.3">
      <c r="A189" s="141" t="s">
        <v>65</v>
      </c>
      <c r="B189" s="141"/>
      <c r="C189" s="141"/>
      <c r="D189" s="141"/>
      <c r="E189" s="141"/>
      <c r="F189" s="141"/>
      <c r="G189" s="141"/>
      <c r="H189" s="141"/>
      <c r="I189" s="141"/>
      <c r="J189" s="141"/>
      <c r="K189" s="141"/>
      <c r="L189" s="141"/>
    </row>
    <row r="190" spans="1:20" ht="14.4" customHeight="1" x14ac:dyDescent="0.3">
      <c r="A190" s="133" t="s">
        <v>7</v>
      </c>
      <c r="B190" s="134"/>
      <c r="C190" s="8">
        <f>C191+C208+C204</f>
        <v>63.75</v>
      </c>
      <c r="D190" s="8">
        <f>D191+D208+D204</f>
        <v>63.75</v>
      </c>
      <c r="E190" s="8">
        <f>E191+E208+E204</f>
        <v>53.8</v>
      </c>
      <c r="F190" s="8">
        <f>F191+F208+F204</f>
        <v>54</v>
      </c>
      <c r="G190" s="19"/>
      <c r="H190" s="19"/>
      <c r="I190" s="19"/>
      <c r="J190" s="19"/>
      <c r="K190" s="19"/>
      <c r="L190" s="19"/>
      <c r="O190" s="19"/>
      <c r="P190" s="19"/>
      <c r="Q190" s="19"/>
      <c r="R190" s="19"/>
      <c r="S190" s="19"/>
      <c r="T190" s="19"/>
    </row>
    <row r="191" spans="1:20" ht="14.4" customHeight="1" x14ac:dyDescent="0.3">
      <c r="A191" s="133" t="s">
        <v>89</v>
      </c>
      <c r="B191" s="134"/>
      <c r="C191" s="40">
        <f t="shared" ref="C191:G191" si="209">SUM(C192:C203)</f>
        <v>45</v>
      </c>
      <c r="D191" s="40">
        <f t="shared" si="209"/>
        <v>45</v>
      </c>
      <c r="E191" s="40">
        <f t="shared" si="209"/>
        <v>42.4</v>
      </c>
      <c r="F191" s="40">
        <f t="shared" si="209"/>
        <v>42</v>
      </c>
      <c r="G191" s="40">
        <f t="shared" si="209"/>
        <v>176536</v>
      </c>
      <c r="H191" s="40">
        <f>SUM(H192:H203)</f>
        <v>15094118.4</v>
      </c>
      <c r="I191" s="20"/>
      <c r="J191" s="20">
        <f>H191-I191</f>
        <v>15094118.4</v>
      </c>
      <c r="K191" s="20">
        <f>J191*30.2%</f>
        <v>4558423.7567999996</v>
      </c>
      <c r="L191" s="20">
        <f>J191+K191</f>
        <v>19652542.156800002</v>
      </c>
      <c r="O191" s="40">
        <f t="shared" ref="O191:T191" si="210">SUM(O192:O203)</f>
        <v>0</v>
      </c>
      <c r="P191" s="40">
        <f t="shared" si="210"/>
        <v>0</v>
      </c>
      <c r="Q191" s="40">
        <f t="shared" si="210"/>
        <v>0</v>
      </c>
      <c r="R191" s="40">
        <f t="shared" si="210"/>
        <v>0</v>
      </c>
      <c r="S191" s="40">
        <f t="shared" si="210"/>
        <v>0</v>
      </c>
      <c r="T191" s="40">
        <f t="shared" si="210"/>
        <v>0</v>
      </c>
    </row>
    <row r="192" spans="1:20" x14ac:dyDescent="0.3">
      <c r="A192" s="4"/>
      <c r="B192" s="5" t="s">
        <v>9</v>
      </c>
      <c r="C192" s="32">
        <v>24</v>
      </c>
      <c r="D192" s="32">
        <v>24</v>
      </c>
      <c r="E192" s="32">
        <v>23</v>
      </c>
      <c r="F192" s="32">
        <v>23</v>
      </c>
      <c r="G192" s="19">
        <f>'расчёт зарплаты'!K10</f>
        <v>28208</v>
      </c>
      <c r="H192" s="19">
        <f>E192*G192*12+ ((D192-E192)*G192/2*12)</f>
        <v>7954656</v>
      </c>
      <c r="I192" s="19"/>
      <c r="J192" s="19"/>
      <c r="K192" s="19"/>
      <c r="L192" s="19">
        <f>G192*K192*12</f>
        <v>0</v>
      </c>
      <c r="O192" s="19">
        <f t="shared" ref="O192:O202" si="211">J192*L192*12+ ((I192-J192)*L192/2*12)</f>
        <v>0</v>
      </c>
      <c r="P192" s="19">
        <f t="shared" ref="P192:P202" si="212">K192*M192*12+ ((J192-K192)*M192/2*12)</f>
        <v>0</v>
      </c>
      <c r="Q192" s="19">
        <f t="shared" ref="Q192:Q202" si="213">L192*O192*12+ ((K192-L192)*O192/2*12)</f>
        <v>0</v>
      </c>
      <c r="R192" s="19">
        <f t="shared" ref="R192:R202" si="214">M192*P192*12+ ((L192-M192)*P192/2*12)</f>
        <v>0</v>
      </c>
      <c r="S192" s="19">
        <f t="shared" ref="S192:T202" si="215">O192*Q192*12+ ((M192-O192)*Q192/2*12)</f>
        <v>0</v>
      </c>
      <c r="T192" s="19">
        <f t="shared" si="215"/>
        <v>0</v>
      </c>
    </row>
    <row r="193" spans="1:20" x14ac:dyDescent="0.3">
      <c r="A193" s="4"/>
      <c r="B193" s="5" t="s">
        <v>10</v>
      </c>
      <c r="C193" s="32"/>
      <c r="D193" s="32"/>
      <c r="E193" s="32"/>
      <c r="F193" s="32"/>
      <c r="G193" s="19"/>
      <c r="H193" s="19">
        <f t="shared" ref="H193:H202" si="216">E193*G193*12+ ((D193-E193)*G193/2*12)</f>
        <v>0</v>
      </c>
      <c r="I193" s="19"/>
      <c r="J193" s="19"/>
      <c r="K193" s="19"/>
      <c r="L193" s="19"/>
      <c r="O193" s="19">
        <f t="shared" si="211"/>
        <v>0</v>
      </c>
      <c r="P193" s="19">
        <f t="shared" si="212"/>
        <v>0</v>
      </c>
      <c r="Q193" s="19">
        <f t="shared" si="213"/>
        <v>0</v>
      </c>
      <c r="R193" s="19">
        <f t="shared" si="214"/>
        <v>0</v>
      </c>
      <c r="S193" s="19">
        <f t="shared" si="215"/>
        <v>0</v>
      </c>
      <c r="T193" s="19">
        <f t="shared" si="215"/>
        <v>0</v>
      </c>
    </row>
    <row r="194" spans="1:20" x14ac:dyDescent="0.3">
      <c r="A194" s="4"/>
      <c r="B194" s="5" t="s">
        <v>13</v>
      </c>
      <c r="C194" s="32">
        <v>4</v>
      </c>
      <c r="D194" s="32">
        <v>4</v>
      </c>
      <c r="E194" s="32">
        <v>3</v>
      </c>
      <c r="F194" s="32">
        <v>3</v>
      </c>
      <c r="G194" s="19">
        <f>'расчёт зарплаты'!K38</f>
        <v>28896</v>
      </c>
      <c r="H194" s="19">
        <f t="shared" si="216"/>
        <v>1213632</v>
      </c>
      <c r="I194" s="19"/>
      <c r="J194" s="19"/>
      <c r="K194" s="19"/>
      <c r="L194" s="19"/>
      <c r="O194" s="19">
        <f t="shared" si="211"/>
        <v>0</v>
      </c>
      <c r="P194" s="19">
        <f t="shared" si="212"/>
        <v>0</v>
      </c>
      <c r="Q194" s="19">
        <f t="shared" si="213"/>
        <v>0</v>
      </c>
      <c r="R194" s="19">
        <f t="shared" si="214"/>
        <v>0</v>
      </c>
      <c r="S194" s="19">
        <f t="shared" si="215"/>
        <v>0</v>
      </c>
      <c r="T194" s="19">
        <f t="shared" si="215"/>
        <v>0</v>
      </c>
    </row>
    <row r="195" spans="1:20" ht="28.2" x14ac:dyDescent="0.3">
      <c r="A195" s="4"/>
      <c r="B195" s="5" t="s">
        <v>14</v>
      </c>
      <c r="C195" s="32"/>
      <c r="D195" s="32"/>
      <c r="E195" s="32"/>
      <c r="F195" s="32"/>
      <c r="G195" s="19"/>
      <c r="H195" s="19">
        <f t="shared" si="216"/>
        <v>0</v>
      </c>
      <c r="I195" s="19"/>
      <c r="J195" s="19"/>
      <c r="K195" s="19"/>
      <c r="L195" s="19"/>
      <c r="O195" s="19">
        <f t="shared" si="211"/>
        <v>0</v>
      </c>
      <c r="P195" s="19">
        <f t="shared" si="212"/>
        <v>0</v>
      </c>
      <c r="Q195" s="19">
        <f t="shared" si="213"/>
        <v>0</v>
      </c>
      <c r="R195" s="19">
        <f t="shared" si="214"/>
        <v>0</v>
      </c>
      <c r="S195" s="19">
        <f t="shared" si="215"/>
        <v>0</v>
      </c>
      <c r="T195" s="19">
        <f t="shared" si="215"/>
        <v>0</v>
      </c>
    </row>
    <row r="196" spans="1:20" x14ac:dyDescent="0.3">
      <c r="A196" s="4"/>
      <c r="B196" s="5" t="s">
        <v>15</v>
      </c>
      <c r="C196" s="32">
        <v>6</v>
      </c>
      <c r="D196" s="32">
        <v>6</v>
      </c>
      <c r="E196" s="32">
        <v>5.4</v>
      </c>
      <c r="F196" s="32">
        <v>5</v>
      </c>
      <c r="G196" s="19">
        <f>'расчёт зарплаты'!K34</f>
        <v>30976</v>
      </c>
      <c r="H196" s="19">
        <f t="shared" si="216"/>
        <v>2118758.4000000004</v>
      </c>
      <c r="I196" s="19"/>
      <c r="J196" s="19"/>
      <c r="K196" s="19"/>
      <c r="L196" s="19"/>
      <c r="O196" s="19">
        <f t="shared" si="211"/>
        <v>0</v>
      </c>
      <c r="P196" s="19">
        <f t="shared" si="212"/>
        <v>0</v>
      </c>
      <c r="Q196" s="19">
        <f t="shared" si="213"/>
        <v>0</v>
      </c>
      <c r="R196" s="19">
        <f t="shared" si="214"/>
        <v>0</v>
      </c>
      <c r="S196" s="19">
        <f t="shared" si="215"/>
        <v>0</v>
      </c>
      <c r="T196" s="19">
        <f t="shared" si="215"/>
        <v>0</v>
      </c>
    </row>
    <row r="197" spans="1:20" x14ac:dyDescent="0.3">
      <c r="A197" s="4"/>
      <c r="B197" s="5" t="s">
        <v>16</v>
      </c>
      <c r="C197" s="32">
        <v>9</v>
      </c>
      <c r="D197" s="32">
        <v>9</v>
      </c>
      <c r="E197" s="32">
        <v>9</v>
      </c>
      <c r="F197" s="32">
        <v>9</v>
      </c>
      <c r="G197" s="19">
        <f>'расчёт зарплаты'!K8</f>
        <v>28600</v>
      </c>
      <c r="H197" s="19">
        <f t="shared" si="216"/>
        <v>3088800</v>
      </c>
      <c r="I197" s="19"/>
      <c r="J197" s="19"/>
      <c r="K197" s="19"/>
      <c r="L197" s="19"/>
      <c r="O197" s="19">
        <f t="shared" si="211"/>
        <v>0</v>
      </c>
      <c r="P197" s="19">
        <f t="shared" si="212"/>
        <v>0</v>
      </c>
      <c r="Q197" s="19">
        <f t="shared" si="213"/>
        <v>0</v>
      </c>
      <c r="R197" s="19">
        <f t="shared" si="214"/>
        <v>0</v>
      </c>
      <c r="S197" s="19">
        <f t="shared" si="215"/>
        <v>0</v>
      </c>
      <c r="T197" s="19">
        <f t="shared" si="215"/>
        <v>0</v>
      </c>
    </row>
    <row r="198" spans="1:20" ht="42" x14ac:dyDescent="0.3">
      <c r="A198" s="4"/>
      <c r="B198" s="5" t="s">
        <v>17</v>
      </c>
      <c r="C198" s="32">
        <v>1</v>
      </c>
      <c r="D198" s="32">
        <v>1</v>
      </c>
      <c r="E198" s="32">
        <v>1</v>
      </c>
      <c r="F198" s="32">
        <v>1</v>
      </c>
      <c r="G198" s="19">
        <f>'расчёт зарплаты'!K10</f>
        <v>28208</v>
      </c>
      <c r="H198" s="19">
        <f t="shared" si="216"/>
        <v>338496</v>
      </c>
      <c r="I198" s="19"/>
      <c r="J198" s="19"/>
      <c r="K198" s="19"/>
      <c r="L198" s="19"/>
      <c r="O198" s="19">
        <f t="shared" si="211"/>
        <v>0</v>
      </c>
      <c r="P198" s="19">
        <f t="shared" si="212"/>
        <v>0</v>
      </c>
      <c r="Q198" s="19">
        <f t="shared" si="213"/>
        <v>0</v>
      </c>
      <c r="R198" s="19">
        <f t="shared" si="214"/>
        <v>0</v>
      </c>
      <c r="S198" s="19">
        <f t="shared" si="215"/>
        <v>0</v>
      </c>
      <c r="T198" s="19">
        <f t="shared" si="215"/>
        <v>0</v>
      </c>
    </row>
    <row r="199" spans="1:20" ht="28.2" x14ac:dyDescent="0.3">
      <c r="A199" s="4"/>
      <c r="B199" s="5" t="s">
        <v>18</v>
      </c>
      <c r="C199" s="32">
        <v>1</v>
      </c>
      <c r="D199" s="32">
        <v>1</v>
      </c>
      <c r="E199" s="32">
        <v>1</v>
      </c>
      <c r="F199" s="32">
        <v>1</v>
      </c>
      <c r="G199" s="19">
        <f>'расчёт зарплаты'!K20</f>
        <v>31648</v>
      </c>
      <c r="H199" s="19">
        <f t="shared" si="216"/>
        <v>379776</v>
      </c>
      <c r="I199" s="19"/>
      <c r="J199" s="19"/>
      <c r="K199" s="19"/>
      <c r="L199" s="19"/>
      <c r="O199" s="19">
        <f t="shared" si="211"/>
        <v>0</v>
      </c>
      <c r="P199" s="19">
        <f t="shared" si="212"/>
        <v>0</v>
      </c>
      <c r="Q199" s="19">
        <f t="shared" si="213"/>
        <v>0</v>
      </c>
      <c r="R199" s="19">
        <f t="shared" si="214"/>
        <v>0</v>
      </c>
      <c r="S199" s="19">
        <f t="shared" si="215"/>
        <v>0</v>
      </c>
      <c r="T199" s="19">
        <f t="shared" si="215"/>
        <v>0</v>
      </c>
    </row>
    <row r="200" spans="1:20" ht="42" x14ac:dyDescent="0.3">
      <c r="A200" s="4"/>
      <c r="B200" s="5" t="s">
        <v>91</v>
      </c>
      <c r="C200" s="32"/>
      <c r="D200" s="32"/>
      <c r="E200" s="32"/>
      <c r="F200" s="32"/>
      <c r="G200" s="19"/>
      <c r="H200" s="19">
        <f t="shared" si="216"/>
        <v>0</v>
      </c>
      <c r="I200" s="19"/>
      <c r="J200" s="19"/>
      <c r="K200" s="19"/>
      <c r="L200" s="19"/>
      <c r="O200" s="19">
        <f t="shared" si="211"/>
        <v>0</v>
      </c>
      <c r="P200" s="19">
        <f t="shared" si="212"/>
        <v>0</v>
      </c>
      <c r="Q200" s="19">
        <f t="shared" si="213"/>
        <v>0</v>
      </c>
      <c r="R200" s="19">
        <f t="shared" si="214"/>
        <v>0</v>
      </c>
      <c r="S200" s="19">
        <f t="shared" si="215"/>
        <v>0</v>
      </c>
      <c r="T200" s="19">
        <f t="shared" si="215"/>
        <v>0</v>
      </c>
    </row>
    <row r="201" spans="1:20" x14ac:dyDescent="0.3">
      <c r="A201" s="4"/>
      <c r="B201" s="5" t="s">
        <v>20</v>
      </c>
      <c r="C201" s="32"/>
      <c r="D201" s="32"/>
      <c r="E201" s="32"/>
      <c r="F201" s="32"/>
      <c r="G201" s="19"/>
      <c r="H201" s="19">
        <f t="shared" si="216"/>
        <v>0</v>
      </c>
      <c r="I201" s="19"/>
      <c r="J201" s="19"/>
      <c r="K201" s="19"/>
      <c r="L201" s="19"/>
      <c r="O201" s="19">
        <f t="shared" si="211"/>
        <v>0</v>
      </c>
      <c r="P201" s="19">
        <f t="shared" si="212"/>
        <v>0</v>
      </c>
      <c r="Q201" s="19">
        <f t="shared" si="213"/>
        <v>0</v>
      </c>
      <c r="R201" s="19">
        <f t="shared" si="214"/>
        <v>0</v>
      </c>
      <c r="S201" s="19">
        <f t="shared" si="215"/>
        <v>0</v>
      </c>
      <c r="T201" s="19">
        <f t="shared" si="215"/>
        <v>0</v>
      </c>
    </row>
    <row r="202" spans="1:20" ht="39.6" x14ac:dyDescent="0.3">
      <c r="A202" s="4"/>
      <c r="B202" s="6" t="s">
        <v>21</v>
      </c>
      <c r="C202" s="32"/>
      <c r="D202" s="32"/>
      <c r="E202" s="32"/>
      <c r="F202" s="32"/>
      <c r="G202" s="19"/>
      <c r="H202" s="19">
        <f t="shared" si="216"/>
        <v>0</v>
      </c>
      <c r="I202" s="19"/>
      <c r="J202" s="19"/>
      <c r="K202" s="19"/>
      <c r="L202" s="19"/>
      <c r="O202" s="19">
        <f t="shared" si="211"/>
        <v>0</v>
      </c>
      <c r="P202" s="19">
        <f t="shared" si="212"/>
        <v>0</v>
      </c>
      <c r="Q202" s="19">
        <f t="shared" si="213"/>
        <v>0</v>
      </c>
      <c r="R202" s="19">
        <f t="shared" si="214"/>
        <v>0</v>
      </c>
      <c r="S202" s="19">
        <f t="shared" si="215"/>
        <v>0</v>
      </c>
      <c r="T202" s="19">
        <f t="shared" si="215"/>
        <v>0</v>
      </c>
    </row>
    <row r="203" spans="1:20" x14ac:dyDescent="0.3">
      <c r="A203" s="4"/>
      <c r="B203" s="5" t="s">
        <v>22</v>
      </c>
      <c r="C203" s="32"/>
      <c r="D203" s="32"/>
      <c r="E203" s="32"/>
      <c r="F203" s="32"/>
      <c r="G203" s="19"/>
      <c r="H203" s="19">
        <f t="shared" ref="H203" si="217">E203*G203*12</f>
        <v>0</v>
      </c>
      <c r="I203" s="19"/>
      <c r="J203" s="19"/>
      <c r="K203" s="19"/>
      <c r="L203" s="19"/>
      <c r="O203" s="19">
        <f>J203*L203*12</f>
        <v>0</v>
      </c>
      <c r="P203" s="19">
        <f>K203*M203*12</f>
        <v>0</v>
      </c>
      <c r="Q203" s="19">
        <f>L203*O203*12</f>
        <v>0</v>
      </c>
      <c r="R203" s="19">
        <f>M203*P203*12</f>
        <v>0</v>
      </c>
      <c r="S203" s="19">
        <f t="shared" ref="S203:T203" si="218">O203*Q203*12</f>
        <v>0</v>
      </c>
      <c r="T203" s="19">
        <f t="shared" si="218"/>
        <v>0</v>
      </c>
    </row>
    <row r="204" spans="1:20" x14ac:dyDescent="0.3">
      <c r="A204" s="38" t="s">
        <v>57</v>
      </c>
      <c r="B204" s="39"/>
      <c r="C204" s="41">
        <f>C205+C206+C207</f>
        <v>8</v>
      </c>
      <c r="D204" s="41">
        <f t="shared" ref="D204:F204" si="219">D205+D206+D207</f>
        <v>8</v>
      </c>
      <c r="E204" s="41">
        <f t="shared" si="219"/>
        <v>4</v>
      </c>
      <c r="F204" s="41">
        <f t="shared" si="219"/>
        <v>4</v>
      </c>
      <c r="G204" s="41"/>
      <c r="H204" s="42">
        <f t="shared" ref="H204:L204" si="220">H205+H206+H207</f>
        <v>1990548</v>
      </c>
      <c r="I204" s="42">
        <f t="shared" si="220"/>
        <v>0</v>
      </c>
      <c r="J204" s="42">
        <f t="shared" si="220"/>
        <v>0</v>
      </c>
      <c r="K204" s="42">
        <f t="shared" si="220"/>
        <v>0</v>
      </c>
      <c r="L204" s="42">
        <f t="shared" si="220"/>
        <v>0</v>
      </c>
      <c r="O204" s="42">
        <f t="shared" ref="O204:P204" si="221">O205+O206+O207</f>
        <v>0</v>
      </c>
      <c r="P204" s="42">
        <f t="shared" si="221"/>
        <v>0</v>
      </c>
      <c r="Q204" s="42">
        <f t="shared" ref="Q204" si="222">Q205+Q206+Q207</f>
        <v>0</v>
      </c>
      <c r="R204" s="42">
        <f t="shared" ref="R204:S204" si="223">R205+R206+R207</f>
        <v>0</v>
      </c>
      <c r="S204" s="42">
        <f t="shared" si="223"/>
        <v>0</v>
      </c>
      <c r="T204" s="42">
        <f t="shared" ref="T204" si="224">T205+T206+T207</f>
        <v>0</v>
      </c>
    </row>
    <row r="205" spans="1:20" x14ac:dyDescent="0.3">
      <c r="A205" s="4"/>
      <c r="B205" s="5" t="s">
        <v>11</v>
      </c>
      <c r="C205" s="9">
        <v>1.5</v>
      </c>
      <c r="D205" s="9">
        <v>1.5</v>
      </c>
      <c r="E205" s="9">
        <v>1</v>
      </c>
      <c r="F205" s="9">
        <v>1</v>
      </c>
      <c r="G205" s="19">
        <f>'расчёт зарплаты'!K26</f>
        <v>27300</v>
      </c>
      <c r="H205" s="19">
        <f t="shared" ref="H205:H208" si="225">E205*G205*12+ ((D205-E205)*G205/2*12)</f>
        <v>409500</v>
      </c>
      <c r="I205" s="19"/>
      <c r="J205" s="19"/>
      <c r="K205" s="19"/>
      <c r="L205" s="19"/>
      <c r="O205" s="19">
        <f t="shared" ref="O205:P208" si="226">J205*L205*12+ ((I205-J205)*L205/2*12)</f>
        <v>0</v>
      </c>
      <c r="P205" s="19">
        <f t="shared" si="226"/>
        <v>0</v>
      </c>
      <c r="Q205" s="19">
        <f t="shared" ref="Q205:R208" si="227">L205*O205*12+ ((K205-L205)*O205/2*12)</f>
        <v>0</v>
      </c>
      <c r="R205" s="19">
        <f t="shared" si="227"/>
        <v>0</v>
      </c>
      <c r="S205" s="19">
        <f t="shared" ref="S205:T208" si="228">O205*Q205*12+ ((M205-O205)*Q205/2*12)</f>
        <v>0</v>
      </c>
      <c r="T205" s="19">
        <f t="shared" si="228"/>
        <v>0</v>
      </c>
    </row>
    <row r="206" spans="1:20" x14ac:dyDescent="0.3">
      <c r="A206" s="4"/>
      <c r="B206" s="5" t="s">
        <v>12</v>
      </c>
      <c r="C206" s="9">
        <v>3</v>
      </c>
      <c r="D206" s="9">
        <v>3</v>
      </c>
      <c r="E206" s="9">
        <v>2</v>
      </c>
      <c r="F206" s="9">
        <v>2</v>
      </c>
      <c r="G206" s="19">
        <f>'расчёт зарплаты'!K26</f>
        <v>27300</v>
      </c>
      <c r="H206" s="19">
        <f t="shared" si="225"/>
        <v>819000</v>
      </c>
      <c r="I206" s="19"/>
      <c r="J206" s="19"/>
      <c r="K206" s="19"/>
      <c r="L206" s="19"/>
      <c r="O206" s="19">
        <f t="shared" si="226"/>
        <v>0</v>
      </c>
      <c r="P206" s="19">
        <f t="shared" si="226"/>
        <v>0</v>
      </c>
      <c r="Q206" s="19">
        <f t="shared" si="227"/>
        <v>0</v>
      </c>
      <c r="R206" s="19">
        <f t="shared" si="227"/>
        <v>0</v>
      </c>
      <c r="S206" s="19">
        <f t="shared" si="228"/>
        <v>0</v>
      </c>
      <c r="T206" s="19">
        <f t="shared" si="228"/>
        <v>0</v>
      </c>
    </row>
    <row r="207" spans="1:20" ht="28.2" x14ac:dyDescent="0.3">
      <c r="A207" s="4"/>
      <c r="B207" s="5" t="s">
        <v>19</v>
      </c>
      <c r="C207" s="9">
        <v>3.5</v>
      </c>
      <c r="D207" s="9">
        <v>3.5</v>
      </c>
      <c r="E207" s="9">
        <v>1</v>
      </c>
      <c r="F207" s="9">
        <v>1</v>
      </c>
      <c r="G207" s="19">
        <f>'расчёт зарплаты'!K40</f>
        <v>28224</v>
      </c>
      <c r="H207" s="19">
        <f t="shared" si="225"/>
        <v>762048</v>
      </c>
      <c r="I207" s="19"/>
      <c r="J207" s="19"/>
      <c r="K207" s="19"/>
      <c r="L207" s="19"/>
      <c r="O207" s="19">
        <f t="shared" si="226"/>
        <v>0</v>
      </c>
      <c r="P207" s="19">
        <f t="shared" si="226"/>
        <v>0</v>
      </c>
      <c r="Q207" s="19">
        <f t="shared" si="227"/>
        <v>0</v>
      </c>
      <c r="R207" s="19">
        <f t="shared" si="227"/>
        <v>0</v>
      </c>
      <c r="S207" s="19">
        <f t="shared" si="228"/>
        <v>0</v>
      </c>
      <c r="T207" s="19">
        <f t="shared" si="228"/>
        <v>0</v>
      </c>
    </row>
    <row r="208" spans="1:20" x14ac:dyDescent="0.3">
      <c r="A208" s="135" t="s">
        <v>23</v>
      </c>
      <c r="B208" s="135"/>
      <c r="C208" s="31">
        <f t="shared" ref="C208:F208" si="229">C209+C215</f>
        <v>10.75</v>
      </c>
      <c r="D208" s="31">
        <f t="shared" si="229"/>
        <v>10.75</v>
      </c>
      <c r="E208" s="31">
        <f t="shared" si="229"/>
        <v>7.4</v>
      </c>
      <c r="F208" s="31">
        <f t="shared" si="229"/>
        <v>8</v>
      </c>
      <c r="G208" s="19"/>
      <c r="H208" s="19">
        <f t="shared" si="225"/>
        <v>0</v>
      </c>
      <c r="I208" s="19"/>
      <c r="J208" s="20">
        <f t="shared" ref="J208:K208" si="230">J209+J215</f>
        <v>3059232</v>
      </c>
      <c r="K208" s="20">
        <f t="shared" si="230"/>
        <v>923888.06400000001</v>
      </c>
      <c r="L208" s="20">
        <f>L209+L215</f>
        <v>3983120.0640000002</v>
      </c>
      <c r="O208" s="19">
        <f t="shared" si="226"/>
        <v>73111730157785.094</v>
      </c>
      <c r="P208" s="19">
        <f t="shared" si="226"/>
        <v>0</v>
      </c>
      <c r="Q208" s="19">
        <f t="shared" si="227"/>
        <v>2.152559124818365E+21</v>
      </c>
      <c r="R208" s="19">
        <f t="shared" si="227"/>
        <v>0</v>
      </c>
      <c r="S208" s="19">
        <f t="shared" si="228"/>
        <v>9.4426393129439006E+35</v>
      </c>
      <c r="T208" s="19">
        <f t="shared" si="228"/>
        <v>0</v>
      </c>
    </row>
    <row r="209" spans="1:20" x14ac:dyDescent="0.3">
      <c r="A209" s="136" t="s">
        <v>24</v>
      </c>
      <c r="B209" s="136"/>
      <c r="C209" s="31">
        <f t="shared" ref="C209:F209" si="231">C210+C211+C212+C213+C214</f>
        <v>7</v>
      </c>
      <c r="D209" s="31">
        <f t="shared" si="231"/>
        <v>7</v>
      </c>
      <c r="E209" s="31">
        <f t="shared" si="231"/>
        <v>5.4</v>
      </c>
      <c r="F209" s="31">
        <f t="shared" si="231"/>
        <v>6</v>
      </c>
      <c r="G209" s="20"/>
      <c r="H209" s="20">
        <f>H210+H211+H212+H213+H214</f>
        <v>2031120</v>
      </c>
      <c r="I209" s="20">
        <f t="shared" ref="I209" si="232">I210+I211+I212+I213+I214</f>
        <v>0</v>
      </c>
      <c r="J209" s="20">
        <f>H209</f>
        <v>2031120</v>
      </c>
      <c r="K209" s="20">
        <f>J209*30.2%</f>
        <v>613398.24</v>
      </c>
      <c r="L209" s="20">
        <f>J209+K209</f>
        <v>2644518.2400000002</v>
      </c>
      <c r="O209" s="20">
        <f t="shared" ref="O209:T209" si="233">O210+O211+O212+O213+O214</f>
        <v>0</v>
      </c>
      <c r="P209" s="20">
        <f t="shared" si="233"/>
        <v>0</v>
      </c>
      <c r="Q209" s="20">
        <f t="shared" si="233"/>
        <v>0</v>
      </c>
      <c r="R209" s="20">
        <f t="shared" si="233"/>
        <v>0</v>
      </c>
      <c r="S209" s="20">
        <f t="shared" si="233"/>
        <v>0</v>
      </c>
      <c r="T209" s="20">
        <f t="shared" si="233"/>
        <v>0</v>
      </c>
    </row>
    <row r="210" spans="1:20" x14ac:dyDescent="0.3">
      <c r="A210" s="4"/>
      <c r="B210" s="5" t="s">
        <v>25</v>
      </c>
      <c r="C210" s="32"/>
      <c r="D210" s="32"/>
      <c r="E210" s="32"/>
      <c r="F210" s="32"/>
      <c r="G210" s="19"/>
      <c r="H210" s="19">
        <f t="shared" ref="H210:H214" si="234">E210*G210*12+ ((D210-E210)*G210/2*12)</f>
        <v>0</v>
      </c>
      <c r="I210" s="19"/>
      <c r="J210" s="19"/>
      <c r="K210" s="19"/>
      <c r="L210" s="19"/>
      <c r="O210" s="19">
        <f t="shared" ref="O210:P214" si="235">J210*L210*12+ ((I210-J210)*L210/2*12)</f>
        <v>0</v>
      </c>
      <c r="P210" s="19">
        <f t="shared" si="235"/>
        <v>0</v>
      </c>
      <c r="Q210" s="19">
        <f t="shared" ref="Q210:R214" si="236">L210*O210*12+ ((K210-L210)*O210/2*12)</f>
        <v>0</v>
      </c>
      <c r="R210" s="19">
        <f t="shared" si="236"/>
        <v>0</v>
      </c>
      <c r="S210" s="19">
        <f t="shared" ref="S210:T214" si="237">O210*Q210*12+ ((M210-O210)*Q210/2*12)</f>
        <v>0</v>
      </c>
      <c r="T210" s="19">
        <f t="shared" si="237"/>
        <v>0</v>
      </c>
    </row>
    <row r="211" spans="1:20" x14ac:dyDescent="0.3">
      <c r="A211" s="4"/>
      <c r="B211" s="5" t="s">
        <v>26</v>
      </c>
      <c r="C211" s="32"/>
      <c r="D211" s="32"/>
      <c r="E211" s="32"/>
      <c r="F211" s="32"/>
      <c r="G211" s="19"/>
      <c r="H211" s="19">
        <f t="shared" si="234"/>
        <v>0</v>
      </c>
      <c r="I211" s="19"/>
      <c r="J211" s="19"/>
      <c r="K211" s="19"/>
      <c r="L211" s="19"/>
      <c r="O211" s="19">
        <f t="shared" si="235"/>
        <v>0</v>
      </c>
      <c r="P211" s="19">
        <f t="shared" si="235"/>
        <v>0</v>
      </c>
      <c r="Q211" s="19">
        <f t="shared" si="236"/>
        <v>0</v>
      </c>
      <c r="R211" s="19">
        <f t="shared" si="236"/>
        <v>0</v>
      </c>
      <c r="S211" s="19">
        <f t="shared" si="237"/>
        <v>0</v>
      </c>
      <c r="T211" s="19">
        <f t="shared" si="237"/>
        <v>0</v>
      </c>
    </row>
    <row r="212" spans="1:20" x14ac:dyDescent="0.3">
      <c r="A212" s="4"/>
      <c r="B212" s="5" t="s">
        <v>27</v>
      </c>
      <c r="C212" s="32"/>
      <c r="D212" s="32"/>
      <c r="E212" s="32"/>
      <c r="F212" s="32"/>
      <c r="G212" s="19"/>
      <c r="H212" s="19">
        <f t="shared" si="234"/>
        <v>0</v>
      </c>
      <c r="I212" s="19"/>
      <c r="J212" s="19"/>
      <c r="K212" s="19"/>
      <c r="L212" s="19"/>
      <c r="O212" s="19">
        <f t="shared" si="235"/>
        <v>0</v>
      </c>
      <c r="P212" s="19">
        <f t="shared" si="235"/>
        <v>0</v>
      </c>
      <c r="Q212" s="19">
        <f t="shared" si="236"/>
        <v>0</v>
      </c>
      <c r="R212" s="19">
        <f t="shared" si="236"/>
        <v>0</v>
      </c>
      <c r="S212" s="19">
        <f t="shared" si="237"/>
        <v>0</v>
      </c>
      <c r="T212" s="19">
        <f t="shared" si="237"/>
        <v>0</v>
      </c>
    </row>
    <row r="213" spans="1:20" ht="28.2" x14ac:dyDescent="0.3">
      <c r="A213" s="4"/>
      <c r="B213" s="5" t="s">
        <v>28</v>
      </c>
      <c r="C213" s="32">
        <v>3</v>
      </c>
      <c r="D213" s="32">
        <v>3</v>
      </c>
      <c r="E213" s="32">
        <v>3</v>
      </c>
      <c r="F213" s="32">
        <v>3</v>
      </c>
      <c r="G213" s="19">
        <f>'расчёт зарплаты'!K26</f>
        <v>27300</v>
      </c>
      <c r="H213" s="19">
        <f t="shared" si="234"/>
        <v>982800</v>
      </c>
      <c r="I213" s="19"/>
      <c r="J213" s="19"/>
      <c r="K213" s="19"/>
      <c r="L213" s="19"/>
      <c r="O213" s="19">
        <f t="shared" si="235"/>
        <v>0</v>
      </c>
      <c r="P213" s="19">
        <f t="shared" si="235"/>
        <v>0</v>
      </c>
      <c r="Q213" s="19">
        <f t="shared" si="236"/>
        <v>0</v>
      </c>
      <c r="R213" s="19">
        <f t="shared" si="236"/>
        <v>0</v>
      </c>
      <c r="S213" s="19">
        <f t="shared" si="237"/>
        <v>0</v>
      </c>
      <c r="T213" s="19">
        <f t="shared" si="237"/>
        <v>0</v>
      </c>
    </row>
    <row r="214" spans="1:20" x14ac:dyDescent="0.3">
      <c r="A214" s="4"/>
      <c r="B214" s="5" t="s">
        <v>29</v>
      </c>
      <c r="C214" s="32">
        <v>4</v>
      </c>
      <c r="D214" s="32">
        <v>4</v>
      </c>
      <c r="E214" s="32">
        <v>2.4</v>
      </c>
      <c r="F214" s="32">
        <v>3</v>
      </c>
      <c r="G214" s="19">
        <f>'расчёт зарплаты'!K26</f>
        <v>27300</v>
      </c>
      <c r="H214" s="19">
        <f t="shared" si="234"/>
        <v>1048320</v>
      </c>
      <c r="I214" s="19"/>
      <c r="J214" s="19"/>
      <c r="K214" s="19"/>
      <c r="L214" s="19"/>
      <c r="O214" s="19">
        <f t="shared" si="235"/>
        <v>0</v>
      </c>
      <c r="P214" s="19">
        <f t="shared" si="235"/>
        <v>0</v>
      </c>
      <c r="Q214" s="19">
        <f t="shared" si="236"/>
        <v>0</v>
      </c>
      <c r="R214" s="19">
        <f t="shared" si="236"/>
        <v>0</v>
      </c>
      <c r="S214" s="19">
        <f t="shared" si="237"/>
        <v>0</v>
      </c>
      <c r="T214" s="19">
        <f t="shared" si="237"/>
        <v>0</v>
      </c>
    </row>
    <row r="215" spans="1:20" x14ac:dyDescent="0.3">
      <c r="A215" s="136" t="s">
        <v>30</v>
      </c>
      <c r="B215" s="136"/>
      <c r="C215" s="31">
        <f t="shared" ref="C215:F215" si="238">C216+C217+C218</f>
        <v>3.75</v>
      </c>
      <c r="D215" s="31">
        <f t="shared" si="238"/>
        <v>3.75</v>
      </c>
      <c r="E215" s="31">
        <f t="shared" si="238"/>
        <v>2</v>
      </c>
      <c r="F215" s="31">
        <f t="shared" si="238"/>
        <v>2</v>
      </c>
      <c r="G215" s="20"/>
      <c r="H215" s="20">
        <f>H216+H217+H218</f>
        <v>1028112</v>
      </c>
      <c r="I215" s="20">
        <f t="shared" ref="I215" si="239">I216+I217+I218</f>
        <v>0</v>
      </c>
      <c r="J215" s="20">
        <f>H215</f>
        <v>1028112</v>
      </c>
      <c r="K215" s="20">
        <f>J215*30.2%</f>
        <v>310489.82399999996</v>
      </c>
      <c r="L215" s="20">
        <f>J215+K215</f>
        <v>1338601.824</v>
      </c>
      <c r="O215" s="20">
        <f t="shared" ref="O215:T215" si="240">O216+O217+O218</f>
        <v>0</v>
      </c>
      <c r="P215" s="20">
        <f t="shared" si="240"/>
        <v>0</v>
      </c>
      <c r="Q215" s="20">
        <f t="shared" si="240"/>
        <v>0</v>
      </c>
      <c r="R215" s="20">
        <f t="shared" si="240"/>
        <v>0</v>
      </c>
      <c r="S215" s="20">
        <f t="shared" si="240"/>
        <v>0</v>
      </c>
      <c r="T215" s="20">
        <f t="shared" si="240"/>
        <v>0</v>
      </c>
    </row>
    <row r="216" spans="1:20" x14ac:dyDescent="0.3">
      <c r="A216" s="4"/>
      <c r="B216" s="5" t="s">
        <v>31</v>
      </c>
      <c r="C216" s="32">
        <v>1.5</v>
      </c>
      <c r="D216" s="32">
        <v>1.5</v>
      </c>
      <c r="E216" s="32">
        <v>1</v>
      </c>
      <c r="F216" s="32">
        <v>1</v>
      </c>
      <c r="G216" s="19">
        <f>'расчёт зарплаты'!K34</f>
        <v>30976</v>
      </c>
      <c r="H216" s="19">
        <f t="shared" ref="H216:H218" si="241">E216*G216*12+ ((D216-E216)*G216/2*12)</f>
        <v>464640</v>
      </c>
      <c r="I216" s="19"/>
      <c r="J216" s="19"/>
      <c r="K216" s="19"/>
      <c r="L216" s="19"/>
      <c r="O216" s="19">
        <f t="shared" ref="O216:P218" si="242">J216*L216*12+ ((I216-J216)*L216/2*12)</f>
        <v>0</v>
      </c>
      <c r="P216" s="19">
        <f t="shared" si="242"/>
        <v>0</v>
      </c>
      <c r="Q216" s="19">
        <f t="shared" ref="Q216:R218" si="243">L216*O216*12+ ((K216-L216)*O216/2*12)</f>
        <v>0</v>
      </c>
      <c r="R216" s="19">
        <f t="shared" si="243"/>
        <v>0</v>
      </c>
      <c r="S216" s="19">
        <f t="shared" ref="S216:T218" si="244">O216*Q216*12+ ((M216-O216)*Q216/2*12)</f>
        <v>0</v>
      </c>
      <c r="T216" s="19">
        <f t="shared" si="244"/>
        <v>0</v>
      </c>
    </row>
    <row r="217" spans="1:20" x14ac:dyDescent="0.3">
      <c r="A217" s="4"/>
      <c r="B217" s="5" t="s">
        <v>32</v>
      </c>
      <c r="C217" s="32"/>
      <c r="D217" s="32"/>
      <c r="E217" s="32"/>
      <c r="F217" s="32"/>
      <c r="G217" s="19"/>
      <c r="H217" s="19">
        <f t="shared" si="241"/>
        <v>0</v>
      </c>
      <c r="I217" s="19"/>
      <c r="J217" s="19"/>
      <c r="K217" s="19"/>
      <c r="L217" s="19"/>
      <c r="O217" s="19">
        <f t="shared" si="242"/>
        <v>0</v>
      </c>
      <c r="P217" s="19">
        <f t="shared" si="242"/>
        <v>0</v>
      </c>
      <c r="Q217" s="19">
        <f t="shared" si="243"/>
        <v>0</v>
      </c>
      <c r="R217" s="19">
        <f t="shared" si="243"/>
        <v>0</v>
      </c>
      <c r="S217" s="19">
        <f t="shared" si="244"/>
        <v>0</v>
      </c>
      <c r="T217" s="19">
        <f t="shared" si="244"/>
        <v>0</v>
      </c>
    </row>
    <row r="218" spans="1:20" x14ac:dyDescent="0.3">
      <c r="A218" s="4"/>
      <c r="B218" s="5" t="s">
        <v>33</v>
      </c>
      <c r="C218" s="32">
        <v>2.25</v>
      </c>
      <c r="D218" s="32">
        <v>2.25</v>
      </c>
      <c r="E218" s="32">
        <v>1</v>
      </c>
      <c r="F218" s="32">
        <v>1</v>
      </c>
      <c r="G218" s="19">
        <f>'расчёт зарплаты'!K38</f>
        <v>28896</v>
      </c>
      <c r="H218" s="19">
        <f t="shared" si="241"/>
        <v>563472</v>
      </c>
      <c r="I218" s="19"/>
      <c r="J218" s="19"/>
      <c r="K218" s="19"/>
      <c r="L218" s="19"/>
      <c r="O218" s="19">
        <f t="shared" si="242"/>
        <v>0</v>
      </c>
      <c r="P218" s="19">
        <f t="shared" si="242"/>
        <v>0</v>
      </c>
      <c r="Q218" s="19">
        <f t="shared" si="243"/>
        <v>0</v>
      </c>
      <c r="R218" s="19">
        <f t="shared" si="243"/>
        <v>0</v>
      </c>
      <c r="S218" s="19">
        <f t="shared" si="244"/>
        <v>0</v>
      </c>
      <c r="T218" s="19">
        <f t="shared" si="244"/>
        <v>0</v>
      </c>
    </row>
    <row r="219" spans="1:20" x14ac:dyDescent="0.3">
      <c r="A219" s="141" t="s">
        <v>66</v>
      </c>
      <c r="B219" s="141"/>
      <c r="C219" s="141"/>
      <c r="D219" s="141"/>
      <c r="E219" s="141"/>
      <c r="F219" s="141"/>
      <c r="G219" s="141"/>
      <c r="H219" s="141"/>
      <c r="I219" s="141"/>
      <c r="J219" s="141"/>
      <c r="K219" s="141"/>
      <c r="L219" s="141"/>
    </row>
    <row r="220" spans="1:20" ht="14.4" customHeight="1" x14ac:dyDescent="0.3">
      <c r="A220" s="133" t="s">
        <v>7</v>
      </c>
      <c r="B220" s="134"/>
      <c r="C220" s="8">
        <f>C221+C238+C234</f>
        <v>77</v>
      </c>
      <c r="D220" s="8">
        <f>D221+D238+D234</f>
        <v>71.25</v>
      </c>
      <c r="E220" s="8">
        <f>E221+E238+E234</f>
        <v>69.599999999999994</v>
      </c>
      <c r="F220" s="8">
        <f>F221+F238+F234</f>
        <v>69</v>
      </c>
      <c r="G220" s="19"/>
      <c r="H220" s="19"/>
      <c r="I220" s="19"/>
      <c r="J220" s="19"/>
      <c r="K220" s="19"/>
      <c r="L220" s="19"/>
      <c r="O220" s="19"/>
      <c r="P220" s="19"/>
      <c r="Q220" s="19"/>
      <c r="R220" s="19"/>
      <c r="S220" s="19"/>
      <c r="T220" s="19"/>
    </row>
    <row r="221" spans="1:20" ht="14.4" customHeight="1" x14ac:dyDescent="0.3">
      <c r="A221" s="133" t="s">
        <v>89</v>
      </c>
      <c r="B221" s="134"/>
      <c r="C221" s="40">
        <f t="shared" ref="C221:G221" si="245">SUM(C222:C233)</f>
        <v>54.5</v>
      </c>
      <c r="D221" s="40">
        <f t="shared" si="245"/>
        <v>52.75</v>
      </c>
      <c r="E221" s="40">
        <f t="shared" si="245"/>
        <v>52.599999999999994</v>
      </c>
      <c r="F221" s="40">
        <f t="shared" si="245"/>
        <v>52</v>
      </c>
      <c r="G221" s="40">
        <f t="shared" si="245"/>
        <v>221592</v>
      </c>
      <c r="H221" s="40">
        <f>SUM(H222:H233)</f>
        <v>18437011.199999999</v>
      </c>
      <c r="I221" s="20"/>
      <c r="J221" s="20">
        <f>H221-I221</f>
        <v>18437011.199999999</v>
      </c>
      <c r="K221" s="20">
        <f>J221*30.2%</f>
        <v>5567977.3823999995</v>
      </c>
      <c r="L221" s="20">
        <f>J221+K221</f>
        <v>24004988.582399998</v>
      </c>
      <c r="O221" s="40">
        <f t="shared" ref="O221:T221" si="246">SUM(O222:O233)</f>
        <v>0</v>
      </c>
      <c r="P221" s="40">
        <f t="shared" si="246"/>
        <v>0</v>
      </c>
      <c r="Q221" s="40">
        <f t="shared" si="246"/>
        <v>0</v>
      </c>
      <c r="R221" s="40">
        <f t="shared" si="246"/>
        <v>0</v>
      </c>
      <c r="S221" s="40">
        <f t="shared" si="246"/>
        <v>0</v>
      </c>
      <c r="T221" s="40">
        <f t="shared" si="246"/>
        <v>0</v>
      </c>
    </row>
    <row r="222" spans="1:20" x14ac:dyDescent="0.3">
      <c r="A222" s="4"/>
      <c r="B222" s="5" t="s">
        <v>9</v>
      </c>
      <c r="C222" s="22">
        <v>31</v>
      </c>
      <c r="D222" s="22">
        <v>30</v>
      </c>
      <c r="E222" s="22">
        <v>29.8</v>
      </c>
      <c r="F222" s="22">
        <v>30</v>
      </c>
      <c r="G222" s="19">
        <f>'расчёт зарплаты'!K10</f>
        <v>28208</v>
      </c>
      <c r="H222" s="19">
        <f>E222*G222*12+ ((D222-E222)*G222/2*12)</f>
        <v>10121030.4</v>
      </c>
      <c r="I222" s="19"/>
      <c r="J222" s="19"/>
      <c r="K222" s="19"/>
      <c r="L222" s="19">
        <f>G222*K222*12</f>
        <v>0</v>
      </c>
      <c r="O222" s="19">
        <f t="shared" ref="O222:O232" si="247">J222*L222*12+ ((I222-J222)*L222/2*12)</f>
        <v>0</v>
      </c>
      <c r="P222" s="19">
        <f t="shared" ref="P222:P232" si="248">K222*M222*12+ ((J222-K222)*M222/2*12)</f>
        <v>0</v>
      </c>
      <c r="Q222" s="19">
        <f t="shared" ref="Q222:Q232" si="249">L222*O222*12+ ((K222-L222)*O222/2*12)</f>
        <v>0</v>
      </c>
      <c r="R222" s="19">
        <f t="shared" ref="R222:R232" si="250">M222*P222*12+ ((L222-M222)*P222/2*12)</f>
        <v>0</v>
      </c>
      <c r="S222" s="19">
        <f t="shared" ref="S222:T232" si="251">O222*Q222*12+ ((M222-O222)*Q222/2*12)</f>
        <v>0</v>
      </c>
      <c r="T222" s="19">
        <f t="shared" si="251"/>
        <v>0</v>
      </c>
    </row>
    <row r="223" spans="1:20" x14ac:dyDescent="0.3">
      <c r="A223" s="4"/>
      <c r="B223" s="5" t="s">
        <v>10</v>
      </c>
      <c r="C223" s="22"/>
      <c r="D223" s="22"/>
      <c r="E223" s="22"/>
      <c r="F223" s="22"/>
      <c r="G223" s="19"/>
      <c r="H223" s="19">
        <f t="shared" ref="H223:H232" si="252">E223*G223*12+ ((D223-E223)*G223/2*12)</f>
        <v>0</v>
      </c>
      <c r="I223" s="19"/>
      <c r="J223" s="19"/>
      <c r="K223" s="19"/>
      <c r="L223" s="19"/>
      <c r="O223" s="19">
        <f t="shared" si="247"/>
        <v>0</v>
      </c>
      <c r="P223" s="19">
        <f t="shared" si="248"/>
        <v>0</v>
      </c>
      <c r="Q223" s="19">
        <f t="shared" si="249"/>
        <v>0</v>
      </c>
      <c r="R223" s="19">
        <f t="shared" si="250"/>
        <v>0</v>
      </c>
      <c r="S223" s="19">
        <f t="shared" si="251"/>
        <v>0</v>
      </c>
      <c r="T223" s="19">
        <f t="shared" si="251"/>
        <v>0</v>
      </c>
    </row>
    <row r="224" spans="1:20" x14ac:dyDescent="0.3">
      <c r="A224" s="4"/>
      <c r="B224" s="5" t="s">
        <v>13</v>
      </c>
      <c r="C224" s="22">
        <v>3</v>
      </c>
      <c r="D224" s="22">
        <v>3</v>
      </c>
      <c r="E224" s="22">
        <v>3</v>
      </c>
      <c r="F224" s="22">
        <v>3</v>
      </c>
      <c r="G224" s="19">
        <f>'расчёт зарплаты'!K38</f>
        <v>28896</v>
      </c>
      <c r="H224" s="19">
        <f t="shared" si="252"/>
        <v>1040256</v>
      </c>
      <c r="I224" s="19"/>
      <c r="J224" s="19"/>
      <c r="K224" s="19"/>
      <c r="L224" s="19"/>
      <c r="O224" s="19">
        <f t="shared" si="247"/>
        <v>0</v>
      </c>
      <c r="P224" s="19">
        <f t="shared" si="248"/>
        <v>0</v>
      </c>
      <c r="Q224" s="19">
        <f t="shared" si="249"/>
        <v>0</v>
      </c>
      <c r="R224" s="19">
        <f t="shared" si="250"/>
        <v>0</v>
      </c>
      <c r="S224" s="19">
        <f t="shared" si="251"/>
        <v>0</v>
      </c>
      <c r="T224" s="19">
        <f t="shared" si="251"/>
        <v>0</v>
      </c>
    </row>
    <row r="225" spans="1:20" ht="28.2" x14ac:dyDescent="0.3">
      <c r="A225" s="4"/>
      <c r="B225" s="5" t="s">
        <v>14</v>
      </c>
      <c r="C225" s="22"/>
      <c r="D225" s="22"/>
      <c r="E225" s="22"/>
      <c r="F225" s="22"/>
      <c r="G225" s="19"/>
      <c r="H225" s="19">
        <f t="shared" si="252"/>
        <v>0</v>
      </c>
      <c r="I225" s="19"/>
      <c r="J225" s="19"/>
      <c r="K225" s="19"/>
      <c r="L225" s="19"/>
      <c r="O225" s="19">
        <f t="shared" si="247"/>
        <v>0</v>
      </c>
      <c r="P225" s="19">
        <f t="shared" si="248"/>
        <v>0</v>
      </c>
      <c r="Q225" s="19">
        <f t="shared" si="249"/>
        <v>0</v>
      </c>
      <c r="R225" s="19">
        <f t="shared" si="250"/>
        <v>0</v>
      </c>
      <c r="S225" s="19">
        <f t="shared" si="251"/>
        <v>0</v>
      </c>
      <c r="T225" s="19">
        <f t="shared" si="251"/>
        <v>0</v>
      </c>
    </row>
    <row r="226" spans="1:20" x14ac:dyDescent="0.3">
      <c r="A226" s="4"/>
      <c r="B226" s="5" t="s">
        <v>15</v>
      </c>
      <c r="C226" s="22">
        <v>6</v>
      </c>
      <c r="D226" s="22">
        <v>6</v>
      </c>
      <c r="E226" s="22">
        <v>6</v>
      </c>
      <c r="F226" s="22">
        <v>6</v>
      </c>
      <c r="G226" s="19">
        <f>'расчёт зарплаты'!K34</f>
        <v>30976</v>
      </c>
      <c r="H226" s="19">
        <f t="shared" si="252"/>
        <v>2230272</v>
      </c>
      <c r="I226" s="19"/>
      <c r="J226" s="19"/>
      <c r="K226" s="19"/>
      <c r="L226" s="19"/>
      <c r="O226" s="19">
        <f t="shared" si="247"/>
        <v>0</v>
      </c>
      <c r="P226" s="19">
        <f t="shared" si="248"/>
        <v>0</v>
      </c>
      <c r="Q226" s="19">
        <f t="shared" si="249"/>
        <v>0</v>
      </c>
      <c r="R226" s="19">
        <f t="shared" si="250"/>
        <v>0</v>
      </c>
      <c r="S226" s="19">
        <f t="shared" si="251"/>
        <v>0</v>
      </c>
      <c r="T226" s="19">
        <f t="shared" si="251"/>
        <v>0</v>
      </c>
    </row>
    <row r="227" spans="1:20" x14ac:dyDescent="0.3">
      <c r="A227" s="4"/>
      <c r="B227" s="5" t="s">
        <v>16</v>
      </c>
      <c r="C227" s="22">
        <v>9</v>
      </c>
      <c r="D227" s="22">
        <v>9</v>
      </c>
      <c r="E227" s="22">
        <v>9</v>
      </c>
      <c r="F227" s="22">
        <v>9</v>
      </c>
      <c r="G227" s="19">
        <f>'расчёт зарплаты'!K8</f>
        <v>28600</v>
      </c>
      <c r="H227" s="19">
        <f t="shared" si="252"/>
        <v>3088800</v>
      </c>
      <c r="I227" s="19"/>
      <c r="J227" s="19"/>
      <c r="K227" s="19"/>
      <c r="L227" s="19"/>
      <c r="O227" s="19">
        <f t="shared" si="247"/>
        <v>0</v>
      </c>
      <c r="P227" s="19">
        <f t="shared" si="248"/>
        <v>0</v>
      </c>
      <c r="Q227" s="19">
        <f t="shared" si="249"/>
        <v>0</v>
      </c>
      <c r="R227" s="19">
        <f t="shared" si="250"/>
        <v>0</v>
      </c>
      <c r="S227" s="19">
        <f t="shared" si="251"/>
        <v>0</v>
      </c>
      <c r="T227" s="19">
        <f t="shared" si="251"/>
        <v>0</v>
      </c>
    </row>
    <row r="228" spans="1:20" ht="42" x14ac:dyDescent="0.3">
      <c r="A228" s="4"/>
      <c r="B228" s="5" t="s">
        <v>17</v>
      </c>
      <c r="C228" s="22">
        <v>2</v>
      </c>
      <c r="D228" s="22">
        <v>1.5</v>
      </c>
      <c r="E228" s="22">
        <v>1.5</v>
      </c>
      <c r="F228" s="22">
        <v>1</v>
      </c>
      <c r="G228" s="19">
        <f>'расчёт зарплаты'!K10</f>
        <v>28208</v>
      </c>
      <c r="H228" s="19">
        <f t="shared" si="252"/>
        <v>507744</v>
      </c>
      <c r="I228" s="19"/>
      <c r="J228" s="19"/>
      <c r="K228" s="19"/>
      <c r="L228" s="19"/>
      <c r="O228" s="19">
        <f t="shared" si="247"/>
        <v>0</v>
      </c>
      <c r="P228" s="19">
        <f t="shared" si="248"/>
        <v>0</v>
      </c>
      <c r="Q228" s="19">
        <f t="shared" si="249"/>
        <v>0</v>
      </c>
      <c r="R228" s="19">
        <f t="shared" si="250"/>
        <v>0</v>
      </c>
      <c r="S228" s="19">
        <f t="shared" si="251"/>
        <v>0</v>
      </c>
      <c r="T228" s="19">
        <f t="shared" si="251"/>
        <v>0</v>
      </c>
    </row>
    <row r="229" spans="1:20" ht="28.2" x14ac:dyDescent="0.3">
      <c r="A229" s="4"/>
      <c r="B229" s="5" t="s">
        <v>18</v>
      </c>
      <c r="C229" s="22">
        <v>2</v>
      </c>
      <c r="D229" s="22">
        <v>2</v>
      </c>
      <c r="E229" s="22">
        <v>2</v>
      </c>
      <c r="F229" s="22">
        <v>2</v>
      </c>
      <c r="G229" s="19">
        <f>'расчёт зарплаты'!K20</f>
        <v>31648</v>
      </c>
      <c r="H229" s="19">
        <f t="shared" si="252"/>
        <v>759552</v>
      </c>
      <c r="I229" s="19"/>
      <c r="J229" s="19"/>
      <c r="K229" s="19"/>
      <c r="L229" s="19"/>
      <c r="O229" s="19">
        <f t="shared" si="247"/>
        <v>0</v>
      </c>
      <c r="P229" s="19">
        <f t="shared" si="248"/>
        <v>0</v>
      </c>
      <c r="Q229" s="19">
        <f t="shared" si="249"/>
        <v>0</v>
      </c>
      <c r="R229" s="19">
        <f t="shared" si="250"/>
        <v>0</v>
      </c>
      <c r="S229" s="19">
        <f t="shared" si="251"/>
        <v>0</v>
      </c>
      <c r="T229" s="19">
        <f t="shared" si="251"/>
        <v>0</v>
      </c>
    </row>
    <row r="230" spans="1:20" ht="42" x14ac:dyDescent="0.3">
      <c r="A230" s="4"/>
      <c r="B230" s="5" t="s">
        <v>91</v>
      </c>
      <c r="C230" s="22"/>
      <c r="D230" s="22"/>
      <c r="E230" s="22"/>
      <c r="F230" s="22"/>
      <c r="G230" s="19"/>
      <c r="H230" s="19">
        <f t="shared" si="252"/>
        <v>0</v>
      </c>
      <c r="I230" s="19"/>
      <c r="J230" s="19"/>
      <c r="K230" s="19"/>
      <c r="L230" s="19"/>
      <c r="O230" s="19">
        <f t="shared" si="247"/>
        <v>0</v>
      </c>
      <c r="P230" s="19">
        <f t="shared" si="248"/>
        <v>0</v>
      </c>
      <c r="Q230" s="19">
        <f t="shared" si="249"/>
        <v>0</v>
      </c>
      <c r="R230" s="19">
        <f t="shared" si="250"/>
        <v>0</v>
      </c>
      <c r="S230" s="19">
        <f t="shared" si="251"/>
        <v>0</v>
      </c>
      <c r="T230" s="19">
        <f t="shared" si="251"/>
        <v>0</v>
      </c>
    </row>
    <row r="231" spans="1:20" x14ac:dyDescent="0.3">
      <c r="A231" s="4"/>
      <c r="B231" s="5" t="s">
        <v>20</v>
      </c>
      <c r="C231" s="22"/>
      <c r="D231" s="22"/>
      <c r="E231" s="22"/>
      <c r="F231" s="22"/>
      <c r="G231" s="19"/>
      <c r="H231" s="19">
        <f t="shared" si="252"/>
        <v>0</v>
      </c>
      <c r="I231" s="19"/>
      <c r="J231" s="19"/>
      <c r="K231" s="19"/>
      <c r="L231" s="19"/>
      <c r="O231" s="19">
        <f t="shared" si="247"/>
        <v>0</v>
      </c>
      <c r="P231" s="19">
        <f t="shared" si="248"/>
        <v>0</v>
      </c>
      <c r="Q231" s="19">
        <f t="shared" si="249"/>
        <v>0</v>
      </c>
      <c r="R231" s="19">
        <f t="shared" si="250"/>
        <v>0</v>
      </c>
      <c r="S231" s="19">
        <f t="shared" si="251"/>
        <v>0</v>
      </c>
      <c r="T231" s="19">
        <f t="shared" si="251"/>
        <v>0</v>
      </c>
    </row>
    <row r="232" spans="1:20" ht="39.6" x14ac:dyDescent="0.3">
      <c r="A232" s="4"/>
      <c r="B232" s="6" t="s">
        <v>21</v>
      </c>
      <c r="C232" s="22">
        <v>1.5</v>
      </c>
      <c r="D232" s="22">
        <v>1.25</v>
      </c>
      <c r="E232" s="22">
        <v>1.3</v>
      </c>
      <c r="F232" s="22">
        <v>1</v>
      </c>
      <c r="G232" s="19">
        <f>'расчёт зарплаты'!K44</f>
        <v>45056</v>
      </c>
      <c r="H232" s="19">
        <f t="shared" si="252"/>
        <v>689356.80000000005</v>
      </c>
      <c r="I232" s="19"/>
      <c r="J232" s="19"/>
      <c r="K232" s="19"/>
      <c r="L232" s="19"/>
      <c r="O232" s="19">
        <f t="shared" si="247"/>
        <v>0</v>
      </c>
      <c r="P232" s="19">
        <f t="shared" si="248"/>
        <v>0</v>
      </c>
      <c r="Q232" s="19">
        <f t="shared" si="249"/>
        <v>0</v>
      </c>
      <c r="R232" s="19">
        <f t="shared" si="250"/>
        <v>0</v>
      </c>
      <c r="S232" s="19">
        <f t="shared" si="251"/>
        <v>0</v>
      </c>
      <c r="T232" s="19">
        <f t="shared" si="251"/>
        <v>0</v>
      </c>
    </row>
    <row r="233" spans="1:20" x14ac:dyDescent="0.3">
      <c r="A233" s="4"/>
      <c r="B233" s="5" t="s">
        <v>22</v>
      </c>
      <c r="C233" s="22"/>
      <c r="D233" s="22"/>
      <c r="E233" s="22"/>
      <c r="F233" s="22"/>
      <c r="G233" s="19"/>
      <c r="H233" s="19">
        <f t="shared" ref="H233" si="253">E233*G233*12</f>
        <v>0</v>
      </c>
      <c r="I233" s="19"/>
      <c r="J233" s="19"/>
      <c r="K233" s="19"/>
      <c r="L233" s="19"/>
      <c r="O233" s="19">
        <f>J233*L233*12</f>
        <v>0</v>
      </c>
      <c r="P233" s="19">
        <f>K233*M233*12</f>
        <v>0</v>
      </c>
      <c r="Q233" s="19">
        <f>L233*O233*12</f>
        <v>0</v>
      </c>
      <c r="R233" s="19">
        <f>M233*P233*12</f>
        <v>0</v>
      </c>
      <c r="S233" s="19">
        <f t="shared" ref="S233:T233" si="254">O233*Q233*12</f>
        <v>0</v>
      </c>
      <c r="T233" s="19">
        <f t="shared" si="254"/>
        <v>0</v>
      </c>
    </row>
    <row r="234" spans="1:20" x14ac:dyDescent="0.3">
      <c r="A234" s="38" t="s">
        <v>57</v>
      </c>
      <c r="B234" s="39"/>
      <c r="C234" s="41">
        <f>C235+C236+C237</f>
        <v>8.5</v>
      </c>
      <c r="D234" s="41">
        <f t="shared" ref="D234:F234" si="255">D235+D236+D237</f>
        <v>7</v>
      </c>
      <c r="E234" s="41">
        <f t="shared" si="255"/>
        <v>6.5</v>
      </c>
      <c r="F234" s="41">
        <f t="shared" si="255"/>
        <v>7</v>
      </c>
      <c r="G234" s="41"/>
      <c r="H234" s="42">
        <f t="shared" ref="H234:L234" si="256">H235+H236+H237</f>
        <v>2241792</v>
      </c>
      <c r="I234" s="42">
        <f t="shared" si="256"/>
        <v>0</v>
      </c>
      <c r="J234" s="42">
        <f t="shared" si="256"/>
        <v>0</v>
      </c>
      <c r="K234" s="42">
        <f t="shared" si="256"/>
        <v>0</v>
      </c>
      <c r="L234" s="42">
        <f t="shared" si="256"/>
        <v>0</v>
      </c>
      <c r="O234" s="42">
        <f t="shared" ref="O234:P234" si="257">O235+O236+O237</f>
        <v>0</v>
      </c>
      <c r="P234" s="42">
        <f t="shared" si="257"/>
        <v>0</v>
      </c>
      <c r="Q234" s="42">
        <f t="shared" ref="Q234" si="258">Q235+Q236+Q237</f>
        <v>0</v>
      </c>
      <c r="R234" s="42">
        <f t="shared" ref="R234:S234" si="259">R235+R236+R237</f>
        <v>0</v>
      </c>
      <c r="S234" s="42">
        <f t="shared" si="259"/>
        <v>0</v>
      </c>
      <c r="T234" s="42">
        <f t="shared" ref="T234" si="260">T235+T236+T237</f>
        <v>0</v>
      </c>
    </row>
    <row r="235" spans="1:20" x14ac:dyDescent="0.3">
      <c r="A235" s="4"/>
      <c r="B235" s="5" t="s">
        <v>11</v>
      </c>
      <c r="C235" s="9">
        <v>1.25</v>
      </c>
      <c r="D235" s="9">
        <v>1</v>
      </c>
      <c r="E235" s="9">
        <v>1</v>
      </c>
      <c r="F235" s="9">
        <v>1</v>
      </c>
      <c r="G235" s="19">
        <f>'расчёт зарплаты'!K26</f>
        <v>27300</v>
      </c>
      <c r="H235" s="19">
        <f t="shared" ref="H235:H238" si="261">E235*G235*12+ ((D235-E235)*G235/2*12)</f>
        <v>327600</v>
      </c>
      <c r="I235" s="19"/>
      <c r="J235" s="19"/>
      <c r="K235" s="19"/>
      <c r="L235" s="19"/>
      <c r="O235" s="19">
        <f t="shared" ref="O235:P238" si="262">J235*L235*12+ ((I235-J235)*L235/2*12)</f>
        <v>0</v>
      </c>
      <c r="P235" s="19">
        <f t="shared" si="262"/>
        <v>0</v>
      </c>
      <c r="Q235" s="19">
        <f t="shared" ref="Q235:R238" si="263">L235*O235*12+ ((K235-L235)*O235/2*12)</f>
        <v>0</v>
      </c>
      <c r="R235" s="19">
        <f t="shared" si="263"/>
        <v>0</v>
      </c>
      <c r="S235" s="19">
        <f t="shared" ref="S235:T238" si="264">O235*Q235*12+ ((M235-O235)*Q235/2*12)</f>
        <v>0</v>
      </c>
      <c r="T235" s="19">
        <f t="shared" si="264"/>
        <v>0</v>
      </c>
    </row>
    <row r="236" spans="1:20" x14ac:dyDescent="0.3">
      <c r="A236" s="4"/>
      <c r="B236" s="5" t="s">
        <v>12</v>
      </c>
      <c r="C236" s="9">
        <v>3</v>
      </c>
      <c r="D236" s="9">
        <v>3</v>
      </c>
      <c r="E236" s="9">
        <v>3</v>
      </c>
      <c r="F236" s="9">
        <v>3</v>
      </c>
      <c r="G236" s="19">
        <f>'расчёт зарплаты'!K26</f>
        <v>27300</v>
      </c>
      <c r="H236" s="19">
        <f t="shared" si="261"/>
        <v>982800</v>
      </c>
      <c r="I236" s="19"/>
      <c r="J236" s="19"/>
      <c r="K236" s="19"/>
      <c r="L236" s="19"/>
      <c r="O236" s="19">
        <f t="shared" si="262"/>
        <v>0</v>
      </c>
      <c r="P236" s="19">
        <f t="shared" si="262"/>
        <v>0</v>
      </c>
      <c r="Q236" s="19">
        <f t="shared" si="263"/>
        <v>0</v>
      </c>
      <c r="R236" s="19">
        <f t="shared" si="263"/>
        <v>0</v>
      </c>
      <c r="S236" s="19">
        <f t="shared" si="264"/>
        <v>0</v>
      </c>
      <c r="T236" s="19">
        <f t="shared" si="264"/>
        <v>0</v>
      </c>
    </row>
    <row r="237" spans="1:20" ht="28.2" x14ac:dyDescent="0.3">
      <c r="A237" s="4"/>
      <c r="B237" s="5" t="s">
        <v>19</v>
      </c>
      <c r="C237" s="9">
        <v>4.25</v>
      </c>
      <c r="D237" s="9">
        <v>3</v>
      </c>
      <c r="E237" s="9">
        <v>2.5</v>
      </c>
      <c r="F237" s="9">
        <v>3</v>
      </c>
      <c r="G237" s="19">
        <f>'расчёт зарплаты'!K40</f>
        <v>28224</v>
      </c>
      <c r="H237" s="19">
        <f t="shared" si="261"/>
        <v>931392</v>
      </c>
      <c r="I237" s="19"/>
      <c r="J237" s="19"/>
      <c r="K237" s="19"/>
      <c r="L237" s="19"/>
      <c r="O237" s="19">
        <f t="shared" si="262"/>
        <v>0</v>
      </c>
      <c r="P237" s="19">
        <f t="shared" si="262"/>
        <v>0</v>
      </c>
      <c r="Q237" s="19">
        <f t="shared" si="263"/>
        <v>0</v>
      </c>
      <c r="R237" s="19">
        <f t="shared" si="263"/>
        <v>0</v>
      </c>
      <c r="S237" s="19">
        <f t="shared" si="264"/>
        <v>0</v>
      </c>
      <c r="T237" s="19">
        <f t="shared" si="264"/>
        <v>0</v>
      </c>
    </row>
    <row r="238" spans="1:20" x14ac:dyDescent="0.3">
      <c r="A238" s="135" t="s">
        <v>23</v>
      </c>
      <c r="B238" s="135"/>
      <c r="C238" s="21">
        <f t="shared" ref="C238:F238" si="265">C239+C245</f>
        <v>14</v>
      </c>
      <c r="D238" s="21">
        <f t="shared" si="265"/>
        <v>11.5</v>
      </c>
      <c r="E238" s="21">
        <f t="shared" si="265"/>
        <v>10.5</v>
      </c>
      <c r="F238" s="21">
        <f t="shared" si="265"/>
        <v>10</v>
      </c>
      <c r="G238" s="19"/>
      <c r="H238" s="19">
        <f t="shared" si="261"/>
        <v>0</v>
      </c>
      <c r="I238" s="19"/>
      <c r="J238" s="20">
        <f t="shared" ref="J238:K238" si="266">J239+J245</f>
        <v>3695592</v>
      </c>
      <c r="K238" s="20">
        <f t="shared" si="266"/>
        <v>1116068.784</v>
      </c>
      <c r="L238" s="20">
        <f>L239+L245</f>
        <v>4811660.784</v>
      </c>
      <c r="O238" s="19">
        <f t="shared" si="262"/>
        <v>106691610600384.78</v>
      </c>
      <c r="P238" s="19">
        <f t="shared" si="262"/>
        <v>0</v>
      </c>
      <c r="Q238" s="19">
        <f t="shared" si="263"/>
        <v>3.7946340888806582E+21</v>
      </c>
      <c r="R238" s="19">
        <f t="shared" si="263"/>
        <v>0</v>
      </c>
      <c r="S238" s="19">
        <f t="shared" si="264"/>
        <v>2.4291337354908064E+36</v>
      </c>
      <c r="T238" s="19">
        <f t="shared" si="264"/>
        <v>0</v>
      </c>
    </row>
    <row r="239" spans="1:20" x14ac:dyDescent="0.3">
      <c r="A239" s="136" t="s">
        <v>24</v>
      </c>
      <c r="B239" s="136"/>
      <c r="C239" s="21">
        <f t="shared" ref="C239:F239" si="267">C240+C241+C242+C243+C244</f>
        <v>10</v>
      </c>
      <c r="D239" s="21">
        <f t="shared" si="267"/>
        <v>8</v>
      </c>
      <c r="E239" s="21">
        <f t="shared" si="267"/>
        <v>7</v>
      </c>
      <c r="F239" s="21">
        <f t="shared" si="267"/>
        <v>7</v>
      </c>
      <c r="G239" s="20"/>
      <c r="H239" s="20">
        <f>H240+H241+H242+H243+H244</f>
        <v>2457000</v>
      </c>
      <c r="I239" s="20">
        <f t="shared" ref="I239" si="268">I240+I241+I242+I243+I244</f>
        <v>0</v>
      </c>
      <c r="J239" s="20">
        <f>H239</f>
        <v>2457000</v>
      </c>
      <c r="K239" s="20">
        <f>J239*30.2%</f>
        <v>742014</v>
      </c>
      <c r="L239" s="20">
        <f>J239+K239</f>
        <v>3199014</v>
      </c>
      <c r="O239" s="20">
        <f t="shared" ref="O239:T239" si="269">O240+O241+O242+O243+O244</f>
        <v>0</v>
      </c>
      <c r="P239" s="20">
        <f t="shared" si="269"/>
        <v>0</v>
      </c>
      <c r="Q239" s="20">
        <f t="shared" si="269"/>
        <v>0</v>
      </c>
      <c r="R239" s="20">
        <f t="shared" si="269"/>
        <v>0</v>
      </c>
      <c r="S239" s="20">
        <f t="shared" si="269"/>
        <v>0</v>
      </c>
      <c r="T239" s="20">
        <f t="shared" si="269"/>
        <v>0</v>
      </c>
    </row>
    <row r="240" spans="1:20" x14ac:dyDescent="0.3">
      <c r="A240" s="4"/>
      <c r="B240" s="5" t="s">
        <v>25</v>
      </c>
      <c r="C240" s="22"/>
      <c r="D240" s="22"/>
      <c r="E240" s="22"/>
      <c r="F240" s="22"/>
      <c r="G240" s="19"/>
      <c r="H240" s="19">
        <f t="shared" ref="H240:H244" si="270">E240*G240*12+ ((D240-E240)*G240/2*12)</f>
        <v>0</v>
      </c>
      <c r="I240" s="19"/>
      <c r="J240" s="19"/>
      <c r="K240" s="19"/>
      <c r="L240" s="19"/>
      <c r="O240" s="19">
        <f t="shared" ref="O240:P244" si="271">J240*L240*12+ ((I240-J240)*L240/2*12)</f>
        <v>0</v>
      </c>
      <c r="P240" s="19">
        <f t="shared" si="271"/>
        <v>0</v>
      </c>
      <c r="Q240" s="19">
        <f t="shared" ref="Q240:R244" si="272">L240*O240*12+ ((K240-L240)*O240/2*12)</f>
        <v>0</v>
      </c>
      <c r="R240" s="19">
        <f t="shared" si="272"/>
        <v>0</v>
      </c>
      <c r="S240" s="19">
        <f t="shared" ref="S240:T244" si="273">O240*Q240*12+ ((M240-O240)*Q240/2*12)</f>
        <v>0</v>
      </c>
      <c r="T240" s="19">
        <f t="shared" si="273"/>
        <v>0</v>
      </c>
    </row>
    <row r="241" spans="1:20" x14ac:dyDescent="0.3">
      <c r="A241" s="4"/>
      <c r="B241" s="5" t="s">
        <v>26</v>
      </c>
      <c r="C241" s="22"/>
      <c r="D241" s="22"/>
      <c r="E241" s="22"/>
      <c r="F241" s="22"/>
      <c r="G241" s="19"/>
      <c r="H241" s="19">
        <f t="shared" si="270"/>
        <v>0</v>
      </c>
      <c r="I241" s="19"/>
      <c r="J241" s="19"/>
      <c r="K241" s="19"/>
      <c r="L241" s="19"/>
      <c r="O241" s="19">
        <f t="shared" si="271"/>
        <v>0</v>
      </c>
      <c r="P241" s="19">
        <f t="shared" si="271"/>
        <v>0</v>
      </c>
      <c r="Q241" s="19">
        <f t="shared" si="272"/>
        <v>0</v>
      </c>
      <c r="R241" s="19">
        <f t="shared" si="272"/>
        <v>0</v>
      </c>
      <c r="S241" s="19">
        <f t="shared" si="273"/>
        <v>0</v>
      </c>
      <c r="T241" s="19">
        <f t="shared" si="273"/>
        <v>0</v>
      </c>
    </row>
    <row r="242" spans="1:20" x14ac:dyDescent="0.3">
      <c r="A242" s="4"/>
      <c r="B242" s="5" t="s">
        <v>27</v>
      </c>
      <c r="C242" s="22"/>
      <c r="D242" s="22"/>
      <c r="E242" s="22"/>
      <c r="F242" s="22"/>
      <c r="G242" s="19"/>
      <c r="H242" s="19">
        <f t="shared" si="270"/>
        <v>0</v>
      </c>
      <c r="I242" s="19"/>
      <c r="J242" s="19"/>
      <c r="K242" s="19"/>
      <c r="L242" s="19"/>
      <c r="O242" s="19">
        <f t="shared" si="271"/>
        <v>0</v>
      </c>
      <c r="P242" s="19">
        <f t="shared" si="271"/>
        <v>0</v>
      </c>
      <c r="Q242" s="19">
        <f t="shared" si="272"/>
        <v>0</v>
      </c>
      <c r="R242" s="19">
        <f t="shared" si="272"/>
        <v>0</v>
      </c>
      <c r="S242" s="19">
        <f t="shared" si="273"/>
        <v>0</v>
      </c>
      <c r="T242" s="19">
        <f t="shared" si="273"/>
        <v>0</v>
      </c>
    </row>
    <row r="243" spans="1:20" ht="28.2" x14ac:dyDescent="0.3">
      <c r="A243" s="4"/>
      <c r="B243" s="5" t="s">
        <v>28</v>
      </c>
      <c r="C243" s="22">
        <v>3</v>
      </c>
      <c r="D243" s="22">
        <v>3</v>
      </c>
      <c r="E243" s="22">
        <v>2</v>
      </c>
      <c r="F243" s="22">
        <v>2</v>
      </c>
      <c r="G243" s="19">
        <f>'расчёт зарплаты'!K26</f>
        <v>27300</v>
      </c>
      <c r="H243" s="19">
        <f t="shared" si="270"/>
        <v>819000</v>
      </c>
      <c r="I243" s="19"/>
      <c r="J243" s="19"/>
      <c r="K243" s="19"/>
      <c r="L243" s="19"/>
      <c r="O243" s="19">
        <f t="shared" si="271"/>
        <v>0</v>
      </c>
      <c r="P243" s="19">
        <f t="shared" si="271"/>
        <v>0</v>
      </c>
      <c r="Q243" s="19">
        <f t="shared" si="272"/>
        <v>0</v>
      </c>
      <c r="R243" s="19">
        <f t="shared" si="272"/>
        <v>0</v>
      </c>
      <c r="S243" s="19">
        <f t="shared" si="273"/>
        <v>0</v>
      </c>
      <c r="T243" s="19">
        <f t="shared" si="273"/>
        <v>0</v>
      </c>
    </row>
    <row r="244" spans="1:20" x14ac:dyDescent="0.3">
      <c r="A244" s="4"/>
      <c r="B244" s="5" t="s">
        <v>29</v>
      </c>
      <c r="C244" s="22">
        <v>7</v>
      </c>
      <c r="D244" s="22">
        <v>5</v>
      </c>
      <c r="E244" s="22">
        <v>5</v>
      </c>
      <c r="F244" s="22">
        <v>5</v>
      </c>
      <c r="G244" s="19">
        <f>'расчёт зарплаты'!K26</f>
        <v>27300</v>
      </c>
      <c r="H244" s="19">
        <f t="shared" si="270"/>
        <v>1638000</v>
      </c>
      <c r="I244" s="19"/>
      <c r="J244" s="19"/>
      <c r="K244" s="19"/>
      <c r="L244" s="19"/>
      <c r="O244" s="19">
        <f t="shared" si="271"/>
        <v>0</v>
      </c>
      <c r="P244" s="19">
        <f t="shared" si="271"/>
        <v>0</v>
      </c>
      <c r="Q244" s="19">
        <f t="shared" si="272"/>
        <v>0</v>
      </c>
      <c r="R244" s="19">
        <f t="shared" si="272"/>
        <v>0</v>
      </c>
      <c r="S244" s="19">
        <f t="shared" si="273"/>
        <v>0</v>
      </c>
      <c r="T244" s="19">
        <f t="shared" si="273"/>
        <v>0</v>
      </c>
    </row>
    <row r="245" spans="1:20" x14ac:dyDescent="0.3">
      <c r="A245" s="136" t="s">
        <v>30</v>
      </c>
      <c r="B245" s="136"/>
      <c r="C245" s="21">
        <f t="shared" ref="C245:F245" si="274">C246+C247+C248</f>
        <v>4</v>
      </c>
      <c r="D245" s="21">
        <f t="shared" si="274"/>
        <v>3.5</v>
      </c>
      <c r="E245" s="21">
        <f t="shared" si="274"/>
        <v>3.5</v>
      </c>
      <c r="F245" s="21">
        <f t="shared" si="274"/>
        <v>3</v>
      </c>
      <c r="G245" s="20"/>
      <c r="H245" s="20">
        <f>H246+H247+H248</f>
        <v>1238592</v>
      </c>
      <c r="I245" s="20">
        <f t="shared" ref="I245" si="275">I246+I247+I248</f>
        <v>0</v>
      </c>
      <c r="J245" s="20">
        <f>H245</f>
        <v>1238592</v>
      </c>
      <c r="K245" s="20">
        <f>J245*30.2%</f>
        <v>374054.78399999999</v>
      </c>
      <c r="L245" s="20">
        <f>J245+K245</f>
        <v>1612646.784</v>
      </c>
      <c r="O245" s="20">
        <f t="shared" ref="O245:T245" si="276">O246+O247+O248</f>
        <v>0</v>
      </c>
      <c r="P245" s="20">
        <f t="shared" si="276"/>
        <v>0</v>
      </c>
      <c r="Q245" s="20">
        <f t="shared" si="276"/>
        <v>0</v>
      </c>
      <c r="R245" s="20">
        <f t="shared" si="276"/>
        <v>0</v>
      </c>
      <c r="S245" s="20">
        <f t="shared" si="276"/>
        <v>0</v>
      </c>
      <c r="T245" s="20">
        <f t="shared" si="276"/>
        <v>0</v>
      </c>
    </row>
    <row r="246" spans="1:20" x14ac:dyDescent="0.3">
      <c r="A246" s="4"/>
      <c r="B246" s="5" t="s">
        <v>31</v>
      </c>
      <c r="C246" s="22">
        <v>1</v>
      </c>
      <c r="D246" s="22">
        <v>1</v>
      </c>
      <c r="E246" s="22">
        <v>1</v>
      </c>
      <c r="F246" s="22">
        <v>1</v>
      </c>
      <c r="G246" s="19">
        <f>'расчёт зарплаты'!K34</f>
        <v>30976</v>
      </c>
      <c r="H246" s="19">
        <f t="shared" ref="H246:H248" si="277">E246*G246*12+ ((D246-E246)*G246/2*12)</f>
        <v>371712</v>
      </c>
      <c r="I246" s="19"/>
      <c r="J246" s="19"/>
      <c r="K246" s="19"/>
      <c r="L246" s="19"/>
      <c r="O246" s="19">
        <f t="shared" ref="O246:P248" si="278">J246*L246*12+ ((I246-J246)*L246/2*12)</f>
        <v>0</v>
      </c>
      <c r="P246" s="19">
        <f t="shared" si="278"/>
        <v>0</v>
      </c>
      <c r="Q246" s="19">
        <f t="shared" ref="Q246:R248" si="279">L246*O246*12+ ((K246-L246)*O246/2*12)</f>
        <v>0</v>
      </c>
      <c r="R246" s="19">
        <f t="shared" si="279"/>
        <v>0</v>
      </c>
      <c r="S246" s="19">
        <f t="shared" ref="S246:T248" si="280">O246*Q246*12+ ((M246-O246)*Q246/2*12)</f>
        <v>0</v>
      </c>
      <c r="T246" s="19">
        <f t="shared" si="280"/>
        <v>0</v>
      </c>
    </row>
    <row r="247" spans="1:20" x14ac:dyDescent="0.3">
      <c r="A247" s="4"/>
      <c r="B247" s="5" t="s">
        <v>32</v>
      </c>
      <c r="C247" s="22"/>
      <c r="D247" s="22"/>
      <c r="E247" s="22"/>
      <c r="F247" s="22"/>
      <c r="G247" s="19"/>
      <c r="H247" s="19">
        <f t="shared" si="277"/>
        <v>0</v>
      </c>
      <c r="I247" s="19"/>
      <c r="J247" s="19"/>
      <c r="K247" s="19"/>
      <c r="L247" s="19"/>
      <c r="O247" s="19">
        <f t="shared" si="278"/>
        <v>0</v>
      </c>
      <c r="P247" s="19">
        <f t="shared" si="278"/>
        <v>0</v>
      </c>
      <c r="Q247" s="19">
        <f t="shared" si="279"/>
        <v>0</v>
      </c>
      <c r="R247" s="19">
        <f t="shared" si="279"/>
        <v>0</v>
      </c>
      <c r="S247" s="19">
        <f t="shared" si="280"/>
        <v>0</v>
      </c>
      <c r="T247" s="19">
        <f t="shared" si="280"/>
        <v>0</v>
      </c>
    </row>
    <row r="248" spans="1:20" x14ac:dyDescent="0.3">
      <c r="A248" s="4"/>
      <c r="B248" s="5" t="s">
        <v>33</v>
      </c>
      <c r="C248" s="22">
        <v>3</v>
      </c>
      <c r="D248" s="22">
        <v>2.5</v>
      </c>
      <c r="E248" s="22">
        <v>2.5</v>
      </c>
      <c r="F248" s="22">
        <v>2</v>
      </c>
      <c r="G248" s="19">
        <f>'расчёт зарплаты'!K38</f>
        <v>28896</v>
      </c>
      <c r="H248" s="19">
        <f t="shared" si="277"/>
        <v>866880</v>
      </c>
      <c r="I248" s="19"/>
      <c r="J248" s="19"/>
      <c r="K248" s="19"/>
      <c r="L248" s="19"/>
      <c r="O248" s="19">
        <f t="shared" si="278"/>
        <v>0</v>
      </c>
      <c r="P248" s="19">
        <f t="shared" si="278"/>
        <v>0</v>
      </c>
      <c r="Q248" s="19">
        <f t="shared" si="279"/>
        <v>0</v>
      </c>
      <c r="R248" s="19">
        <f t="shared" si="279"/>
        <v>0</v>
      </c>
      <c r="S248" s="19">
        <f t="shared" si="280"/>
        <v>0</v>
      </c>
      <c r="T248" s="19">
        <f t="shared" si="280"/>
        <v>0</v>
      </c>
    </row>
    <row r="249" spans="1:20" x14ac:dyDescent="0.3">
      <c r="A249" s="141" t="s">
        <v>67</v>
      </c>
      <c r="B249" s="141"/>
      <c r="C249" s="141"/>
      <c r="D249" s="141"/>
      <c r="E249" s="141"/>
      <c r="F249" s="141"/>
      <c r="G249" s="141"/>
      <c r="H249" s="141"/>
      <c r="I249" s="141"/>
      <c r="J249" s="141"/>
      <c r="K249" s="141"/>
      <c r="L249" s="141"/>
    </row>
    <row r="250" spans="1:20" ht="14.4" customHeight="1" x14ac:dyDescent="0.3">
      <c r="A250" s="133" t="s">
        <v>7</v>
      </c>
      <c r="B250" s="134"/>
      <c r="C250" s="8">
        <f>C251+C266+C262</f>
        <v>34.25</v>
      </c>
      <c r="D250" s="8">
        <f>D251+D266+D262</f>
        <v>26.25</v>
      </c>
      <c r="E250" s="8">
        <f>E251+E266+E262</f>
        <v>24.1</v>
      </c>
      <c r="F250" s="8">
        <f>F251+F266+F262</f>
        <v>20.5</v>
      </c>
      <c r="G250" s="19"/>
      <c r="H250" s="19"/>
      <c r="I250" s="19"/>
      <c r="J250" s="19"/>
      <c r="K250" s="19"/>
      <c r="L250" s="19"/>
      <c r="O250" s="19"/>
      <c r="P250" s="19"/>
      <c r="Q250" s="19"/>
      <c r="R250" s="19"/>
      <c r="S250" s="19"/>
      <c r="T250" s="19"/>
    </row>
    <row r="251" spans="1:20" ht="14.4" customHeight="1" x14ac:dyDescent="0.3">
      <c r="A251" s="133" t="s">
        <v>89</v>
      </c>
      <c r="B251" s="134"/>
      <c r="C251" s="8">
        <f>SUM(C252:C263)</f>
        <v>31.25</v>
      </c>
      <c r="D251" s="8">
        <f>SUM(D252:D263)</f>
        <v>23.25</v>
      </c>
      <c r="E251" s="8">
        <f>SUM(E252:E263)</f>
        <v>22.1</v>
      </c>
      <c r="F251" s="8">
        <f>SUM(F252:F263)</f>
        <v>18.5</v>
      </c>
      <c r="G251" s="8"/>
      <c r="H251" s="40">
        <f>SUM(H252:H263)</f>
        <v>8016132</v>
      </c>
      <c r="I251" s="20"/>
      <c r="J251" s="20">
        <f>H251-I251</f>
        <v>8016132</v>
      </c>
      <c r="K251" s="20">
        <f>J251*30.2%</f>
        <v>2420871.8640000001</v>
      </c>
      <c r="L251" s="20">
        <f>J251+K251</f>
        <v>10437003.864</v>
      </c>
      <c r="O251" s="40">
        <f t="shared" ref="O251:T251" si="281">SUM(O252:O263)</f>
        <v>0</v>
      </c>
      <c r="P251" s="40">
        <f t="shared" si="281"/>
        <v>0</v>
      </c>
      <c r="Q251" s="40">
        <f t="shared" si="281"/>
        <v>0</v>
      </c>
      <c r="R251" s="40">
        <f t="shared" si="281"/>
        <v>0</v>
      </c>
      <c r="S251" s="40">
        <f t="shared" si="281"/>
        <v>0</v>
      </c>
      <c r="T251" s="40">
        <f t="shared" si="281"/>
        <v>0</v>
      </c>
    </row>
    <row r="252" spans="1:20" x14ac:dyDescent="0.3">
      <c r="A252" s="4"/>
      <c r="B252" s="5" t="s">
        <v>9</v>
      </c>
      <c r="C252" s="33">
        <f>16.5-2</f>
        <v>14.5</v>
      </c>
      <c r="D252" s="33">
        <f>14-2</f>
        <v>12</v>
      </c>
      <c r="E252" s="33">
        <v>12</v>
      </c>
      <c r="F252" s="33">
        <v>11</v>
      </c>
      <c r="G252" s="19">
        <f>'расчёт зарплаты'!K10</f>
        <v>28208</v>
      </c>
      <c r="H252" s="19">
        <f>E252*G252*12+ ((D252-E252)*G252/2*12)</f>
        <v>4061952</v>
      </c>
      <c r="I252" s="19"/>
      <c r="J252" s="19"/>
      <c r="K252" s="19"/>
      <c r="L252" s="19">
        <f>G252*K252*12</f>
        <v>0</v>
      </c>
      <c r="O252" s="19">
        <f t="shared" ref="O252:O262" si="282">J252*L252*12+ ((I252-J252)*L252/2*12)</f>
        <v>0</v>
      </c>
      <c r="P252" s="19">
        <f t="shared" ref="P252:P262" si="283">K252*M252*12+ ((J252-K252)*M252/2*12)</f>
        <v>0</v>
      </c>
      <c r="Q252" s="19">
        <f t="shared" ref="Q252:Q262" si="284">L252*O252*12+ ((K252-L252)*O252/2*12)</f>
        <v>0</v>
      </c>
      <c r="R252" s="19">
        <f t="shared" ref="R252:R262" si="285">M252*P252*12+ ((L252-M252)*P252/2*12)</f>
        <v>0</v>
      </c>
      <c r="S252" s="19">
        <f t="shared" ref="S252:T262" si="286">O252*Q252*12+ ((M252-O252)*Q252/2*12)</f>
        <v>0</v>
      </c>
      <c r="T252" s="19">
        <f t="shared" si="286"/>
        <v>0</v>
      </c>
    </row>
    <row r="253" spans="1:20" x14ac:dyDescent="0.3">
      <c r="A253" s="4"/>
      <c r="B253" s="5" t="s">
        <v>10</v>
      </c>
      <c r="C253" s="33">
        <v>1</v>
      </c>
      <c r="D253" s="33"/>
      <c r="E253" s="33"/>
      <c r="F253" s="33"/>
      <c r="G253" s="19">
        <f>'расчёт зарплаты'!K20</f>
        <v>31648</v>
      </c>
      <c r="H253" s="19">
        <f t="shared" ref="H253:H262" si="287">E253*G253*12+ ((D253-E253)*G253/2*12)</f>
        <v>0</v>
      </c>
      <c r="I253" s="19"/>
      <c r="J253" s="19"/>
      <c r="K253" s="19"/>
      <c r="L253" s="19"/>
      <c r="O253" s="19">
        <f t="shared" si="282"/>
        <v>0</v>
      </c>
      <c r="P253" s="19">
        <f t="shared" si="283"/>
        <v>0</v>
      </c>
      <c r="Q253" s="19">
        <f t="shared" si="284"/>
        <v>0</v>
      </c>
      <c r="R253" s="19">
        <f t="shared" si="285"/>
        <v>0</v>
      </c>
      <c r="S253" s="19">
        <f t="shared" si="286"/>
        <v>0</v>
      </c>
      <c r="T253" s="19">
        <f t="shared" si="286"/>
        <v>0</v>
      </c>
    </row>
    <row r="254" spans="1:20" x14ac:dyDescent="0.3">
      <c r="A254" s="4"/>
      <c r="B254" s="5" t="s">
        <v>13</v>
      </c>
      <c r="C254" s="33">
        <v>2.5</v>
      </c>
      <c r="D254" s="33">
        <v>2</v>
      </c>
      <c r="E254" s="33">
        <v>1</v>
      </c>
      <c r="F254" s="33">
        <v>1</v>
      </c>
      <c r="G254" s="19">
        <f>'расчёт зарплаты'!K38</f>
        <v>28896</v>
      </c>
      <c r="H254" s="19">
        <f t="shared" si="287"/>
        <v>520128</v>
      </c>
      <c r="I254" s="19"/>
      <c r="J254" s="19"/>
      <c r="K254" s="19"/>
      <c r="L254" s="19"/>
      <c r="O254" s="19">
        <f t="shared" si="282"/>
        <v>0</v>
      </c>
      <c r="P254" s="19">
        <f t="shared" si="283"/>
        <v>0</v>
      </c>
      <c r="Q254" s="19">
        <f t="shared" si="284"/>
        <v>0</v>
      </c>
      <c r="R254" s="19">
        <f t="shared" si="285"/>
        <v>0</v>
      </c>
      <c r="S254" s="19">
        <f t="shared" si="286"/>
        <v>0</v>
      </c>
      <c r="T254" s="19">
        <f t="shared" si="286"/>
        <v>0</v>
      </c>
    </row>
    <row r="255" spans="1:20" ht="28.2" x14ac:dyDescent="0.3">
      <c r="A255" s="4"/>
      <c r="B255" s="5" t="s">
        <v>14</v>
      </c>
      <c r="C255" s="33"/>
      <c r="D255" s="33"/>
      <c r="E255" s="33"/>
      <c r="F255" s="33"/>
      <c r="G255" s="19"/>
      <c r="H255" s="19">
        <f t="shared" si="287"/>
        <v>0</v>
      </c>
      <c r="I255" s="19"/>
      <c r="J255" s="19"/>
      <c r="K255" s="19"/>
      <c r="L255" s="19"/>
      <c r="O255" s="19">
        <f t="shared" si="282"/>
        <v>0</v>
      </c>
      <c r="P255" s="19">
        <f t="shared" si="283"/>
        <v>0</v>
      </c>
      <c r="Q255" s="19">
        <f t="shared" si="284"/>
        <v>0</v>
      </c>
      <c r="R255" s="19">
        <f t="shared" si="285"/>
        <v>0</v>
      </c>
      <c r="S255" s="19">
        <f t="shared" si="286"/>
        <v>0</v>
      </c>
      <c r="T255" s="19">
        <f t="shared" si="286"/>
        <v>0</v>
      </c>
    </row>
    <row r="256" spans="1:20" x14ac:dyDescent="0.3">
      <c r="A256" s="4"/>
      <c r="B256" s="5" t="s">
        <v>15</v>
      </c>
      <c r="C256" s="33">
        <v>4</v>
      </c>
      <c r="D256" s="33">
        <v>3</v>
      </c>
      <c r="E256" s="33">
        <v>1</v>
      </c>
      <c r="F256" s="33">
        <v>1</v>
      </c>
      <c r="G256" s="19">
        <f>'расчёт зарплаты'!K34</f>
        <v>30976</v>
      </c>
      <c r="H256" s="19">
        <f t="shared" si="287"/>
        <v>743424</v>
      </c>
      <c r="I256" s="19"/>
      <c r="J256" s="19"/>
      <c r="K256" s="19"/>
      <c r="L256" s="19"/>
      <c r="O256" s="19">
        <f t="shared" si="282"/>
        <v>0</v>
      </c>
      <c r="P256" s="19">
        <f t="shared" si="283"/>
        <v>0</v>
      </c>
      <c r="Q256" s="19">
        <f t="shared" si="284"/>
        <v>0</v>
      </c>
      <c r="R256" s="19">
        <f t="shared" si="285"/>
        <v>0</v>
      </c>
      <c r="S256" s="19">
        <f t="shared" si="286"/>
        <v>0</v>
      </c>
      <c r="T256" s="19">
        <f t="shared" si="286"/>
        <v>0</v>
      </c>
    </row>
    <row r="257" spans="1:20" x14ac:dyDescent="0.3">
      <c r="A257" s="4"/>
      <c r="B257" s="5" t="s">
        <v>16</v>
      </c>
      <c r="C257" s="33">
        <v>6</v>
      </c>
      <c r="D257" s="33">
        <v>3</v>
      </c>
      <c r="E257" s="33">
        <v>4.8499999999999996</v>
      </c>
      <c r="F257" s="33">
        <v>3</v>
      </c>
      <c r="G257" s="19">
        <f>'расчёт зарплаты'!K8</f>
        <v>28600</v>
      </c>
      <c r="H257" s="19">
        <f t="shared" si="287"/>
        <v>1347060</v>
      </c>
      <c r="I257" s="19"/>
      <c r="J257" s="19"/>
      <c r="K257" s="19"/>
      <c r="L257" s="19"/>
      <c r="O257" s="19">
        <f t="shared" si="282"/>
        <v>0</v>
      </c>
      <c r="P257" s="19">
        <f t="shared" si="283"/>
        <v>0</v>
      </c>
      <c r="Q257" s="19">
        <f t="shared" si="284"/>
        <v>0</v>
      </c>
      <c r="R257" s="19">
        <f t="shared" si="285"/>
        <v>0</v>
      </c>
      <c r="S257" s="19">
        <f t="shared" si="286"/>
        <v>0</v>
      </c>
      <c r="T257" s="19">
        <f t="shared" si="286"/>
        <v>0</v>
      </c>
    </row>
    <row r="258" spans="1:20" ht="42" x14ac:dyDescent="0.3">
      <c r="A258" s="4"/>
      <c r="B258" s="5" t="s">
        <v>17</v>
      </c>
      <c r="C258" s="33">
        <v>1.25</v>
      </c>
      <c r="D258" s="33">
        <v>1.25</v>
      </c>
      <c r="E258" s="33">
        <v>1.25</v>
      </c>
      <c r="F258" s="33">
        <v>0.5</v>
      </c>
      <c r="G258" s="19">
        <f>'расчёт зарплаты'!K10</f>
        <v>28208</v>
      </c>
      <c r="H258" s="19">
        <f t="shared" si="287"/>
        <v>423120</v>
      </c>
      <c r="I258" s="19"/>
      <c r="J258" s="19"/>
      <c r="K258" s="19"/>
      <c r="L258" s="19"/>
      <c r="O258" s="19">
        <f t="shared" si="282"/>
        <v>0</v>
      </c>
      <c r="P258" s="19">
        <f t="shared" si="283"/>
        <v>0</v>
      </c>
      <c r="Q258" s="19">
        <f t="shared" si="284"/>
        <v>0</v>
      </c>
      <c r="R258" s="19">
        <f t="shared" si="285"/>
        <v>0</v>
      </c>
      <c r="S258" s="19">
        <f t="shared" si="286"/>
        <v>0</v>
      </c>
      <c r="T258" s="19">
        <f t="shared" si="286"/>
        <v>0</v>
      </c>
    </row>
    <row r="259" spans="1:20" ht="28.2" x14ac:dyDescent="0.3">
      <c r="A259" s="4"/>
      <c r="B259" s="5" t="s">
        <v>18</v>
      </c>
      <c r="C259" s="33">
        <v>1</v>
      </c>
      <c r="D259" s="33">
        <v>1</v>
      </c>
      <c r="E259" s="33">
        <v>1</v>
      </c>
      <c r="F259" s="33">
        <v>1</v>
      </c>
      <c r="G259" s="19">
        <f>'расчёт зарплаты'!K20</f>
        <v>31648</v>
      </c>
      <c r="H259" s="19">
        <f t="shared" si="287"/>
        <v>379776</v>
      </c>
      <c r="I259" s="19"/>
      <c r="J259" s="19"/>
      <c r="K259" s="19"/>
      <c r="L259" s="19"/>
      <c r="O259" s="19">
        <f t="shared" si="282"/>
        <v>0</v>
      </c>
      <c r="P259" s="19">
        <f t="shared" si="283"/>
        <v>0</v>
      </c>
      <c r="Q259" s="19">
        <f t="shared" si="284"/>
        <v>0</v>
      </c>
      <c r="R259" s="19">
        <f t="shared" si="285"/>
        <v>0</v>
      </c>
      <c r="S259" s="19">
        <f t="shared" si="286"/>
        <v>0</v>
      </c>
      <c r="T259" s="19">
        <f t="shared" si="286"/>
        <v>0</v>
      </c>
    </row>
    <row r="260" spans="1:20" ht="42" x14ac:dyDescent="0.3">
      <c r="A260" s="4"/>
      <c r="B260" s="5" t="s">
        <v>91</v>
      </c>
      <c r="C260" s="33"/>
      <c r="D260" s="33"/>
      <c r="E260" s="33"/>
      <c r="F260" s="33"/>
      <c r="G260" s="19"/>
      <c r="H260" s="19">
        <f t="shared" si="287"/>
        <v>0</v>
      </c>
      <c r="I260" s="19"/>
      <c r="J260" s="19"/>
      <c r="K260" s="19"/>
      <c r="L260" s="19"/>
      <c r="O260" s="19">
        <f t="shared" si="282"/>
        <v>0</v>
      </c>
      <c r="P260" s="19">
        <f t="shared" si="283"/>
        <v>0</v>
      </c>
      <c r="Q260" s="19">
        <f t="shared" si="284"/>
        <v>0</v>
      </c>
      <c r="R260" s="19">
        <f t="shared" si="285"/>
        <v>0</v>
      </c>
      <c r="S260" s="19">
        <f t="shared" si="286"/>
        <v>0</v>
      </c>
      <c r="T260" s="19">
        <f t="shared" si="286"/>
        <v>0</v>
      </c>
    </row>
    <row r="261" spans="1:20" x14ac:dyDescent="0.3">
      <c r="A261" s="4"/>
      <c r="B261" s="5" t="s">
        <v>20</v>
      </c>
      <c r="C261" s="33"/>
      <c r="D261" s="33"/>
      <c r="E261" s="33"/>
      <c r="F261" s="33"/>
      <c r="G261" s="19"/>
      <c r="H261" s="19">
        <f t="shared" si="287"/>
        <v>0</v>
      </c>
      <c r="I261" s="19"/>
      <c r="J261" s="19"/>
      <c r="K261" s="19"/>
      <c r="L261" s="19"/>
      <c r="O261" s="19">
        <f t="shared" si="282"/>
        <v>0</v>
      </c>
      <c r="P261" s="19">
        <f t="shared" si="283"/>
        <v>0</v>
      </c>
      <c r="Q261" s="19">
        <f t="shared" si="284"/>
        <v>0</v>
      </c>
      <c r="R261" s="19">
        <f t="shared" si="285"/>
        <v>0</v>
      </c>
      <c r="S261" s="19">
        <f t="shared" si="286"/>
        <v>0</v>
      </c>
      <c r="T261" s="19">
        <f t="shared" si="286"/>
        <v>0</v>
      </c>
    </row>
    <row r="262" spans="1:20" ht="39.6" x14ac:dyDescent="0.3">
      <c r="A262" s="4"/>
      <c r="B262" s="6" t="s">
        <v>21</v>
      </c>
      <c r="C262" s="33">
        <v>1</v>
      </c>
      <c r="D262" s="33">
        <v>1</v>
      </c>
      <c r="E262" s="33">
        <v>1</v>
      </c>
      <c r="F262" s="33">
        <v>1</v>
      </c>
      <c r="G262" s="19">
        <f>'расчёт зарплаты'!K44</f>
        <v>45056</v>
      </c>
      <c r="H262" s="19">
        <f t="shared" si="287"/>
        <v>540672</v>
      </c>
      <c r="I262" s="19"/>
      <c r="J262" s="19"/>
      <c r="K262" s="19"/>
      <c r="L262" s="19"/>
      <c r="O262" s="19">
        <f t="shared" si="282"/>
        <v>0</v>
      </c>
      <c r="P262" s="19">
        <f t="shared" si="283"/>
        <v>0</v>
      </c>
      <c r="Q262" s="19">
        <f t="shared" si="284"/>
        <v>0</v>
      </c>
      <c r="R262" s="19">
        <f t="shared" si="285"/>
        <v>0</v>
      </c>
      <c r="S262" s="19">
        <f t="shared" si="286"/>
        <v>0</v>
      </c>
      <c r="T262" s="19">
        <f t="shared" si="286"/>
        <v>0</v>
      </c>
    </row>
    <row r="263" spans="1:20" x14ac:dyDescent="0.3">
      <c r="A263" s="4"/>
      <c r="B263" s="5" t="s">
        <v>22</v>
      </c>
      <c r="C263" s="33"/>
      <c r="D263" s="33"/>
      <c r="E263" s="33"/>
      <c r="F263" s="33"/>
      <c r="G263" s="19"/>
      <c r="H263" s="19">
        <f t="shared" ref="H263" si="288">E263*G263*12</f>
        <v>0</v>
      </c>
      <c r="I263" s="19"/>
      <c r="J263" s="19"/>
      <c r="K263" s="19"/>
      <c r="L263" s="19"/>
      <c r="O263" s="19">
        <f>J263*L263*12</f>
        <v>0</v>
      </c>
      <c r="P263" s="19">
        <f>K263*M263*12</f>
        <v>0</v>
      </c>
      <c r="Q263" s="19">
        <f>L263*O263*12</f>
        <v>0</v>
      </c>
      <c r="R263" s="19">
        <f>M263*P263*12</f>
        <v>0</v>
      </c>
      <c r="S263" s="19">
        <f t="shared" ref="S263:T263" si="289">O263*Q263*12</f>
        <v>0</v>
      </c>
      <c r="T263" s="19">
        <f t="shared" si="289"/>
        <v>0</v>
      </c>
    </row>
    <row r="264" spans="1:20" x14ac:dyDescent="0.3">
      <c r="A264" s="38" t="s">
        <v>57</v>
      </c>
      <c r="B264" s="39"/>
      <c r="C264" s="41">
        <f>C265+C266+C267</f>
        <v>5.5</v>
      </c>
      <c r="D264" s="41">
        <f t="shared" ref="D264:F264" si="290">D265+D266+D267</f>
        <v>5</v>
      </c>
      <c r="E264" s="41">
        <f t="shared" si="290"/>
        <v>4.5</v>
      </c>
      <c r="F264" s="41">
        <f t="shared" si="290"/>
        <v>3</v>
      </c>
      <c r="G264" s="41"/>
      <c r="H264" s="42">
        <f t="shared" ref="H264:L264" si="291">H265+H266+H267</f>
        <v>1581048</v>
      </c>
      <c r="I264" s="42">
        <f t="shared" si="291"/>
        <v>0</v>
      </c>
      <c r="J264" s="42">
        <f t="shared" si="291"/>
        <v>0</v>
      </c>
      <c r="K264" s="42">
        <f t="shared" si="291"/>
        <v>0</v>
      </c>
      <c r="L264" s="42">
        <f t="shared" si="291"/>
        <v>0</v>
      </c>
      <c r="O264" s="42">
        <f t="shared" ref="O264:P264" si="292">O265+O266+O267</f>
        <v>0</v>
      </c>
      <c r="P264" s="42">
        <f t="shared" si="292"/>
        <v>0</v>
      </c>
      <c r="Q264" s="42">
        <f t="shared" ref="Q264" si="293">Q265+Q266+Q267</f>
        <v>0</v>
      </c>
      <c r="R264" s="42">
        <f t="shared" ref="R264:S264" si="294">R265+R266+R267</f>
        <v>0</v>
      </c>
      <c r="S264" s="42">
        <f t="shared" si="294"/>
        <v>0</v>
      </c>
      <c r="T264" s="42">
        <f t="shared" ref="T264" si="295">T265+T266+T267</f>
        <v>0</v>
      </c>
    </row>
    <row r="265" spans="1:20" x14ac:dyDescent="0.3">
      <c r="A265" s="4"/>
      <c r="B265" s="5" t="s">
        <v>11</v>
      </c>
      <c r="C265" s="9">
        <v>1</v>
      </c>
      <c r="D265" s="9">
        <v>1</v>
      </c>
      <c r="E265" s="9">
        <v>1</v>
      </c>
      <c r="F265" s="9">
        <v>1</v>
      </c>
      <c r="G265" s="19">
        <f>'расчёт зарплаты'!K26</f>
        <v>27300</v>
      </c>
      <c r="H265" s="19">
        <f t="shared" ref="H265:H268" si="296">E265*G265*12+ ((D265-E265)*G265/2*12)</f>
        <v>327600</v>
      </c>
      <c r="I265" s="19"/>
      <c r="J265" s="19"/>
      <c r="K265" s="19"/>
      <c r="L265" s="19"/>
      <c r="O265" s="19">
        <f t="shared" ref="O265:P268" si="297">J265*L265*12+ ((I265-J265)*L265/2*12)</f>
        <v>0</v>
      </c>
      <c r="P265" s="19">
        <f t="shared" si="297"/>
        <v>0</v>
      </c>
      <c r="Q265" s="19">
        <f t="shared" ref="Q265:R268" si="298">L265*O265*12+ ((K265-L265)*O265/2*12)</f>
        <v>0</v>
      </c>
      <c r="R265" s="19">
        <f t="shared" si="298"/>
        <v>0</v>
      </c>
      <c r="S265" s="19">
        <f t="shared" ref="S265:T268" si="299">O265*Q265*12+ ((M265-O265)*Q265/2*12)</f>
        <v>0</v>
      </c>
      <c r="T265" s="19">
        <f t="shared" si="299"/>
        <v>0</v>
      </c>
    </row>
    <row r="266" spans="1:20" x14ac:dyDescent="0.3">
      <c r="A266" s="4"/>
      <c r="B266" s="5" t="s">
        <v>12</v>
      </c>
      <c r="C266" s="9">
        <v>2</v>
      </c>
      <c r="D266" s="9">
        <v>2</v>
      </c>
      <c r="E266" s="9">
        <v>1</v>
      </c>
      <c r="F266" s="9">
        <v>1</v>
      </c>
      <c r="G266" s="19">
        <f>'расчёт зарплаты'!K26</f>
        <v>27300</v>
      </c>
      <c r="H266" s="19">
        <f t="shared" si="296"/>
        <v>491400</v>
      </c>
      <c r="I266" s="19"/>
      <c r="J266" s="19"/>
      <c r="K266" s="19"/>
      <c r="L266" s="19"/>
      <c r="O266" s="19">
        <f t="shared" si="297"/>
        <v>0</v>
      </c>
      <c r="P266" s="19">
        <f t="shared" si="297"/>
        <v>0</v>
      </c>
      <c r="Q266" s="19">
        <f t="shared" si="298"/>
        <v>0</v>
      </c>
      <c r="R266" s="19">
        <f t="shared" si="298"/>
        <v>0</v>
      </c>
      <c r="S266" s="19">
        <f t="shared" si="299"/>
        <v>0</v>
      </c>
      <c r="T266" s="19">
        <f t="shared" si="299"/>
        <v>0</v>
      </c>
    </row>
    <row r="267" spans="1:20" ht="28.2" x14ac:dyDescent="0.3">
      <c r="A267" s="4"/>
      <c r="B267" s="5" t="s">
        <v>19</v>
      </c>
      <c r="C267" s="9">
        <v>2.5</v>
      </c>
      <c r="D267" s="9">
        <v>2</v>
      </c>
      <c r="E267" s="9">
        <v>2.5</v>
      </c>
      <c r="F267" s="9">
        <v>1</v>
      </c>
      <c r="G267" s="19">
        <f>'расчёт зарплаты'!K40</f>
        <v>28224</v>
      </c>
      <c r="H267" s="19">
        <f t="shared" si="296"/>
        <v>762048</v>
      </c>
      <c r="I267" s="19"/>
      <c r="J267" s="19"/>
      <c r="K267" s="19"/>
      <c r="L267" s="19"/>
      <c r="O267" s="19">
        <f t="shared" si="297"/>
        <v>0</v>
      </c>
      <c r="P267" s="19">
        <f t="shared" si="297"/>
        <v>0</v>
      </c>
      <c r="Q267" s="19">
        <f t="shared" si="298"/>
        <v>0</v>
      </c>
      <c r="R267" s="19">
        <f t="shared" si="298"/>
        <v>0</v>
      </c>
      <c r="S267" s="19">
        <f t="shared" si="299"/>
        <v>0</v>
      </c>
      <c r="T267" s="19">
        <f t="shared" si="299"/>
        <v>0</v>
      </c>
    </row>
    <row r="268" spans="1:20" x14ac:dyDescent="0.3">
      <c r="A268" s="135" t="s">
        <v>23</v>
      </c>
      <c r="B268" s="135"/>
      <c r="C268" s="7">
        <f t="shared" ref="C268:F268" si="300">C269+C275</f>
        <v>7.5</v>
      </c>
      <c r="D268" s="7">
        <f t="shared" si="300"/>
        <v>7</v>
      </c>
      <c r="E268" s="7">
        <f t="shared" si="300"/>
        <v>5</v>
      </c>
      <c r="F268" s="7">
        <f t="shared" si="300"/>
        <v>4.5</v>
      </c>
      <c r="G268" s="19"/>
      <c r="H268" s="19">
        <f t="shared" si="296"/>
        <v>0</v>
      </c>
      <c r="I268" s="19"/>
      <c r="J268" s="20">
        <f t="shared" ref="J268:K268" si="301">J269+J275</f>
        <v>1999116</v>
      </c>
      <c r="K268" s="20">
        <f t="shared" si="301"/>
        <v>603733.03200000001</v>
      </c>
      <c r="L268" s="20">
        <f>L269+L275</f>
        <v>2602849.0320000001</v>
      </c>
      <c r="O268" s="19">
        <f t="shared" si="297"/>
        <v>31220382872734.273</v>
      </c>
      <c r="P268" s="19">
        <f t="shared" si="297"/>
        <v>0</v>
      </c>
      <c r="Q268" s="19">
        <f t="shared" si="298"/>
        <v>6.0066431850553528E+20</v>
      </c>
      <c r="R268" s="19">
        <f t="shared" si="298"/>
        <v>0</v>
      </c>
      <c r="S268" s="19">
        <f t="shared" si="299"/>
        <v>1.125178200103969E+35</v>
      </c>
      <c r="T268" s="19">
        <f t="shared" si="299"/>
        <v>0</v>
      </c>
    </row>
    <row r="269" spans="1:20" x14ac:dyDescent="0.3">
      <c r="A269" s="136" t="s">
        <v>24</v>
      </c>
      <c r="B269" s="136"/>
      <c r="C269" s="7">
        <f t="shared" ref="C269:F269" si="302">C270+C271+C272+C273+C274</f>
        <v>5.5</v>
      </c>
      <c r="D269" s="7">
        <f t="shared" si="302"/>
        <v>5</v>
      </c>
      <c r="E269" s="7">
        <f t="shared" si="302"/>
        <v>3.5</v>
      </c>
      <c r="F269" s="7">
        <f t="shared" si="302"/>
        <v>3</v>
      </c>
      <c r="G269" s="20"/>
      <c r="H269" s="20">
        <f>H270+H271+H272+H273+H274</f>
        <v>1392300</v>
      </c>
      <c r="I269" s="20">
        <f t="shared" ref="I269" si="303">I270+I271+I272+I273+I274</f>
        <v>0</v>
      </c>
      <c r="J269" s="20">
        <f>H269</f>
        <v>1392300</v>
      </c>
      <c r="K269" s="20">
        <f>J269*30.2%</f>
        <v>420474.6</v>
      </c>
      <c r="L269" s="20">
        <f>J269+K269</f>
        <v>1812774.6</v>
      </c>
      <c r="O269" s="20">
        <f t="shared" ref="O269:T269" si="304">O270+O271+O272+O273+O274</f>
        <v>0</v>
      </c>
      <c r="P269" s="20">
        <f t="shared" si="304"/>
        <v>0</v>
      </c>
      <c r="Q269" s="20">
        <f t="shared" si="304"/>
        <v>0</v>
      </c>
      <c r="R269" s="20">
        <f t="shared" si="304"/>
        <v>0</v>
      </c>
      <c r="S269" s="20">
        <f t="shared" si="304"/>
        <v>0</v>
      </c>
      <c r="T269" s="20">
        <f t="shared" si="304"/>
        <v>0</v>
      </c>
    </row>
    <row r="270" spans="1:20" x14ac:dyDescent="0.3">
      <c r="A270" s="4"/>
      <c r="B270" s="5" t="s">
        <v>25</v>
      </c>
      <c r="C270" s="33"/>
      <c r="D270" s="33"/>
      <c r="E270" s="33"/>
      <c r="F270" s="33"/>
      <c r="G270" s="19"/>
      <c r="H270" s="19">
        <f t="shared" ref="H270:H274" si="305">E270*G270*12+ ((D270-E270)*G270/2*12)</f>
        <v>0</v>
      </c>
      <c r="I270" s="19"/>
      <c r="J270" s="19"/>
      <c r="K270" s="19"/>
      <c r="L270" s="19"/>
      <c r="O270" s="19">
        <f t="shared" ref="O270:P274" si="306">J270*L270*12+ ((I270-J270)*L270/2*12)</f>
        <v>0</v>
      </c>
      <c r="P270" s="19">
        <f t="shared" si="306"/>
        <v>0</v>
      </c>
      <c r="Q270" s="19">
        <f t="shared" ref="Q270:R274" si="307">L270*O270*12+ ((K270-L270)*O270/2*12)</f>
        <v>0</v>
      </c>
      <c r="R270" s="19">
        <f t="shared" si="307"/>
        <v>0</v>
      </c>
      <c r="S270" s="19">
        <f t="shared" ref="S270:T274" si="308">O270*Q270*12+ ((M270-O270)*Q270/2*12)</f>
        <v>0</v>
      </c>
      <c r="T270" s="19">
        <f t="shared" si="308"/>
        <v>0</v>
      </c>
    </row>
    <row r="271" spans="1:20" x14ac:dyDescent="0.3">
      <c r="A271" s="4"/>
      <c r="B271" s="5" t="s">
        <v>26</v>
      </c>
      <c r="C271" s="33"/>
      <c r="D271" s="33"/>
      <c r="E271" s="33"/>
      <c r="F271" s="33"/>
      <c r="G271" s="19"/>
      <c r="H271" s="19">
        <f t="shared" si="305"/>
        <v>0</v>
      </c>
      <c r="I271" s="19"/>
      <c r="J271" s="19"/>
      <c r="K271" s="19"/>
      <c r="L271" s="19"/>
      <c r="O271" s="19">
        <f t="shared" si="306"/>
        <v>0</v>
      </c>
      <c r="P271" s="19">
        <f t="shared" si="306"/>
        <v>0</v>
      </c>
      <c r="Q271" s="19">
        <f t="shared" si="307"/>
        <v>0</v>
      </c>
      <c r="R271" s="19">
        <f t="shared" si="307"/>
        <v>0</v>
      </c>
      <c r="S271" s="19">
        <f t="shared" si="308"/>
        <v>0</v>
      </c>
      <c r="T271" s="19">
        <f t="shared" si="308"/>
        <v>0</v>
      </c>
    </row>
    <row r="272" spans="1:20" x14ac:dyDescent="0.3">
      <c r="A272" s="4"/>
      <c r="B272" s="5" t="s">
        <v>27</v>
      </c>
      <c r="C272" s="33"/>
      <c r="D272" s="33"/>
      <c r="E272" s="33"/>
      <c r="F272" s="33"/>
      <c r="G272" s="19"/>
      <c r="H272" s="19">
        <f t="shared" si="305"/>
        <v>0</v>
      </c>
      <c r="I272" s="19"/>
      <c r="J272" s="19"/>
      <c r="K272" s="19"/>
      <c r="L272" s="19"/>
      <c r="O272" s="19">
        <f t="shared" si="306"/>
        <v>0</v>
      </c>
      <c r="P272" s="19">
        <f t="shared" si="306"/>
        <v>0</v>
      </c>
      <c r="Q272" s="19">
        <f t="shared" si="307"/>
        <v>0</v>
      </c>
      <c r="R272" s="19">
        <f t="shared" si="307"/>
        <v>0</v>
      </c>
      <c r="S272" s="19">
        <f t="shared" si="308"/>
        <v>0</v>
      </c>
      <c r="T272" s="19">
        <f t="shared" si="308"/>
        <v>0</v>
      </c>
    </row>
    <row r="273" spans="1:20" ht="28.2" x14ac:dyDescent="0.3">
      <c r="A273" s="4"/>
      <c r="B273" s="5" t="s">
        <v>28</v>
      </c>
      <c r="C273" s="33">
        <v>2</v>
      </c>
      <c r="D273" s="33">
        <v>2</v>
      </c>
      <c r="E273" s="33">
        <v>1</v>
      </c>
      <c r="F273" s="33">
        <v>1</v>
      </c>
      <c r="G273" s="19">
        <f>'расчёт зарплаты'!K26</f>
        <v>27300</v>
      </c>
      <c r="H273" s="19">
        <f t="shared" si="305"/>
        <v>491400</v>
      </c>
      <c r="I273" s="19"/>
      <c r="J273" s="19"/>
      <c r="K273" s="19"/>
      <c r="L273" s="19"/>
      <c r="O273" s="19">
        <f t="shared" si="306"/>
        <v>0</v>
      </c>
      <c r="P273" s="19">
        <f t="shared" si="306"/>
        <v>0</v>
      </c>
      <c r="Q273" s="19">
        <f t="shared" si="307"/>
        <v>0</v>
      </c>
      <c r="R273" s="19">
        <f t="shared" si="307"/>
        <v>0</v>
      </c>
      <c r="S273" s="19">
        <f t="shared" si="308"/>
        <v>0</v>
      </c>
      <c r="T273" s="19">
        <f t="shared" si="308"/>
        <v>0</v>
      </c>
    </row>
    <row r="274" spans="1:20" x14ac:dyDescent="0.3">
      <c r="A274" s="4"/>
      <c r="B274" s="5" t="s">
        <v>29</v>
      </c>
      <c r="C274" s="33">
        <v>3.5</v>
      </c>
      <c r="D274" s="33">
        <v>3</v>
      </c>
      <c r="E274" s="33">
        <v>2.5</v>
      </c>
      <c r="F274" s="10">
        <v>2</v>
      </c>
      <c r="G274" s="19">
        <f>'расчёт зарплаты'!K26</f>
        <v>27300</v>
      </c>
      <c r="H274" s="19">
        <f t="shared" si="305"/>
        <v>900900</v>
      </c>
      <c r="I274" s="19"/>
      <c r="J274" s="19"/>
      <c r="K274" s="19"/>
      <c r="L274" s="19"/>
      <c r="O274" s="19">
        <f t="shared" si="306"/>
        <v>0</v>
      </c>
      <c r="P274" s="19">
        <f t="shared" si="306"/>
        <v>0</v>
      </c>
      <c r="Q274" s="19">
        <f t="shared" si="307"/>
        <v>0</v>
      </c>
      <c r="R274" s="19">
        <f t="shared" si="307"/>
        <v>0</v>
      </c>
      <c r="S274" s="19">
        <f t="shared" si="308"/>
        <v>0</v>
      </c>
      <c r="T274" s="19">
        <f t="shared" si="308"/>
        <v>0</v>
      </c>
    </row>
    <row r="275" spans="1:20" x14ac:dyDescent="0.3">
      <c r="A275" s="136" t="s">
        <v>30</v>
      </c>
      <c r="B275" s="136"/>
      <c r="C275" s="7">
        <f t="shared" ref="C275:F275" si="309">C276+C277+C278</f>
        <v>2</v>
      </c>
      <c r="D275" s="7">
        <f t="shared" si="309"/>
        <v>2</v>
      </c>
      <c r="E275" s="7">
        <f t="shared" si="309"/>
        <v>1.5</v>
      </c>
      <c r="F275" s="7">
        <f t="shared" si="309"/>
        <v>1.5</v>
      </c>
      <c r="G275" s="20"/>
      <c r="H275" s="20">
        <f>H276+H277+H278</f>
        <v>606816</v>
      </c>
      <c r="I275" s="20">
        <f t="shared" ref="I275" si="310">I276+I277+I278</f>
        <v>0</v>
      </c>
      <c r="J275" s="20">
        <f>H275</f>
        <v>606816</v>
      </c>
      <c r="K275" s="20">
        <f>J275*30.2%</f>
        <v>183258.432</v>
      </c>
      <c r="L275" s="20">
        <f>J275+K275</f>
        <v>790074.43200000003</v>
      </c>
      <c r="O275" s="20">
        <f t="shared" ref="O275:T275" si="311">O276+O277+O278</f>
        <v>0</v>
      </c>
      <c r="P275" s="20">
        <f t="shared" si="311"/>
        <v>0</v>
      </c>
      <c r="Q275" s="20">
        <f t="shared" si="311"/>
        <v>0</v>
      </c>
      <c r="R275" s="20">
        <f t="shared" si="311"/>
        <v>0</v>
      </c>
      <c r="S275" s="20">
        <f t="shared" si="311"/>
        <v>0</v>
      </c>
      <c r="T275" s="20">
        <f t="shared" si="311"/>
        <v>0</v>
      </c>
    </row>
    <row r="276" spans="1:20" x14ac:dyDescent="0.3">
      <c r="A276" s="4"/>
      <c r="B276" s="5" t="s">
        <v>31</v>
      </c>
      <c r="C276" s="33">
        <v>0</v>
      </c>
      <c r="D276" s="33">
        <v>0</v>
      </c>
      <c r="E276" s="33">
        <v>0</v>
      </c>
      <c r="F276" s="33">
        <v>0</v>
      </c>
      <c r="G276" s="19">
        <f>'расчёт зарплаты'!K34</f>
        <v>30976</v>
      </c>
      <c r="H276" s="19">
        <f t="shared" ref="H276:H278" si="312">E276*G276*12+ ((D276-E276)*G276/2*12)</f>
        <v>0</v>
      </c>
      <c r="I276" s="19"/>
      <c r="J276" s="19"/>
      <c r="K276" s="19"/>
      <c r="L276" s="19"/>
      <c r="O276" s="19">
        <f t="shared" ref="O276:P278" si="313">J276*L276*12+ ((I276-J276)*L276/2*12)</f>
        <v>0</v>
      </c>
      <c r="P276" s="19">
        <f t="shared" si="313"/>
        <v>0</v>
      </c>
      <c r="Q276" s="19">
        <f t="shared" ref="Q276:R278" si="314">L276*O276*12+ ((K276-L276)*O276/2*12)</f>
        <v>0</v>
      </c>
      <c r="R276" s="19">
        <f t="shared" si="314"/>
        <v>0</v>
      </c>
      <c r="S276" s="19">
        <f t="shared" ref="S276:T278" si="315">O276*Q276*12+ ((M276-O276)*Q276/2*12)</f>
        <v>0</v>
      </c>
      <c r="T276" s="19">
        <f t="shared" si="315"/>
        <v>0</v>
      </c>
    </row>
    <row r="277" spans="1:20" x14ac:dyDescent="0.3">
      <c r="A277" s="4"/>
      <c r="B277" s="5" t="s">
        <v>32</v>
      </c>
      <c r="C277" s="33"/>
      <c r="D277" s="33"/>
      <c r="E277" s="33"/>
      <c r="F277" s="33"/>
      <c r="G277" s="19"/>
      <c r="H277" s="19">
        <f t="shared" si="312"/>
        <v>0</v>
      </c>
      <c r="I277" s="19"/>
      <c r="J277" s="19"/>
      <c r="K277" s="19"/>
      <c r="L277" s="19"/>
      <c r="O277" s="19">
        <f t="shared" si="313"/>
        <v>0</v>
      </c>
      <c r="P277" s="19">
        <f t="shared" si="313"/>
        <v>0</v>
      </c>
      <c r="Q277" s="19">
        <f t="shared" si="314"/>
        <v>0</v>
      </c>
      <c r="R277" s="19">
        <f t="shared" si="314"/>
        <v>0</v>
      </c>
      <c r="S277" s="19">
        <f t="shared" si="315"/>
        <v>0</v>
      </c>
      <c r="T277" s="19">
        <f t="shared" si="315"/>
        <v>0</v>
      </c>
    </row>
    <row r="278" spans="1:20" x14ac:dyDescent="0.3">
      <c r="A278" s="4"/>
      <c r="B278" s="5" t="s">
        <v>33</v>
      </c>
      <c r="C278" s="33">
        <v>2</v>
      </c>
      <c r="D278" s="33">
        <v>2</v>
      </c>
      <c r="E278" s="33">
        <v>1.5</v>
      </c>
      <c r="F278" s="33">
        <v>1.5</v>
      </c>
      <c r="G278" s="19">
        <f>'расчёт зарплаты'!K38</f>
        <v>28896</v>
      </c>
      <c r="H278" s="19">
        <f t="shared" si="312"/>
        <v>606816</v>
      </c>
      <c r="I278" s="19"/>
      <c r="J278" s="19"/>
      <c r="K278" s="19"/>
      <c r="L278" s="19"/>
      <c r="O278" s="19">
        <f t="shared" si="313"/>
        <v>0</v>
      </c>
      <c r="P278" s="19">
        <f t="shared" si="313"/>
        <v>0</v>
      </c>
      <c r="Q278" s="19">
        <f t="shared" si="314"/>
        <v>0</v>
      </c>
      <c r="R278" s="19">
        <f t="shared" si="314"/>
        <v>0</v>
      </c>
      <c r="S278" s="19">
        <f t="shared" si="315"/>
        <v>0</v>
      </c>
      <c r="T278" s="19">
        <f t="shared" si="315"/>
        <v>0</v>
      </c>
    </row>
    <row r="279" spans="1:20" x14ac:dyDescent="0.3">
      <c r="A279" s="141" t="s">
        <v>68</v>
      </c>
      <c r="B279" s="141"/>
      <c r="C279" s="141"/>
      <c r="D279" s="141"/>
      <c r="E279" s="141"/>
      <c r="F279" s="141"/>
      <c r="G279" s="141"/>
      <c r="H279" s="141"/>
      <c r="I279" s="141"/>
      <c r="J279" s="141"/>
      <c r="K279" s="141"/>
      <c r="L279" s="141"/>
    </row>
    <row r="280" spans="1:20" ht="14.4" customHeight="1" x14ac:dyDescent="0.3">
      <c r="A280" s="133" t="s">
        <v>7</v>
      </c>
      <c r="B280" s="134"/>
      <c r="C280" s="8">
        <f>C281+C298+C294</f>
        <v>83</v>
      </c>
      <c r="D280" s="8">
        <f>D281+D298+D294</f>
        <v>76</v>
      </c>
      <c r="E280" s="8">
        <f>E281+E298+E294</f>
        <v>71.5</v>
      </c>
      <c r="F280" s="8">
        <f>F281+F298+F294</f>
        <v>75</v>
      </c>
      <c r="G280" s="19"/>
      <c r="H280" s="19"/>
      <c r="I280" s="19"/>
      <c r="J280" s="19"/>
      <c r="K280" s="19"/>
      <c r="L280" s="19"/>
      <c r="O280" s="19"/>
      <c r="P280" s="19"/>
      <c r="Q280" s="19"/>
      <c r="R280" s="19"/>
      <c r="S280" s="19"/>
      <c r="T280" s="19"/>
    </row>
    <row r="281" spans="1:20" ht="14.4" customHeight="1" x14ac:dyDescent="0.3">
      <c r="A281" s="133" t="s">
        <v>89</v>
      </c>
      <c r="B281" s="134"/>
      <c r="C281" s="40">
        <f t="shared" ref="C281:G281" si="316">SUM(C282:C293)</f>
        <v>78</v>
      </c>
      <c r="D281" s="40">
        <f t="shared" si="316"/>
        <v>71</v>
      </c>
      <c r="E281" s="40">
        <f t="shared" si="316"/>
        <v>66.5</v>
      </c>
      <c r="F281" s="40">
        <f t="shared" si="316"/>
        <v>70</v>
      </c>
      <c r="G281" s="40">
        <f t="shared" si="316"/>
        <v>284200</v>
      </c>
      <c r="H281" s="40">
        <f>SUM(H282:H293)</f>
        <v>24213312</v>
      </c>
      <c r="I281" s="20"/>
      <c r="J281" s="20">
        <f>H281-I281</f>
        <v>24213312</v>
      </c>
      <c r="K281" s="20">
        <f>J281*30.2%</f>
        <v>7312420.2239999995</v>
      </c>
      <c r="L281" s="20">
        <f>J281+K281</f>
        <v>31525732.223999999</v>
      </c>
      <c r="O281" s="40">
        <f t="shared" ref="O281:T281" si="317">SUM(O282:O293)</f>
        <v>0</v>
      </c>
      <c r="P281" s="40">
        <f t="shared" si="317"/>
        <v>0</v>
      </c>
      <c r="Q281" s="40">
        <f t="shared" si="317"/>
        <v>0</v>
      </c>
      <c r="R281" s="40">
        <f t="shared" si="317"/>
        <v>0</v>
      </c>
      <c r="S281" s="40">
        <f t="shared" si="317"/>
        <v>0</v>
      </c>
      <c r="T281" s="40">
        <f t="shared" si="317"/>
        <v>0</v>
      </c>
    </row>
    <row r="282" spans="1:20" x14ac:dyDescent="0.3">
      <c r="A282" s="4"/>
      <c r="B282" s="5" t="s">
        <v>9</v>
      </c>
      <c r="C282" s="33">
        <v>27.25</v>
      </c>
      <c r="D282" s="33">
        <v>23.75</v>
      </c>
      <c r="E282" s="33">
        <v>21.75</v>
      </c>
      <c r="F282" s="33">
        <v>22.75</v>
      </c>
      <c r="G282" s="19">
        <f>'расчёт зарплаты'!K10</f>
        <v>28208</v>
      </c>
      <c r="H282" s="19">
        <f>E282*G282*12+ ((D282-E282)*G282/2*12)</f>
        <v>7700784</v>
      </c>
      <c r="I282" s="19"/>
      <c r="J282" s="19"/>
      <c r="K282" s="19"/>
      <c r="L282" s="19">
        <f>G282*K282*12</f>
        <v>0</v>
      </c>
      <c r="O282" s="19">
        <f t="shared" ref="O282:O294" si="318">J282*L282*12+ ((I282-J282)*L282/2*12)</f>
        <v>0</v>
      </c>
      <c r="P282" s="19">
        <f t="shared" ref="P282:P294" si="319">K282*M282*12+ ((J282-K282)*M282/2*12)</f>
        <v>0</v>
      </c>
      <c r="Q282" s="19">
        <f t="shared" ref="Q282:Q294" si="320">L282*O282*12+ ((K282-L282)*O282/2*12)</f>
        <v>0</v>
      </c>
      <c r="R282" s="19">
        <f t="shared" ref="R282:R294" si="321">M282*P282*12+ ((L282-M282)*P282/2*12)</f>
        <v>0</v>
      </c>
      <c r="S282" s="19">
        <f t="shared" ref="S282:T294" si="322">O282*Q282*12+ ((M282-O282)*Q282/2*12)</f>
        <v>0</v>
      </c>
      <c r="T282" s="19">
        <f t="shared" si="322"/>
        <v>0</v>
      </c>
    </row>
    <row r="283" spans="1:20" ht="28.2" x14ac:dyDescent="0.3">
      <c r="A283" s="4"/>
      <c r="B283" s="5" t="s">
        <v>81</v>
      </c>
      <c r="C283" s="33">
        <v>5.25</v>
      </c>
      <c r="D283" s="33">
        <v>5.25</v>
      </c>
      <c r="E283" s="33">
        <v>5.25</v>
      </c>
      <c r="F283" s="33">
        <v>5.25</v>
      </c>
      <c r="G283" s="19">
        <f>'расчёт зарплаты'!K12</f>
        <v>30960</v>
      </c>
      <c r="H283" s="19">
        <f t="shared" ref="H283:H294" si="323">E283*G283*12+ ((D283-E283)*G283/2*12)</f>
        <v>1950480</v>
      </c>
      <c r="I283" s="19"/>
      <c r="J283" s="19"/>
      <c r="K283" s="19"/>
      <c r="L283" s="19"/>
      <c r="O283" s="19">
        <f t="shared" si="318"/>
        <v>0</v>
      </c>
      <c r="P283" s="19">
        <f t="shared" si="319"/>
        <v>0</v>
      </c>
      <c r="Q283" s="19">
        <f t="shared" si="320"/>
        <v>0</v>
      </c>
      <c r="R283" s="19">
        <f t="shared" si="321"/>
        <v>0</v>
      </c>
      <c r="S283" s="19">
        <f t="shared" si="322"/>
        <v>0</v>
      </c>
      <c r="T283" s="19">
        <f t="shared" si="322"/>
        <v>0</v>
      </c>
    </row>
    <row r="284" spans="1:20" x14ac:dyDescent="0.3">
      <c r="A284" s="4"/>
      <c r="B284" s="5" t="s">
        <v>10</v>
      </c>
      <c r="C284" s="33">
        <v>6.5</v>
      </c>
      <c r="D284" s="33">
        <v>6.5</v>
      </c>
      <c r="E284" s="33">
        <v>6</v>
      </c>
      <c r="F284" s="33">
        <v>6</v>
      </c>
      <c r="G284" s="19">
        <f>'расчёт зарплаты'!K20</f>
        <v>31648</v>
      </c>
      <c r="H284" s="19">
        <f t="shared" si="323"/>
        <v>2373600</v>
      </c>
      <c r="I284" s="19"/>
      <c r="J284" s="19"/>
      <c r="K284" s="19"/>
      <c r="L284" s="19"/>
      <c r="O284" s="19">
        <f t="shared" si="318"/>
        <v>0</v>
      </c>
      <c r="P284" s="19">
        <f t="shared" si="319"/>
        <v>0</v>
      </c>
      <c r="Q284" s="19">
        <f t="shared" si="320"/>
        <v>0</v>
      </c>
      <c r="R284" s="19">
        <f t="shared" si="321"/>
        <v>0</v>
      </c>
      <c r="S284" s="19">
        <f t="shared" si="322"/>
        <v>0</v>
      </c>
      <c r="T284" s="19">
        <f t="shared" si="322"/>
        <v>0</v>
      </c>
    </row>
    <row r="285" spans="1:20" x14ac:dyDescent="0.3">
      <c r="A285" s="4"/>
      <c r="B285" s="5" t="s">
        <v>13</v>
      </c>
      <c r="C285" s="33">
        <v>5.5</v>
      </c>
      <c r="D285" s="33">
        <v>5</v>
      </c>
      <c r="E285" s="33">
        <v>4</v>
      </c>
      <c r="F285" s="33">
        <v>5</v>
      </c>
      <c r="G285" s="19">
        <f>'расчёт зарплаты'!K38</f>
        <v>28896</v>
      </c>
      <c r="H285" s="19">
        <f t="shared" si="323"/>
        <v>1560384</v>
      </c>
      <c r="I285" s="19"/>
      <c r="J285" s="19"/>
      <c r="K285" s="19"/>
      <c r="L285" s="19"/>
      <c r="O285" s="19">
        <f t="shared" si="318"/>
        <v>0</v>
      </c>
      <c r="P285" s="19">
        <f t="shared" si="319"/>
        <v>0</v>
      </c>
      <c r="Q285" s="19">
        <f t="shared" si="320"/>
        <v>0</v>
      </c>
      <c r="R285" s="19">
        <f t="shared" si="321"/>
        <v>0</v>
      </c>
      <c r="S285" s="19">
        <f t="shared" si="322"/>
        <v>0</v>
      </c>
      <c r="T285" s="19">
        <f t="shared" si="322"/>
        <v>0</v>
      </c>
    </row>
    <row r="286" spans="1:20" ht="28.2" x14ac:dyDescent="0.3">
      <c r="A286" s="4"/>
      <c r="B286" s="5" t="s">
        <v>14</v>
      </c>
      <c r="C286" s="33"/>
      <c r="D286" s="33"/>
      <c r="E286" s="33"/>
      <c r="F286" s="33"/>
      <c r="G286" s="19"/>
      <c r="H286" s="19">
        <f t="shared" si="323"/>
        <v>0</v>
      </c>
      <c r="I286" s="19"/>
      <c r="J286" s="19"/>
      <c r="K286" s="19"/>
      <c r="L286" s="19"/>
      <c r="O286" s="19">
        <f t="shared" si="318"/>
        <v>0</v>
      </c>
      <c r="P286" s="19">
        <f t="shared" si="319"/>
        <v>0</v>
      </c>
      <c r="Q286" s="19">
        <f t="shared" si="320"/>
        <v>0</v>
      </c>
      <c r="R286" s="19">
        <f t="shared" si="321"/>
        <v>0</v>
      </c>
      <c r="S286" s="19">
        <f t="shared" si="322"/>
        <v>0</v>
      </c>
      <c r="T286" s="19">
        <f t="shared" si="322"/>
        <v>0</v>
      </c>
    </row>
    <row r="287" spans="1:20" x14ac:dyDescent="0.3">
      <c r="A287" s="4"/>
      <c r="B287" s="5" t="s">
        <v>15</v>
      </c>
      <c r="C287" s="33">
        <v>9</v>
      </c>
      <c r="D287" s="33">
        <v>9</v>
      </c>
      <c r="E287" s="33">
        <v>8.5</v>
      </c>
      <c r="F287" s="33">
        <v>9</v>
      </c>
      <c r="G287" s="19">
        <f>'расчёт зарплаты'!K34</f>
        <v>30976</v>
      </c>
      <c r="H287" s="19">
        <f t="shared" si="323"/>
        <v>3252480</v>
      </c>
      <c r="I287" s="19"/>
      <c r="J287" s="19"/>
      <c r="K287" s="19"/>
      <c r="L287" s="19"/>
      <c r="O287" s="19">
        <f t="shared" si="318"/>
        <v>0</v>
      </c>
      <c r="P287" s="19">
        <f t="shared" si="319"/>
        <v>0</v>
      </c>
      <c r="Q287" s="19">
        <f t="shared" si="320"/>
        <v>0</v>
      </c>
      <c r="R287" s="19">
        <f t="shared" si="321"/>
        <v>0</v>
      </c>
      <c r="S287" s="19">
        <f t="shared" si="322"/>
        <v>0</v>
      </c>
      <c r="T287" s="19">
        <f t="shared" si="322"/>
        <v>0</v>
      </c>
    </row>
    <row r="288" spans="1:20" x14ac:dyDescent="0.3">
      <c r="A288" s="4"/>
      <c r="B288" s="5" t="s">
        <v>16</v>
      </c>
      <c r="C288" s="33">
        <v>12</v>
      </c>
      <c r="D288" s="33">
        <v>11</v>
      </c>
      <c r="E288" s="33">
        <v>11</v>
      </c>
      <c r="F288" s="33">
        <v>11</v>
      </c>
      <c r="G288" s="19">
        <f>'расчёт зарплаты'!K8</f>
        <v>28600</v>
      </c>
      <c r="H288" s="19">
        <f t="shared" si="323"/>
        <v>3775200</v>
      </c>
      <c r="I288" s="19"/>
      <c r="J288" s="19"/>
      <c r="K288" s="19"/>
      <c r="L288" s="19"/>
      <c r="O288" s="19">
        <f t="shared" si="318"/>
        <v>0</v>
      </c>
      <c r="P288" s="19">
        <f t="shared" si="319"/>
        <v>0</v>
      </c>
      <c r="Q288" s="19">
        <f t="shared" si="320"/>
        <v>0</v>
      </c>
      <c r="R288" s="19">
        <f t="shared" si="321"/>
        <v>0</v>
      </c>
      <c r="S288" s="19">
        <f t="shared" si="322"/>
        <v>0</v>
      </c>
      <c r="T288" s="19">
        <f t="shared" si="322"/>
        <v>0</v>
      </c>
    </row>
    <row r="289" spans="1:20" ht="42" x14ac:dyDescent="0.3">
      <c r="A289" s="4"/>
      <c r="B289" s="5" t="s">
        <v>17</v>
      </c>
      <c r="C289" s="33">
        <v>4</v>
      </c>
      <c r="D289" s="33">
        <v>4</v>
      </c>
      <c r="E289" s="33">
        <v>4</v>
      </c>
      <c r="F289" s="33">
        <v>4</v>
      </c>
      <c r="G289" s="19">
        <f>'расчёт зарплаты'!K10</f>
        <v>28208</v>
      </c>
      <c r="H289" s="19">
        <f t="shared" si="323"/>
        <v>1353984</v>
      </c>
      <c r="I289" s="19"/>
      <c r="J289" s="19"/>
      <c r="K289" s="19"/>
      <c r="L289" s="19"/>
      <c r="O289" s="19">
        <f t="shared" si="318"/>
        <v>0</v>
      </c>
      <c r="P289" s="19">
        <f t="shared" si="319"/>
        <v>0</v>
      </c>
      <c r="Q289" s="19">
        <f t="shared" si="320"/>
        <v>0</v>
      </c>
      <c r="R289" s="19">
        <f t="shared" si="321"/>
        <v>0</v>
      </c>
      <c r="S289" s="19">
        <f t="shared" si="322"/>
        <v>0</v>
      </c>
      <c r="T289" s="19">
        <f t="shared" si="322"/>
        <v>0</v>
      </c>
    </row>
    <row r="290" spans="1:20" ht="28.2" x14ac:dyDescent="0.3">
      <c r="A290" s="4"/>
      <c r="B290" s="5" t="s">
        <v>18</v>
      </c>
      <c r="C290" s="33">
        <v>2</v>
      </c>
      <c r="D290" s="33">
        <v>2</v>
      </c>
      <c r="E290" s="33">
        <v>2</v>
      </c>
      <c r="F290" s="33">
        <v>2</v>
      </c>
      <c r="G290" s="19">
        <f>'расчёт зарплаты'!K20</f>
        <v>31648</v>
      </c>
      <c r="H290" s="19">
        <f t="shared" si="323"/>
        <v>759552</v>
      </c>
      <c r="I290" s="19"/>
      <c r="J290" s="19"/>
      <c r="K290" s="19"/>
      <c r="L290" s="19"/>
      <c r="O290" s="19">
        <f t="shared" si="318"/>
        <v>0</v>
      </c>
      <c r="P290" s="19">
        <f t="shared" si="319"/>
        <v>0</v>
      </c>
      <c r="Q290" s="19">
        <f t="shared" si="320"/>
        <v>0</v>
      </c>
      <c r="R290" s="19">
        <f t="shared" si="321"/>
        <v>0</v>
      </c>
      <c r="S290" s="19">
        <f t="shared" si="322"/>
        <v>0</v>
      </c>
      <c r="T290" s="19">
        <f t="shared" si="322"/>
        <v>0</v>
      </c>
    </row>
    <row r="291" spans="1:20" ht="42" x14ac:dyDescent="0.3">
      <c r="A291" s="4"/>
      <c r="B291" s="5" t="s">
        <v>91</v>
      </c>
      <c r="C291" s="33">
        <v>3</v>
      </c>
      <c r="D291" s="33">
        <v>1</v>
      </c>
      <c r="E291" s="33">
        <v>1</v>
      </c>
      <c r="F291" s="33">
        <v>1</v>
      </c>
      <c r="G291" s="19"/>
      <c r="H291" s="19">
        <f t="shared" si="323"/>
        <v>0</v>
      </c>
      <c r="I291" s="19"/>
      <c r="J291" s="19"/>
      <c r="K291" s="19"/>
      <c r="L291" s="19"/>
      <c r="O291" s="19">
        <f t="shared" si="318"/>
        <v>0</v>
      </c>
      <c r="P291" s="19">
        <f t="shared" si="319"/>
        <v>0</v>
      </c>
      <c r="Q291" s="19">
        <f t="shared" si="320"/>
        <v>0</v>
      </c>
      <c r="R291" s="19">
        <f t="shared" si="321"/>
        <v>0</v>
      </c>
      <c r="S291" s="19">
        <f t="shared" si="322"/>
        <v>0</v>
      </c>
      <c r="T291" s="19">
        <f t="shared" si="322"/>
        <v>0</v>
      </c>
    </row>
    <row r="292" spans="1:20" x14ac:dyDescent="0.3">
      <c r="A292" s="4"/>
      <c r="B292" s="5" t="s">
        <v>20</v>
      </c>
      <c r="C292" s="33">
        <v>0.5</v>
      </c>
      <c r="D292" s="33">
        <v>0.5</v>
      </c>
      <c r="E292" s="33">
        <v>0.5</v>
      </c>
      <c r="F292" s="33">
        <v>1</v>
      </c>
      <c r="G292" s="19"/>
      <c r="H292" s="19">
        <f t="shared" si="323"/>
        <v>0</v>
      </c>
      <c r="I292" s="19"/>
      <c r="J292" s="19"/>
      <c r="K292" s="19"/>
      <c r="L292" s="19"/>
      <c r="O292" s="19">
        <f t="shared" si="318"/>
        <v>0</v>
      </c>
      <c r="P292" s="19">
        <f t="shared" si="319"/>
        <v>0</v>
      </c>
      <c r="Q292" s="19">
        <f t="shared" si="320"/>
        <v>0</v>
      </c>
      <c r="R292" s="19">
        <f t="shared" si="321"/>
        <v>0</v>
      </c>
      <c r="S292" s="19">
        <f t="shared" si="322"/>
        <v>0</v>
      </c>
      <c r="T292" s="19">
        <f t="shared" si="322"/>
        <v>0</v>
      </c>
    </row>
    <row r="293" spans="1:20" ht="39.6" x14ac:dyDescent="0.3">
      <c r="A293" s="4"/>
      <c r="B293" s="6" t="s">
        <v>21</v>
      </c>
      <c r="C293" s="33">
        <v>3</v>
      </c>
      <c r="D293" s="33">
        <v>3</v>
      </c>
      <c r="E293" s="33">
        <v>2.5</v>
      </c>
      <c r="F293" s="33">
        <v>3</v>
      </c>
      <c r="G293" s="19">
        <f>'расчёт зарплаты'!K44</f>
        <v>45056</v>
      </c>
      <c r="H293" s="19">
        <f t="shared" si="323"/>
        <v>1486848</v>
      </c>
      <c r="I293" s="19"/>
      <c r="J293" s="19"/>
      <c r="K293" s="19"/>
      <c r="L293" s="19"/>
      <c r="O293" s="19">
        <f t="shared" si="318"/>
        <v>0</v>
      </c>
      <c r="P293" s="19">
        <f t="shared" si="319"/>
        <v>0</v>
      </c>
      <c r="Q293" s="19">
        <f t="shared" si="320"/>
        <v>0</v>
      </c>
      <c r="R293" s="19">
        <f t="shared" si="321"/>
        <v>0</v>
      </c>
      <c r="S293" s="19">
        <f t="shared" si="322"/>
        <v>0</v>
      </c>
      <c r="T293" s="19">
        <f t="shared" si="322"/>
        <v>0</v>
      </c>
    </row>
    <row r="294" spans="1:20" x14ac:dyDescent="0.3">
      <c r="A294" s="4"/>
      <c r="B294" s="5" t="s">
        <v>22</v>
      </c>
      <c r="C294" s="33"/>
      <c r="D294" s="33"/>
      <c r="E294" s="33"/>
      <c r="F294" s="33"/>
      <c r="G294" s="19"/>
      <c r="H294" s="19">
        <f t="shared" si="323"/>
        <v>0</v>
      </c>
      <c r="I294" s="19"/>
      <c r="J294" s="19"/>
      <c r="K294" s="19"/>
      <c r="L294" s="19"/>
      <c r="O294" s="19">
        <f t="shared" si="318"/>
        <v>0</v>
      </c>
      <c r="P294" s="19">
        <f t="shared" si="319"/>
        <v>0</v>
      </c>
      <c r="Q294" s="19">
        <f t="shared" si="320"/>
        <v>0</v>
      </c>
      <c r="R294" s="19">
        <f t="shared" si="321"/>
        <v>0</v>
      </c>
      <c r="S294" s="19">
        <f t="shared" si="322"/>
        <v>0</v>
      </c>
      <c r="T294" s="19">
        <f t="shared" si="322"/>
        <v>0</v>
      </c>
    </row>
    <row r="295" spans="1:20" x14ac:dyDescent="0.3">
      <c r="A295" s="38" t="s">
        <v>57</v>
      </c>
      <c r="B295" s="39"/>
      <c r="C295" s="41">
        <f>C296+C297+C298</f>
        <v>12</v>
      </c>
      <c r="D295" s="41">
        <f t="shared" ref="D295:F295" si="324">D296+D297+D298</f>
        <v>11</v>
      </c>
      <c r="E295" s="41">
        <f t="shared" si="324"/>
        <v>11</v>
      </c>
      <c r="F295" s="41">
        <f t="shared" si="324"/>
        <v>11</v>
      </c>
      <c r="G295" s="41"/>
      <c r="H295" s="41">
        <f t="shared" ref="H295:L295" si="325">H296+H297+H298</f>
        <v>3659040</v>
      </c>
      <c r="I295" s="42">
        <f t="shared" si="325"/>
        <v>0</v>
      </c>
      <c r="J295" s="42">
        <f t="shared" si="325"/>
        <v>0</v>
      </c>
      <c r="K295" s="42">
        <f t="shared" si="325"/>
        <v>0</v>
      </c>
      <c r="L295" s="42">
        <f t="shared" si="325"/>
        <v>0</v>
      </c>
      <c r="O295" s="41">
        <f t="shared" ref="O295:P295" si="326">O296+O297+O298</f>
        <v>0</v>
      </c>
      <c r="P295" s="41">
        <f t="shared" si="326"/>
        <v>0</v>
      </c>
      <c r="Q295" s="41">
        <f t="shared" ref="Q295" si="327">Q296+Q297+Q298</f>
        <v>0</v>
      </c>
      <c r="R295" s="41">
        <f t="shared" ref="R295:S295" si="328">R296+R297+R298</f>
        <v>0</v>
      </c>
      <c r="S295" s="41">
        <f t="shared" si="328"/>
        <v>0</v>
      </c>
      <c r="T295" s="41">
        <f t="shared" ref="T295" si="329">T296+T297+T298</f>
        <v>0</v>
      </c>
    </row>
    <row r="296" spans="1:20" x14ac:dyDescent="0.3">
      <c r="A296" s="4"/>
      <c r="B296" s="5" t="s">
        <v>11</v>
      </c>
      <c r="C296" s="9">
        <v>3</v>
      </c>
      <c r="D296" s="9">
        <v>2</v>
      </c>
      <c r="E296" s="9">
        <v>2</v>
      </c>
      <c r="F296" s="9">
        <v>2</v>
      </c>
      <c r="G296" s="19">
        <f>'расчёт зарплаты'!K26</f>
        <v>27300</v>
      </c>
      <c r="H296" s="19">
        <f t="shared" ref="H296:H299" si="330">E296*G296*12+ ((D296-E296)*G296/2*12)</f>
        <v>655200</v>
      </c>
      <c r="I296" s="19"/>
      <c r="J296" s="19"/>
      <c r="K296" s="19"/>
      <c r="L296" s="19"/>
      <c r="O296" s="19">
        <f t="shared" ref="O296:P299" si="331">J296*L296*12+ ((I296-J296)*L296/2*12)</f>
        <v>0</v>
      </c>
      <c r="P296" s="19">
        <f t="shared" si="331"/>
        <v>0</v>
      </c>
      <c r="Q296" s="19">
        <f t="shared" ref="Q296:R299" si="332">L296*O296*12+ ((K296-L296)*O296/2*12)</f>
        <v>0</v>
      </c>
      <c r="R296" s="19">
        <f t="shared" si="332"/>
        <v>0</v>
      </c>
      <c r="S296" s="19">
        <f t="shared" ref="S296:T299" si="333">O296*Q296*12+ ((M296-O296)*Q296/2*12)</f>
        <v>0</v>
      </c>
      <c r="T296" s="19">
        <f t="shared" si="333"/>
        <v>0</v>
      </c>
    </row>
    <row r="297" spans="1:20" x14ac:dyDescent="0.3">
      <c r="A297" s="4"/>
      <c r="B297" s="5" t="s">
        <v>12</v>
      </c>
      <c r="C297" s="9">
        <v>4</v>
      </c>
      <c r="D297" s="9">
        <v>4</v>
      </c>
      <c r="E297" s="9">
        <v>4</v>
      </c>
      <c r="F297" s="9">
        <v>4</v>
      </c>
      <c r="G297" s="19">
        <f>'расчёт зарплаты'!K26</f>
        <v>27300</v>
      </c>
      <c r="H297" s="19">
        <f t="shared" si="330"/>
        <v>1310400</v>
      </c>
      <c r="I297" s="19"/>
      <c r="J297" s="19"/>
      <c r="K297" s="19"/>
      <c r="L297" s="19"/>
      <c r="O297" s="19">
        <f t="shared" si="331"/>
        <v>0</v>
      </c>
      <c r="P297" s="19">
        <f t="shared" si="331"/>
        <v>0</v>
      </c>
      <c r="Q297" s="19">
        <f t="shared" si="332"/>
        <v>0</v>
      </c>
      <c r="R297" s="19">
        <f t="shared" si="332"/>
        <v>0</v>
      </c>
      <c r="S297" s="19">
        <f t="shared" si="333"/>
        <v>0</v>
      </c>
      <c r="T297" s="19">
        <f t="shared" si="333"/>
        <v>0</v>
      </c>
    </row>
    <row r="298" spans="1:20" ht="28.2" x14ac:dyDescent="0.3">
      <c r="A298" s="4"/>
      <c r="B298" s="5" t="s">
        <v>19</v>
      </c>
      <c r="C298" s="9">
        <v>5</v>
      </c>
      <c r="D298" s="9">
        <v>5</v>
      </c>
      <c r="E298" s="9">
        <v>5</v>
      </c>
      <c r="F298" s="9">
        <v>5</v>
      </c>
      <c r="G298" s="19">
        <f>'расчёт зарплаты'!K40</f>
        <v>28224</v>
      </c>
      <c r="H298" s="19">
        <f t="shared" si="330"/>
        <v>1693440</v>
      </c>
      <c r="I298" s="19"/>
      <c r="J298" s="19"/>
      <c r="K298" s="19"/>
      <c r="L298" s="19"/>
      <c r="O298" s="19">
        <f t="shared" si="331"/>
        <v>0</v>
      </c>
      <c r="P298" s="19">
        <f t="shared" si="331"/>
        <v>0</v>
      </c>
      <c r="Q298" s="19">
        <f t="shared" si="332"/>
        <v>0</v>
      </c>
      <c r="R298" s="19">
        <f t="shared" si="332"/>
        <v>0</v>
      </c>
      <c r="S298" s="19">
        <f t="shared" si="333"/>
        <v>0</v>
      </c>
      <c r="T298" s="19">
        <f t="shared" si="333"/>
        <v>0</v>
      </c>
    </row>
    <row r="299" spans="1:20" x14ac:dyDescent="0.3">
      <c r="A299" s="135" t="s">
        <v>23</v>
      </c>
      <c r="B299" s="135"/>
      <c r="C299" s="7">
        <f t="shared" ref="C299:F299" si="334">C300+C306</f>
        <v>24.5</v>
      </c>
      <c r="D299" s="7">
        <f t="shared" si="334"/>
        <v>23</v>
      </c>
      <c r="E299" s="7">
        <f t="shared" si="334"/>
        <v>20.8</v>
      </c>
      <c r="F299" s="7">
        <f t="shared" si="334"/>
        <v>22</v>
      </c>
      <c r="G299" s="19"/>
      <c r="H299" s="19">
        <f t="shared" si="330"/>
        <v>0</v>
      </c>
      <c r="I299" s="19"/>
      <c r="J299" s="20">
        <f t="shared" ref="J299:K299" si="335">J300+J306</f>
        <v>7392960</v>
      </c>
      <c r="K299" s="20">
        <f t="shared" si="335"/>
        <v>2232673.92</v>
      </c>
      <c r="L299" s="20">
        <f>L300+L306</f>
        <v>9625633.9199999999</v>
      </c>
      <c r="O299" s="19">
        <f t="shared" si="331"/>
        <v>426971559271219.25</v>
      </c>
      <c r="P299" s="19">
        <f t="shared" si="331"/>
        <v>0</v>
      </c>
      <c r="Q299" s="19">
        <f t="shared" si="332"/>
        <v>3.0378961132577544E+22</v>
      </c>
      <c r="R299" s="19">
        <f t="shared" si="332"/>
        <v>0</v>
      </c>
      <c r="S299" s="19">
        <f t="shared" si="333"/>
        <v>7.7825714422898393E+37</v>
      </c>
      <c r="T299" s="19">
        <f t="shared" si="333"/>
        <v>0</v>
      </c>
    </row>
    <row r="300" spans="1:20" x14ac:dyDescent="0.3">
      <c r="A300" s="136" t="s">
        <v>24</v>
      </c>
      <c r="B300" s="136"/>
      <c r="C300" s="7">
        <f t="shared" ref="C300:F300" si="336">C301+C302+C303+C304+C305</f>
        <v>16.5</v>
      </c>
      <c r="D300" s="7">
        <f t="shared" si="336"/>
        <v>15</v>
      </c>
      <c r="E300" s="7">
        <f t="shared" si="336"/>
        <v>13.8</v>
      </c>
      <c r="F300" s="7">
        <f t="shared" si="336"/>
        <v>14</v>
      </c>
      <c r="G300" s="20"/>
      <c r="H300" s="20">
        <f>H301+H302+H303+H304+H305</f>
        <v>4717440</v>
      </c>
      <c r="I300" s="20">
        <f t="shared" ref="I300" si="337">I301+I302+I303+I304+I305</f>
        <v>0</v>
      </c>
      <c r="J300" s="20">
        <f>H300</f>
        <v>4717440</v>
      </c>
      <c r="K300" s="20">
        <f>J300*30.2%</f>
        <v>1424666.88</v>
      </c>
      <c r="L300" s="20">
        <f>J300+K300</f>
        <v>6142106.8799999999</v>
      </c>
      <c r="O300" s="20">
        <f t="shared" ref="O300:T300" si="338">O301+O302+O303+O304+O305</f>
        <v>0</v>
      </c>
      <c r="P300" s="20">
        <f t="shared" si="338"/>
        <v>0</v>
      </c>
      <c r="Q300" s="20">
        <f t="shared" si="338"/>
        <v>0</v>
      </c>
      <c r="R300" s="20">
        <f t="shared" si="338"/>
        <v>0</v>
      </c>
      <c r="S300" s="20">
        <f t="shared" si="338"/>
        <v>0</v>
      </c>
      <c r="T300" s="20">
        <f t="shared" si="338"/>
        <v>0</v>
      </c>
    </row>
    <row r="301" spans="1:20" x14ac:dyDescent="0.3">
      <c r="A301" s="4"/>
      <c r="B301" s="5" t="s">
        <v>25</v>
      </c>
      <c r="C301" s="33"/>
      <c r="D301" s="33"/>
      <c r="E301" s="33"/>
      <c r="F301" s="33"/>
      <c r="G301" s="19"/>
      <c r="H301" s="19">
        <f t="shared" ref="H301:H305" si="339">E301*G301*12+ ((D301-E301)*G301/2*12)</f>
        <v>0</v>
      </c>
      <c r="I301" s="19"/>
      <c r="J301" s="19"/>
      <c r="K301" s="19"/>
      <c r="L301" s="19"/>
      <c r="O301" s="19">
        <f t="shared" ref="O301:P305" si="340">J301*L301*12+ ((I301-J301)*L301/2*12)</f>
        <v>0</v>
      </c>
      <c r="P301" s="19">
        <f t="shared" si="340"/>
        <v>0</v>
      </c>
      <c r="Q301" s="19">
        <f t="shared" ref="Q301:R305" si="341">L301*O301*12+ ((K301-L301)*O301/2*12)</f>
        <v>0</v>
      </c>
      <c r="R301" s="19">
        <f t="shared" si="341"/>
        <v>0</v>
      </c>
      <c r="S301" s="19">
        <f t="shared" ref="S301:T305" si="342">O301*Q301*12+ ((M301-O301)*Q301/2*12)</f>
        <v>0</v>
      </c>
      <c r="T301" s="19">
        <f t="shared" si="342"/>
        <v>0</v>
      </c>
    </row>
    <row r="302" spans="1:20" x14ac:dyDescent="0.3">
      <c r="A302" s="4"/>
      <c r="B302" s="5" t="s">
        <v>26</v>
      </c>
      <c r="C302" s="33"/>
      <c r="D302" s="33"/>
      <c r="E302" s="33"/>
      <c r="F302" s="33"/>
      <c r="G302" s="19"/>
      <c r="H302" s="19">
        <f t="shared" si="339"/>
        <v>0</v>
      </c>
      <c r="I302" s="19"/>
      <c r="J302" s="19"/>
      <c r="K302" s="19"/>
      <c r="L302" s="19"/>
      <c r="O302" s="19">
        <f t="shared" si="340"/>
        <v>0</v>
      </c>
      <c r="P302" s="19">
        <f t="shared" si="340"/>
        <v>0</v>
      </c>
      <c r="Q302" s="19">
        <f t="shared" si="341"/>
        <v>0</v>
      </c>
      <c r="R302" s="19">
        <f t="shared" si="341"/>
        <v>0</v>
      </c>
      <c r="S302" s="19">
        <f t="shared" si="342"/>
        <v>0</v>
      </c>
      <c r="T302" s="19">
        <f t="shared" si="342"/>
        <v>0</v>
      </c>
    </row>
    <row r="303" spans="1:20" x14ac:dyDescent="0.3">
      <c r="A303" s="4"/>
      <c r="B303" s="5" t="s">
        <v>27</v>
      </c>
      <c r="C303" s="33"/>
      <c r="D303" s="33"/>
      <c r="E303" s="33"/>
      <c r="F303" s="33"/>
      <c r="G303" s="19"/>
      <c r="H303" s="19">
        <f t="shared" si="339"/>
        <v>0</v>
      </c>
      <c r="I303" s="19"/>
      <c r="J303" s="19"/>
      <c r="K303" s="19"/>
      <c r="L303" s="19"/>
      <c r="O303" s="19">
        <f t="shared" si="340"/>
        <v>0</v>
      </c>
      <c r="P303" s="19">
        <f t="shared" si="340"/>
        <v>0</v>
      </c>
      <c r="Q303" s="19">
        <f t="shared" si="341"/>
        <v>0</v>
      </c>
      <c r="R303" s="19">
        <f t="shared" si="341"/>
        <v>0</v>
      </c>
      <c r="S303" s="19">
        <f t="shared" si="342"/>
        <v>0</v>
      </c>
      <c r="T303" s="19">
        <f t="shared" si="342"/>
        <v>0</v>
      </c>
    </row>
    <row r="304" spans="1:20" ht="28.2" x14ac:dyDescent="0.3">
      <c r="A304" s="4"/>
      <c r="B304" s="5" t="s">
        <v>28</v>
      </c>
      <c r="C304" s="33">
        <v>7.25</v>
      </c>
      <c r="D304" s="33">
        <v>7</v>
      </c>
      <c r="E304" s="33">
        <v>6.6</v>
      </c>
      <c r="F304" s="33">
        <v>7</v>
      </c>
      <c r="G304" s="19">
        <f>'расчёт зарплаты'!K26</f>
        <v>27300</v>
      </c>
      <c r="H304" s="19">
        <f t="shared" si="339"/>
        <v>2227680</v>
      </c>
      <c r="I304" s="19"/>
      <c r="J304" s="19"/>
      <c r="K304" s="19"/>
      <c r="L304" s="19"/>
      <c r="O304" s="19">
        <f t="shared" si="340"/>
        <v>0</v>
      </c>
      <c r="P304" s="19">
        <f t="shared" si="340"/>
        <v>0</v>
      </c>
      <c r="Q304" s="19">
        <f t="shared" si="341"/>
        <v>0</v>
      </c>
      <c r="R304" s="19">
        <f t="shared" si="341"/>
        <v>0</v>
      </c>
      <c r="S304" s="19">
        <f t="shared" si="342"/>
        <v>0</v>
      </c>
      <c r="T304" s="19">
        <f t="shared" si="342"/>
        <v>0</v>
      </c>
    </row>
    <row r="305" spans="1:20" x14ac:dyDescent="0.3">
      <c r="A305" s="4"/>
      <c r="B305" s="5" t="s">
        <v>29</v>
      </c>
      <c r="C305" s="33">
        <v>9.25</v>
      </c>
      <c r="D305" s="33">
        <v>8</v>
      </c>
      <c r="E305" s="33">
        <v>7.2</v>
      </c>
      <c r="F305" s="33">
        <v>7</v>
      </c>
      <c r="G305" s="19">
        <f>'расчёт зарплаты'!K26</f>
        <v>27300</v>
      </c>
      <c r="H305" s="19">
        <f t="shared" si="339"/>
        <v>2489760</v>
      </c>
      <c r="I305" s="19"/>
      <c r="J305" s="19"/>
      <c r="K305" s="19"/>
      <c r="L305" s="19"/>
      <c r="O305" s="19">
        <f t="shared" si="340"/>
        <v>0</v>
      </c>
      <c r="P305" s="19">
        <f t="shared" si="340"/>
        <v>0</v>
      </c>
      <c r="Q305" s="19">
        <f t="shared" si="341"/>
        <v>0</v>
      </c>
      <c r="R305" s="19">
        <f t="shared" si="341"/>
        <v>0</v>
      </c>
      <c r="S305" s="19">
        <f t="shared" si="342"/>
        <v>0</v>
      </c>
      <c r="T305" s="19">
        <f t="shared" si="342"/>
        <v>0</v>
      </c>
    </row>
    <row r="306" spans="1:20" x14ac:dyDescent="0.3">
      <c r="A306" s="136" t="s">
        <v>30</v>
      </c>
      <c r="B306" s="136"/>
      <c r="C306" s="7">
        <f t="shared" ref="C306:F306" si="343">C307+C308+C309</f>
        <v>8</v>
      </c>
      <c r="D306" s="7">
        <f t="shared" si="343"/>
        <v>8</v>
      </c>
      <c r="E306" s="7">
        <f t="shared" si="343"/>
        <v>7</v>
      </c>
      <c r="F306" s="7">
        <f t="shared" si="343"/>
        <v>8</v>
      </c>
      <c r="G306" s="20"/>
      <c r="H306" s="20">
        <f>H307+H308+H309</f>
        <v>2675520</v>
      </c>
      <c r="I306" s="20">
        <f t="shared" ref="I306" si="344">I307+I308+I309</f>
        <v>0</v>
      </c>
      <c r="J306" s="20">
        <f>H306</f>
        <v>2675520</v>
      </c>
      <c r="K306" s="20">
        <f>J306*30.2%</f>
        <v>808007.03999999992</v>
      </c>
      <c r="L306" s="20">
        <f>J306+K306</f>
        <v>3483527.04</v>
      </c>
      <c r="O306" s="20">
        <f t="shared" ref="O306:T306" si="345">O307+O308+O309</f>
        <v>0</v>
      </c>
      <c r="P306" s="20">
        <f t="shared" si="345"/>
        <v>0</v>
      </c>
      <c r="Q306" s="20">
        <f t="shared" si="345"/>
        <v>0</v>
      </c>
      <c r="R306" s="20">
        <f t="shared" si="345"/>
        <v>0</v>
      </c>
      <c r="S306" s="20">
        <f t="shared" si="345"/>
        <v>0</v>
      </c>
      <c r="T306" s="20">
        <f t="shared" si="345"/>
        <v>0</v>
      </c>
    </row>
    <row r="307" spans="1:20" x14ac:dyDescent="0.3">
      <c r="A307" s="4"/>
      <c r="B307" s="5" t="s">
        <v>31</v>
      </c>
      <c r="C307" s="33">
        <v>3</v>
      </c>
      <c r="D307" s="33">
        <v>3</v>
      </c>
      <c r="E307" s="33">
        <v>3</v>
      </c>
      <c r="F307" s="33">
        <v>3</v>
      </c>
      <c r="G307" s="19">
        <f>'расчёт зарплаты'!K34</f>
        <v>30976</v>
      </c>
      <c r="H307" s="19">
        <f t="shared" ref="H307:H309" si="346">E307*G307*12+ ((D307-E307)*G307/2*12)</f>
        <v>1115136</v>
      </c>
      <c r="I307" s="19"/>
      <c r="J307" s="19"/>
      <c r="K307" s="19"/>
      <c r="L307" s="19"/>
      <c r="O307" s="19">
        <f t="shared" ref="O307:P309" si="347">J307*L307*12+ ((I307-J307)*L307/2*12)</f>
        <v>0</v>
      </c>
      <c r="P307" s="19">
        <f t="shared" si="347"/>
        <v>0</v>
      </c>
      <c r="Q307" s="19">
        <f t="shared" ref="Q307:R309" si="348">L307*O307*12+ ((K307-L307)*O307/2*12)</f>
        <v>0</v>
      </c>
      <c r="R307" s="19">
        <f t="shared" si="348"/>
        <v>0</v>
      </c>
      <c r="S307" s="19">
        <f t="shared" ref="S307:T309" si="349">O307*Q307*12+ ((M307-O307)*Q307/2*12)</f>
        <v>0</v>
      </c>
      <c r="T307" s="19">
        <f t="shared" si="349"/>
        <v>0</v>
      </c>
    </row>
    <row r="308" spans="1:20" x14ac:dyDescent="0.3">
      <c r="A308" s="4"/>
      <c r="B308" s="5" t="s">
        <v>32</v>
      </c>
      <c r="C308" s="33">
        <v>1</v>
      </c>
      <c r="D308" s="33">
        <v>1</v>
      </c>
      <c r="E308" s="33">
        <v>1</v>
      </c>
      <c r="F308" s="33">
        <v>1</v>
      </c>
      <c r="G308" s="19">
        <f>'расчёт зарплаты'!K38</f>
        <v>28896</v>
      </c>
      <c r="H308" s="19">
        <f t="shared" si="346"/>
        <v>346752</v>
      </c>
      <c r="I308" s="19"/>
      <c r="J308" s="19"/>
      <c r="K308" s="19"/>
      <c r="L308" s="19"/>
      <c r="O308" s="19">
        <f t="shared" si="347"/>
        <v>0</v>
      </c>
      <c r="P308" s="19">
        <f t="shared" si="347"/>
        <v>0</v>
      </c>
      <c r="Q308" s="19">
        <f t="shared" si="348"/>
        <v>0</v>
      </c>
      <c r="R308" s="19">
        <f t="shared" si="348"/>
        <v>0</v>
      </c>
      <c r="S308" s="19">
        <f t="shared" si="349"/>
        <v>0</v>
      </c>
      <c r="T308" s="19">
        <f t="shared" si="349"/>
        <v>0</v>
      </c>
    </row>
    <row r="309" spans="1:20" x14ac:dyDescent="0.3">
      <c r="A309" s="4"/>
      <c r="B309" s="5" t="s">
        <v>33</v>
      </c>
      <c r="C309" s="33">
        <v>4</v>
      </c>
      <c r="D309" s="33">
        <v>4</v>
      </c>
      <c r="E309" s="33">
        <v>3</v>
      </c>
      <c r="F309" s="33">
        <v>4</v>
      </c>
      <c r="G309" s="19">
        <f>'расчёт зарплаты'!K38</f>
        <v>28896</v>
      </c>
      <c r="H309" s="19">
        <f t="shared" si="346"/>
        <v>1213632</v>
      </c>
      <c r="I309" s="19"/>
      <c r="J309" s="19"/>
      <c r="K309" s="19"/>
      <c r="L309" s="19"/>
      <c r="O309" s="19">
        <f t="shared" si="347"/>
        <v>0</v>
      </c>
      <c r="P309" s="19">
        <f t="shared" si="347"/>
        <v>0</v>
      </c>
      <c r="Q309" s="19">
        <f t="shared" si="348"/>
        <v>0</v>
      </c>
      <c r="R309" s="19">
        <f t="shared" si="348"/>
        <v>0</v>
      </c>
      <c r="S309" s="19">
        <f t="shared" si="349"/>
        <v>0</v>
      </c>
      <c r="T309" s="19">
        <f t="shared" si="349"/>
        <v>0</v>
      </c>
    </row>
    <row r="310" spans="1:20" x14ac:dyDescent="0.3">
      <c r="A310" s="141" t="s">
        <v>69</v>
      </c>
      <c r="B310" s="141"/>
      <c r="C310" s="141"/>
      <c r="D310" s="141"/>
      <c r="E310" s="141"/>
      <c r="F310" s="141"/>
      <c r="G310" s="141"/>
      <c r="H310" s="141"/>
      <c r="I310" s="141"/>
      <c r="J310" s="141"/>
      <c r="K310" s="141"/>
      <c r="L310" s="141"/>
    </row>
    <row r="311" spans="1:20" ht="14.4" customHeight="1" x14ac:dyDescent="0.3">
      <c r="A311" s="133" t="s">
        <v>7</v>
      </c>
      <c r="B311" s="134"/>
      <c r="C311" s="8">
        <f>C312+C329+C325</f>
        <v>54.5</v>
      </c>
      <c r="D311" s="8">
        <f>D312+D329+D325</f>
        <v>52.5</v>
      </c>
      <c r="E311" s="8">
        <f>E312+E329+E325</f>
        <v>43.1</v>
      </c>
      <c r="F311" s="8">
        <f>F312+F329+F325</f>
        <v>42.9</v>
      </c>
      <c r="G311" s="19"/>
      <c r="H311" s="19"/>
      <c r="I311" s="19"/>
      <c r="J311" s="19"/>
      <c r="K311" s="19"/>
      <c r="L311" s="19"/>
      <c r="O311" s="19"/>
      <c r="P311" s="19"/>
      <c r="Q311" s="19"/>
      <c r="R311" s="19"/>
      <c r="S311" s="19"/>
      <c r="T311" s="19"/>
    </row>
    <row r="312" spans="1:20" ht="14.4" customHeight="1" x14ac:dyDescent="0.3">
      <c r="A312" s="133" t="s">
        <v>89</v>
      </c>
      <c r="B312" s="134"/>
      <c r="C312" s="40">
        <f t="shared" ref="C312:G312" si="350">SUM(C313:C324)</f>
        <v>37.5</v>
      </c>
      <c r="D312" s="40">
        <f t="shared" si="350"/>
        <v>37</v>
      </c>
      <c r="E312" s="40">
        <f t="shared" si="350"/>
        <v>31.1</v>
      </c>
      <c r="F312" s="40">
        <f t="shared" si="350"/>
        <v>30.9</v>
      </c>
      <c r="G312" s="40">
        <f t="shared" si="350"/>
        <v>221592</v>
      </c>
      <c r="H312" s="40">
        <f>SUM(H313:H324)</f>
        <v>11969241.6</v>
      </c>
      <c r="I312" s="20"/>
      <c r="J312" s="20">
        <f>H312-I312</f>
        <v>11969241.6</v>
      </c>
      <c r="K312" s="20">
        <f>J312*30.2%</f>
        <v>3614710.9631999996</v>
      </c>
      <c r="L312" s="20">
        <f>J312+K312</f>
        <v>15583952.563199999</v>
      </c>
      <c r="O312" s="40">
        <f t="shared" ref="O312:T312" si="351">SUM(O313:O324)</f>
        <v>0</v>
      </c>
      <c r="P312" s="40">
        <f t="shared" si="351"/>
        <v>0</v>
      </c>
      <c r="Q312" s="40">
        <f t="shared" si="351"/>
        <v>0</v>
      </c>
      <c r="R312" s="40">
        <f t="shared" si="351"/>
        <v>0</v>
      </c>
      <c r="S312" s="40">
        <f t="shared" si="351"/>
        <v>0</v>
      </c>
      <c r="T312" s="40">
        <f t="shared" si="351"/>
        <v>0</v>
      </c>
    </row>
    <row r="313" spans="1:20" x14ac:dyDescent="0.3">
      <c r="A313" s="4"/>
      <c r="B313" s="5" t="s">
        <v>9</v>
      </c>
      <c r="C313" s="33">
        <v>19.5</v>
      </c>
      <c r="D313" s="33">
        <v>19.5</v>
      </c>
      <c r="E313" s="33">
        <v>16.5</v>
      </c>
      <c r="F313" s="33">
        <v>16.899999999999999</v>
      </c>
      <c r="G313" s="19">
        <f>'расчёт зарплаты'!K10</f>
        <v>28208</v>
      </c>
      <c r="H313" s="19">
        <f>E313*G313*12+ ((D313-E313)*G313/2*12)</f>
        <v>6092928</v>
      </c>
      <c r="I313" s="19"/>
      <c r="J313" s="19"/>
      <c r="K313" s="19"/>
      <c r="L313" s="19">
        <f>G313*K313*12</f>
        <v>0</v>
      </c>
      <c r="O313" s="19">
        <f t="shared" ref="O313:O323" si="352">J313*L313*12+ ((I313-J313)*L313/2*12)</f>
        <v>0</v>
      </c>
      <c r="P313" s="19">
        <f t="shared" ref="P313:P323" si="353">K313*M313*12+ ((J313-K313)*M313/2*12)</f>
        <v>0</v>
      </c>
      <c r="Q313" s="19">
        <f t="shared" ref="Q313:Q323" si="354">L313*O313*12+ ((K313-L313)*O313/2*12)</f>
        <v>0</v>
      </c>
      <c r="R313" s="19">
        <f t="shared" ref="R313:R323" si="355">M313*P313*12+ ((L313-M313)*P313/2*12)</f>
        <v>0</v>
      </c>
      <c r="S313" s="19">
        <f t="shared" ref="S313:T323" si="356">O313*Q313*12+ ((M313-O313)*Q313/2*12)</f>
        <v>0</v>
      </c>
      <c r="T313" s="19">
        <f t="shared" si="356"/>
        <v>0</v>
      </c>
    </row>
    <row r="314" spans="1:20" x14ac:dyDescent="0.3">
      <c r="A314" s="4"/>
      <c r="B314" s="5" t="s">
        <v>10</v>
      </c>
      <c r="C314" s="33"/>
      <c r="D314" s="33"/>
      <c r="E314" s="33"/>
      <c r="F314" s="33"/>
      <c r="G314" s="19"/>
      <c r="H314" s="19">
        <f t="shared" ref="H314:H323" si="357">E314*G314*12+ ((D314-E314)*G314/2*12)</f>
        <v>0</v>
      </c>
      <c r="I314" s="19"/>
      <c r="J314" s="19"/>
      <c r="K314" s="19"/>
      <c r="L314" s="19"/>
      <c r="O314" s="19">
        <f t="shared" si="352"/>
        <v>0</v>
      </c>
      <c r="P314" s="19">
        <f t="shared" si="353"/>
        <v>0</v>
      </c>
      <c r="Q314" s="19">
        <f t="shared" si="354"/>
        <v>0</v>
      </c>
      <c r="R314" s="19">
        <f t="shared" si="355"/>
        <v>0</v>
      </c>
      <c r="S314" s="19">
        <f t="shared" si="356"/>
        <v>0</v>
      </c>
      <c r="T314" s="19">
        <f t="shared" si="356"/>
        <v>0</v>
      </c>
    </row>
    <row r="315" spans="1:20" x14ac:dyDescent="0.3">
      <c r="A315" s="4"/>
      <c r="B315" s="5" t="s">
        <v>13</v>
      </c>
      <c r="C315" s="33">
        <v>3.5</v>
      </c>
      <c r="D315" s="33">
        <v>3.5</v>
      </c>
      <c r="E315" s="33">
        <v>1.5</v>
      </c>
      <c r="F315" s="33">
        <v>1</v>
      </c>
      <c r="G315" s="19">
        <f>'расчёт зарплаты'!K38</f>
        <v>28896</v>
      </c>
      <c r="H315" s="19">
        <f t="shared" si="357"/>
        <v>866880</v>
      </c>
      <c r="I315" s="19"/>
      <c r="J315" s="19"/>
      <c r="K315" s="19"/>
      <c r="L315" s="19"/>
      <c r="O315" s="19">
        <f t="shared" si="352"/>
        <v>0</v>
      </c>
      <c r="P315" s="19">
        <f t="shared" si="353"/>
        <v>0</v>
      </c>
      <c r="Q315" s="19">
        <f t="shared" si="354"/>
        <v>0</v>
      </c>
      <c r="R315" s="19">
        <f t="shared" si="355"/>
        <v>0</v>
      </c>
      <c r="S315" s="19">
        <f t="shared" si="356"/>
        <v>0</v>
      </c>
      <c r="T315" s="19">
        <f t="shared" si="356"/>
        <v>0</v>
      </c>
    </row>
    <row r="316" spans="1:20" ht="28.2" x14ac:dyDescent="0.3">
      <c r="A316" s="4"/>
      <c r="B316" s="5" t="s">
        <v>14</v>
      </c>
      <c r="C316" s="33"/>
      <c r="D316" s="33"/>
      <c r="E316" s="33"/>
      <c r="F316" s="33"/>
      <c r="G316" s="19"/>
      <c r="H316" s="19">
        <f t="shared" si="357"/>
        <v>0</v>
      </c>
      <c r="I316" s="19"/>
      <c r="J316" s="19"/>
      <c r="K316" s="19"/>
      <c r="L316" s="19"/>
      <c r="O316" s="19">
        <f t="shared" si="352"/>
        <v>0</v>
      </c>
      <c r="P316" s="19">
        <f t="shared" si="353"/>
        <v>0</v>
      </c>
      <c r="Q316" s="19">
        <f t="shared" si="354"/>
        <v>0</v>
      </c>
      <c r="R316" s="19">
        <f t="shared" si="355"/>
        <v>0</v>
      </c>
      <c r="S316" s="19">
        <f t="shared" si="356"/>
        <v>0</v>
      </c>
      <c r="T316" s="19">
        <f t="shared" si="356"/>
        <v>0</v>
      </c>
    </row>
    <row r="317" spans="1:20" x14ac:dyDescent="0.3">
      <c r="A317" s="4"/>
      <c r="B317" s="5" t="s">
        <v>15</v>
      </c>
      <c r="C317" s="33">
        <v>5</v>
      </c>
      <c r="D317" s="33">
        <v>5</v>
      </c>
      <c r="E317" s="33">
        <v>4.0999999999999996</v>
      </c>
      <c r="F317" s="33">
        <v>4</v>
      </c>
      <c r="G317" s="19">
        <f>'расчёт зарплаты'!K34</f>
        <v>30976</v>
      </c>
      <c r="H317" s="19">
        <f t="shared" si="357"/>
        <v>1691289.6000000001</v>
      </c>
      <c r="I317" s="19"/>
      <c r="J317" s="19"/>
      <c r="K317" s="19"/>
      <c r="L317" s="19"/>
      <c r="O317" s="19">
        <f t="shared" si="352"/>
        <v>0</v>
      </c>
      <c r="P317" s="19">
        <f t="shared" si="353"/>
        <v>0</v>
      </c>
      <c r="Q317" s="19">
        <f t="shared" si="354"/>
        <v>0</v>
      </c>
      <c r="R317" s="19">
        <f t="shared" si="355"/>
        <v>0</v>
      </c>
      <c r="S317" s="19">
        <f t="shared" si="356"/>
        <v>0</v>
      </c>
      <c r="T317" s="19">
        <f t="shared" si="356"/>
        <v>0</v>
      </c>
    </row>
    <row r="318" spans="1:20" x14ac:dyDescent="0.3">
      <c r="A318" s="4"/>
      <c r="B318" s="5" t="s">
        <v>16</v>
      </c>
      <c r="C318" s="33">
        <v>6</v>
      </c>
      <c r="D318" s="33">
        <v>6</v>
      </c>
      <c r="E318" s="33">
        <v>6</v>
      </c>
      <c r="F318" s="33">
        <v>6</v>
      </c>
      <c r="G318" s="19">
        <f>'расчёт зарплаты'!K8</f>
        <v>28600</v>
      </c>
      <c r="H318" s="19">
        <f t="shared" si="357"/>
        <v>2059200</v>
      </c>
      <c r="I318" s="19"/>
      <c r="J318" s="19"/>
      <c r="K318" s="19"/>
      <c r="L318" s="19"/>
      <c r="O318" s="19">
        <f t="shared" si="352"/>
        <v>0</v>
      </c>
      <c r="P318" s="19">
        <f t="shared" si="353"/>
        <v>0</v>
      </c>
      <c r="Q318" s="19">
        <f t="shared" si="354"/>
        <v>0</v>
      </c>
      <c r="R318" s="19">
        <f t="shared" si="355"/>
        <v>0</v>
      </c>
      <c r="S318" s="19">
        <f t="shared" si="356"/>
        <v>0</v>
      </c>
      <c r="T318" s="19">
        <f t="shared" si="356"/>
        <v>0</v>
      </c>
    </row>
    <row r="319" spans="1:20" ht="42" x14ac:dyDescent="0.3">
      <c r="A319" s="4"/>
      <c r="B319" s="5" t="s">
        <v>17</v>
      </c>
      <c r="C319" s="33">
        <v>1.5</v>
      </c>
      <c r="D319" s="33">
        <v>1</v>
      </c>
      <c r="E319" s="33">
        <v>1</v>
      </c>
      <c r="F319" s="33">
        <v>1</v>
      </c>
      <c r="G319" s="19">
        <f>'расчёт зарплаты'!K10</f>
        <v>28208</v>
      </c>
      <c r="H319" s="19">
        <f t="shared" si="357"/>
        <v>338496</v>
      </c>
      <c r="I319" s="19"/>
      <c r="J319" s="19"/>
      <c r="K319" s="19"/>
      <c r="L319" s="19"/>
      <c r="O319" s="19">
        <f t="shared" si="352"/>
        <v>0</v>
      </c>
      <c r="P319" s="19">
        <f t="shared" si="353"/>
        <v>0</v>
      </c>
      <c r="Q319" s="19">
        <f t="shared" si="354"/>
        <v>0</v>
      </c>
      <c r="R319" s="19">
        <f t="shared" si="355"/>
        <v>0</v>
      </c>
      <c r="S319" s="19">
        <f t="shared" si="356"/>
        <v>0</v>
      </c>
      <c r="T319" s="19">
        <f t="shared" si="356"/>
        <v>0</v>
      </c>
    </row>
    <row r="320" spans="1:20" ht="28.2" x14ac:dyDescent="0.3">
      <c r="A320" s="4"/>
      <c r="B320" s="5" t="s">
        <v>18</v>
      </c>
      <c r="C320" s="33">
        <v>1</v>
      </c>
      <c r="D320" s="33">
        <v>1</v>
      </c>
      <c r="E320" s="33">
        <v>1</v>
      </c>
      <c r="F320" s="33">
        <v>1</v>
      </c>
      <c r="G320" s="19">
        <f>'расчёт зарплаты'!K20</f>
        <v>31648</v>
      </c>
      <c r="H320" s="19">
        <f t="shared" si="357"/>
        <v>379776</v>
      </c>
      <c r="I320" s="19"/>
      <c r="J320" s="19"/>
      <c r="K320" s="19"/>
      <c r="L320" s="19"/>
      <c r="O320" s="19">
        <f t="shared" si="352"/>
        <v>0</v>
      </c>
      <c r="P320" s="19">
        <f t="shared" si="353"/>
        <v>0</v>
      </c>
      <c r="Q320" s="19">
        <f t="shared" si="354"/>
        <v>0</v>
      </c>
      <c r="R320" s="19">
        <f t="shared" si="355"/>
        <v>0</v>
      </c>
      <c r="S320" s="19">
        <f t="shared" si="356"/>
        <v>0</v>
      </c>
      <c r="T320" s="19">
        <f t="shared" si="356"/>
        <v>0</v>
      </c>
    </row>
    <row r="321" spans="1:20" ht="42" x14ac:dyDescent="0.3">
      <c r="A321" s="4"/>
      <c r="B321" s="5" t="s">
        <v>91</v>
      </c>
      <c r="C321" s="33"/>
      <c r="D321" s="33"/>
      <c r="E321" s="33"/>
      <c r="F321" s="33"/>
      <c r="G321" s="19"/>
      <c r="H321" s="19">
        <f t="shared" si="357"/>
        <v>0</v>
      </c>
      <c r="I321" s="19"/>
      <c r="J321" s="19"/>
      <c r="K321" s="19"/>
      <c r="L321" s="19"/>
      <c r="O321" s="19">
        <f t="shared" si="352"/>
        <v>0</v>
      </c>
      <c r="P321" s="19">
        <f t="shared" si="353"/>
        <v>0</v>
      </c>
      <c r="Q321" s="19">
        <f t="shared" si="354"/>
        <v>0</v>
      </c>
      <c r="R321" s="19">
        <f t="shared" si="355"/>
        <v>0</v>
      </c>
      <c r="S321" s="19">
        <f t="shared" si="356"/>
        <v>0</v>
      </c>
      <c r="T321" s="19">
        <f t="shared" si="356"/>
        <v>0</v>
      </c>
    </row>
    <row r="322" spans="1:20" x14ac:dyDescent="0.3">
      <c r="A322" s="4"/>
      <c r="B322" s="5" t="s">
        <v>20</v>
      </c>
      <c r="C322" s="33"/>
      <c r="D322" s="33"/>
      <c r="E322" s="33"/>
      <c r="F322" s="33"/>
      <c r="G322" s="19"/>
      <c r="H322" s="19">
        <f t="shared" si="357"/>
        <v>0</v>
      </c>
      <c r="I322" s="19"/>
      <c r="J322" s="19"/>
      <c r="K322" s="19"/>
      <c r="L322" s="19"/>
      <c r="O322" s="19">
        <f t="shared" si="352"/>
        <v>0</v>
      </c>
      <c r="P322" s="19">
        <f t="shared" si="353"/>
        <v>0</v>
      </c>
      <c r="Q322" s="19">
        <f t="shared" si="354"/>
        <v>0</v>
      </c>
      <c r="R322" s="19">
        <f t="shared" si="355"/>
        <v>0</v>
      </c>
      <c r="S322" s="19">
        <f t="shared" si="356"/>
        <v>0</v>
      </c>
      <c r="T322" s="19">
        <f t="shared" si="356"/>
        <v>0</v>
      </c>
    </row>
    <row r="323" spans="1:20" ht="39.6" x14ac:dyDescent="0.3">
      <c r="A323" s="4"/>
      <c r="B323" s="6" t="s">
        <v>21</v>
      </c>
      <c r="C323" s="33">
        <v>1</v>
      </c>
      <c r="D323" s="33">
        <v>1</v>
      </c>
      <c r="E323" s="33">
        <v>1</v>
      </c>
      <c r="F323" s="33">
        <v>1</v>
      </c>
      <c r="G323" s="19">
        <f>'расчёт зарплаты'!K44</f>
        <v>45056</v>
      </c>
      <c r="H323" s="19">
        <f t="shared" si="357"/>
        <v>540672</v>
      </c>
      <c r="I323" s="19"/>
      <c r="J323" s="19"/>
      <c r="K323" s="19"/>
      <c r="L323" s="19"/>
      <c r="O323" s="19">
        <f t="shared" si="352"/>
        <v>0</v>
      </c>
      <c r="P323" s="19">
        <f t="shared" si="353"/>
        <v>0</v>
      </c>
      <c r="Q323" s="19">
        <f t="shared" si="354"/>
        <v>0</v>
      </c>
      <c r="R323" s="19">
        <f t="shared" si="355"/>
        <v>0</v>
      </c>
      <c r="S323" s="19">
        <f t="shared" si="356"/>
        <v>0</v>
      </c>
      <c r="T323" s="19">
        <f t="shared" si="356"/>
        <v>0</v>
      </c>
    </row>
    <row r="324" spans="1:20" x14ac:dyDescent="0.3">
      <c r="A324" s="4"/>
      <c r="B324" s="5" t="s">
        <v>22</v>
      </c>
      <c r="C324" s="33"/>
      <c r="D324" s="33"/>
      <c r="E324" s="33"/>
      <c r="F324" s="33"/>
      <c r="G324" s="19"/>
      <c r="H324" s="19">
        <f t="shared" ref="H324" si="358">E324*G324*12</f>
        <v>0</v>
      </c>
      <c r="I324" s="19"/>
      <c r="J324" s="19"/>
      <c r="K324" s="19"/>
      <c r="L324" s="19"/>
      <c r="O324" s="19">
        <f>J324*L324*12</f>
        <v>0</v>
      </c>
      <c r="P324" s="19">
        <f>K324*M324*12</f>
        <v>0</v>
      </c>
      <c r="Q324" s="19">
        <f>L324*O324*12</f>
        <v>0</v>
      </c>
      <c r="R324" s="19">
        <f>M324*P324*12</f>
        <v>0</v>
      </c>
      <c r="S324" s="19">
        <f t="shared" ref="S324:T324" si="359">O324*Q324*12</f>
        <v>0</v>
      </c>
      <c r="T324" s="19">
        <f t="shared" si="359"/>
        <v>0</v>
      </c>
    </row>
    <row r="325" spans="1:20" x14ac:dyDescent="0.3">
      <c r="A325" s="38" t="s">
        <v>57</v>
      </c>
      <c r="B325" s="39"/>
      <c r="C325" s="41">
        <f>C326+C327+C328</f>
        <v>8</v>
      </c>
      <c r="D325" s="41">
        <f t="shared" ref="D325:F325" si="360">D326+D327+D328</f>
        <v>7.5</v>
      </c>
      <c r="E325" s="41">
        <f t="shared" si="360"/>
        <v>4</v>
      </c>
      <c r="F325" s="41">
        <f t="shared" si="360"/>
        <v>4</v>
      </c>
      <c r="G325" s="41"/>
      <c r="H325" s="42">
        <f t="shared" ref="H325:L325" si="361">H326+H327+H328</f>
        <v>1922508</v>
      </c>
      <c r="I325" s="42">
        <f t="shared" si="361"/>
        <v>0</v>
      </c>
      <c r="J325" s="42">
        <f t="shared" si="361"/>
        <v>0</v>
      </c>
      <c r="K325" s="42">
        <f t="shared" si="361"/>
        <v>0</v>
      </c>
      <c r="L325" s="42">
        <f t="shared" si="361"/>
        <v>0</v>
      </c>
      <c r="O325" s="42">
        <f t="shared" ref="O325:P325" si="362">O326+O327+O328</f>
        <v>0</v>
      </c>
      <c r="P325" s="42">
        <f t="shared" si="362"/>
        <v>0</v>
      </c>
      <c r="Q325" s="42">
        <f t="shared" ref="Q325" si="363">Q326+Q327+Q328</f>
        <v>0</v>
      </c>
      <c r="R325" s="42">
        <f t="shared" ref="R325:S325" si="364">R326+R327+R328</f>
        <v>0</v>
      </c>
      <c r="S325" s="42">
        <f t="shared" si="364"/>
        <v>0</v>
      </c>
      <c r="T325" s="42">
        <f t="shared" ref="T325" si="365">T326+T327+T328</f>
        <v>0</v>
      </c>
    </row>
    <row r="326" spans="1:20" x14ac:dyDescent="0.3">
      <c r="A326" s="4"/>
      <c r="B326" s="5" t="s">
        <v>11</v>
      </c>
      <c r="C326" s="9">
        <v>1.5</v>
      </c>
      <c r="D326" s="9">
        <v>1.5</v>
      </c>
      <c r="E326" s="9">
        <v>1</v>
      </c>
      <c r="F326" s="9">
        <v>1</v>
      </c>
      <c r="G326" s="19">
        <f>'расчёт зарплаты'!K26</f>
        <v>27300</v>
      </c>
      <c r="H326" s="19">
        <f t="shared" ref="H326:H329" si="366">E326*G326*12+ ((D326-E326)*G326/2*12)</f>
        <v>409500</v>
      </c>
      <c r="I326" s="19"/>
      <c r="J326" s="19"/>
      <c r="K326" s="19"/>
      <c r="L326" s="19"/>
      <c r="O326" s="19">
        <f t="shared" ref="O326:P329" si="367">J326*L326*12+ ((I326-J326)*L326/2*12)</f>
        <v>0</v>
      </c>
      <c r="P326" s="19">
        <f t="shared" si="367"/>
        <v>0</v>
      </c>
      <c r="Q326" s="19">
        <f t="shared" ref="Q326:R329" si="368">L326*O326*12+ ((K326-L326)*O326/2*12)</f>
        <v>0</v>
      </c>
      <c r="R326" s="19">
        <f t="shared" si="368"/>
        <v>0</v>
      </c>
      <c r="S326" s="19">
        <f t="shared" ref="S326:T329" si="369">O326*Q326*12+ ((M326-O326)*Q326/2*12)</f>
        <v>0</v>
      </c>
      <c r="T326" s="19">
        <f t="shared" si="369"/>
        <v>0</v>
      </c>
    </row>
    <row r="327" spans="1:20" x14ac:dyDescent="0.3">
      <c r="A327" s="4"/>
      <c r="B327" s="5" t="s">
        <v>12</v>
      </c>
      <c r="C327" s="9">
        <v>1.5</v>
      </c>
      <c r="D327" s="9">
        <v>1</v>
      </c>
      <c r="E327" s="9">
        <v>1</v>
      </c>
      <c r="F327" s="9">
        <v>1</v>
      </c>
      <c r="G327" s="19">
        <f>'расчёт зарплаты'!K26</f>
        <v>27300</v>
      </c>
      <c r="H327" s="19">
        <f t="shared" si="366"/>
        <v>327600</v>
      </c>
      <c r="I327" s="19"/>
      <c r="J327" s="19"/>
      <c r="K327" s="19"/>
      <c r="L327" s="19"/>
      <c r="O327" s="19">
        <f t="shared" si="367"/>
        <v>0</v>
      </c>
      <c r="P327" s="19">
        <f t="shared" si="367"/>
        <v>0</v>
      </c>
      <c r="Q327" s="19">
        <f t="shared" si="368"/>
        <v>0</v>
      </c>
      <c r="R327" s="19">
        <f t="shared" si="368"/>
        <v>0</v>
      </c>
      <c r="S327" s="19">
        <f t="shared" si="369"/>
        <v>0</v>
      </c>
      <c r="T327" s="19">
        <f t="shared" si="369"/>
        <v>0</v>
      </c>
    </row>
    <row r="328" spans="1:20" ht="28.2" x14ac:dyDescent="0.3">
      <c r="A328" s="4"/>
      <c r="B328" s="5" t="s">
        <v>19</v>
      </c>
      <c r="C328" s="9">
        <v>5</v>
      </c>
      <c r="D328" s="9">
        <v>5</v>
      </c>
      <c r="E328" s="9">
        <v>2</v>
      </c>
      <c r="F328" s="9">
        <v>2</v>
      </c>
      <c r="G328" s="19">
        <f>'расчёт зарплаты'!K40</f>
        <v>28224</v>
      </c>
      <c r="H328" s="19">
        <f t="shared" si="366"/>
        <v>1185408</v>
      </c>
      <c r="I328" s="19"/>
      <c r="J328" s="19"/>
      <c r="K328" s="19"/>
      <c r="L328" s="19"/>
      <c r="O328" s="19">
        <f t="shared" si="367"/>
        <v>0</v>
      </c>
      <c r="P328" s="19">
        <f t="shared" si="367"/>
        <v>0</v>
      </c>
      <c r="Q328" s="19">
        <f t="shared" si="368"/>
        <v>0</v>
      </c>
      <c r="R328" s="19">
        <f t="shared" si="368"/>
        <v>0</v>
      </c>
      <c r="S328" s="19">
        <f t="shared" si="369"/>
        <v>0</v>
      </c>
      <c r="T328" s="19">
        <f t="shared" si="369"/>
        <v>0</v>
      </c>
    </row>
    <row r="329" spans="1:20" x14ac:dyDescent="0.3">
      <c r="A329" s="135" t="s">
        <v>23</v>
      </c>
      <c r="B329" s="135"/>
      <c r="C329" s="7">
        <f t="shared" ref="C329:F329" si="370">C330+C336</f>
        <v>9</v>
      </c>
      <c r="D329" s="7">
        <f t="shared" si="370"/>
        <v>8</v>
      </c>
      <c r="E329" s="7">
        <f t="shared" si="370"/>
        <v>8</v>
      </c>
      <c r="F329" s="7">
        <f t="shared" si="370"/>
        <v>8</v>
      </c>
      <c r="G329" s="19"/>
      <c r="H329" s="19">
        <f t="shared" si="366"/>
        <v>0</v>
      </c>
      <c r="I329" s="19"/>
      <c r="J329" s="20">
        <f t="shared" ref="J329:K329" si="371">J330+J336</f>
        <v>2747328</v>
      </c>
      <c r="K329" s="20">
        <f t="shared" si="371"/>
        <v>829693.05599999998</v>
      </c>
      <c r="L329" s="20">
        <f>L330+L336</f>
        <v>3577021.0559999999</v>
      </c>
      <c r="O329" s="19">
        <f t="shared" si="367"/>
        <v>58963500622430.203</v>
      </c>
      <c r="P329" s="19">
        <f t="shared" si="367"/>
        <v>0</v>
      </c>
      <c r="Q329" s="19">
        <f t="shared" si="368"/>
        <v>1.5590117417147037E+21</v>
      </c>
      <c r="R329" s="19">
        <f t="shared" si="368"/>
        <v>0</v>
      </c>
      <c r="S329" s="19">
        <f t="shared" si="369"/>
        <v>5.5154873881782558E+35</v>
      </c>
      <c r="T329" s="19">
        <f t="shared" si="369"/>
        <v>0</v>
      </c>
    </row>
    <row r="330" spans="1:20" x14ac:dyDescent="0.3">
      <c r="A330" s="136" t="s">
        <v>24</v>
      </c>
      <c r="B330" s="136"/>
      <c r="C330" s="7">
        <f t="shared" ref="C330:F330" si="372">C331+C332+C333+C334+C335</f>
        <v>5</v>
      </c>
      <c r="D330" s="7">
        <f t="shared" si="372"/>
        <v>4</v>
      </c>
      <c r="E330" s="7">
        <f t="shared" si="372"/>
        <v>4</v>
      </c>
      <c r="F330" s="7">
        <f t="shared" si="372"/>
        <v>4</v>
      </c>
      <c r="G330" s="20"/>
      <c r="H330" s="20">
        <f>H331+H332+H333+H334+H335</f>
        <v>1310400</v>
      </c>
      <c r="I330" s="20">
        <f t="shared" ref="I330" si="373">I331+I332+I333+I334+I335</f>
        <v>0</v>
      </c>
      <c r="J330" s="20">
        <f>H330</f>
        <v>1310400</v>
      </c>
      <c r="K330" s="20">
        <f>J330*30.2%</f>
        <v>395740.8</v>
      </c>
      <c r="L330" s="20">
        <f>J330+K330</f>
        <v>1706140.8</v>
      </c>
      <c r="O330" s="20">
        <f t="shared" ref="O330:T330" si="374">O331+O332+O333+O334+O335</f>
        <v>0</v>
      </c>
      <c r="P330" s="20">
        <f t="shared" si="374"/>
        <v>0</v>
      </c>
      <c r="Q330" s="20">
        <f t="shared" si="374"/>
        <v>0</v>
      </c>
      <c r="R330" s="20">
        <f t="shared" si="374"/>
        <v>0</v>
      </c>
      <c r="S330" s="20">
        <f t="shared" si="374"/>
        <v>0</v>
      </c>
      <c r="T330" s="20">
        <f t="shared" si="374"/>
        <v>0</v>
      </c>
    </row>
    <row r="331" spans="1:20" x14ac:dyDescent="0.3">
      <c r="A331" s="4"/>
      <c r="B331" s="5" t="s">
        <v>25</v>
      </c>
      <c r="C331" s="33"/>
      <c r="D331" s="33"/>
      <c r="E331" s="33"/>
      <c r="F331" s="33"/>
      <c r="G331" s="19"/>
      <c r="H331" s="19">
        <f t="shared" ref="H331:H335" si="375">E331*G331*12+ ((D331-E331)*G331/2*12)</f>
        <v>0</v>
      </c>
      <c r="I331" s="19"/>
      <c r="J331" s="19"/>
      <c r="K331" s="19"/>
      <c r="L331" s="19"/>
      <c r="O331" s="19">
        <f t="shared" ref="O331:P335" si="376">J331*L331*12+ ((I331-J331)*L331/2*12)</f>
        <v>0</v>
      </c>
      <c r="P331" s="19">
        <f t="shared" si="376"/>
        <v>0</v>
      </c>
      <c r="Q331" s="19">
        <f t="shared" ref="Q331:R335" si="377">L331*O331*12+ ((K331-L331)*O331/2*12)</f>
        <v>0</v>
      </c>
      <c r="R331" s="19">
        <f t="shared" si="377"/>
        <v>0</v>
      </c>
      <c r="S331" s="19">
        <f t="shared" ref="S331:T335" si="378">O331*Q331*12+ ((M331-O331)*Q331/2*12)</f>
        <v>0</v>
      </c>
      <c r="T331" s="19">
        <f t="shared" si="378"/>
        <v>0</v>
      </c>
    </row>
    <row r="332" spans="1:20" x14ac:dyDescent="0.3">
      <c r="A332" s="4"/>
      <c r="B332" s="5" t="s">
        <v>26</v>
      </c>
      <c r="C332" s="33"/>
      <c r="D332" s="33"/>
      <c r="E332" s="33"/>
      <c r="F332" s="33"/>
      <c r="G332" s="19"/>
      <c r="H332" s="19">
        <f t="shared" si="375"/>
        <v>0</v>
      </c>
      <c r="I332" s="19"/>
      <c r="J332" s="19"/>
      <c r="K332" s="19"/>
      <c r="L332" s="19"/>
      <c r="O332" s="19">
        <f t="shared" si="376"/>
        <v>0</v>
      </c>
      <c r="P332" s="19">
        <f t="shared" si="376"/>
        <v>0</v>
      </c>
      <c r="Q332" s="19">
        <f t="shared" si="377"/>
        <v>0</v>
      </c>
      <c r="R332" s="19">
        <f t="shared" si="377"/>
        <v>0</v>
      </c>
      <c r="S332" s="19">
        <f t="shared" si="378"/>
        <v>0</v>
      </c>
      <c r="T332" s="19">
        <f t="shared" si="378"/>
        <v>0</v>
      </c>
    </row>
    <row r="333" spans="1:20" x14ac:dyDescent="0.3">
      <c r="A333" s="4"/>
      <c r="B333" s="5" t="s">
        <v>27</v>
      </c>
      <c r="C333" s="33"/>
      <c r="D333" s="33"/>
      <c r="E333" s="33"/>
      <c r="F333" s="33"/>
      <c r="G333" s="19"/>
      <c r="H333" s="19">
        <f t="shared" si="375"/>
        <v>0</v>
      </c>
      <c r="I333" s="19"/>
      <c r="J333" s="19"/>
      <c r="K333" s="19"/>
      <c r="L333" s="19"/>
      <c r="O333" s="19">
        <f t="shared" si="376"/>
        <v>0</v>
      </c>
      <c r="P333" s="19">
        <f t="shared" si="376"/>
        <v>0</v>
      </c>
      <c r="Q333" s="19">
        <f t="shared" si="377"/>
        <v>0</v>
      </c>
      <c r="R333" s="19">
        <f t="shared" si="377"/>
        <v>0</v>
      </c>
      <c r="S333" s="19">
        <f t="shared" si="378"/>
        <v>0</v>
      </c>
      <c r="T333" s="19">
        <f t="shared" si="378"/>
        <v>0</v>
      </c>
    </row>
    <row r="334" spans="1:20" ht="28.2" x14ac:dyDescent="0.3">
      <c r="A334" s="4"/>
      <c r="B334" s="5" t="s">
        <v>28</v>
      </c>
      <c r="C334" s="33">
        <v>2</v>
      </c>
      <c r="D334" s="33">
        <v>2</v>
      </c>
      <c r="E334" s="33">
        <v>2</v>
      </c>
      <c r="F334" s="33">
        <v>2</v>
      </c>
      <c r="G334" s="19">
        <f>'расчёт зарплаты'!K26</f>
        <v>27300</v>
      </c>
      <c r="H334" s="19">
        <f t="shared" si="375"/>
        <v>655200</v>
      </c>
      <c r="I334" s="19"/>
      <c r="J334" s="19"/>
      <c r="K334" s="19"/>
      <c r="L334" s="19"/>
      <c r="O334" s="19">
        <f t="shared" si="376"/>
        <v>0</v>
      </c>
      <c r="P334" s="19">
        <f t="shared" si="376"/>
        <v>0</v>
      </c>
      <c r="Q334" s="19">
        <f t="shared" si="377"/>
        <v>0</v>
      </c>
      <c r="R334" s="19">
        <f t="shared" si="377"/>
        <v>0</v>
      </c>
      <c r="S334" s="19">
        <f t="shared" si="378"/>
        <v>0</v>
      </c>
      <c r="T334" s="19">
        <f t="shared" si="378"/>
        <v>0</v>
      </c>
    </row>
    <row r="335" spans="1:20" x14ac:dyDescent="0.3">
      <c r="A335" s="4"/>
      <c r="B335" s="5" t="s">
        <v>29</v>
      </c>
      <c r="C335" s="33">
        <v>3</v>
      </c>
      <c r="D335" s="33">
        <v>2</v>
      </c>
      <c r="E335" s="33">
        <v>2</v>
      </c>
      <c r="F335" s="33">
        <v>2</v>
      </c>
      <c r="G335" s="19">
        <f>'расчёт зарплаты'!K26</f>
        <v>27300</v>
      </c>
      <c r="H335" s="19">
        <f t="shared" si="375"/>
        <v>655200</v>
      </c>
      <c r="I335" s="19"/>
      <c r="J335" s="19"/>
      <c r="K335" s="19"/>
      <c r="L335" s="19"/>
      <c r="O335" s="19">
        <f t="shared" si="376"/>
        <v>0</v>
      </c>
      <c r="P335" s="19">
        <f t="shared" si="376"/>
        <v>0</v>
      </c>
      <c r="Q335" s="19">
        <f t="shared" si="377"/>
        <v>0</v>
      </c>
      <c r="R335" s="19">
        <f t="shared" si="377"/>
        <v>0</v>
      </c>
      <c r="S335" s="19">
        <f t="shared" si="378"/>
        <v>0</v>
      </c>
      <c r="T335" s="19">
        <f t="shared" si="378"/>
        <v>0</v>
      </c>
    </row>
    <row r="336" spans="1:20" x14ac:dyDescent="0.3">
      <c r="A336" s="136" t="s">
        <v>30</v>
      </c>
      <c r="B336" s="136"/>
      <c r="C336" s="7">
        <f t="shared" ref="C336:F336" si="379">C337+C338+C339</f>
        <v>4</v>
      </c>
      <c r="D336" s="7">
        <f t="shared" si="379"/>
        <v>4</v>
      </c>
      <c r="E336" s="7">
        <f t="shared" si="379"/>
        <v>4</v>
      </c>
      <c r="F336" s="7">
        <f t="shared" si="379"/>
        <v>4</v>
      </c>
      <c r="G336" s="20"/>
      <c r="H336" s="20">
        <f>H337+H338+H339</f>
        <v>1436928</v>
      </c>
      <c r="I336" s="20">
        <f t="shared" ref="I336" si="380">I337+I338+I339</f>
        <v>0</v>
      </c>
      <c r="J336" s="20">
        <f>H336</f>
        <v>1436928</v>
      </c>
      <c r="K336" s="20">
        <f>J336*30.2%</f>
        <v>433952.25599999999</v>
      </c>
      <c r="L336" s="20">
        <f>J336+K336</f>
        <v>1870880.2560000001</v>
      </c>
      <c r="O336" s="20">
        <f t="shared" ref="O336:T336" si="381">O337+O338+O339</f>
        <v>0</v>
      </c>
      <c r="P336" s="20">
        <f t="shared" si="381"/>
        <v>0</v>
      </c>
      <c r="Q336" s="20">
        <f t="shared" si="381"/>
        <v>0</v>
      </c>
      <c r="R336" s="20">
        <f t="shared" si="381"/>
        <v>0</v>
      </c>
      <c r="S336" s="20">
        <f t="shared" si="381"/>
        <v>0</v>
      </c>
      <c r="T336" s="20">
        <f t="shared" si="381"/>
        <v>0</v>
      </c>
    </row>
    <row r="337" spans="1:20" x14ac:dyDescent="0.3">
      <c r="A337" s="4"/>
      <c r="B337" s="5" t="s">
        <v>31</v>
      </c>
      <c r="C337" s="33">
        <v>2</v>
      </c>
      <c r="D337" s="33">
        <v>2</v>
      </c>
      <c r="E337" s="33">
        <v>2</v>
      </c>
      <c r="F337" s="33">
        <v>2</v>
      </c>
      <c r="G337" s="19">
        <f>'расчёт зарплаты'!K34</f>
        <v>30976</v>
      </c>
      <c r="H337" s="19">
        <f t="shared" ref="H337:H339" si="382">E337*G337*12+ ((D337-E337)*G337/2*12)</f>
        <v>743424</v>
      </c>
      <c r="I337" s="19"/>
      <c r="J337" s="19"/>
      <c r="K337" s="19"/>
      <c r="L337" s="19"/>
      <c r="O337" s="19">
        <f t="shared" ref="O337:P339" si="383">J337*L337*12+ ((I337-J337)*L337/2*12)</f>
        <v>0</v>
      </c>
      <c r="P337" s="19">
        <f t="shared" si="383"/>
        <v>0</v>
      </c>
      <c r="Q337" s="19">
        <f t="shared" ref="Q337:R339" si="384">L337*O337*12+ ((K337-L337)*O337/2*12)</f>
        <v>0</v>
      </c>
      <c r="R337" s="19">
        <f t="shared" si="384"/>
        <v>0</v>
      </c>
      <c r="S337" s="19">
        <f t="shared" ref="S337:T339" si="385">O337*Q337*12+ ((M337-O337)*Q337/2*12)</f>
        <v>0</v>
      </c>
      <c r="T337" s="19">
        <f t="shared" si="385"/>
        <v>0</v>
      </c>
    </row>
    <row r="338" spans="1:20" x14ac:dyDescent="0.3">
      <c r="A338" s="4"/>
      <c r="B338" s="5" t="s">
        <v>32</v>
      </c>
      <c r="C338" s="33"/>
      <c r="D338" s="33"/>
      <c r="E338" s="33"/>
      <c r="F338" s="33"/>
      <c r="G338" s="19"/>
      <c r="H338" s="19">
        <f t="shared" si="382"/>
        <v>0</v>
      </c>
      <c r="I338" s="19"/>
      <c r="J338" s="19"/>
      <c r="K338" s="19"/>
      <c r="L338" s="19"/>
      <c r="O338" s="19">
        <f t="shared" si="383"/>
        <v>0</v>
      </c>
      <c r="P338" s="19">
        <f t="shared" si="383"/>
        <v>0</v>
      </c>
      <c r="Q338" s="19">
        <f t="shared" si="384"/>
        <v>0</v>
      </c>
      <c r="R338" s="19">
        <f t="shared" si="384"/>
        <v>0</v>
      </c>
      <c r="S338" s="19">
        <f t="shared" si="385"/>
        <v>0</v>
      </c>
      <c r="T338" s="19">
        <f t="shared" si="385"/>
        <v>0</v>
      </c>
    </row>
    <row r="339" spans="1:20" x14ac:dyDescent="0.3">
      <c r="A339" s="4"/>
      <c r="B339" s="5" t="s">
        <v>33</v>
      </c>
      <c r="C339" s="33">
        <v>2</v>
      </c>
      <c r="D339" s="33">
        <v>2</v>
      </c>
      <c r="E339" s="33">
        <v>2</v>
      </c>
      <c r="F339" s="33">
        <v>2</v>
      </c>
      <c r="G339" s="19">
        <f>'расчёт зарплаты'!K38</f>
        <v>28896</v>
      </c>
      <c r="H339" s="19">
        <f t="shared" si="382"/>
        <v>693504</v>
      </c>
      <c r="I339" s="19"/>
      <c r="J339" s="19"/>
      <c r="K339" s="19"/>
      <c r="L339" s="19"/>
      <c r="O339" s="19">
        <f t="shared" si="383"/>
        <v>0</v>
      </c>
      <c r="P339" s="19">
        <f t="shared" si="383"/>
        <v>0</v>
      </c>
      <c r="Q339" s="19">
        <f t="shared" si="384"/>
        <v>0</v>
      </c>
      <c r="R339" s="19">
        <f t="shared" si="384"/>
        <v>0</v>
      </c>
      <c r="S339" s="19">
        <f t="shared" si="385"/>
        <v>0</v>
      </c>
      <c r="T339" s="19">
        <f t="shared" si="385"/>
        <v>0</v>
      </c>
    </row>
    <row r="340" spans="1:20" x14ac:dyDescent="0.3">
      <c r="A340" s="141" t="s">
        <v>70</v>
      </c>
      <c r="B340" s="141"/>
      <c r="C340" s="141"/>
      <c r="D340" s="141"/>
      <c r="E340" s="141"/>
      <c r="F340" s="141"/>
      <c r="G340" s="141"/>
      <c r="H340" s="141"/>
      <c r="I340" s="141"/>
      <c r="J340" s="141"/>
      <c r="K340" s="141"/>
      <c r="L340" s="141"/>
    </row>
    <row r="341" spans="1:20" ht="14.4" customHeight="1" x14ac:dyDescent="0.3">
      <c r="A341" s="133" t="s">
        <v>7</v>
      </c>
      <c r="B341" s="134"/>
      <c r="C341" s="8">
        <f>C342+C359+C355</f>
        <v>31.5</v>
      </c>
      <c r="D341" s="8">
        <f>D342+D359+D355</f>
        <v>27</v>
      </c>
      <c r="E341" s="8">
        <f>E342+E359+E355</f>
        <v>23.9</v>
      </c>
      <c r="F341" s="8">
        <f>F342+F359+F355</f>
        <v>21</v>
      </c>
      <c r="G341" s="19"/>
      <c r="H341" s="19"/>
      <c r="I341" s="19"/>
      <c r="J341" s="19"/>
      <c r="K341" s="19"/>
      <c r="L341" s="19"/>
      <c r="O341" s="19"/>
      <c r="P341" s="19"/>
      <c r="Q341" s="19"/>
      <c r="R341" s="19"/>
      <c r="S341" s="19"/>
      <c r="T341" s="19"/>
    </row>
    <row r="342" spans="1:20" ht="14.4" customHeight="1" x14ac:dyDescent="0.3">
      <c r="A342" s="133" t="s">
        <v>89</v>
      </c>
      <c r="B342" s="134"/>
      <c r="C342" s="40">
        <f t="shared" ref="C342:G342" si="386">SUM(C343:C354)</f>
        <v>22</v>
      </c>
      <c r="D342" s="40">
        <f t="shared" si="386"/>
        <v>20</v>
      </c>
      <c r="E342" s="40">
        <f t="shared" si="386"/>
        <v>17.899999999999999</v>
      </c>
      <c r="F342" s="40">
        <f t="shared" si="386"/>
        <v>16</v>
      </c>
      <c r="G342" s="40">
        <f t="shared" si="386"/>
        <v>176536</v>
      </c>
      <c r="H342" s="40">
        <f>SUM(H343:H354)</f>
        <v>6527971.2000000002</v>
      </c>
      <c r="I342" s="20"/>
      <c r="J342" s="20">
        <f>H342-I342</f>
        <v>6527971.2000000002</v>
      </c>
      <c r="K342" s="20">
        <f>J342*30.2%</f>
        <v>1971447.3023999999</v>
      </c>
      <c r="L342" s="20">
        <f>J342+K342</f>
        <v>8499418.5023999996</v>
      </c>
      <c r="O342" s="40">
        <f t="shared" ref="O342:T342" si="387">SUM(O343:O354)</f>
        <v>0</v>
      </c>
      <c r="P342" s="40">
        <f t="shared" si="387"/>
        <v>0</v>
      </c>
      <c r="Q342" s="40">
        <f t="shared" si="387"/>
        <v>0</v>
      </c>
      <c r="R342" s="40">
        <f t="shared" si="387"/>
        <v>0</v>
      </c>
      <c r="S342" s="40">
        <f t="shared" si="387"/>
        <v>0</v>
      </c>
      <c r="T342" s="40">
        <f t="shared" si="387"/>
        <v>0</v>
      </c>
    </row>
    <row r="343" spans="1:20" x14ac:dyDescent="0.3">
      <c r="A343" s="4"/>
      <c r="B343" s="5" t="s">
        <v>9</v>
      </c>
      <c r="C343" s="33">
        <v>12</v>
      </c>
      <c r="D343" s="33">
        <v>12</v>
      </c>
      <c r="E343" s="33">
        <v>11.9</v>
      </c>
      <c r="F343" s="33">
        <v>10</v>
      </c>
      <c r="G343" s="19">
        <f>'расчёт зарплаты'!K10</f>
        <v>28208</v>
      </c>
      <c r="H343" s="19">
        <f>E343*G343*12+ ((D343-E343)*G343/2*12)</f>
        <v>4045027.2</v>
      </c>
      <c r="I343" s="19"/>
      <c r="J343" s="19"/>
      <c r="K343" s="19"/>
      <c r="L343" s="19">
        <f>G343*K343*12</f>
        <v>0</v>
      </c>
      <c r="O343" s="19">
        <f t="shared" ref="O343:O353" si="388">J343*L343*12+ ((I343-J343)*L343/2*12)</f>
        <v>0</v>
      </c>
      <c r="P343" s="19">
        <f t="shared" ref="P343:P353" si="389">K343*M343*12+ ((J343-K343)*M343/2*12)</f>
        <v>0</v>
      </c>
      <c r="Q343" s="19">
        <f t="shared" ref="Q343:Q353" si="390">L343*O343*12+ ((K343-L343)*O343/2*12)</f>
        <v>0</v>
      </c>
      <c r="R343" s="19">
        <f t="shared" ref="R343:R353" si="391">M343*P343*12+ ((L343-M343)*P343/2*12)</f>
        <v>0</v>
      </c>
      <c r="S343" s="19">
        <f t="shared" ref="S343:T353" si="392">O343*Q343*12+ ((M343-O343)*Q343/2*12)</f>
        <v>0</v>
      </c>
      <c r="T343" s="19">
        <f t="shared" si="392"/>
        <v>0</v>
      </c>
    </row>
    <row r="344" spans="1:20" x14ac:dyDescent="0.3">
      <c r="A344" s="4"/>
      <c r="B344" s="5" t="s">
        <v>10</v>
      </c>
      <c r="C344" s="33"/>
      <c r="D344" s="33"/>
      <c r="E344" s="33"/>
      <c r="F344" s="33"/>
      <c r="G344" s="19"/>
      <c r="H344" s="19">
        <f t="shared" ref="H344:H353" si="393">E344*G344*12+ ((D344-E344)*G344/2*12)</f>
        <v>0</v>
      </c>
      <c r="I344" s="19"/>
      <c r="J344" s="19"/>
      <c r="K344" s="19"/>
      <c r="L344" s="19"/>
      <c r="O344" s="19">
        <f t="shared" si="388"/>
        <v>0</v>
      </c>
      <c r="P344" s="19">
        <f t="shared" si="389"/>
        <v>0</v>
      </c>
      <c r="Q344" s="19">
        <f t="shared" si="390"/>
        <v>0</v>
      </c>
      <c r="R344" s="19">
        <f t="shared" si="391"/>
        <v>0</v>
      </c>
      <c r="S344" s="19">
        <f t="shared" si="392"/>
        <v>0</v>
      </c>
      <c r="T344" s="19">
        <f t="shared" si="392"/>
        <v>0</v>
      </c>
    </row>
    <row r="345" spans="1:20" x14ac:dyDescent="0.3">
      <c r="A345" s="4"/>
      <c r="B345" s="5" t="s">
        <v>13</v>
      </c>
      <c r="C345" s="33">
        <v>2</v>
      </c>
      <c r="D345" s="33">
        <v>1</v>
      </c>
      <c r="E345" s="33">
        <v>1</v>
      </c>
      <c r="F345" s="33">
        <v>1</v>
      </c>
      <c r="G345" s="19">
        <f>'расчёт зарплаты'!K38</f>
        <v>28896</v>
      </c>
      <c r="H345" s="19">
        <f t="shared" si="393"/>
        <v>346752</v>
      </c>
      <c r="I345" s="19"/>
      <c r="J345" s="19"/>
      <c r="K345" s="19"/>
      <c r="L345" s="19"/>
      <c r="O345" s="19">
        <f t="shared" si="388"/>
        <v>0</v>
      </c>
      <c r="P345" s="19">
        <f t="shared" si="389"/>
        <v>0</v>
      </c>
      <c r="Q345" s="19">
        <f t="shared" si="390"/>
        <v>0</v>
      </c>
      <c r="R345" s="19">
        <f t="shared" si="391"/>
        <v>0</v>
      </c>
      <c r="S345" s="19">
        <f t="shared" si="392"/>
        <v>0</v>
      </c>
      <c r="T345" s="19">
        <f t="shared" si="392"/>
        <v>0</v>
      </c>
    </row>
    <row r="346" spans="1:20" ht="28.2" x14ac:dyDescent="0.3">
      <c r="A346" s="4"/>
      <c r="B346" s="5" t="s">
        <v>14</v>
      </c>
      <c r="C346" s="33"/>
      <c r="D346" s="33"/>
      <c r="E346" s="33"/>
      <c r="F346" s="33"/>
      <c r="G346" s="19"/>
      <c r="H346" s="19">
        <f t="shared" si="393"/>
        <v>0</v>
      </c>
      <c r="I346" s="19"/>
      <c r="J346" s="19"/>
      <c r="K346" s="19"/>
      <c r="L346" s="19"/>
      <c r="O346" s="19">
        <f t="shared" si="388"/>
        <v>0</v>
      </c>
      <c r="P346" s="19">
        <f t="shared" si="389"/>
        <v>0</v>
      </c>
      <c r="Q346" s="19">
        <f t="shared" si="390"/>
        <v>0</v>
      </c>
      <c r="R346" s="19">
        <f t="shared" si="391"/>
        <v>0</v>
      </c>
      <c r="S346" s="19">
        <f t="shared" si="392"/>
        <v>0</v>
      </c>
      <c r="T346" s="19">
        <f t="shared" si="392"/>
        <v>0</v>
      </c>
    </row>
    <row r="347" spans="1:20" x14ac:dyDescent="0.3">
      <c r="A347" s="4"/>
      <c r="B347" s="5" t="s">
        <v>15</v>
      </c>
      <c r="C347" s="33">
        <v>3</v>
      </c>
      <c r="D347" s="33">
        <v>2</v>
      </c>
      <c r="E347" s="33">
        <v>1</v>
      </c>
      <c r="F347" s="33">
        <v>1</v>
      </c>
      <c r="G347" s="19">
        <f>'расчёт зарплаты'!K34</f>
        <v>30976</v>
      </c>
      <c r="H347" s="19">
        <f t="shared" si="393"/>
        <v>557568</v>
      </c>
      <c r="I347" s="19"/>
      <c r="J347" s="19"/>
      <c r="K347" s="19"/>
      <c r="L347" s="19"/>
      <c r="O347" s="19">
        <f t="shared" si="388"/>
        <v>0</v>
      </c>
      <c r="P347" s="19">
        <f t="shared" si="389"/>
        <v>0</v>
      </c>
      <c r="Q347" s="19">
        <f t="shared" si="390"/>
        <v>0</v>
      </c>
      <c r="R347" s="19">
        <f t="shared" si="391"/>
        <v>0</v>
      </c>
      <c r="S347" s="19">
        <f t="shared" si="392"/>
        <v>0</v>
      </c>
      <c r="T347" s="19">
        <f t="shared" si="392"/>
        <v>0</v>
      </c>
    </row>
    <row r="348" spans="1:20" x14ac:dyDescent="0.3">
      <c r="A348" s="4"/>
      <c r="B348" s="5" t="s">
        <v>16</v>
      </c>
      <c r="C348" s="33">
        <v>3</v>
      </c>
      <c r="D348" s="33">
        <v>3</v>
      </c>
      <c r="E348" s="33">
        <v>3</v>
      </c>
      <c r="F348" s="33">
        <v>3</v>
      </c>
      <c r="G348" s="19">
        <f>'расчёт зарплаты'!K8</f>
        <v>28600</v>
      </c>
      <c r="H348" s="19">
        <f t="shared" si="393"/>
        <v>1029600</v>
      </c>
      <c r="I348" s="19"/>
      <c r="J348" s="19"/>
      <c r="K348" s="19"/>
      <c r="L348" s="19"/>
      <c r="O348" s="19">
        <f t="shared" si="388"/>
        <v>0</v>
      </c>
      <c r="P348" s="19">
        <f t="shared" si="389"/>
        <v>0</v>
      </c>
      <c r="Q348" s="19">
        <f t="shared" si="390"/>
        <v>0</v>
      </c>
      <c r="R348" s="19">
        <f t="shared" si="391"/>
        <v>0</v>
      </c>
      <c r="S348" s="19">
        <f t="shared" si="392"/>
        <v>0</v>
      </c>
      <c r="T348" s="19">
        <f t="shared" si="392"/>
        <v>0</v>
      </c>
    </row>
    <row r="349" spans="1:20" ht="42" x14ac:dyDescent="0.3">
      <c r="A349" s="4"/>
      <c r="B349" s="5" t="s">
        <v>17</v>
      </c>
      <c r="C349" s="33">
        <v>1</v>
      </c>
      <c r="D349" s="33">
        <v>1</v>
      </c>
      <c r="E349" s="33">
        <v>0</v>
      </c>
      <c r="F349" s="33">
        <v>0</v>
      </c>
      <c r="G349" s="19">
        <f>'расчёт зарплаты'!K10</f>
        <v>28208</v>
      </c>
      <c r="H349" s="19">
        <f t="shared" si="393"/>
        <v>169248</v>
      </c>
      <c r="I349" s="19"/>
      <c r="J349" s="19"/>
      <c r="K349" s="19"/>
      <c r="L349" s="19"/>
      <c r="O349" s="19">
        <f t="shared" si="388"/>
        <v>0</v>
      </c>
      <c r="P349" s="19">
        <f t="shared" si="389"/>
        <v>0</v>
      </c>
      <c r="Q349" s="19">
        <f t="shared" si="390"/>
        <v>0</v>
      </c>
      <c r="R349" s="19">
        <f t="shared" si="391"/>
        <v>0</v>
      </c>
      <c r="S349" s="19">
        <f t="shared" si="392"/>
        <v>0</v>
      </c>
      <c r="T349" s="19">
        <f t="shared" si="392"/>
        <v>0</v>
      </c>
    </row>
    <row r="350" spans="1:20" ht="28.2" x14ac:dyDescent="0.3">
      <c r="A350" s="4"/>
      <c r="B350" s="5" t="s">
        <v>18</v>
      </c>
      <c r="C350" s="33">
        <v>1</v>
      </c>
      <c r="D350" s="33">
        <v>1</v>
      </c>
      <c r="E350" s="33">
        <v>1</v>
      </c>
      <c r="F350" s="33">
        <v>1</v>
      </c>
      <c r="G350" s="19">
        <f>'расчёт зарплаты'!K20</f>
        <v>31648</v>
      </c>
      <c r="H350" s="19">
        <f t="shared" si="393"/>
        <v>379776</v>
      </c>
      <c r="I350" s="19"/>
      <c r="J350" s="19"/>
      <c r="K350" s="19"/>
      <c r="L350" s="19"/>
      <c r="O350" s="19">
        <f t="shared" si="388"/>
        <v>0</v>
      </c>
      <c r="P350" s="19">
        <f t="shared" si="389"/>
        <v>0</v>
      </c>
      <c r="Q350" s="19">
        <f t="shared" si="390"/>
        <v>0</v>
      </c>
      <c r="R350" s="19">
        <f t="shared" si="391"/>
        <v>0</v>
      </c>
      <c r="S350" s="19">
        <f t="shared" si="392"/>
        <v>0</v>
      </c>
      <c r="T350" s="19">
        <f t="shared" si="392"/>
        <v>0</v>
      </c>
    </row>
    <row r="351" spans="1:20" ht="42" x14ac:dyDescent="0.3">
      <c r="A351" s="4"/>
      <c r="B351" s="5" t="s">
        <v>91</v>
      </c>
      <c r="C351" s="33"/>
      <c r="D351" s="33"/>
      <c r="E351" s="33"/>
      <c r="F351" s="33"/>
      <c r="G351" s="19"/>
      <c r="H351" s="19">
        <f t="shared" si="393"/>
        <v>0</v>
      </c>
      <c r="I351" s="19"/>
      <c r="J351" s="19"/>
      <c r="K351" s="19"/>
      <c r="L351" s="19"/>
      <c r="O351" s="19">
        <f t="shared" si="388"/>
        <v>0</v>
      </c>
      <c r="P351" s="19">
        <f t="shared" si="389"/>
        <v>0</v>
      </c>
      <c r="Q351" s="19">
        <f t="shared" si="390"/>
        <v>0</v>
      </c>
      <c r="R351" s="19">
        <f t="shared" si="391"/>
        <v>0</v>
      </c>
      <c r="S351" s="19">
        <f t="shared" si="392"/>
        <v>0</v>
      </c>
      <c r="T351" s="19">
        <f t="shared" si="392"/>
        <v>0</v>
      </c>
    </row>
    <row r="352" spans="1:20" x14ac:dyDescent="0.3">
      <c r="A352" s="4"/>
      <c r="B352" s="5" t="s">
        <v>20</v>
      </c>
      <c r="C352" s="33"/>
      <c r="D352" s="33"/>
      <c r="E352" s="33"/>
      <c r="F352" s="33"/>
      <c r="G352" s="19"/>
      <c r="H352" s="19">
        <f t="shared" si="393"/>
        <v>0</v>
      </c>
      <c r="I352" s="19"/>
      <c r="J352" s="19"/>
      <c r="K352" s="19"/>
      <c r="L352" s="19"/>
      <c r="O352" s="19">
        <f t="shared" si="388"/>
        <v>0</v>
      </c>
      <c r="P352" s="19">
        <f t="shared" si="389"/>
        <v>0</v>
      </c>
      <c r="Q352" s="19">
        <f t="shared" si="390"/>
        <v>0</v>
      </c>
      <c r="R352" s="19">
        <f t="shared" si="391"/>
        <v>0</v>
      </c>
      <c r="S352" s="19">
        <f t="shared" si="392"/>
        <v>0</v>
      </c>
      <c r="T352" s="19">
        <f t="shared" si="392"/>
        <v>0</v>
      </c>
    </row>
    <row r="353" spans="1:20" ht="39.6" x14ac:dyDescent="0.3">
      <c r="A353" s="4"/>
      <c r="B353" s="6" t="s">
        <v>21</v>
      </c>
      <c r="C353" s="33"/>
      <c r="D353" s="33"/>
      <c r="E353" s="33"/>
      <c r="F353" s="33"/>
      <c r="G353" s="19"/>
      <c r="H353" s="19">
        <f t="shared" si="393"/>
        <v>0</v>
      </c>
      <c r="I353" s="19"/>
      <c r="J353" s="19"/>
      <c r="K353" s="19"/>
      <c r="L353" s="19"/>
      <c r="O353" s="19">
        <f t="shared" si="388"/>
        <v>0</v>
      </c>
      <c r="P353" s="19">
        <f t="shared" si="389"/>
        <v>0</v>
      </c>
      <c r="Q353" s="19">
        <f t="shared" si="390"/>
        <v>0</v>
      </c>
      <c r="R353" s="19">
        <f t="shared" si="391"/>
        <v>0</v>
      </c>
      <c r="S353" s="19">
        <f t="shared" si="392"/>
        <v>0</v>
      </c>
      <c r="T353" s="19">
        <f t="shared" si="392"/>
        <v>0</v>
      </c>
    </row>
    <row r="354" spans="1:20" x14ac:dyDescent="0.3">
      <c r="A354" s="4"/>
      <c r="B354" s="5" t="s">
        <v>22</v>
      </c>
      <c r="C354" s="33"/>
      <c r="D354" s="33"/>
      <c r="E354" s="33"/>
      <c r="F354" s="33"/>
      <c r="G354" s="19"/>
      <c r="H354" s="19">
        <f t="shared" ref="H354" si="394">E354*G354*12</f>
        <v>0</v>
      </c>
      <c r="I354" s="19"/>
      <c r="J354" s="19"/>
      <c r="K354" s="19"/>
      <c r="L354" s="19"/>
      <c r="O354" s="19">
        <f>J354*L354*12</f>
        <v>0</v>
      </c>
      <c r="P354" s="19">
        <f>K354*M354*12</f>
        <v>0</v>
      </c>
      <c r="Q354" s="19">
        <f>L354*O354*12</f>
        <v>0</v>
      </c>
      <c r="R354" s="19">
        <f>M354*P354*12</f>
        <v>0</v>
      </c>
      <c r="S354" s="19">
        <f t="shared" ref="S354:T354" si="395">O354*Q354*12</f>
        <v>0</v>
      </c>
      <c r="T354" s="19">
        <f t="shared" si="395"/>
        <v>0</v>
      </c>
    </row>
    <row r="355" spans="1:20" x14ac:dyDescent="0.3">
      <c r="A355" s="38" t="s">
        <v>57</v>
      </c>
      <c r="B355" s="39"/>
      <c r="C355" s="41">
        <f>C356+C357+C358</f>
        <v>4</v>
      </c>
      <c r="D355" s="41">
        <f t="shared" ref="D355:F355" si="396">D356+D357+D358</f>
        <v>3</v>
      </c>
      <c r="E355" s="41">
        <f t="shared" si="396"/>
        <v>2</v>
      </c>
      <c r="F355" s="41">
        <f t="shared" si="396"/>
        <v>2</v>
      </c>
      <c r="G355" s="41"/>
      <c r="H355" s="41">
        <f t="shared" ref="H355:L355" si="397">H356+H357+H358</f>
        <v>830088</v>
      </c>
      <c r="I355" s="42">
        <f t="shared" si="397"/>
        <v>0</v>
      </c>
      <c r="J355" s="42">
        <f t="shared" si="397"/>
        <v>0</v>
      </c>
      <c r="K355" s="42">
        <f t="shared" si="397"/>
        <v>0</v>
      </c>
      <c r="L355" s="42">
        <f t="shared" si="397"/>
        <v>0</v>
      </c>
      <c r="O355" s="41">
        <f t="shared" ref="O355:P355" si="398">O356+O357+O358</f>
        <v>0</v>
      </c>
      <c r="P355" s="41">
        <f t="shared" si="398"/>
        <v>0</v>
      </c>
      <c r="Q355" s="41">
        <f t="shared" ref="Q355" si="399">Q356+Q357+Q358</f>
        <v>0</v>
      </c>
      <c r="R355" s="41">
        <f t="shared" ref="R355:S355" si="400">R356+R357+R358</f>
        <v>0</v>
      </c>
      <c r="S355" s="41">
        <f t="shared" si="400"/>
        <v>0</v>
      </c>
      <c r="T355" s="41">
        <f t="shared" ref="T355" si="401">T356+T357+T358</f>
        <v>0</v>
      </c>
    </row>
    <row r="356" spans="1:20" x14ac:dyDescent="0.3">
      <c r="A356" s="4"/>
      <c r="B356" s="5" t="s">
        <v>11</v>
      </c>
      <c r="C356" s="9">
        <v>1</v>
      </c>
      <c r="D356" s="9">
        <v>1</v>
      </c>
      <c r="E356" s="9">
        <v>0</v>
      </c>
      <c r="F356" s="9">
        <v>0</v>
      </c>
      <c r="G356" s="19">
        <f>'расчёт зарплаты'!K26</f>
        <v>27300</v>
      </c>
      <c r="H356" s="19">
        <f t="shared" ref="H356:H359" si="402">E356*G356*12+ ((D356-E356)*G356/2*12)</f>
        <v>163800</v>
      </c>
      <c r="I356" s="19"/>
      <c r="J356" s="19"/>
      <c r="K356" s="19"/>
      <c r="L356" s="19"/>
      <c r="O356" s="19">
        <f t="shared" ref="O356:P359" si="403">J356*L356*12+ ((I356-J356)*L356/2*12)</f>
        <v>0</v>
      </c>
      <c r="P356" s="19">
        <f t="shared" si="403"/>
        <v>0</v>
      </c>
      <c r="Q356" s="19">
        <f t="shared" ref="Q356:R359" si="404">L356*O356*12+ ((K356-L356)*O356/2*12)</f>
        <v>0</v>
      </c>
      <c r="R356" s="19">
        <f t="shared" si="404"/>
        <v>0</v>
      </c>
      <c r="S356" s="19">
        <f t="shared" ref="S356:T359" si="405">O356*Q356*12+ ((M356-O356)*Q356/2*12)</f>
        <v>0</v>
      </c>
      <c r="T356" s="19">
        <f t="shared" si="405"/>
        <v>0</v>
      </c>
    </row>
    <row r="357" spans="1:20" x14ac:dyDescent="0.3">
      <c r="A357" s="4"/>
      <c r="B357" s="5" t="s">
        <v>12</v>
      </c>
      <c r="C357" s="9">
        <v>1</v>
      </c>
      <c r="D357" s="9">
        <v>1</v>
      </c>
      <c r="E357" s="9">
        <v>1</v>
      </c>
      <c r="F357" s="9">
        <v>1</v>
      </c>
      <c r="G357" s="19">
        <f>'расчёт зарплаты'!K26</f>
        <v>27300</v>
      </c>
      <c r="H357" s="19">
        <f t="shared" si="402"/>
        <v>327600</v>
      </c>
      <c r="I357" s="19"/>
      <c r="J357" s="19"/>
      <c r="K357" s="19"/>
      <c r="L357" s="19"/>
      <c r="O357" s="19">
        <f t="shared" si="403"/>
        <v>0</v>
      </c>
      <c r="P357" s="19">
        <f t="shared" si="403"/>
        <v>0</v>
      </c>
      <c r="Q357" s="19">
        <f t="shared" si="404"/>
        <v>0</v>
      </c>
      <c r="R357" s="19">
        <f t="shared" si="404"/>
        <v>0</v>
      </c>
      <c r="S357" s="19">
        <f t="shared" si="405"/>
        <v>0</v>
      </c>
      <c r="T357" s="19">
        <f t="shared" si="405"/>
        <v>0</v>
      </c>
    </row>
    <row r="358" spans="1:20" ht="28.2" x14ac:dyDescent="0.3">
      <c r="A358" s="4"/>
      <c r="B358" s="5" t="s">
        <v>19</v>
      </c>
      <c r="C358" s="9">
        <v>2</v>
      </c>
      <c r="D358" s="9">
        <v>1</v>
      </c>
      <c r="E358" s="9">
        <v>1</v>
      </c>
      <c r="F358" s="9">
        <v>1</v>
      </c>
      <c r="G358" s="19">
        <f>'расчёт зарплаты'!K40</f>
        <v>28224</v>
      </c>
      <c r="H358" s="19">
        <f t="shared" si="402"/>
        <v>338688</v>
      </c>
      <c r="I358" s="19"/>
      <c r="J358" s="19"/>
      <c r="K358" s="19"/>
      <c r="L358" s="19"/>
      <c r="O358" s="19">
        <f t="shared" si="403"/>
        <v>0</v>
      </c>
      <c r="P358" s="19">
        <f t="shared" si="403"/>
        <v>0</v>
      </c>
      <c r="Q358" s="19">
        <f t="shared" si="404"/>
        <v>0</v>
      </c>
      <c r="R358" s="19">
        <f t="shared" si="404"/>
        <v>0</v>
      </c>
      <c r="S358" s="19">
        <f t="shared" si="405"/>
        <v>0</v>
      </c>
      <c r="T358" s="19">
        <f t="shared" si="405"/>
        <v>0</v>
      </c>
    </row>
    <row r="359" spans="1:20" x14ac:dyDescent="0.3">
      <c r="A359" s="135" t="s">
        <v>23</v>
      </c>
      <c r="B359" s="135"/>
      <c r="C359" s="7">
        <f t="shared" ref="C359:F359" si="406">C360+C366</f>
        <v>5.5</v>
      </c>
      <c r="D359" s="7">
        <f t="shared" si="406"/>
        <v>4</v>
      </c>
      <c r="E359" s="7">
        <f t="shared" si="406"/>
        <v>4</v>
      </c>
      <c r="F359" s="7">
        <f t="shared" si="406"/>
        <v>3</v>
      </c>
      <c r="G359" s="19"/>
      <c r="H359" s="19">
        <f t="shared" si="402"/>
        <v>0</v>
      </c>
      <c r="I359" s="19"/>
      <c r="J359" s="20">
        <f t="shared" ref="J359:K359" si="407">J360+J366</f>
        <v>1329552</v>
      </c>
      <c r="K359" s="20">
        <f t="shared" si="407"/>
        <v>401524.70399999997</v>
      </c>
      <c r="L359" s="20">
        <f>L360+L366</f>
        <v>1731076.7040000001</v>
      </c>
      <c r="O359" s="19">
        <f t="shared" si="403"/>
        <v>13809338963739.65</v>
      </c>
      <c r="P359" s="19">
        <f t="shared" si="403"/>
        <v>0</v>
      </c>
      <c r="Q359" s="19">
        <f t="shared" si="404"/>
        <v>1.7669889430572263E+20</v>
      </c>
      <c r="R359" s="19">
        <f t="shared" si="404"/>
        <v>0</v>
      </c>
      <c r="S359" s="19">
        <f t="shared" si="405"/>
        <v>1.4640569555914378E+34</v>
      </c>
      <c r="T359" s="19">
        <f t="shared" si="405"/>
        <v>0</v>
      </c>
    </row>
    <row r="360" spans="1:20" x14ac:dyDescent="0.3">
      <c r="A360" s="136" t="s">
        <v>24</v>
      </c>
      <c r="B360" s="136"/>
      <c r="C360" s="7">
        <f t="shared" ref="C360:F360" si="408">C361+C362+C363+C364+C365</f>
        <v>4</v>
      </c>
      <c r="D360" s="7">
        <f t="shared" si="408"/>
        <v>3</v>
      </c>
      <c r="E360" s="7">
        <f t="shared" si="408"/>
        <v>3</v>
      </c>
      <c r="F360" s="7">
        <f t="shared" si="408"/>
        <v>2</v>
      </c>
      <c r="G360" s="20"/>
      <c r="H360" s="20">
        <f>H361+H362+H363+H364+H365</f>
        <v>982800</v>
      </c>
      <c r="I360" s="20">
        <f t="shared" ref="I360" si="409">I361+I362+I363+I364+I365</f>
        <v>0</v>
      </c>
      <c r="J360" s="20">
        <f>H360</f>
        <v>982800</v>
      </c>
      <c r="K360" s="20">
        <f>J360*30.2%</f>
        <v>296805.59999999998</v>
      </c>
      <c r="L360" s="20">
        <f>J360+K360</f>
        <v>1279605.6000000001</v>
      </c>
      <c r="O360" s="20">
        <f t="shared" ref="O360:T360" si="410">O361+O362+O363+O364+O365</f>
        <v>0</v>
      </c>
      <c r="P360" s="20">
        <f t="shared" si="410"/>
        <v>0</v>
      </c>
      <c r="Q360" s="20">
        <f t="shared" si="410"/>
        <v>0</v>
      </c>
      <c r="R360" s="20">
        <f t="shared" si="410"/>
        <v>0</v>
      </c>
      <c r="S360" s="20">
        <f t="shared" si="410"/>
        <v>0</v>
      </c>
      <c r="T360" s="20">
        <f t="shared" si="410"/>
        <v>0</v>
      </c>
    </row>
    <row r="361" spans="1:20" x14ac:dyDescent="0.3">
      <c r="A361" s="4"/>
      <c r="B361" s="5" t="s">
        <v>25</v>
      </c>
      <c r="C361" s="33"/>
      <c r="D361" s="33"/>
      <c r="E361" s="33"/>
      <c r="F361" s="33"/>
      <c r="G361" s="19"/>
      <c r="H361" s="19">
        <f t="shared" ref="H361:H365" si="411">E361*G361*12+ ((D361-E361)*G361/2*12)</f>
        <v>0</v>
      </c>
      <c r="I361" s="19"/>
      <c r="J361" s="19"/>
      <c r="K361" s="19"/>
      <c r="L361" s="19"/>
      <c r="O361" s="19">
        <f t="shared" ref="O361:P365" si="412">J361*L361*12+ ((I361-J361)*L361/2*12)</f>
        <v>0</v>
      </c>
      <c r="P361" s="19">
        <f t="shared" si="412"/>
        <v>0</v>
      </c>
      <c r="Q361" s="19">
        <f t="shared" ref="Q361:R365" si="413">L361*O361*12+ ((K361-L361)*O361/2*12)</f>
        <v>0</v>
      </c>
      <c r="R361" s="19">
        <f t="shared" si="413"/>
        <v>0</v>
      </c>
      <c r="S361" s="19">
        <f t="shared" ref="S361:T365" si="414">O361*Q361*12+ ((M361-O361)*Q361/2*12)</f>
        <v>0</v>
      </c>
      <c r="T361" s="19">
        <f t="shared" si="414"/>
        <v>0</v>
      </c>
    </row>
    <row r="362" spans="1:20" x14ac:dyDescent="0.3">
      <c r="A362" s="4"/>
      <c r="B362" s="5" t="s">
        <v>26</v>
      </c>
      <c r="C362" s="33"/>
      <c r="D362" s="33"/>
      <c r="E362" s="33"/>
      <c r="F362" s="33"/>
      <c r="G362" s="19"/>
      <c r="H362" s="19">
        <f t="shared" si="411"/>
        <v>0</v>
      </c>
      <c r="I362" s="19"/>
      <c r="J362" s="19"/>
      <c r="K362" s="19"/>
      <c r="L362" s="19"/>
      <c r="O362" s="19">
        <f t="shared" si="412"/>
        <v>0</v>
      </c>
      <c r="P362" s="19">
        <f t="shared" si="412"/>
        <v>0</v>
      </c>
      <c r="Q362" s="19">
        <f t="shared" si="413"/>
        <v>0</v>
      </c>
      <c r="R362" s="19">
        <f t="shared" si="413"/>
        <v>0</v>
      </c>
      <c r="S362" s="19">
        <f t="shared" si="414"/>
        <v>0</v>
      </c>
      <c r="T362" s="19">
        <f t="shared" si="414"/>
        <v>0</v>
      </c>
    </row>
    <row r="363" spans="1:20" x14ac:dyDescent="0.3">
      <c r="A363" s="4"/>
      <c r="B363" s="5" t="s">
        <v>27</v>
      </c>
      <c r="C363" s="33"/>
      <c r="D363" s="33"/>
      <c r="E363" s="33"/>
      <c r="F363" s="33"/>
      <c r="G363" s="19"/>
      <c r="H363" s="19">
        <f t="shared" si="411"/>
        <v>0</v>
      </c>
      <c r="I363" s="19"/>
      <c r="J363" s="19"/>
      <c r="K363" s="19"/>
      <c r="L363" s="19"/>
      <c r="O363" s="19">
        <f t="shared" si="412"/>
        <v>0</v>
      </c>
      <c r="P363" s="19">
        <f t="shared" si="412"/>
        <v>0</v>
      </c>
      <c r="Q363" s="19">
        <f t="shared" si="413"/>
        <v>0</v>
      </c>
      <c r="R363" s="19">
        <f t="shared" si="413"/>
        <v>0</v>
      </c>
      <c r="S363" s="19">
        <f t="shared" si="414"/>
        <v>0</v>
      </c>
      <c r="T363" s="19">
        <f t="shared" si="414"/>
        <v>0</v>
      </c>
    </row>
    <row r="364" spans="1:20" ht="28.2" x14ac:dyDescent="0.3">
      <c r="A364" s="4"/>
      <c r="B364" s="5" t="s">
        <v>28</v>
      </c>
      <c r="C364" s="33">
        <v>2</v>
      </c>
      <c r="D364" s="33">
        <v>1</v>
      </c>
      <c r="E364" s="33">
        <v>1</v>
      </c>
      <c r="F364" s="33">
        <v>1</v>
      </c>
      <c r="G364" s="19">
        <f>'расчёт зарплаты'!K26</f>
        <v>27300</v>
      </c>
      <c r="H364" s="19">
        <f t="shared" si="411"/>
        <v>327600</v>
      </c>
      <c r="I364" s="19"/>
      <c r="J364" s="19"/>
      <c r="K364" s="19"/>
      <c r="L364" s="19"/>
      <c r="O364" s="19">
        <f t="shared" si="412"/>
        <v>0</v>
      </c>
      <c r="P364" s="19">
        <f t="shared" si="412"/>
        <v>0</v>
      </c>
      <c r="Q364" s="19">
        <f t="shared" si="413"/>
        <v>0</v>
      </c>
      <c r="R364" s="19">
        <f t="shared" si="413"/>
        <v>0</v>
      </c>
      <c r="S364" s="19">
        <f t="shared" si="414"/>
        <v>0</v>
      </c>
      <c r="T364" s="19">
        <f t="shared" si="414"/>
        <v>0</v>
      </c>
    </row>
    <row r="365" spans="1:20" x14ac:dyDescent="0.3">
      <c r="A365" s="4"/>
      <c r="B365" s="5" t="s">
        <v>29</v>
      </c>
      <c r="C365" s="33">
        <v>2</v>
      </c>
      <c r="D365" s="33">
        <v>2</v>
      </c>
      <c r="E365" s="33">
        <v>2</v>
      </c>
      <c r="F365" s="33">
        <v>1</v>
      </c>
      <c r="G365" s="19">
        <f>'расчёт зарплаты'!K26</f>
        <v>27300</v>
      </c>
      <c r="H365" s="19">
        <f t="shared" si="411"/>
        <v>655200</v>
      </c>
      <c r="I365" s="19"/>
      <c r="J365" s="19"/>
      <c r="K365" s="19"/>
      <c r="L365" s="19"/>
      <c r="O365" s="19">
        <f t="shared" si="412"/>
        <v>0</v>
      </c>
      <c r="P365" s="19">
        <f t="shared" si="412"/>
        <v>0</v>
      </c>
      <c r="Q365" s="19">
        <f t="shared" si="413"/>
        <v>0</v>
      </c>
      <c r="R365" s="19">
        <f t="shared" si="413"/>
        <v>0</v>
      </c>
      <c r="S365" s="19">
        <f t="shared" si="414"/>
        <v>0</v>
      </c>
      <c r="T365" s="19">
        <f t="shared" si="414"/>
        <v>0</v>
      </c>
    </row>
    <row r="366" spans="1:20" x14ac:dyDescent="0.3">
      <c r="A366" s="136" t="s">
        <v>30</v>
      </c>
      <c r="B366" s="136"/>
      <c r="C366" s="7">
        <f t="shared" ref="C366:F366" si="415">C367+C368+C369</f>
        <v>1.5</v>
      </c>
      <c r="D366" s="7">
        <f t="shared" si="415"/>
        <v>1</v>
      </c>
      <c r="E366" s="7">
        <f t="shared" si="415"/>
        <v>1</v>
      </c>
      <c r="F366" s="7">
        <f t="shared" si="415"/>
        <v>1</v>
      </c>
      <c r="G366" s="20"/>
      <c r="H366" s="20">
        <f>H367+H368+H369</f>
        <v>346752</v>
      </c>
      <c r="I366" s="20">
        <f t="shared" ref="I366" si="416">I367+I368+I369</f>
        <v>0</v>
      </c>
      <c r="J366" s="20">
        <f>H366</f>
        <v>346752</v>
      </c>
      <c r="K366" s="20">
        <f>J366*30.2%</f>
        <v>104719.10399999999</v>
      </c>
      <c r="L366" s="20">
        <f>J366+K366</f>
        <v>451471.10399999999</v>
      </c>
      <c r="O366" s="20">
        <f t="shared" ref="O366:T366" si="417">O367+O368+O369</f>
        <v>0</v>
      </c>
      <c r="P366" s="20">
        <f t="shared" si="417"/>
        <v>0</v>
      </c>
      <c r="Q366" s="20">
        <f t="shared" si="417"/>
        <v>0</v>
      </c>
      <c r="R366" s="20">
        <f t="shared" si="417"/>
        <v>0</v>
      </c>
      <c r="S366" s="20">
        <f t="shared" si="417"/>
        <v>0</v>
      </c>
      <c r="T366" s="20">
        <f t="shared" si="417"/>
        <v>0</v>
      </c>
    </row>
    <row r="367" spans="1:20" x14ac:dyDescent="0.3">
      <c r="A367" s="4"/>
      <c r="B367" s="5" t="s">
        <v>31</v>
      </c>
      <c r="C367" s="33"/>
      <c r="D367" s="33"/>
      <c r="E367" s="33"/>
      <c r="F367" s="33"/>
      <c r="G367" s="19"/>
      <c r="H367" s="19">
        <f t="shared" ref="H367:H369" si="418">E367*G367*12+ ((D367-E367)*G367/2*12)</f>
        <v>0</v>
      </c>
      <c r="I367" s="19"/>
      <c r="J367" s="19"/>
      <c r="K367" s="19"/>
      <c r="L367" s="19"/>
      <c r="O367" s="19">
        <f t="shared" ref="O367:P369" si="419">J367*L367*12+ ((I367-J367)*L367/2*12)</f>
        <v>0</v>
      </c>
      <c r="P367" s="19">
        <f t="shared" si="419"/>
        <v>0</v>
      </c>
      <c r="Q367" s="19">
        <f t="shared" ref="Q367:R369" si="420">L367*O367*12+ ((K367-L367)*O367/2*12)</f>
        <v>0</v>
      </c>
      <c r="R367" s="19">
        <f t="shared" si="420"/>
        <v>0</v>
      </c>
      <c r="S367" s="19">
        <f t="shared" ref="S367:T369" si="421">O367*Q367*12+ ((M367-O367)*Q367/2*12)</f>
        <v>0</v>
      </c>
      <c r="T367" s="19">
        <f t="shared" si="421"/>
        <v>0</v>
      </c>
    </row>
    <row r="368" spans="1:20" x14ac:dyDescent="0.3">
      <c r="A368" s="4"/>
      <c r="B368" s="5" t="s">
        <v>32</v>
      </c>
      <c r="C368" s="33"/>
      <c r="D368" s="33"/>
      <c r="E368" s="33"/>
      <c r="F368" s="33"/>
      <c r="G368" s="19"/>
      <c r="H368" s="19">
        <f t="shared" si="418"/>
        <v>0</v>
      </c>
      <c r="I368" s="19"/>
      <c r="J368" s="19"/>
      <c r="K368" s="19"/>
      <c r="L368" s="19"/>
      <c r="O368" s="19">
        <f t="shared" si="419"/>
        <v>0</v>
      </c>
      <c r="P368" s="19">
        <f t="shared" si="419"/>
        <v>0</v>
      </c>
      <c r="Q368" s="19">
        <f t="shared" si="420"/>
        <v>0</v>
      </c>
      <c r="R368" s="19">
        <f t="shared" si="420"/>
        <v>0</v>
      </c>
      <c r="S368" s="19">
        <f t="shared" si="421"/>
        <v>0</v>
      </c>
      <c r="T368" s="19">
        <f t="shared" si="421"/>
        <v>0</v>
      </c>
    </row>
    <row r="369" spans="1:20" x14ac:dyDescent="0.3">
      <c r="A369" s="4"/>
      <c r="B369" s="5" t="s">
        <v>33</v>
      </c>
      <c r="C369" s="33">
        <v>1.5</v>
      </c>
      <c r="D369" s="33">
        <v>1</v>
      </c>
      <c r="E369" s="33">
        <v>1</v>
      </c>
      <c r="F369" s="33">
        <v>1</v>
      </c>
      <c r="G369" s="19">
        <f>'расчёт зарплаты'!K38</f>
        <v>28896</v>
      </c>
      <c r="H369" s="19">
        <f t="shared" si="418"/>
        <v>346752</v>
      </c>
      <c r="I369" s="19"/>
      <c r="J369" s="19"/>
      <c r="K369" s="19"/>
      <c r="L369" s="19"/>
      <c r="O369" s="19">
        <f t="shared" si="419"/>
        <v>0</v>
      </c>
      <c r="P369" s="19">
        <f t="shared" si="419"/>
        <v>0</v>
      </c>
      <c r="Q369" s="19">
        <f t="shared" si="420"/>
        <v>0</v>
      </c>
      <c r="R369" s="19">
        <f t="shared" si="420"/>
        <v>0</v>
      </c>
      <c r="S369" s="19">
        <f t="shared" si="421"/>
        <v>0</v>
      </c>
      <c r="T369" s="19">
        <f t="shared" si="421"/>
        <v>0</v>
      </c>
    </row>
    <row r="370" spans="1:20" x14ac:dyDescent="0.3">
      <c r="A370" s="141" t="s">
        <v>71</v>
      </c>
      <c r="B370" s="141"/>
      <c r="C370" s="141"/>
      <c r="D370" s="141"/>
      <c r="E370" s="141"/>
      <c r="F370" s="141"/>
      <c r="G370" s="141"/>
      <c r="H370" s="141"/>
      <c r="I370" s="141"/>
      <c r="J370" s="141"/>
      <c r="K370" s="141"/>
      <c r="L370" s="141"/>
    </row>
    <row r="371" spans="1:20" ht="14.4" customHeight="1" x14ac:dyDescent="0.3">
      <c r="A371" s="133" t="s">
        <v>7</v>
      </c>
      <c r="B371" s="134"/>
      <c r="C371" s="8">
        <f>C372+C389+C385</f>
        <v>16.75</v>
      </c>
      <c r="D371" s="8">
        <f>D372+D389+D385</f>
        <v>16.75</v>
      </c>
      <c r="E371" s="8">
        <f>E372+E389+E385</f>
        <v>16.75</v>
      </c>
      <c r="F371" s="8">
        <f>F372+F389+F385</f>
        <v>17</v>
      </c>
      <c r="G371" s="19"/>
      <c r="H371" s="19"/>
      <c r="I371" s="19"/>
      <c r="J371" s="19"/>
      <c r="K371" s="19"/>
      <c r="L371" s="19"/>
      <c r="O371" s="19"/>
      <c r="P371" s="19"/>
      <c r="Q371" s="19"/>
      <c r="R371" s="19"/>
      <c r="S371" s="19"/>
      <c r="T371" s="19"/>
    </row>
    <row r="372" spans="1:20" ht="14.4" customHeight="1" x14ac:dyDescent="0.3">
      <c r="A372" s="133" t="s">
        <v>89</v>
      </c>
      <c r="B372" s="134"/>
      <c r="C372" s="40">
        <f t="shared" ref="C372:G372" si="422">SUM(C373:C384)</f>
        <v>10.75</v>
      </c>
      <c r="D372" s="40">
        <f t="shared" si="422"/>
        <v>10.75</v>
      </c>
      <c r="E372" s="40">
        <f t="shared" si="422"/>
        <v>10.75</v>
      </c>
      <c r="F372" s="40">
        <f t="shared" si="422"/>
        <v>11</v>
      </c>
      <c r="G372" s="40">
        <f t="shared" si="422"/>
        <v>116680</v>
      </c>
      <c r="H372" s="40">
        <f>SUM(H373:H384)</f>
        <v>3725568</v>
      </c>
      <c r="I372" s="20"/>
      <c r="J372" s="20">
        <f>H372-I372</f>
        <v>3725568</v>
      </c>
      <c r="K372" s="20">
        <f>J372*30.2%</f>
        <v>1125121.5360000001</v>
      </c>
      <c r="L372" s="20">
        <f>J372+K372</f>
        <v>4850689.5360000003</v>
      </c>
      <c r="O372" s="40">
        <f t="shared" ref="O372:T372" si="423">SUM(O373:O384)</f>
        <v>0</v>
      </c>
      <c r="P372" s="40">
        <f t="shared" si="423"/>
        <v>0</v>
      </c>
      <c r="Q372" s="40">
        <f t="shared" si="423"/>
        <v>0</v>
      </c>
      <c r="R372" s="40">
        <f t="shared" si="423"/>
        <v>0</v>
      </c>
      <c r="S372" s="40">
        <f t="shared" si="423"/>
        <v>0</v>
      </c>
      <c r="T372" s="40">
        <f t="shared" si="423"/>
        <v>0</v>
      </c>
    </row>
    <row r="373" spans="1:20" x14ac:dyDescent="0.3">
      <c r="A373" s="4"/>
      <c r="B373" s="5" t="s">
        <v>9</v>
      </c>
      <c r="C373" s="33">
        <v>5</v>
      </c>
      <c r="D373" s="33">
        <v>5</v>
      </c>
      <c r="E373" s="33">
        <v>5</v>
      </c>
      <c r="F373" s="33">
        <v>5</v>
      </c>
      <c r="G373" s="19">
        <f>'расчёт зарплаты'!K10</f>
        <v>28208</v>
      </c>
      <c r="H373" s="19">
        <f>E373*G373*12+ ((D373-E373)*G373/2*12)</f>
        <v>1692480</v>
      </c>
      <c r="I373" s="19"/>
      <c r="J373" s="19"/>
      <c r="K373" s="19"/>
      <c r="L373" s="19">
        <f>G373*K373*12</f>
        <v>0</v>
      </c>
      <c r="O373" s="19">
        <f t="shared" ref="O373:O383" si="424">J373*L373*12+ ((I373-J373)*L373/2*12)</f>
        <v>0</v>
      </c>
      <c r="P373" s="19">
        <f t="shared" ref="P373:P383" si="425">K373*M373*12+ ((J373-K373)*M373/2*12)</f>
        <v>0</v>
      </c>
      <c r="Q373" s="19">
        <f t="shared" ref="Q373:Q383" si="426">L373*O373*12+ ((K373-L373)*O373/2*12)</f>
        <v>0</v>
      </c>
      <c r="R373" s="19">
        <f t="shared" ref="R373:R383" si="427">M373*P373*12+ ((L373-M373)*P373/2*12)</f>
        <v>0</v>
      </c>
      <c r="S373" s="19">
        <f t="shared" ref="S373:T383" si="428">O373*Q373*12+ ((M373-O373)*Q373/2*12)</f>
        <v>0</v>
      </c>
      <c r="T373" s="19">
        <f t="shared" si="428"/>
        <v>0</v>
      </c>
    </row>
    <row r="374" spans="1:20" x14ac:dyDescent="0.3">
      <c r="A374" s="4"/>
      <c r="B374" s="5" t="s">
        <v>10</v>
      </c>
      <c r="C374" s="33"/>
      <c r="D374" s="33"/>
      <c r="E374" s="33"/>
      <c r="F374" s="33"/>
      <c r="G374" s="19"/>
      <c r="H374" s="19">
        <f t="shared" ref="H374:H383" si="429">E374*G374*12+ ((D374-E374)*G374/2*12)</f>
        <v>0</v>
      </c>
      <c r="I374" s="19"/>
      <c r="J374" s="19"/>
      <c r="K374" s="19"/>
      <c r="L374" s="19"/>
      <c r="O374" s="19">
        <f t="shared" si="424"/>
        <v>0</v>
      </c>
      <c r="P374" s="19">
        <f t="shared" si="425"/>
        <v>0</v>
      </c>
      <c r="Q374" s="19">
        <f t="shared" si="426"/>
        <v>0</v>
      </c>
      <c r="R374" s="19">
        <f t="shared" si="427"/>
        <v>0</v>
      </c>
      <c r="S374" s="19">
        <f t="shared" si="428"/>
        <v>0</v>
      </c>
      <c r="T374" s="19">
        <f t="shared" si="428"/>
        <v>0</v>
      </c>
    </row>
    <row r="375" spans="1:20" x14ac:dyDescent="0.3">
      <c r="A375" s="4"/>
      <c r="B375" s="5" t="s">
        <v>13</v>
      </c>
      <c r="C375" s="33">
        <v>0.75</v>
      </c>
      <c r="D375" s="33">
        <v>0.75</v>
      </c>
      <c r="E375" s="33">
        <v>0.75</v>
      </c>
      <c r="F375" s="33">
        <v>1</v>
      </c>
      <c r="G375" s="19">
        <f>'расчёт зарплаты'!K38</f>
        <v>28896</v>
      </c>
      <c r="H375" s="19">
        <f t="shared" si="429"/>
        <v>260064</v>
      </c>
      <c r="I375" s="19"/>
      <c r="J375" s="19"/>
      <c r="K375" s="19"/>
      <c r="L375" s="19"/>
      <c r="O375" s="19">
        <f t="shared" si="424"/>
        <v>0</v>
      </c>
      <c r="P375" s="19">
        <f t="shared" si="425"/>
        <v>0</v>
      </c>
      <c r="Q375" s="19">
        <f t="shared" si="426"/>
        <v>0</v>
      </c>
      <c r="R375" s="19">
        <f t="shared" si="427"/>
        <v>0</v>
      </c>
      <c r="S375" s="19">
        <f t="shared" si="428"/>
        <v>0</v>
      </c>
      <c r="T375" s="19">
        <f t="shared" si="428"/>
        <v>0</v>
      </c>
    </row>
    <row r="376" spans="1:20" ht="28.2" x14ac:dyDescent="0.3">
      <c r="A376" s="4"/>
      <c r="B376" s="5" t="s">
        <v>14</v>
      </c>
      <c r="C376" s="33"/>
      <c r="D376" s="33"/>
      <c r="E376" s="33"/>
      <c r="F376" s="33"/>
      <c r="G376" s="19"/>
      <c r="H376" s="19">
        <f t="shared" si="429"/>
        <v>0</v>
      </c>
      <c r="I376" s="19"/>
      <c r="J376" s="19"/>
      <c r="K376" s="19"/>
      <c r="L376" s="19"/>
      <c r="O376" s="19">
        <f t="shared" si="424"/>
        <v>0</v>
      </c>
      <c r="P376" s="19">
        <f t="shared" si="425"/>
        <v>0</v>
      </c>
      <c r="Q376" s="19">
        <f t="shared" si="426"/>
        <v>0</v>
      </c>
      <c r="R376" s="19">
        <f t="shared" si="427"/>
        <v>0</v>
      </c>
      <c r="S376" s="19">
        <f t="shared" si="428"/>
        <v>0</v>
      </c>
      <c r="T376" s="19">
        <f t="shared" si="428"/>
        <v>0</v>
      </c>
    </row>
    <row r="377" spans="1:20" x14ac:dyDescent="0.3">
      <c r="A377" s="4"/>
      <c r="B377" s="5" t="s">
        <v>15</v>
      </c>
      <c r="C377" s="33">
        <v>2</v>
      </c>
      <c r="D377" s="33">
        <v>2</v>
      </c>
      <c r="E377" s="33">
        <v>2</v>
      </c>
      <c r="F377" s="33">
        <v>2</v>
      </c>
      <c r="G377" s="19">
        <f>'расчёт зарплаты'!K34</f>
        <v>30976</v>
      </c>
      <c r="H377" s="19">
        <f t="shared" si="429"/>
        <v>743424</v>
      </c>
      <c r="I377" s="19"/>
      <c r="J377" s="19"/>
      <c r="K377" s="19"/>
      <c r="L377" s="19"/>
      <c r="O377" s="19">
        <f t="shared" si="424"/>
        <v>0</v>
      </c>
      <c r="P377" s="19">
        <f t="shared" si="425"/>
        <v>0</v>
      </c>
      <c r="Q377" s="19">
        <f t="shared" si="426"/>
        <v>0</v>
      </c>
      <c r="R377" s="19">
        <f t="shared" si="427"/>
        <v>0</v>
      </c>
      <c r="S377" s="19">
        <f t="shared" si="428"/>
        <v>0</v>
      </c>
      <c r="T377" s="19">
        <f t="shared" si="428"/>
        <v>0</v>
      </c>
    </row>
    <row r="378" spans="1:20" x14ac:dyDescent="0.3">
      <c r="A378" s="4"/>
      <c r="B378" s="5" t="s">
        <v>16</v>
      </c>
      <c r="C378" s="33">
        <v>3</v>
      </c>
      <c r="D378" s="33">
        <v>3</v>
      </c>
      <c r="E378" s="33">
        <v>3</v>
      </c>
      <c r="F378" s="33">
        <v>3</v>
      </c>
      <c r="G378" s="19">
        <f>'расчёт зарплаты'!K8</f>
        <v>28600</v>
      </c>
      <c r="H378" s="19">
        <f t="shared" si="429"/>
        <v>1029600</v>
      </c>
      <c r="I378" s="19"/>
      <c r="J378" s="19"/>
      <c r="K378" s="19"/>
      <c r="L378" s="19"/>
      <c r="O378" s="19">
        <f t="shared" si="424"/>
        <v>0</v>
      </c>
      <c r="P378" s="19">
        <f t="shared" si="425"/>
        <v>0</v>
      </c>
      <c r="Q378" s="19">
        <f t="shared" si="426"/>
        <v>0</v>
      </c>
      <c r="R378" s="19">
        <f t="shared" si="427"/>
        <v>0</v>
      </c>
      <c r="S378" s="19">
        <f t="shared" si="428"/>
        <v>0</v>
      </c>
      <c r="T378" s="19">
        <f t="shared" si="428"/>
        <v>0</v>
      </c>
    </row>
    <row r="379" spans="1:20" ht="42" x14ac:dyDescent="0.3">
      <c r="A379" s="4"/>
      <c r="B379" s="5" t="s">
        <v>17</v>
      </c>
      <c r="C379" s="33"/>
      <c r="D379" s="33"/>
      <c r="E379" s="33"/>
      <c r="F379" s="33"/>
      <c r="G379" s="19"/>
      <c r="H379" s="19">
        <f t="shared" si="429"/>
        <v>0</v>
      </c>
      <c r="I379" s="19"/>
      <c r="J379" s="19"/>
      <c r="K379" s="19"/>
      <c r="L379" s="19"/>
      <c r="O379" s="19">
        <f t="shared" si="424"/>
        <v>0</v>
      </c>
      <c r="P379" s="19">
        <f t="shared" si="425"/>
        <v>0</v>
      </c>
      <c r="Q379" s="19">
        <f t="shared" si="426"/>
        <v>0</v>
      </c>
      <c r="R379" s="19">
        <f t="shared" si="427"/>
        <v>0</v>
      </c>
      <c r="S379" s="19">
        <f t="shared" si="428"/>
        <v>0</v>
      </c>
      <c r="T379" s="19">
        <f t="shared" si="428"/>
        <v>0</v>
      </c>
    </row>
    <row r="380" spans="1:20" ht="28.2" x14ac:dyDescent="0.3">
      <c r="A380" s="4"/>
      <c r="B380" s="5" t="s">
        <v>18</v>
      </c>
      <c r="C380" s="33"/>
      <c r="D380" s="33"/>
      <c r="E380" s="33"/>
      <c r="F380" s="33"/>
      <c r="G380" s="19"/>
      <c r="H380" s="19">
        <f t="shared" si="429"/>
        <v>0</v>
      </c>
      <c r="I380" s="19"/>
      <c r="J380" s="19"/>
      <c r="K380" s="19"/>
      <c r="L380" s="19"/>
      <c r="O380" s="19">
        <f t="shared" si="424"/>
        <v>0</v>
      </c>
      <c r="P380" s="19">
        <f t="shared" si="425"/>
        <v>0</v>
      </c>
      <c r="Q380" s="19">
        <f t="shared" si="426"/>
        <v>0</v>
      </c>
      <c r="R380" s="19">
        <f t="shared" si="427"/>
        <v>0</v>
      </c>
      <c r="S380" s="19">
        <f t="shared" si="428"/>
        <v>0</v>
      </c>
      <c r="T380" s="19">
        <f t="shared" si="428"/>
        <v>0</v>
      </c>
    </row>
    <row r="381" spans="1:20" ht="42" x14ac:dyDescent="0.3">
      <c r="A381" s="4"/>
      <c r="B381" s="5" t="s">
        <v>91</v>
      </c>
      <c r="C381" s="33"/>
      <c r="D381" s="33"/>
      <c r="E381" s="33"/>
      <c r="F381" s="33"/>
      <c r="G381" s="19"/>
      <c r="H381" s="19">
        <f t="shared" si="429"/>
        <v>0</v>
      </c>
      <c r="I381" s="19"/>
      <c r="J381" s="19"/>
      <c r="K381" s="19"/>
      <c r="L381" s="19"/>
      <c r="O381" s="19">
        <f t="shared" si="424"/>
        <v>0</v>
      </c>
      <c r="P381" s="19">
        <f t="shared" si="425"/>
        <v>0</v>
      </c>
      <c r="Q381" s="19">
        <f t="shared" si="426"/>
        <v>0</v>
      </c>
      <c r="R381" s="19">
        <f t="shared" si="427"/>
        <v>0</v>
      </c>
      <c r="S381" s="19">
        <f t="shared" si="428"/>
        <v>0</v>
      </c>
      <c r="T381" s="19">
        <f t="shared" si="428"/>
        <v>0</v>
      </c>
    </row>
    <row r="382" spans="1:20" x14ac:dyDescent="0.3">
      <c r="A382" s="4"/>
      <c r="B382" s="5" t="s">
        <v>20</v>
      </c>
      <c r="C382" s="33"/>
      <c r="D382" s="33"/>
      <c r="E382" s="33"/>
      <c r="F382" s="33"/>
      <c r="G382" s="19"/>
      <c r="H382" s="19">
        <f t="shared" si="429"/>
        <v>0</v>
      </c>
      <c r="I382" s="19"/>
      <c r="J382" s="19"/>
      <c r="K382" s="19"/>
      <c r="L382" s="19"/>
      <c r="O382" s="19">
        <f t="shared" si="424"/>
        <v>0</v>
      </c>
      <c r="P382" s="19">
        <f t="shared" si="425"/>
        <v>0</v>
      </c>
      <c r="Q382" s="19">
        <f t="shared" si="426"/>
        <v>0</v>
      </c>
      <c r="R382" s="19">
        <f t="shared" si="427"/>
        <v>0</v>
      </c>
      <c r="S382" s="19">
        <f t="shared" si="428"/>
        <v>0</v>
      </c>
      <c r="T382" s="19">
        <f t="shared" si="428"/>
        <v>0</v>
      </c>
    </row>
    <row r="383" spans="1:20" ht="39.6" x14ac:dyDescent="0.3">
      <c r="A383" s="4"/>
      <c r="B383" s="6" t="s">
        <v>21</v>
      </c>
      <c r="C383" s="33"/>
      <c r="D383" s="33"/>
      <c r="E383" s="33"/>
      <c r="F383" s="33"/>
      <c r="G383" s="19"/>
      <c r="H383" s="19">
        <f t="shared" si="429"/>
        <v>0</v>
      </c>
      <c r="I383" s="19"/>
      <c r="J383" s="19"/>
      <c r="K383" s="19"/>
      <c r="L383" s="19"/>
      <c r="O383" s="19">
        <f t="shared" si="424"/>
        <v>0</v>
      </c>
      <c r="P383" s="19">
        <f t="shared" si="425"/>
        <v>0</v>
      </c>
      <c r="Q383" s="19">
        <f t="shared" si="426"/>
        <v>0</v>
      </c>
      <c r="R383" s="19">
        <f t="shared" si="427"/>
        <v>0</v>
      </c>
      <c r="S383" s="19">
        <f t="shared" si="428"/>
        <v>0</v>
      </c>
      <c r="T383" s="19">
        <f t="shared" si="428"/>
        <v>0</v>
      </c>
    </row>
    <row r="384" spans="1:20" x14ac:dyDescent="0.3">
      <c r="A384" s="4"/>
      <c r="B384" s="5" t="s">
        <v>22</v>
      </c>
      <c r="C384" s="33"/>
      <c r="D384" s="33"/>
      <c r="E384" s="33"/>
      <c r="F384" s="33"/>
      <c r="G384" s="19"/>
      <c r="H384" s="19">
        <f t="shared" ref="H384" si="430">E384*G384*12</f>
        <v>0</v>
      </c>
      <c r="I384" s="19"/>
      <c r="J384" s="19"/>
      <c r="K384" s="19"/>
      <c r="L384" s="19"/>
      <c r="O384" s="19">
        <f>J384*L384*12</f>
        <v>0</v>
      </c>
      <c r="P384" s="19">
        <f>K384*M384*12</f>
        <v>0</v>
      </c>
      <c r="Q384" s="19">
        <f>L384*O384*12</f>
        <v>0</v>
      </c>
      <c r="R384" s="19">
        <f>M384*P384*12</f>
        <v>0</v>
      </c>
      <c r="S384" s="19">
        <f t="shared" ref="S384:T384" si="431">O384*Q384*12</f>
        <v>0</v>
      </c>
      <c r="T384" s="19">
        <f t="shared" si="431"/>
        <v>0</v>
      </c>
    </row>
    <row r="385" spans="1:20" x14ac:dyDescent="0.3">
      <c r="A385" s="38" t="s">
        <v>57</v>
      </c>
      <c r="B385" s="39"/>
      <c r="C385" s="41">
        <f>C386+C387+C388</f>
        <v>2</v>
      </c>
      <c r="D385" s="41">
        <f t="shared" ref="D385:F385" si="432">D386+D387+D388</f>
        <v>2</v>
      </c>
      <c r="E385" s="41">
        <f t="shared" si="432"/>
        <v>2</v>
      </c>
      <c r="F385" s="41">
        <f t="shared" si="432"/>
        <v>2</v>
      </c>
      <c r="G385" s="41"/>
      <c r="H385" s="42">
        <f t="shared" ref="H385:L385" si="433">H386+H387+H388</f>
        <v>666288</v>
      </c>
      <c r="I385" s="42">
        <f t="shared" si="433"/>
        <v>0</v>
      </c>
      <c r="J385" s="42">
        <f t="shared" si="433"/>
        <v>0</v>
      </c>
      <c r="K385" s="42">
        <f t="shared" si="433"/>
        <v>0</v>
      </c>
      <c r="L385" s="42">
        <f t="shared" si="433"/>
        <v>0</v>
      </c>
      <c r="O385" s="42">
        <f t="shared" ref="O385:P385" si="434">O386+O387+O388</f>
        <v>0</v>
      </c>
      <c r="P385" s="42">
        <f t="shared" si="434"/>
        <v>0</v>
      </c>
      <c r="Q385" s="42">
        <f t="shared" ref="Q385" si="435">Q386+Q387+Q388</f>
        <v>0</v>
      </c>
      <c r="R385" s="42">
        <f t="shared" ref="R385:S385" si="436">R386+R387+R388</f>
        <v>0</v>
      </c>
      <c r="S385" s="42">
        <f t="shared" si="436"/>
        <v>0</v>
      </c>
      <c r="T385" s="42">
        <f t="shared" ref="T385" si="437">T386+T387+T388</f>
        <v>0</v>
      </c>
    </row>
    <row r="386" spans="1:20" x14ac:dyDescent="0.3">
      <c r="A386" s="4"/>
      <c r="B386" s="5" t="s">
        <v>11</v>
      </c>
      <c r="C386" s="9"/>
      <c r="D386" s="9"/>
      <c r="E386" s="9"/>
      <c r="F386" s="9"/>
      <c r="G386" s="19">
        <f>'расчёт зарплаты'!K26</f>
        <v>27300</v>
      </c>
      <c r="H386" s="19">
        <f t="shared" ref="H386:H389" si="438">E386*G386*12+ ((D386-E386)*G386/2*12)</f>
        <v>0</v>
      </c>
      <c r="I386" s="19"/>
      <c r="J386" s="19"/>
      <c r="K386" s="19"/>
      <c r="L386" s="19"/>
      <c r="O386" s="19">
        <f t="shared" ref="O386:P389" si="439">J386*L386*12+ ((I386-J386)*L386/2*12)</f>
        <v>0</v>
      </c>
      <c r="P386" s="19">
        <f t="shared" si="439"/>
        <v>0</v>
      </c>
      <c r="Q386" s="19">
        <f t="shared" ref="Q386:R389" si="440">L386*O386*12+ ((K386-L386)*O386/2*12)</f>
        <v>0</v>
      </c>
      <c r="R386" s="19">
        <f t="shared" si="440"/>
        <v>0</v>
      </c>
      <c r="S386" s="19">
        <f t="shared" ref="S386:T389" si="441">O386*Q386*12+ ((M386-O386)*Q386/2*12)</f>
        <v>0</v>
      </c>
      <c r="T386" s="19">
        <f t="shared" si="441"/>
        <v>0</v>
      </c>
    </row>
    <row r="387" spans="1:20" x14ac:dyDescent="0.3">
      <c r="A387" s="4"/>
      <c r="B387" s="5" t="s">
        <v>12</v>
      </c>
      <c r="C387" s="9">
        <v>1</v>
      </c>
      <c r="D387" s="9">
        <v>1</v>
      </c>
      <c r="E387" s="9">
        <v>1</v>
      </c>
      <c r="F387" s="9">
        <v>1</v>
      </c>
      <c r="G387" s="19">
        <f>'расчёт зарплаты'!K26</f>
        <v>27300</v>
      </c>
      <c r="H387" s="19">
        <f t="shared" si="438"/>
        <v>327600</v>
      </c>
      <c r="I387" s="19"/>
      <c r="J387" s="19"/>
      <c r="K387" s="19"/>
      <c r="L387" s="19"/>
      <c r="O387" s="19">
        <f t="shared" si="439"/>
        <v>0</v>
      </c>
      <c r="P387" s="19">
        <f t="shared" si="439"/>
        <v>0</v>
      </c>
      <c r="Q387" s="19">
        <f t="shared" si="440"/>
        <v>0</v>
      </c>
      <c r="R387" s="19">
        <f t="shared" si="440"/>
        <v>0</v>
      </c>
      <c r="S387" s="19">
        <f t="shared" si="441"/>
        <v>0</v>
      </c>
      <c r="T387" s="19">
        <f t="shared" si="441"/>
        <v>0</v>
      </c>
    </row>
    <row r="388" spans="1:20" ht="28.2" x14ac:dyDescent="0.3">
      <c r="A388" s="4"/>
      <c r="B388" s="5" t="s">
        <v>19</v>
      </c>
      <c r="C388" s="9">
        <v>1</v>
      </c>
      <c r="D388" s="9">
        <v>1</v>
      </c>
      <c r="E388" s="9">
        <v>1</v>
      </c>
      <c r="F388" s="9">
        <v>1</v>
      </c>
      <c r="G388" s="19">
        <f>'расчёт зарплаты'!K40</f>
        <v>28224</v>
      </c>
      <c r="H388" s="19">
        <f t="shared" si="438"/>
        <v>338688</v>
      </c>
      <c r="I388" s="19"/>
      <c r="J388" s="19"/>
      <c r="K388" s="19"/>
      <c r="L388" s="19"/>
      <c r="O388" s="19">
        <f t="shared" si="439"/>
        <v>0</v>
      </c>
      <c r="P388" s="19">
        <f t="shared" si="439"/>
        <v>0</v>
      </c>
      <c r="Q388" s="19">
        <f t="shared" si="440"/>
        <v>0</v>
      </c>
      <c r="R388" s="19">
        <f t="shared" si="440"/>
        <v>0</v>
      </c>
      <c r="S388" s="19">
        <f t="shared" si="441"/>
        <v>0</v>
      </c>
      <c r="T388" s="19">
        <f t="shared" si="441"/>
        <v>0</v>
      </c>
    </row>
    <row r="389" spans="1:20" x14ac:dyDescent="0.3">
      <c r="A389" s="135" t="s">
        <v>23</v>
      </c>
      <c r="B389" s="135"/>
      <c r="C389" s="7">
        <f t="shared" ref="C389:F389" si="442">C390+C396</f>
        <v>4</v>
      </c>
      <c r="D389" s="7">
        <f t="shared" si="442"/>
        <v>4</v>
      </c>
      <c r="E389" s="7">
        <f t="shared" si="442"/>
        <v>4</v>
      </c>
      <c r="F389" s="7">
        <f t="shared" si="442"/>
        <v>4</v>
      </c>
      <c r="G389" s="19"/>
      <c r="H389" s="19">
        <f t="shared" si="438"/>
        <v>0</v>
      </c>
      <c r="I389" s="19"/>
      <c r="J389" s="20">
        <f t="shared" ref="J389:K389" si="443">J390+J396</f>
        <v>1354512</v>
      </c>
      <c r="K389" s="20">
        <f t="shared" si="443"/>
        <v>409062.62399999995</v>
      </c>
      <c r="L389" s="20">
        <f>L390+L396</f>
        <v>1763574.6239999998</v>
      </c>
      <c r="O389" s="19">
        <f t="shared" si="439"/>
        <v>14332697946620.926</v>
      </c>
      <c r="P389" s="19">
        <f t="shared" si="439"/>
        <v>0</v>
      </c>
      <c r="Q389" s="19">
        <f t="shared" si="440"/>
        <v>1.8683852053897042E+20</v>
      </c>
      <c r="R389" s="19">
        <f t="shared" si="440"/>
        <v>0</v>
      </c>
      <c r="S389" s="19">
        <f t="shared" si="441"/>
        <v>1.606740047807156E+34</v>
      </c>
      <c r="T389" s="19">
        <f t="shared" si="441"/>
        <v>0</v>
      </c>
    </row>
    <row r="390" spans="1:20" x14ac:dyDescent="0.3">
      <c r="A390" s="136" t="s">
        <v>24</v>
      </c>
      <c r="B390" s="136"/>
      <c r="C390" s="7">
        <f t="shared" ref="C390:F390" si="444">C391+C392+C393+C394+C395</f>
        <v>2</v>
      </c>
      <c r="D390" s="7">
        <f t="shared" si="444"/>
        <v>2</v>
      </c>
      <c r="E390" s="7">
        <f t="shared" si="444"/>
        <v>2</v>
      </c>
      <c r="F390" s="7">
        <f t="shared" si="444"/>
        <v>2</v>
      </c>
      <c r="G390" s="20"/>
      <c r="H390" s="20">
        <f>H391+H392+H393+H394+H395</f>
        <v>655200</v>
      </c>
      <c r="I390" s="20">
        <f t="shared" ref="I390" si="445">I391+I392+I393+I394+I395</f>
        <v>0</v>
      </c>
      <c r="J390" s="20">
        <f>H390</f>
        <v>655200</v>
      </c>
      <c r="K390" s="20">
        <f>J390*30.2%</f>
        <v>197870.4</v>
      </c>
      <c r="L390" s="20">
        <f>J390+K390</f>
        <v>853070.4</v>
      </c>
      <c r="O390" s="20">
        <f t="shared" ref="O390:T390" si="446">O391+O392+O393+O394+O395</f>
        <v>0</v>
      </c>
      <c r="P390" s="20">
        <f t="shared" si="446"/>
        <v>0</v>
      </c>
      <c r="Q390" s="20">
        <f t="shared" si="446"/>
        <v>0</v>
      </c>
      <c r="R390" s="20">
        <f t="shared" si="446"/>
        <v>0</v>
      </c>
      <c r="S390" s="20">
        <f t="shared" si="446"/>
        <v>0</v>
      </c>
      <c r="T390" s="20">
        <f t="shared" si="446"/>
        <v>0</v>
      </c>
    </row>
    <row r="391" spans="1:20" x14ac:dyDescent="0.3">
      <c r="A391" s="4"/>
      <c r="B391" s="5" t="s">
        <v>25</v>
      </c>
      <c r="C391" s="33"/>
      <c r="D391" s="33"/>
      <c r="E391" s="33"/>
      <c r="F391" s="33"/>
      <c r="G391" s="19"/>
      <c r="H391" s="19">
        <f t="shared" ref="H391:H395" si="447">E391*G391*12+ ((D391-E391)*G391/2*12)</f>
        <v>0</v>
      </c>
      <c r="I391" s="19"/>
      <c r="J391" s="19"/>
      <c r="K391" s="19"/>
      <c r="L391" s="19"/>
      <c r="O391" s="19">
        <f t="shared" ref="O391:P395" si="448">J391*L391*12+ ((I391-J391)*L391/2*12)</f>
        <v>0</v>
      </c>
      <c r="P391" s="19">
        <f t="shared" si="448"/>
        <v>0</v>
      </c>
      <c r="Q391" s="19">
        <f t="shared" ref="Q391:R395" si="449">L391*O391*12+ ((K391-L391)*O391/2*12)</f>
        <v>0</v>
      </c>
      <c r="R391" s="19">
        <f t="shared" si="449"/>
        <v>0</v>
      </c>
      <c r="S391" s="19">
        <f t="shared" ref="S391:T395" si="450">O391*Q391*12+ ((M391-O391)*Q391/2*12)</f>
        <v>0</v>
      </c>
      <c r="T391" s="19">
        <f t="shared" si="450"/>
        <v>0</v>
      </c>
    </row>
    <row r="392" spans="1:20" x14ac:dyDescent="0.3">
      <c r="A392" s="4"/>
      <c r="B392" s="5" t="s">
        <v>26</v>
      </c>
      <c r="C392" s="33"/>
      <c r="D392" s="33"/>
      <c r="E392" s="33"/>
      <c r="F392" s="33"/>
      <c r="G392" s="19"/>
      <c r="H392" s="19">
        <f t="shared" si="447"/>
        <v>0</v>
      </c>
      <c r="I392" s="19"/>
      <c r="J392" s="19"/>
      <c r="K392" s="19"/>
      <c r="L392" s="19"/>
      <c r="O392" s="19">
        <f t="shared" si="448"/>
        <v>0</v>
      </c>
      <c r="P392" s="19">
        <f t="shared" si="448"/>
        <v>0</v>
      </c>
      <c r="Q392" s="19">
        <f t="shared" si="449"/>
        <v>0</v>
      </c>
      <c r="R392" s="19">
        <f t="shared" si="449"/>
        <v>0</v>
      </c>
      <c r="S392" s="19">
        <f t="shared" si="450"/>
        <v>0</v>
      </c>
      <c r="T392" s="19">
        <f t="shared" si="450"/>
        <v>0</v>
      </c>
    </row>
    <row r="393" spans="1:20" x14ac:dyDescent="0.3">
      <c r="A393" s="4"/>
      <c r="B393" s="5" t="s">
        <v>27</v>
      </c>
      <c r="C393" s="33"/>
      <c r="D393" s="33"/>
      <c r="E393" s="33"/>
      <c r="F393" s="33"/>
      <c r="G393" s="19"/>
      <c r="H393" s="19">
        <f t="shared" si="447"/>
        <v>0</v>
      </c>
      <c r="I393" s="19"/>
      <c r="J393" s="19"/>
      <c r="K393" s="19"/>
      <c r="L393" s="19"/>
      <c r="O393" s="19">
        <f t="shared" si="448"/>
        <v>0</v>
      </c>
      <c r="P393" s="19">
        <f t="shared" si="448"/>
        <v>0</v>
      </c>
      <c r="Q393" s="19">
        <f t="shared" si="449"/>
        <v>0</v>
      </c>
      <c r="R393" s="19">
        <f t="shared" si="449"/>
        <v>0</v>
      </c>
      <c r="S393" s="19">
        <f t="shared" si="450"/>
        <v>0</v>
      </c>
      <c r="T393" s="19">
        <f t="shared" si="450"/>
        <v>0</v>
      </c>
    </row>
    <row r="394" spans="1:20" ht="28.2" x14ac:dyDescent="0.3">
      <c r="A394" s="4"/>
      <c r="B394" s="5" t="s">
        <v>28</v>
      </c>
      <c r="C394" s="33">
        <v>1</v>
      </c>
      <c r="D394" s="33">
        <v>1</v>
      </c>
      <c r="E394" s="33">
        <v>1</v>
      </c>
      <c r="F394" s="33">
        <v>1</v>
      </c>
      <c r="G394" s="19">
        <f>'расчёт зарплаты'!K26</f>
        <v>27300</v>
      </c>
      <c r="H394" s="19">
        <f t="shared" si="447"/>
        <v>327600</v>
      </c>
      <c r="I394" s="19"/>
      <c r="J394" s="19"/>
      <c r="K394" s="19"/>
      <c r="L394" s="19"/>
      <c r="O394" s="19">
        <f t="shared" si="448"/>
        <v>0</v>
      </c>
      <c r="P394" s="19">
        <f t="shared" si="448"/>
        <v>0</v>
      </c>
      <c r="Q394" s="19">
        <f t="shared" si="449"/>
        <v>0</v>
      </c>
      <c r="R394" s="19">
        <f t="shared" si="449"/>
        <v>0</v>
      </c>
      <c r="S394" s="19">
        <f t="shared" si="450"/>
        <v>0</v>
      </c>
      <c r="T394" s="19">
        <f t="shared" si="450"/>
        <v>0</v>
      </c>
    </row>
    <row r="395" spans="1:20" x14ac:dyDescent="0.3">
      <c r="A395" s="4"/>
      <c r="B395" s="5" t="s">
        <v>29</v>
      </c>
      <c r="C395" s="33">
        <v>1</v>
      </c>
      <c r="D395" s="33">
        <v>1</v>
      </c>
      <c r="E395" s="33">
        <v>1</v>
      </c>
      <c r="F395" s="33">
        <v>1</v>
      </c>
      <c r="G395" s="19">
        <f>'расчёт зарплаты'!K26</f>
        <v>27300</v>
      </c>
      <c r="H395" s="19">
        <f t="shared" si="447"/>
        <v>327600</v>
      </c>
      <c r="I395" s="19"/>
      <c r="J395" s="19"/>
      <c r="K395" s="19"/>
      <c r="L395" s="19"/>
      <c r="O395" s="19">
        <f t="shared" si="448"/>
        <v>0</v>
      </c>
      <c r="P395" s="19">
        <f t="shared" si="448"/>
        <v>0</v>
      </c>
      <c r="Q395" s="19">
        <f t="shared" si="449"/>
        <v>0</v>
      </c>
      <c r="R395" s="19">
        <f t="shared" si="449"/>
        <v>0</v>
      </c>
      <c r="S395" s="19">
        <f t="shared" si="450"/>
        <v>0</v>
      </c>
      <c r="T395" s="19">
        <f t="shared" si="450"/>
        <v>0</v>
      </c>
    </row>
    <row r="396" spans="1:20" x14ac:dyDescent="0.3">
      <c r="A396" s="136" t="s">
        <v>30</v>
      </c>
      <c r="B396" s="136"/>
      <c r="C396" s="7">
        <f t="shared" ref="C396:F396" si="451">C397+C398+C399</f>
        <v>2</v>
      </c>
      <c r="D396" s="7">
        <f t="shared" si="451"/>
        <v>2</v>
      </c>
      <c r="E396" s="7">
        <f t="shared" si="451"/>
        <v>2</v>
      </c>
      <c r="F396" s="7">
        <f t="shared" si="451"/>
        <v>2</v>
      </c>
      <c r="G396" s="20"/>
      <c r="H396" s="20">
        <f>H397+H398+H399</f>
        <v>699312</v>
      </c>
      <c r="I396" s="20">
        <f t="shared" ref="I396" si="452">I397+I398+I399</f>
        <v>0</v>
      </c>
      <c r="J396" s="20">
        <f>H396</f>
        <v>699312</v>
      </c>
      <c r="K396" s="20">
        <f>J396*30.2%</f>
        <v>211192.22399999999</v>
      </c>
      <c r="L396" s="20">
        <f>J396+K396</f>
        <v>910504.22399999993</v>
      </c>
      <c r="O396" s="20">
        <f t="shared" ref="O396:T396" si="453">O397+O398+O399</f>
        <v>0</v>
      </c>
      <c r="P396" s="20">
        <f t="shared" si="453"/>
        <v>0</v>
      </c>
      <c r="Q396" s="20">
        <f t="shared" si="453"/>
        <v>0</v>
      </c>
      <c r="R396" s="20">
        <f t="shared" si="453"/>
        <v>0</v>
      </c>
      <c r="S396" s="20">
        <f t="shared" si="453"/>
        <v>0</v>
      </c>
      <c r="T396" s="20">
        <f t="shared" si="453"/>
        <v>0</v>
      </c>
    </row>
    <row r="397" spans="1:20" x14ac:dyDescent="0.3">
      <c r="A397" s="4"/>
      <c r="B397" s="5" t="s">
        <v>31</v>
      </c>
      <c r="C397" s="33">
        <v>1</v>
      </c>
      <c r="D397" s="33">
        <v>1</v>
      </c>
      <c r="E397" s="33">
        <v>1</v>
      </c>
      <c r="F397" s="33">
        <v>1</v>
      </c>
      <c r="G397" s="19">
        <f>'расчёт зарплаты'!K34</f>
        <v>30976</v>
      </c>
      <c r="H397" s="19">
        <f t="shared" ref="H397:H399" si="454">E397*G397*12+ ((D397-E397)*G397/2*12)</f>
        <v>371712</v>
      </c>
      <c r="I397" s="19"/>
      <c r="J397" s="19"/>
      <c r="K397" s="19"/>
      <c r="L397" s="19"/>
      <c r="O397" s="19">
        <f t="shared" ref="O397:P399" si="455">J397*L397*12+ ((I397-J397)*L397/2*12)</f>
        <v>0</v>
      </c>
      <c r="P397" s="19">
        <f t="shared" si="455"/>
        <v>0</v>
      </c>
      <c r="Q397" s="19">
        <f t="shared" ref="Q397:R399" si="456">L397*O397*12+ ((K397-L397)*O397/2*12)</f>
        <v>0</v>
      </c>
      <c r="R397" s="19">
        <f t="shared" si="456"/>
        <v>0</v>
      </c>
      <c r="S397" s="19">
        <f t="shared" ref="S397:T399" si="457">O397*Q397*12+ ((M397-O397)*Q397/2*12)</f>
        <v>0</v>
      </c>
      <c r="T397" s="19">
        <f t="shared" si="457"/>
        <v>0</v>
      </c>
    </row>
    <row r="398" spans="1:20" x14ac:dyDescent="0.3">
      <c r="A398" s="4"/>
      <c r="B398" s="5" t="s">
        <v>32</v>
      </c>
      <c r="C398" s="33"/>
      <c r="D398" s="33"/>
      <c r="E398" s="33"/>
      <c r="F398" s="33"/>
      <c r="G398" s="19"/>
      <c r="H398" s="19">
        <f t="shared" si="454"/>
        <v>0</v>
      </c>
      <c r="I398" s="19"/>
      <c r="J398" s="19"/>
      <c r="K398" s="19"/>
      <c r="L398" s="19"/>
      <c r="O398" s="19">
        <f t="shared" si="455"/>
        <v>0</v>
      </c>
      <c r="P398" s="19">
        <f t="shared" si="455"/>
        <v>0</v>
      </c>
      <c r="Q398" s="19">
        <f t="shared" si="456"/>
        <v>0</v>
      </c>
      <c r="R398" s="19">
        <f t="shared" si="456"/>
        <v>0</v>
      </c>
      <c r="S398" s="19">
        <f t="shared" si="457"/>
        <v>0</v>
      </c>
      <c r="T398" s="19">
        <f t="shared" si="457"/>
        <v>0</v>
      </c>
    </row>
    <row r="399" spans="1:20" x14ac:dyDescent="0.3">
      <c r="A399" s="4"/>
      <c r="B399" s="5" t="s">
        <v>33</v>
      </c>
      <c r="C399" s="33">
        <v>1</v>
      </c>
      <c r="D399" s="33">
        <v>1</v>
      </c>
      <c r="E399" s="33">
        <v>1</v>
      </c>
      <c r="F399" s="33">
        <v>1</v>
      </c>
      <c r="G399" s="19">
        <f>'расчёт зарплаты'!K26</f>
        <v>27300</v>
      </c>
      <c r="H399" s="19">
        <f t="shared" si="454"/>
        <v>327600</v>
      </c>
      <c r="I399" s="19"/>
      <c r="J399" s="19"/>
      <c r="K399" s="19"/>
      <c r="L399" s="19"/>
      <c r="O399" s="19">
        <f t="shared" si="455"/>
        <v>0</v>
      </c>
      <c r="P399" s="19">
        <f t="shared" si="455"/>
        <v>0</v>
      </c>
      <c r="Q399" s="19">
        <f t="shared" si="456"/>
        <v>0</v>
      </c>
      <c r="R399" s="19">
        <f t="shared" si="456"/>
        <v>0</v>
      </c>
      <c r="S399" s="19">
        <f t="shared" si="457"/>
        <v>0</v>
      </c>
      <c r="T399" s="19">
        <f t="shared" si="457"/>
        <v>0</v>
      </c>
    </row>
    <row r="400" spans="1:20" x14ac:dyDescent="0.3">
      <c r="A400" s="141" t="s">
        <v>72</v>
      </c>
      <c r="B400" s="141"/>
      <c r="C400" s="141"/>
      <c r="D400" s="141"/>
      <c r="E400" s="141"/>
      <c r="F400" s="141"/>
      <c r="G400" s="141"/>
      <c r="H400" s="141"/>
      <c r="I400" s="141"/>
      <c r="J400" s="141"/>
      <c r="K400" s="141"/>
      <c r="L400" s="141"/>
    </row>
    <row r="401" spans="1:20" ht="14.4" customHeight="1" x14ac:dyDescent="0.3">
      <c r="A401" s="133" t="s">
        <v>7</v>
      </c>
      <c r="B401" s="134"/>
      <c r="C401" s="8">
        <f>C402+C419+C415</f>
        <v>55.25</v>
      </c>
      <c r="D401" s="8">
        <f>D402+D419+D415</f>
        <v>47.75</v>
      </c>
      <c r="E401" s="8">
        <f>E402+E419+E415</f>
        <v>41.9</v>
      </c>
      <c r="F401" s="8">
        <f>F402+F419+F415</f>
        <v>42</v>
      </c>
      <c r="G401" s="19"/>
      <c r="H401" s="19"/>
      <c r="I401" s="19"/>
      <c r="J401" s="19"/>
      <c r="K401" s="19"/>
      <c r="L401" s="19"/>
      <c r="O401" s="19"/>
      <c r="P401" s="19"/>
      <c r="Q401" s="19"/>
      <c r="R401" s="19"/>
      <c r="S401" s="19"/>
      <c r="T401" s="19"/>
    </row>
    <row r="402" spans="1:20" ht="14.4" customHeight="1" x14ac:dyDescent="0.3">
      <c r="A402" s="133" t="s">
        <v>89</v>
      </c>
      <c r="B402" s="134"/>
      <c r="C402" s="40">
        <f t="shared" ref="C402:G402" si="458">SUM(C403:C414)</f>
        <v>39</v>
      </c>
      <c r="D402" s="40">
        <f t="shared" si="458"/>
        <v>33</v>
      </c>
      <c r="E402" s="40">
        <f t="shared" si="458"/>
        <v>29.9</v>
      </c>
      <c r="F402" s="40">
        <f t="shared" si="458"/>
        <v>30</v>
      </c>
      <c r="G402" s="40">
        <f t="shared" si="458"/>
        <v>148328</v>
      </c>
      <c r="H402" s="40">
        <f>SUM(H403:H414)</f>
        <v>10877011.199999999</v>
      </c>
      <c r="I402" s="20"/>
      <c r="J402" s="20">
        <f>H402-I402</f>
        <v>10877011.199999999</v>
      </c>
      <c r="K402" s="20">
        <f>J402*30.2%</f>
        <v>3284857.3823999995</v>
      </c>
      <c r="L402" s="20">
        <f>J402+K402</f>
        <v>14161868.582399998</v>
      </c>
      <c r="O402" s="40">
        <f t="shared" ref="O402:T402" si="459">SUM(O403:O414)</f>
        <v>0</v>
      </c>
      <c r="P402" s="40">
        <f t="shared" si="459"/>
        <v>0</v>
      </c>
      <c r="Q402" s="40">
        <f t="shared" si="459"/>
        <v>0</v>
      </c>
      <c r="R402" s="40">
        <f t="shared" si="459"/>
        <v>0</v>
      </c>
      <c r="S402" s="40">
        <f t="shared" si="459"/>
        <v>0</v>
      </c>
      <c r="T402" s="40">
        <f t="shared" si="459"/>
        <v>0</v>
      </c>
    </row>
    <row r="403" spans="1:20" x14ac:dyDescent="0.3">
      <c r="A403" s="4"/>
      <c r="B403" s="5" t="s">
        <v>9</v>
      </c>
      <c r="C403" s="33">
        <v>23</v>
      </c>
      <c r="D403" s="33">
        <v>18</v>
      </c>
      <c r="E403" s="33">
        <v>17.399999999999999</v>
      </c>
      <c r="F403" s="33">
        <v>17</v>
      </c>
      <c r="G403" s="19">
        <f>'расчёт зарплаты'!K10</f>
        <v>28208</v>
      </c>
      <c r="H403" s="19">
        <f>E403*G403*12+ ((D403-E403)*G403/2*12)</f>
        <v>5991379.1999999993</v>
      </c>
      <c r="I403" s="19"/>
      <c r="J403" s="19"/>
      <c r="K403" s="19"/>
      <c r="L403" s="19">
        <f>G403*K403*12</f>
        <v>0</v>
      </c>
      <c r="O403" s="19">
        <f t="shared" ref="O403:O413" si="460">J403*L403*12+ ((I403-J403)*L403/2*12)</f>
        <v>0</v>
      </c>
      <c r="P403" s="19">
        <f t="shared" ref="P403:P413" si="461">K403*M403*12+ ((J403-K403)*M403/2*12)</f>
        <v>0</v>
      </c>
      <c r="Q403" s="19">
        <f t="shared" ref="Q403:Q413" si="462">L403*O403*12+ ((K403-L403)*O403/2*12)</f>
        <v>0</v>
      </c>
      <c r="R403" s="19">
        <f t="shared" ref="R403:R413" si="463">M403*P403*12+ ((L403-M403)*P403/2*12)</f>
        <v>0</v>
      </c>
      <c r="S403" s="19">
        <f t="shared" ref="S403:T413" si="464">O403*Q403*12+ ((M403-O403)*Q403/2*12)</f>
        <v>0</v>
      </c>
      <c r="T403" s="19">
        <f t="shared" si="464"/>
        <v>0</v>
      </c>
    </row>
    <row r="404" spans="1:20" x14ac:dyDescent="0.3">
      <c r="A404" s="4"/>
      <c r="B404" s="5" t="s">
        <v>10</v>
      </c>
      <c r="C404" s="33"/>
      <c r="D404" s="33"/>
      <c r="E404" s="33"/>
      <c r="F404" s="33"/>
      <c r="G404" s="19"/>
      <c r="H404" s="19">
        <f t="shared" ref="H404:H413" si="465">E404*G404*12+ ((D404-E404)*G404/2*12)</f>
        <v>0</v>
      </c>
      <c r="I404" s="19"/>
      <c r="J404" s="19"/>
      <c r="K404" s="19"/>
      <c r="L404" s="19"/>
      <c r="O404" s="19">
        <f t="shared" si="460"/>
        <v>0</v>
      </c>
      <c r="P404" s="19">
        <f t="shared" si="461"/>
        <v>0</v>
      </c>
      <c r="Q404" s="19">
        <f t="shared" si="462"/>
        <v>0</v>
      </c>
      <c r="R404" s="19">
        <f t="shared" si="463"/>
        <v>0</v>
      </c>
      <c r="S404" s="19">
        <f t="shared" si="464"/>
        <v>0</v>
      </c>
      <c r="T404" s="19">
        <f t="shared" si="464"/>
        <v>0</v>
      </c>
    </row>
    <row r="405" spans="1:20" x14ac:dyDescent="0.3">
      <c r="A405" s="4"/>
      <c r="B405" s="5" t="s">
        <v>13</v>
      </c>
      <c r="C405" s="33">
        <v>4</v>
      </c>
      <c r="D405" s="33">
        <v>3</v>
      </c>
      <c r="E405" s="33">
        <v>2</v>
      </c>
      <c r="F405" s="33">
        <v>2</v>
      </c>
      <c r="G405" s="19">
        <f>'расчёт зарплаты'!K38</f>
        <v>28896</v>
      </c>
      <c r="H405" s="19">
        <f t="shared" si="465"/>
        <v>866880</v>
      </c>
      <c r="I405" s="19"/>
      <c r="J405" s="19"/>
      <c r="K405" s="19"/>
      <c r="L405" s="19"/>
      <c r="O405" s="19">
        <f t="shared" si="460"/>
        <v>0</v>
      </c>
      <c r="P405" s="19">
        <f t="shared" si="461"/>
        <v>0</v>
      </c>
      <c r="Q405" s="19">
        <f t="shared" si="462"/>
        <v>0</v>
      </c>
      <c r="R405" s="19">
        <f t="shared" si="463"/>
        <v>0</v>
      </c>
      <c r="S405" s="19">
        <f t="shared" si="464"/>
        <v>0</v>
      </c>
      <c r="T405" s="19">
        <f t="shared" si="464"/>
        <v>0</v>
      </c>
    </row>
    <row r="406" spans="1:20" ht="28.2" x14ac:dyDescent="0.3">
      <c r="A406" s="4"/>
      <c r="B406" s="5" t="s">
        <v>14</v>
      </c>
      <c r="C406" s="33"/>
      <c r="D406" s="33"/>
      <c r="E406" s="33"/>
      <c r="F406" s="33"/>
      <c r="G406" s="19"/>
      <c r="H406" s="19">
        <f t="shared" si="465"/>
        <v>0</v>
      </c>
      <c r="I406" s="19"/>
      <c r="J406" s="19"/>
      <c r="K406" s="19"/>
      <c r="L406" s="19"/>
      <c r="O406" s="19">
        <f t="shared" si="460"/>
        <v>0</v>
      </c>
      <c r="P406" s="19">
        <f t="shared" si="461"/>
        <v>0</v>
      </c>
      <c r="Q406" s="19">
        <f t="shared" si="462"/>
        <v>0</v>
      </c>
      <c r="R406" s="19">
        <f t="shared" si="463"/>
        <v>0</v>
      </c>
      <c r="S406" s="19">
        <f t="shared" si="464"/>
        <v>0</v>
      </c>
      <c r="T406" s="19">
        <f t="shared" si="464"/>
        <v>0</v>
      </c>
    </row>
    <row r="407" spans="1:20" x14ac:dyDescent="0.3">
      <c r="A407" s="4"/>
      <c r="B407" s="5" t="s">
        <v>15</v>
      </c>
      <c r="C407" s="33">
        <v>5</v>
      </c>
      <c r="D407" s="33">
        <v>5</v>
      </c>
      <c r="E407" s="33">
        <v>3.5</v>
      </c>
      <c r="F407" s="33">
        <v>4</v>
      </c>
      <c r="G407" s="19">
        <f>'расчёт зарплаты'!K34</f>
        <v>30976</v>
      </c>
      <c r="H407" s="19">
        <f t="shared" si="465"/>
        <v>1579776</v>
      </c>
      <c r="I407" s="19"/>
      <c r="J407" s="19"/>
      <c r="K407" s="19"/>
      <c r="L407" s="19"/>
      <c r="O407" s="19">
        <f t="shared" si="460"/>
        <v>0</v>
      </c>
      <c r="P407" s="19">
        <f t="shared" si="461"/>
        <v>0</v>
      </c>
      <c r="Q407" s="19">
        <f t="shared" si="462"/>
        <v>0</v>
      </c>
      <c r="R407" s="19">
        <f t="shared" si="463"/>
        <v>0</v>
      </c>
      <c r="S407" s="19">
        <f t="shared" si="464"/>
        <v>0</v>
      </c>
      <c r="T407" s="19">
        <f t="shared" si="464"/>
        <v>0</v>
      </c>
    </row>
    <row r="408" spans="1:20" x14ac:dyDescent="0.3">
      <c r="A408" s="4"/>
      <c r="B408" s="5" t="s">
        <v>16</v>
      </c>
      <c r="C408" s="33">
        <v>6</v>
      </c>
      <c r="D408" s="33">
        <v>6</v>
      </c>
      <c r="E408" s="33">
        <v>6</v>
      </c>
      <c r="F408" s="33">
        <v>6</v>
      </c>
      <c r="G408" s="19">
        <f>'расчёт зарплаты'!K8</f>
        <v>28600</v>
      </c>
      <c r="H408" s="19">
        <f t="shared" si="465"/>
        <v>2059200</v>
      </c>
      <c r="I408" s="19"/>
      <c r="J408" s="19"/>
      <c r="K408" s="19"/>
      <c r="L408" s="19"/>
      <c r="O408" s="19">
        <f t="shared" si="460"/>
        <v>0</v>
      </c>
      <c r="P408" s="19">
        <f t="shared" si="461"/>
        <v>0</v>
      </c>
      <c r="Q408" s="19">
        <f t="shared" si="462"/>
        <v>0</v>
      </c>
      <c r="R408" s="19">
        <f t="shared" si="463"/>
        <v>0</v>
      </c>
      <c r="S408" s="19">
        <f t="shared" si="464"/>
        <v>0</v>
      </c>
      <c r="T408" s="19">
        <f t="shared" si="464"/>
        <v>0</v>
      </c>
    </row>
    <row r="409" spans="1:20" ht="42" x14ac:dyDescent="0.3">
      <c r="A409" s="4"/>
      <c r="B409" s="5" t="s">
        <v>17</v>
      </c>
      <c r="C409" s="33"/>
      <c r="D409" s="33"/>
      <c r="E409" s="33"/>
      <c r="F409" s="33"/>
      <c r="G409" s="19"/>
      <c r="H409" s="19">
        <f t="shared" si="465"/>
        <v>0</v>
      </c>
      <c r="I409" s="19"/>
      <c r="J409" s="19"/>
      <c r="K409" s="19"/>
      <c r="L409" s="19"/>
      <c r="O409" s="19">
        <f t="shared" si="460"/>
        <v>0</v>
      </c>
      <c r="P409" s="19">
        <f t="shared" si="461"/>
        <v>0</v>
      </c>
      <c r="Q409" s="19">
        <f t="shared" si="462"/>
        <v>0</v>
      </c>
      <c r="R409" s="19">
        <f t="shared" si="463"/>
        <v>0</v>
      </c>
      <c r="S409" s="19">
        <f t="shared" si="464"/>
        <v>0</v>
      </c>
      <c r="T409" s="19">
        <f t="shared" si="464"/>
        <v>0</v>
      </c>
    </row>
    <row r="410" spans="1:20" ht="28.2" x14ac:dyDescent="0.3">
      <c r="A410" s="4"/>
      <c r="B410" s="5" t="s">
        <v>18</v>
      </c>
      <c r="C410" s="33">
        <v>1</v>
      </c>
      <c r="D410" s="33">
        <v>1</v>
      </c>
      <c r="E410" s="33">
        <v>1</v>
      </c>
      <c r="F410" s="33">
        <v>1</v>
      </c>
      <c r="G410" s="19">
        <f>'расчёт зарплаты'!K20</f>
        <v>31648</v>
      </c>
      <c r="H410" s="19">
        <f t="shared" si="465"/>
        <v>379776</v>
      </c>
      <c r="I410" s="19"/>
      <c r="J410" s="19"/>
      <c r="K410" s="19"/>
      <c r="L410" s="19"/>
      <c r="O410" s="19">
        <f t="shared" si="460"/>
        <v>0</v>
      </c>
      <c r="P410" s="19">
        <f t="shared" si="461"/>
        <v>0</v>
      </c>
      <c r="Q410" s="19">
        <f t="shared" si="462"/>
        <v>0</v>
      </c>
      <c r="R410" s="19">
        <f t="shared" si="463"/>
        <v>0</v>
      </c>
      <c r="S410" s="19">
        <f t="shared" si="464"/>
        <v>0</v>
      </c>
      <c r="T410" s="19">
        <f t="shared" si="464"/>
        <v>0</v>
      </c>
    </row>
    <row r="411" spans="1:20" ht="42" x14ac:dyDescent="0.3">
      <c r="A411" s="4"/>
      <c r="B411" s="5" t="s">
        <v>91</v>
      </c>
      <c r="C411" s="33"/>
      <c r="D411" s="33"/>
      <c r="E411" s="33"/>
      <c r="F411" s="33"/>
      <c r="G411" s="19"/>
      <c r="H411" s="19">
        <f t="shared" si="465"/>
        <v>0</v>
      </c>
      <c r="I411" s="19"/>
      <c r="J411" s="19"/>
      <c r="K411" s="19"/>
      <c r="L411" s="19"/>
      <c r="O411" s="19">
        <f t="shared" si="460"/>
        <v>0</v>
      </c>
      <c r="P411" s="19">
        <f t="shared" si="461"/>
        <v>0</v>
      </c>
      <c r="Q411" s="19">
        <f t="shared" si="462"/>
        <v>0</v>
      </c>
      <c r="R411" s="19">
        <f t="shared" si="463"/>
        <v>0</v>
      </c>
      <c r="S411" s="19">
        <f t="shared" si="464"/>
        <v>0</v>
      </c>
      <c r="T411" s="19">
        <f t="shared" si="464"/>
        <v>0</v>
      </c>
    </row>
    <row r="412" spans="1:20" x14ac:dyDescent="0.3">
      <c r="A412" s="4"/>
      <c r="B412" s="5" t="s">
        <v>20</v>
      </c>
      <c r="C412" s="33"/>
      <c r="D412" s="33"/>
      <c r="E412" s="33"/>
      <c r="F412" s="33"/>
      <c r="G412" s="19"/>
      <c r="H412" s="19">
        <f t="shared" si="465"/>
        <v>0</v>
      </c>
      <c r="I412" s="19"/>
      <c r="J412" s="19"/>
      <c r="K412" s="19"/>
      <c r="L412" s="19"/>
      <c r="O412" s="19">
        <f t="shared" si="460"/>
        <v>0</v>
      </c>
      <c r="P412" s="19">
        <f t="shared" si="461"/>
        <v>0</v>
      </c>
      <c r="Q412" s="19">
        <f t="shared" si="462"/>
        <v>0</v>
      </c>
      <c r="R412" s="19">
        <f t="shared" si="463"/>
        <v>0</v>
      </c>
      <c r="S412" s="19">
        <f t="shared" si="464"/>
        <v>0</v>
      </c>
      <c r="T412" s="19">
        <f t="shared" si="464"/>
        <v>0</v>
      </c>
    </row>
    <row r="413" spans="1:20" ht="39.6" x14ac:dyDescent="0.3">
      <c r="A413" s="4"/>
      <c r="B413" s="6" t="s">
        <v>21</v>
      </c>
      <c r="C413" s="33"/>
      <c r="D413" s="33"/>
      <c r="E413" s="33"/>
      <c r="F413" s="33"/>
      <c r="G413" s="19"/>
      <c r="H413" s="19">
        <f t="shared" si="465"/>
        <v>0</v>
      </c>
      <c r="I413" s="19"/>
      <c r="J413" s="19"/>
      <c r="K413" s="19"/>
      <c r="L413" s="19"/>
      <c r="O413" s="19">
        <f t="shared" si="460"/>
        <v>0</v>
      </c>
      <c r="P413" s="19">
        <f t="shared" si="461"/>
        <v>0</v>
      </c>
      <c r="Q413" s="19">
        <f t="shared" si="462"/>
        <v>0</v>
      </c>
      <c r="R413" s="19">
        <f t="shared" si="463"/>
        <v>0</v>
      </c>
      <c r="S413" s="19">
        <f t="shared" si="464"/>
        <v>0</v>
      </c>
      <c r="T413" s="19">
        <f t="shared" si="464"/>
        <v>0</v>
      </c>
    </row>
    <row r="414" spans="1:20" x14ac:dyDescent="0.3">
      <c r="A414" s="4"/>
      <c r="B414" s="5" t="s">
        <v>22</v>
      </c>
      <c r="C414" s="33"/>
      <c r="D414" s="33"/>
      <c r="E414" s="33"/>
      <c r="F414" s="33"/>
      <c r="G414" s="19"/>
      <c r="H414" s="19">
        <f t="shared" ref="H414" si="466">E414*G414*12</f>
        <v>0</v>
      </c>
      <c r="I414" s="19"/>
      <c r="J414" s="19"/>
      <c r="K414" s="19"/>
      <c r="L414" s="19"/>
      <c r="O414" s="19">
        <f>J414*L414*12</f>
        <v>0</v>
      </c>
      <c r="P414" s="19">
        <f>K414*M414*12</f>
        <v>0</v>
      </c>
      <c r="Q414" s="19">
        <f>L414*O414*12</f>
        <v>0</v>
      </c>
      <c r="R414" s="19">
        <f>M414*P414*12</f>
        <v>0</v>
      </c>
      <c r="S414" s="19">
        <f t="shared" ref="S414:T414" si="467">O414*Q414*12</f>
        <v>0</v>
      </c>
      <c r="T414" s="19">
        <f t="shared" si="467"/>
        <v>0</v>
      </c>
    </row>
    <row r="415" spans="1:20" x14ac:dyDescent="0.3">
      <c r="A415" s="38" t="s">
        <v>57</v>
      </c>
      <c r="B415" s="39"/>
      <c r="C415" s="41">
        <f>C416+C417+C418</f>
        <v>7</v>
      </c>
      <c r="D415" s="41">
        <f t="shared" ref="D415:F415" si="468">D416+D417+D418</f>
        <v>6</v>
      </c>
      <c r="E415" s="41">
        <f t="shared" si="468"/>
        <v>4</v>
      </c>
      <c r="F415" s="41">
        <f t="shared" si="468"/>
        <v>4</v>
      </c>
      <c r="G415" s="41"/>
      <c r="H415" s="41">
        <f t="shared" ref="H415:L415" si="469">H416+H417+H418</f>
        <v>1657404</v>
      </c>
      <c r="I415" s="42">
        <f t="shared" si="469"/>
        <v>0</v>
      </c>
      <c r="J415" s="42">
        <f t="shared" si="469"/>
        <v>0</v>
      </c>
      <c r="K415" s="42">
        <f t="shared" si="469"/>
        <v>0</v>
      </c>
      <c r="L415" s="42">
        <f t="shared" si="469"/>
        <v>0</v>
      </c>
      <c r="O415" s="41">
        <f t="shared" ref="O415:P415" si="470">O416+O417+O418</f>
        <v>0</v>
      </c>
      <c r="P415" s="41">
        <f t="shared" si="470"/>
        <v>0</v>
      </c>
      <c r="Q415" s="41">
        <f t="shared" ref="Q415" si="471">Q416+Q417+Q418</f>
        <v>0</v>
      </c>
      <c r="R415" s="41">
        <f t="shared" ref="R415:S415" si="472">R416+R417+R418</f>
        <v>0</v>
      </c>
      <c r="S415" s="41">
        <f t="shared" si="472"/>
        <v>0</v>
      </c>
      <c r="T415" s="41">
        <f t="shared" ref="T415" si="473">T416+T417+T418</f>
        <v>0</v>
      </c>
    </row>
    <row r="416" spans="1:20" x14ac:dyDescent="0.3">
      <c r="A416" s="4"/>
      <c r="B416" s="5" t="s">
        <v>11</v>
      </c>
      <c r="C416" s="9">
        <v>2.5</v>
      </c>
      <c r="D416" s="9">
        <v>1.5</v>
      </c>
      <c r="E416" s="9">
        <v>1</v>
      </c>
      <c r="F416" s="9">
        <v>1</v>
      </c>
      <c r="G416" s="19">
        <f>'расчёт зарплаты'!K26</f>
        <v>27300</v>
      </c>
      <c r="H416" s="19">
        <f t="shared" ref="H416:H419" si="474">E416*G416*12+ ((D416-E416)*G416/2*12)</f>
        <v>409500</v>
      </c>
      <c r="I416" s="19"/>
      <c r="J416" s="19"/>
      <c r="K416" s="19"/>
      <c r="L416" s="19"/>
      <c r="O416" s="19">
        <f t="shared" ref="O416:P419" si="475">J416*L416*12+ ((I416-J416)*L416/2*12)</f>
        <v>0</v>
      </c>
      <c r="P416" s="19">
        <f t="shared" si="475"/>
        <v>0</v>
      </c>
      <c r="Q416" s="19">
        <f t="shared" ref="Q416:R419" si="476">L416*O416*12+ ((K416-L416)*O416/2*12)</f>
        <v>0</v>
      </c>
      <c r="R416" s="19">
        <f t="shared" si="476"/>
        <v>0</v>
      </c>
      <c r="S416" s="19">
        <f t="shared" ref="S416:T419" si="477">O416*Q416*12+ ((M416-O416)*Q416/2*12)</f>
        <v>0</v>
      </c>
      <c r="T416" s="19">
        <f t="shared" si="477"/>
        <v>0</v>
      </c>
    </row>
    <row r="417" spans="1:20" x14ac:dyDescent="0.3">
      <c r="A417" s="4"/>
      <c r="B417" s="5" t="s">
        <v>12</v>
      </c>
      <c r="C417" s="9">
        <v>2</v>
      </c>
      <c r="D417" s="9">
        <v>2</v>
      </c>
      <c r="E417" s="9">
        <v>2</v>
      </c>
      <c r="F417" s="9">
        <v>2</v>
      </c>
      <c r="G417" s="19">
        <f>'расчёт зарплаты'!K26</f>
        <v>27300</v>
      </c>
      <c r="H417" s="19">
        <f t="shared" si="474"/>
        <v>655200</v>
      </c>
      <c r="I417" s="19"/>
      <c r="J417" s="19"/>
      <c r="K417" s="19"/>
      <c r="L417" s="19"/>
      <c r="O417" s="19">
        <f t="shared" si="475"/>
        <v>0</v>
      </c>
      <c r="P417" s="19">
        <f t="shared" si="475"/>
        <v>0</v>
      </c>
      <c r="Q417" s="19">
        <f t="shared" si="476"/>
        <v>0</v>
      </c>
      <c r="R417" s="19">
        <f t="shared" si="476"/>
        <v>0</v>
      </c>
      <c r="S417" s="19">
        <f t="shared" si="477"/>
        <v>0</v>
      </c>
      <c r="T417" s="19">
        <f t="shared" si="477"/>
        <v>0</v>
      </c>
    </row>
    <row r="418" spans="1:20" ht="28.2" x14ac:dyDescent="0.3">
      <c r="A418" s="4"/>
      <c r="B418" s="5" t="s">
        <v>19</v>
      </c>
      <c r="C418" s="9">
        <v>2.5</v>
      </c>
      <c r="D418" s="9">
        <v>2.5</v>
      </c>
      <c r="E418" s="9">
        <v>1</v>
      </c>
      <c r="F418" s="9">
        <v>1</v>
      </c>
      <c r="G418" s="19">
        <f>'расчёт зарплаты'!K40</f>
        <v>28224</v>
      </c>
      <c r="H418" s="19">
        <f t="shared" si="474"/>
        <v>592704</v>
      </c>
      <c r="I418" s="19"/>
      <c r="J418" s="19"/>
      <c r="K418" s="19"/>
      <c r="L418" s="19"/>
      <c r="O418" s="19">
        <f t="shared" si="475"/>
        <v>0</v>
      </c>
      <c r="P418" s="19">
        <f t="shared" si="475"/>
        <v>0</v>
      </c>
      <c r="Q418" s="19">
        <f t="shared" si="476"/>
        <v>0</v>
      </c>
      <c r="R418" s="19">
        <f t="shared" si="476"/>
        <v>0</v>
      </c>
      <c r="S418" s="19">
        <f t="shared" si="477"/>
        <v>0</v>
      </c>
      <c r="T418" s="19">
        <f t="shared" si="477"/>
        <v>0</v>
      </c>
    </row>
    <row r="419" spans="1:20" x14ac:dyDescent="0.3">
      <c r="A419" s="135" t="s">
        <v>23</v>
      </c>
      <c r="B419" s="135"/>
      <c r="C419" s="7">
        <f t="shared" ref="C419:F419" si="478">C420+C426</f>
        <v>9.25</v>
      </c>
      <c r="D419" s="7">
        <f t="shared" si="478"/>
        <v>8.75</v>
      </c>
      <c r="E419" s="7">
        <f t="shared" si="478"/>
        <v>8</v>
      </c>
      <c r="F419" s="7">
        <f t="shared" si="478"/>
        <v>8</v>
      </c>
      <c r="G419" s="19"/>
      <c r="H419" s="19">
        <f t="shared" si="474"/>
        <v>0</v>
      </c>
      <c r="I419" s="19"/>
      <c r="J419" s="20">
        <f t="shared" ref="J419:K419" si="479">J420+J426</f>
        <v>2816490</v>
      </c>
      <c r="K419" s="20">
        <f t="shared" si="479"/>
        <v>850579.98</v>
      </c>
      <c r="L419" s="20">
        <f>L420+L426</f>
        <v>3667069.9799999995</v>
      </c>
      <c r="O419" s="19">
        <f t="shared" si="475"/>
        <v>61969595567821.195</v>
      </c>
      <c r="P419" s="19">
        <f t="shared" si="475"/>
        <v>0</v>
      </c>
      <c r="Q419" s="19">
        <f t="shared" si="476"/>
        <v>1.6797416456291017E+21</v>
      </c>
      <c r="R419" s="19">
        <f t="shared" si="476"/>
        <v>0</v>
      </c>
      <c r="S419" s="19">
        <f t="shared" si="477"/>
        <v>6.2455746262837122E+35</v>
      </c>
      <c r="T419" s="19">
        <f t="shared" si="477"/>
        <v>0</v>
      </c>
    </row>
    <row r="420" spans="1:20" x14ac:dyDescent="0.3">
      <c r="A420" s="136" t="s">
        <v>24</v>
      </c>
      <c r="B420" s="136"/>
      <c r="C420" s="7">
        <f t="shared" ref="C420:F420" si="480">C421+C422+C423+C424+C425</f>
        <v>5.75</v>
      </c>
      <c r="D420" s="7">
        <f t="shared" si="480"/>
        <v>5.75</v>
      </c>
      <c r="E420" s="7">
        <f t="shared" si="480"/>
        <v>6</v>
      </c>
      <c r="F420" s="7">
        <f t="shared" si="480"/>
        <v>6</v>
      </c>
      <c r="G420" s="20"/>
      <c r="H420" s="20">
        <f>H421+H422+H423+H424+H425</f>
        <v>1924650</v>
      </c>
      <c r="I420" s="20">
        <f t="shared" ref="I420" si="481">I421+I422+I423+I424+I425</f>
        <v>0</v>
      </c>
      <c r="J420" s="20">
        <f>H420</f>
        <v>1924650</v>
      </c>
      <c r="K420" s="20">
        <f>J420*30.2%</f>
        <v>581244.29999999993</v>
      </c>
      <c r="L420" s="20">
        <f>J420+K420</f>
        <v>2505894.2999999998</v>
      </c>
      <c r="O420" s="20">
        <f t="shared" ref="O420:T420" si="482">O421+O422+O423+O424+O425</f>
        <v>0</v>
      </c>
      <c r="P420" s="20">
        <f t="shared" si="482"/>
        <v>0</v>
      </c>
      <c r="Q420" s="20">
        <f t="shared" si="482"/>
        <v>0</v>
      </c>
      <c r="R420" s="20">
        <f t="shared" si="482"/>
        <v>0</v>
      </c>
      <c r="S420" s="20">
        <f t="shared" si="482"/>
        <v>0</v>
      </c>
      <c r="T420" s="20">
        <f t="shared" si="482"/>
        <v>0</v>
      </c>
    </row>
    <row r="421" spans="1:20" x14ac:dyDescent="0.3">
      <c r="A421" s="4"/>
      <c r="B421" s="5" t="s">
        <v>25</v>
      </c>
      <c r="C421" s="33"/>
      <c r="D421" s="33"/>
      <c r="E421" s="33"/>
      <c r="F421" s="33"/>
      <c r="G421" s="19"/>
      <c r="H421" s="19">
        <f t="shared" ref="H421:H425" si="483">E421*G421*12+ ((D421-E421)*G421/2*12)</f>
        <v>0</v>
      </c>
      <c r="I421" s="19"/>
      <c r="J421" s="19"/>
      <c r="K421" s="19"/>
      <c r="L421" s="19"/>
      <c r="O421" s="19">
        <f t="shared" ref="O421:P425" si="484">J421*L421*12+ ((I421-J421)*L421/2*12)</f>
        <v>0</v>
      </c>
      <c r="P421" s="19">
        <f t="shared" si="484"/>
        <v>0</v>
      </c>
      <c r="Q421" s="19">
        <f t="shared" ref="Q421:R425" si="485">L421*O421*12+ ((K421-L421)*O421/2*12)</f>
        <v>0</v>
      </c>
      <c r="R421" s="19">
        <f t="shared" si="485"/>
        <v>0</v>
      </c>
      <c r="S421" s="19">
        <f t="shared" ref="S421:T425" si="486">O421*Q421*12+ ((M421-O421)*Q421/2*12)</f>
        <v>0</v>
      </c>
      <c r="T421" s="19">
        <f t="shared" si="486"/>
        <v>0</v>
      </c>
    </row>
    <row r="422" spans="1:20" x14ac:dyDescent="0.3">
      <c r="A422" s="4"/>
      <c r="B422" s="5" t="s">
        <v>26</v>
      </c>
      <c r="C422" s="33"/>
      <c r="D422" s="33"/>
      <c r="E422" s="33"/>
      <c r="F422" s="33"/>
      <c r="G422" s="19"/>
      <c r="H422" s="19">
        <f t="shared" si="483"/>
        <v>0</v>
      </c>
      <c r="I422" s="19"/>
      <c r="J422" s="19"/>
      <c r="K422" s="19"/>
      <c r="L422" s="19"/>
      <c r="O422" s="19">
        <f t="shared" si="484"/>
        <v>0</v>
      </c>
      <c r="P422" s="19">
        <f t="shared" si="484"/>
        <v>0</v>
      </c>
      <c r="Q422" s="19">
        <f t="shared" si="485"/>
        <v>0</v>
      </c>
      <c r="R422" s="19">
        <f t="shared" si="485"/>
        <v>0</v>
      </c>
      <c r="S422" s="19">
        <f t="shared" si="486"/>
        <v>0</v>
      </c>
      <c r="T422" s="19">
        <f t="shared" si="486"/>
        <v>0</v>
      </c>
    </row>
    <row r="423" spans="1:20" x14ac:dyDescent="0.3">
      <c r="A423" s="4"/>
      <c r="B423" s="5" t="s">
        <v>27</v>
      </c>
      <c r="C423" s="33"/>
      <c r="D423" s="33"/>
      <c r="E423" s="33"/>
      <c r="F423" s="33"/>
      <c r="G423" s="19"/>
      <c r="H423" s="19">
        <f t="shared" si="483"/>
        <v>0</v>
      </c>
      <c r="I423" s="19"/>
      <c r="J423" s="19"/>
      <c r="K423" s="19"/>
      <c r="L423" s="19"/>
      <c r="O423" s="19">
        <f t="shared" si="484"/>
        <v>0</v>
      </c>
      <c r="P423" s="19">
        <f t="shared" si="484"/>
        <v>0</v>
      </c>
      <c r="Q423" s="19">
        <f t="shared" si="485"/>
        <v>0</v>
      </c>
      <c r="R423" s="19">
        <f t="shared" si="485"/>
        <v>0</v>
      </c>
      <c r="S423" s="19">
        <f t="shared" si="486"/>
        <v>0</v>
      </c>
      <c r="T423" s="19">
        <f t="shared" si="486"/>
        <v>0</v>
      </c>
    </row>
    <row r="424" spans="1:20" ht="28.2" x14ac:dyDescent="0.3">
      <c r="A424" s="4"/>
      <c r="B424" s="5" t="s">
        <v>28</v>
      </c>
      <c r="C424" s="33">
        <v>2.5</v>
      </c>
      <c r="D424" s="33">
        <v>2.5</v>
      </c>
      <c r="E424" s="33">
        <v>3</v>
      </c>
      <c r="F424" s="33">
        <v>3</v>
      </c>
      <c r="G424" s="19">
        <f>'расчёт зарплаты'!K26</f>
        <v>27300</v>
      </c>
      <c r="H424" s="19">
        <f t="shared" si="483"/>
        <v>900900</v>
      </c>
      <c r="I424" s="19"/>
      <c r="J424" s="19"/>
      <c r="K424" s="19"/>
      <c r="L424" s="19"/>
      <c r="O424" s="19">
        <f t="shared" si="484"/>
        <v>0</v>
      </c>
      <c r="P424" s="19">
        <f t="shared" si="484"/>
        <v>0</v>
      </c>
      <c r="Q424" s="19">
        <f t="shared" si="485"/>
        <v>0</v>
      </c>
      <c r="R424" s="19">
        <f t="shared" si="485"/>
        <v>0</v>
      </c>
      <c r="S424" s="19">
        <f t="shared" si="486"/>
        <v>0</v>
      </c>
      <c r="T424" s="19">
        <f t="shared" si="486"/>
        <v>0</v>
      </c>
    </row>
    <row r="425" spans="1:20" x14ac:dyDescent="0.3">
      <c r="A425" s="4"/>
      <c r="B425" s="5" t="s">
        <v>29</v>
      </c>
      <c r="C425" s="33">
        <v>3.25</v>
      </c>
      <c r="D425" s="33">
        <v>3.25</v>
      </c>
      <c r="E425" s="33">
        <v>3</v>
      </c>
      <c r="F425" s="33">
        <v>3</v>
      </c>
      <c r="G425" s="19">
        <f>'расчёт зарплаты'!K26</f>
        <v>27300</v>
      </c>
      <c r="H425" s="19">
        <f t="shared" si="483"/>
        <v>1023750</v>
      </c>
      <c r="I425" s="19"/>
      <c r="J425" s="19"/>
      <c r="K425" s="19"/>
      <c r="L425" s="19"/>
      <c r="O425" s="19">
        <f t="shared" si="484"/>
        <v>0</v>
      </c>
      <c r="P425" s="19">
        <f t="shared" si="484"/>
        <v>0</v>
      </c>
      <c r="Q425" s="19">
        <f t="shared" si="485"/>
        <v>0</v>
      </c>
      <c r="R425" s="19">
        <f t="shared" si="485"/>
        <v>0</v>
      </c>
      <c r="S425" s="19">
        <f t="shared" si="486"/>
        <v>0</v>
      </c>
      <c r="T425" s="19">
        <f t="shared" si="486"/>
        <v>0</v>
      </c>
    </row>
    <row r="426" spans="1:20" x14ac:dyDescent="0.3">
      <c r="A426" s="136" t="s">
        <v>30</v>
      </c>
      <c r="B426" s="136"/>
      <c r="C426" s="7">
        <f t="shared" ref="C426:F426" si="487">C427+C428+C429</f>
        <v>3.5</v>
      </c>
      <c r="D426" s="7">
        <f t="shared" si="487"/>
        <v>3</v>
      </c>
      <c r="E426" s="7">
        <f t="shared" si="487"/>
        <v>2</v>
      </c>
      <c r="F426" s="7">
        <f t="shared" si="487"/>
        <v>2</v>
      </c>
      <c r="G426" s="20"/>
      <c r="H426" s="20">
        <f>H427+H428+H429</f>
        <v>891840</v>
      </c>
      <c r="I426" s="20">
        <f t="shared" ref="I426" si="488">I427+I428+I429</f>
        <v>0</v>
      </c>
      <c r="J426" s="20">
        <f>H426</f>
        <v>891840</v>
      </c>
      <c r="K426" s="20">
        <f>J426*30.2%</f>
        <v>269335.67999999999</v>
      </c>
      <c r="L426" s="20">
        <f>J426+K426</f>
        <v>1161175.68</v>
      </c>
      <c r="O426" s="20">
        <f t="shared" ref="O426:T426" si="489">O427+O428+O429</f>
        <v>0</v>
      </c>
      <c r="P426" s="20">
        <f t="shared" si="489"/>
        <v>0</v>
      </c>
      <c r="Q426" s="20">
        <f t="shared" si="489"/>
        <v>0</v>
      </c>
      <c r="R426" s="20">
        <f t="shared" si="489"/>
        <v>0</v>
      </c>
      <c r="S426" s="20">
        <f t="shared" si="489"/>
        <v>0</v>
      </c>
      <c r="T426" s="20">
        <f t="shared" si="489"/>
        <v>0</v>
      </c>
    </row>
    <row r="427" spans="1:20" x14ac:dyDescent="0.3">
      <c r="A427" s="4"/>
      <c r="B427" s="5" t="s">
        <v>31</v>
      </c>
      <c r="C427" s="33">
        <v>1</v>
      </c>
      <c r="D427" s="33">
        <v>1</v>
      </c>
      <c r="E427" s="33">
        <v>1</v>
      </c>
      <c r="F427" s="33">
        <v>1</v>
      </c>
      <c r="G427" s="19">
        <f>'расчёт зарплаты'!K34</f>
        <v>30976</v>
      </c>
      <c r="H427" s="19">
        <f t="shared" ref="H427:H429" si="490">E427*G427*12+ ((D427-E427)*G427/2*12)</f>
        <v>371712</v>
      </c>
      <c r="I427" s="19"/>
      <c r="J427" s="19"/>
      <c r="K427" s="19"/>
      <c r="L427" s="19"/>
      <c r="O427" s="19">
        <f t="shared" ref="O427:P429" si="491">J427*L427*12+ ((I427-J427)*L427/2*12)</f>
        <v>0</v>
      </c>
      <c r="P427" s="19">
        <f t="shared" si="491"/>
        <v>0</v>
      </c>
      <c r="Q427" s="19">
        <f t="shared" ref="Q427:R429" si="492">L427*O427*12+ ((K427-L427)*O427/2*12)</f>
        <v>0</v>
      </c>
      <c r="R427" s="19">
        <f t="shared" si="492"/>
        <v>0</v>
      </c>
      <c r="S427" s="19">
        <f t="shared" ref="S427:T429" si="493">O427*Q427*12+ ((M427-O427)*Q427/2*12)</f>
        <v>0</v>
      </c>
      <c r="T427" s="19">
        <f t="shared" si="493"/>
        <v>0</v>
      </c>
    </row>
    <row r="428" spans="1:20" x14ac:dyDescent="0.3">
      <c r="A428" s="4"/>
      <c r="B428" s="5" t="s">
        <v>32</v>
      </c>
      <c r="C428" s="33"/>
      <c r="D428" s="33"/>
      <c r="E428" s="33"/>
      <c r="F428" s="33"/>
      <c r="G428" s="19"/>
      <c r="H428" s="19">
        <f t="shared" si="490"/>
        <v>0</v>
      </c>
      <c r="I428" s="19"/>
      <c r="J428" s="19"/>
      <c r="K428" s="19"/>
      <c r="L428" s="19"/>
      <c r="O428" s="19">
        <f t="shared" si="491"/>
        <v>0</v>
      </c>
      <c r="P428" s="19">
        <f t="shared" si="491"/>
        <v>0</v>
      </c>
      <c r="Q428" s="19">
        <f t="shared" si="492"/>
        <v>0</v>
      </c>
      <c r="R428" s="19">
        <f t="shared" si="492"/>
        <v>0</v>
      </c>
      <c r="S428" s="19">
        <f t="shared" si="493"/>
        <v>0</v>
      </c>
      <c r="T428" s="19">
        <f t="shared" si="493"/>
        <v>0</v>
      </c>
    </row>
    <row r="429" spans="1:20" x14ac:dyDescent="0.3">
      <c r="A429" s="4"/>
      <c r="B429" s="5" t="s">
        <v>33</v>
      </c>
      <c r="C429" s="33">
        <v>2.5</v>
      </c>
      <c r="D429" s="33">
        <v>2</v>
      </c>
      <c r="E429" s="33">
        <v>1</v>
      </c>
      <c r="F429" s="33">
        <v>1</v>
      </c>
      <c r="G429" s="19">
        <f>'расчёт зарплаты'!K38</f>
        <v>28896</v>
      </c>
      <c r="H429" s="19">
        <f t="shared" si="490"/>
        <v>520128</v>
      </c>
      <c r="I429" s="19"/>
      <c r="J429" s="19"/>
      <c r="K429" s="19"/>
      <c r="L429" s="19"/>
      <c r="O429" s="19">
        <f t="shared" si="491"/>
        <v>0</v>
      </c>
      <c r="P429" s="19">
        <f t="shared" si="491"/>
        <v>0</v>
      </c>
      <c r="Q429" s="19">
        <f t="shared" si="492"/>
        <v>0</v>
      </c>
      <c r="R429" s="19">
        <f t="shared" si="492"/>
        <v>0</v>
      </c>
      <c r="S429" s="19">
        <f t="shared" si="493"/>
        <v>0</v>
      </c>
      <c r="T429" s="19">
        <f t="shared" si="493"/>
        <v>0</v>
      </c>
    </row>
    <row r="430" spans="1:20" x14ac:dyDescent="0.3">
      <c r="A430" s="141" t="s">
        <v>73</v>
      </c>
      <c r="B430" s="141"/>
      <c r="C430" s="141"/>
      <c r="D430" s="141"/>
      <c r="E430" s="141"/>
      <c r="F430" s="141"/>
      <c r="G430" s="141"/>
      <c r="H430" s="141"/>
      <c r="I430" s="141"/>
      <c r="J430" s="141"/>
      <c r="K430" s="141"/>
      <c r="L430" s="141"/>
    </row>
    <row r="431" spans="1:20" ht="14.4" customHeight="1" x14ac:dyDescent="0.3">
      <c r="A431" s="133" t="s">
        <v>7</v>
      </c>
      <c r="B431" s="134"/>
      <c r="C431" s="8">
        <f>C432+C449+C445</f>
        <v>43.75</v>
      </c>
      <c r="D431" s="8">
        <f>D432+D449+D445</f>
        <v>42</v>
      </c>
      <c r="E431" s="8">
        <f>E432+E449+E445</f>
        <v>38.5</v>
      </c>
      <c r="F431" s="8">
        <f>F432+F449+F445</f>
        <v>37.5</v>
      </c>
      <c r="G431" s="19"/>
      <c r="H431" s="19"/>
      <c r="I431" s="19"/>
      <c r="J431" s="19"/>
      <c r="K431" s="19"/>
      <c r="L431" s="19"/>
      <c r="O431" s="19"/>
      <c r="P431" s="19"/>
      <c r="Q431" s="19"/>
      <c r="R431" s="19"/>
      <c r="S431" s="19"/>
      <c r="T431" s="19"/>
    </row>
    <row r="432" spans="1:20" ht="14.4" customHeight="1" x14ac:dyDescent="0.3">
      <c r="A432" s="133" t="s">
        <v>89</v>
      </c>
      <c r="B432" s="134"/>
      <c r="C432" s="40">
        <f t="shared" ref="C432:G432" si="494">SUM(C433:C444)</f>
        <v>30.5</v>
      </c>
      <c r="D432" s="40">
        <f t="shared" si="494"/>
        <v>30</v>
      </c>
      <c r="E432" s="40">
        <f t="shared" si="494"/>
        <v>28</v>
      </c>
      <c r="F432" s="40">
        <f t="shared" si="494"/>
        <v>27.5</v>
      </c>
      <c r="G432" s="40">
        <f t="shared" si="494"/>
        <v>176536</v>
      </c>
      <c r="H432" s="40">
        <f>SUM(H433:H444)</f>
        <v>10029120</v>
      </c>
      <c r="I432" s="20"/>
      <c r="J432" s="20">
        <f>H432-I432</f>
        <v>10029120</v>
      </c>
      <c r="K432" s="20">
        <f>J432*30.2%</f>
        <v>3028794.2399999998</v>
      </c>
      <c r="L432" s="20">
        <f>J432+K432</f>
        <v>13057914.24</v>
      </c>
      <c r="O432" s="40">
        <f t="shared" ref="O432:T432" si="495">SUM(O433:O444)</f>
        <v>0</v>
      </c>
      <c r="P432" s="40">
        <f t="shared" si="495"/>
        <v>0</v>
      </c>
      <c r="Q432" s="40">
        <f t="shared" si="495"/>
        <v>0</v>
      </c>
      <c r="R432" s="40">
        <f t="shared" si="495"/>
        <v>0</v>
      </c>
      <c r="S432" s="40">
        <f t="shared" si="495"/>
        <v>0</v>
      </c>
      <c r="T432" s="40">
        <f t="shared" si="495"/>
        <v>0</v>
      </c>
    </row>
    <row r="433" spans="1:20" x14ac:dyDescent="0.3">
      <c r="A433" s="4"/>
      <c r="B433" s="5" t="s">
        <v>9</v>
      </c>
      <c r="C433" s="33">
        <v>15</v>
      </c>
      <c r="D433" s="33">
        <v>15</v>
      </c>
      <c r="E433" s="33">
        <v>15</v>
      </c>
      <c r="F433" s="33">
        <v>15</v>
      </c>
      <c r="G433" s="19">
        <f>'расчёт зарплаты'!K10</f>
        <v>28208</v>
      </c>
      <c r="H433" s="19">
        <f>E433*G433*12+ ((D433-E433)*G433/2*12)</f>
        <v>5077440</v>
      </c>
      <c r="I433" s="19"/>
      <c r="J433" s="19"/>
      <c r="K433" s="19"/>
      <c r="L433" s="19">
        <f>G433*K433*12</f>
        <v>0</v>
      </c>
      <c r="O433" s="19">
        <f t="shared" ref="O433:O443" si="496">J433*L433*12+ ((I433-J433)*L433/2*12)</f>
        <v>0</v>
      </c>
      <c r="P433" s="19">
        <f t="shared" ref="P433:P443" si="497">K433*M433*12+ ((J433-K433)*M433/2*12)</f>
        <v>0</v>
      </c>
      <c r="Q433" s="19">
        <f t="shared" ref="Q433:Q443" si="498">L433*O433*12+ ((K433-L433)*O433/2*12)</f>
        <v>0</v>
      </c>
      <c r="R433" s="19">
        <f t="shared" ref="R433:R443" si="499">M433*P433*12+ ((L433-M433)*P433/2*12)</f>
        <v>0</v>
      </c>
      <c r="S433" s="19">
        <f t="shared" ref="S433:T443" si="500">O433*Q433*12+ ((M433-O433)*Q433/2*12)</f>
        <v>0</v>
      </c>
      <c r="T433" s="19">
        <f t="shared" si="500"/>
        <v>0</v>
      </c>
    </row>
    <row r="434" spans="1:20" x14ac:dyDescent="0.3">
      <c r="A434" s="4"/>
      <c r="B434" s="5" t="s">
        <v>10</v>
      </c>
      <c r="C434" s="33"/>
      <c r="D434" s="33"/>
      <c r="E434" s="33"/>
      <c r="F434" s="33"/>
      <c r="G434" s="19"/>
      <c r="H434" s="19">
        <f t="shared" ref="H434:H443" si="501">E434*G434*12+ ((D434-E434)*G434/2*12)</f>
        <v>0</v>
      </c>
      <c r="I434" s="19"/>
      <c r="J434" s="19"/>
      <c r="K434" s="19"/>
      <c r="L434" s="19"/>
      <c r="O434" s="19">
        <f t="shared" si="496"/>
        <v>0</v>
      </c>
      <c r="P434" s="19">
        <f t="shared" si="497"/>
        <v>0</v>
      </c>
      <c r="Q434" s="19">
        <f t="shared" si="498"/>
        <v>0</v>
      </c>
      <c r="R434" s="19">
        <f t="shared" si="499"/>
        <v>0</v>
      </c>
      <c r="S434" s="19">
        <f t="shared" si="500"/>
        <v>0</v>
      </c>
      <c r="T434" s="19">
        <f t="shared" si="500"/>
        <v>0</v>
      </c>
    </row>
    <row r="435" spans="1:20" x14ac:dyDescent="0.3">
      <c r="A435" s="4"/>
      <c r="B435" s="5" t="s">
        <v>13</v>
      </c>
      <c r="C435" s="33">
        <v>3</v>
      </c>
      <c r="D435" s="33">
        <v>3</v>
      </c>
      <c r="E435" s="33">
        <v>2.5</v>
      </c>
      <c r="F435" s="33">
        <v>2</v>
      </c>
      <c r="G435" s="19">
        <f>'расчёт зарплаты'!K38</f>
        <v>28896</v>
      </c>
      <c r="H435" s="19">
        <f t="shared" si="501"/>
        <v>953568</v>
      </c>
      <c r="I435" s="19"/>
      <c r="J435" s="19"/>
      <c r="K435" s="19"/>
      <c r="L435" s="19"/>
      <c r="O435" s="19">
        <f t="shared" si="496"/>
        <v>0</v>
      </c>
      <c r="P435" s="19">
        <f t="shared" si="497"/>
        <v>0</v>
      </c>
      <c r="Q435" s="19">
        <f t="shared" si="498"/>
        <v>0</v>
      </c>
      <c r="R435" s="19">
        <f t="shared" si="499"/>
        <v>0</v>
      </c>
      <c r="S435" s="19">
        <f t="shared" si="500"/>
        <v>0</v>
      </c>
      <c r="T435" s="19">
        <f t="shared" si="500"/>
        <v>0</v>
      </c>
    </row>
    <row r="436" spans="1:20" ht="28.2" x14ac:dyDescent="0.3">
      <c r="A436" s="4"/>
      <c r="B436" s="5" t="s">
        <v>14</v>
      </c>
      <c r="C436" s="33"/>
      <c r="D436" s="33"/>
      <c r="E436" s="33"/>
      <c r="F436" s="33"/>
      <c r="G436" s="19"/>
      <c r="H436" s="19">
        <f t="shared" si="501"/>
        <v>0</v>
      </c>
      <c r="I436" s="19"/>
      <c r="J436" s="19"/>
      <c r="K436" s="19"/>
      <c r="L436" s="19"/>
      <c r="O436" s="19">
        <f t="shared" si="496"/>
        <v>0</v>
      </c>
      <c r="P436" s="19">
        <f t="shared" si="497"/>
        <v>0</v>
      </c>
      <c r="Q436" s="19">
        <f t="shared" si="498"/>
        <v>0</v>
      </c>
      <c r="R436" s="19">
        <f t="shared" si="499"/>
        <v>0</v>
      </c>
      <c r="S436" s="19">
        <f t="shared" si="500"/>
        <v>0</v>
      </c>
      <c r="T436" s="19">
        <f t="shared" si="500"/>
        <v>0</v>
      </c>
    </row>
    <row r="437" spans="1:20" x14ac:dyDescent="0.3">
      <c r="A437" s="4"/>
      <c r="B437" s="5" t="s">
        <v>15</v>
      </c>
      <c r="C437" s="33">
        <v>4.5</v>
      </c>
      <c r="D437" s="33">
        <v>4.5</v>
      </c>
      <c r="E437" s="33">
        <v>4</v>
      </c>
      <c r="F437" s="33">
        <v>4</v>
      </c>
      <c r="G437" s="19">
        <f>'расчёт зарплаты'!K34</f>
        <v>30976</v>
      </c>
      <c r="H437" s="19">
        <f t="shared" si="501"/>
        <v>1579776</v>
      </c>
      <c r="I437" s="19"/>
      <c r="J437" s="19"/>
      <c r="K437" s="19"/>
      <c r="L437" s="19"/>
      <c r="O437" s="19">
        <f t="shared" si="496"/>
        <v>0</v>
      </c>
      <c r="P437" s="19">
        <f t="shared" si="497"/>
        <v>0</v>
      </c>
      <c r="Q437" s="19">
        <f t="shared" si="498"/>
        <v>0</v>
      </c>
      <c r="R437" s="19">
        <f t="shared" si="499"/>
        <v>0</v>
      </c>
      <c r="S437" s="19">
        <f t="shared" si="500"/>
        <v>0</v>
      </c>
      <c r="T437" s="19">
        <f t="shared" si="500"/>
        <v>0</v>
      </c>
    </row>
    <row r="438" spans="1:20" x14ac:dyDescent="0.3">
      <c r="A438" s="4"/>
      <c r="B438" s="5" t="s">
        <v>16</v>
      </c>
      <c r="C438" s="33">
        <v>6</v>
      </c>
      <c r="D438" s="33">
        <v>6</v>
      </c>
      <c r="E438" s="33">
        <v>6</v>
      </c>
      <c r="F438" s="33">
        <v>6</v>
      </c>
      <c r="G438" s="19">
        <f>'расчёт зарплаты'!K8</f>
        <v>28600</v>
      </c>
      <c r="H438" s="19">
        <f t="shared" si="501"/>
        <v>2059200</v>
      </c>
      <c r="I438" s="19"/>
      <c r="J438" s="19"/>
      <c r="K438" s="19"/>
      <c r="L438" s="19"/>
      <c r="O438" s="19">
        <f t="shared" si="496"/>
        <v>0</v>
      </c>
      <c r="P438" s="19">
        <f t="shared" si="497"/>
        <v>0</v>
      </c>
      <c r="Q438" s="19">
        <f t="shared" si="498"/>
        <v>0</v>
      </c>
      <c r="R438" s="19">
        <f t="shared" si="499"/>
        <v>0</v>
      </c>
      <c r="S438" s="19">
        <f t="shared" si="500"/>
        <v>0</v>
      </c>
      <c r="T438" s="19">
        <f t="shared" si="500"/>
        <v>0</v>
      </c>
    </row>
    <row r="439" spans="1:20" ht="42" x14ac:dyDescent="0.3">
      <c r="A439" s="4"/>
      <c r="B439" s="5" t="s">
        <v>17</v>
      </c>
      <c r="C439" s="33">
        <v>1</v>
      </c>
      <c r="D439" s="33">
        <v>0.5</v>
      </c>
      <c r="E439" s="33">
        <v>0.5</v>
      </c>
      <c r="F439" s="33">
        <v>0.5</v>
      </c>
      <c r="G439" s="19">
        <f>'расчёт зарплаты'!K10</f>
        <v>28208</v>
      </c>
      <c r="H439" s="19">
        <f t="shared" si="501"/>
        <v>169248</v>
      </c>
      <c r="I439" s="19"/>
      <c r="J439" s="19"/>
      <c r="K439" s="19"/>
      <c r="L439" s="19"/>
      <c r="O439" s="19">
        <f t="shared" si="496"/>
        <v>0</v>
      </c>
      <c r="P439" s="19">
        <f t="shared" si="497"/>
        <v>0</v>
      </c>
      <c r="Q439" s="19">
        <f t="shared" si="498"/>
        <v>0</v>
      </c>
      <c r="R439" s="19">
        <f t="shared" si="499"/>
        <v>0</v>
      </c>
      <c r="S439" s="19">
        <f t="shared" si="500"/>
        <v>0</v>
      </c>
      <c r="T439" s="19">
        <f t="shared" si="500"/>
        <v>0</v>
      </c>
    </row>
    <row r="440" spans="1:20" ht="28.2" x14ac:dyDescent="0.3">
      <c r="A440" s="4"/>
      <c r="B440" s="5" t="s">
        <v>18</v>
      </c>
      <c r="C440" s="33">
        <v>1</v>
      </c>
      <c r="D440" s="33">
        <v>1</v>
      </c>
      <c r="E440" s="33">
        <v>0</v>
      </c>
      <c r="F440" s="33">
        <v>0</v>
      </c>
      <c r="G440" s="19">
        <f>'расчёт зарплаты'!K20</f>
        <v>31648</v>
      </c>
      <c r="H440" s="19">
        <f t="shared" si="501"/>
        <v>189888</v>
      </c>
      <c r="I440" s="19"/>
      <c r="J440" s="19"/>
      <c r="K440" s="19"/>
      <c r="L440" s="19"/>
      <c r="O440" s="19">
        <f t="shared" si="496"/>
        <v>0</v>
      </c>
      <c r="P440" s="19">
        <f t="shared" si="497"/>
        <v>0</v>
      </c>
      <c r="Q440" s="19">
        <f t="shared" si="498"/>
        <v>0</v>
      </c>
      <c r="R440" s="19">
        <f t="shared" si="499"/>
        <v>0</v>
      </c>
      <c r="S440" s="19">
        <f t="shared" si="500"/>
        <v>0</v>
      </c>
      <c r="T440" s="19">
        <f t="shared" si="500"/>
        <v>0</v>
      </c>
    </row>
    <row r="441" spans="1:20" ht="42" x14ac:dyDescent="0.3">
      <c r="A441" s="4"/>
      <c r="B441" s="5" t="s">
        <v>91</v>
      </c>
      <c r="C441" s="33"/>
      <c r="D441" s="33"/>
      <c r="E441" s="33"/>
      <c r="F441" s="33"/>
      <c r="G441" s="19"/>
      <c r="H441" s="19">
        <f t="shared" si="501"/>
        <v>0</v>
      </c>
      <c r="I441" s="19"/>
      <c r="J441" s="19"/>
      <c r="K441" s="19"/>
      <c r="L441" s="19"/>
      <c r="O441" s="19">
        <f t="shared" si="496"/>
        <v>0</v>
      </c>
      <c r="P441" s="19">
        <f t="shared" si="497"/>
        <v>0</v>
      </c>
      <c r="Q441" s="19">
        <f t="shared" si="498"/>
        <v>0</v>
      </c>
      <c r="R441" s="19">
        <f t="shared" si="499"/>
        <v>0</v>
      </c>
      <c r="S441" s="19">
        <f t="shared" si="500"/>
        <v>0</v>
      </c>
      <c r="T441" s="19">
        <f t="shared" si="500"/>
        <v>0</v>
      </c>
    </row>
    <row r="442" spans="1:20" x14ac:dyDescent="0.3">
      <c r="A442" s="4"/>
      <c r="B442" s="5" t="s">
        <v>20</v>
      </c>
      <c r="C442" s="33"/>
      <c r="D442" s="33"/>
      <c r="E442" s="33"/>
      <c r="F442" s="33"/>
      <c r="G442" s="19"/>
      <c r="H442" s="19">
        <f t="shared" si="501"/>
        <v>0</v>
      </c>
      <c r="I442" s="19"/>
      <c r="J442" s="19"/>
      <c r="K442" s="19"/>
      <c r="L442" s="19"/>
      <c r="O442" s="19">
        <f t="shared" si="496"/>
        <v>0</v>
      </c>
      <c r="P442" s="19">
        <f t="shared" si="497"/>
        <v>0</v>
      </c>
      <c r="Q442" s="19">
        <f t="shared" si="498"/>
        <v>0</v>
      </c>
      <c r="R442" s="19">
        <f t="shared" si="499"/>
        <v>0</v>
      </c>
      <c r="S442" s="19">
        <f t="shared" si="500"/>
        <v>0</v>
      </c>
      <c r="T442" s="19">
        <f t="shared" si="500"/>
        <v>0</v>
      </c>
    </row>
    <row r="443" spans="1:20" ht="39.6" x14ac:dyDescent="0.3">
      <c r="A443" s="4"/>
      <c r="B443" s="6" t="s">
        <v>21</v>
      </c>
      <c r="C443" s="33"/>
      <c r="D443" s="33"/>
      <c r="E443" s="33"/>
      <c r="F443" s="33"/>
      <c r="G443" s="19"/>
      <c r="H443" s="19">
        <f t="shared" si="501"/>
        <v>0</v>
      </c>
      <c r="I443" s="19"/>
      <c r="J443" s="19"/>
      <c r="K443" s="19"/>
      <c r="L443" s="19"/>
      <c r="O443" s="19">
        <f t="shared" si="496"/>
        <v>0</v>
      </c>
      <c r="P443" s="19">
        <f t="shared" si="497"/>
        <v>0</v>
      </c>
      <c r="Q443" s="19">
        <f t="shared" si="498"/>
        <v>0</v>
      </c>
      <c r="R443" s="19">
        <f t="shared" si="499"/>
        <v>0</v>
      </c>
      <c r="S443" s="19">
        <f t="shared" si="500"/>
        <v>0</v>
      </c>
      <c r="T443" s="19">
        <f t="shared" si="500"/>
        <v>0</v>
      </c>
    </row>
    <row r="444" spans="1:20" x14ac:dyDescent="0.3">
      <c r="A444" s="4"/>
      <c r="B444" s="5" t="s">
        <v>22</v>
      </c>
      <c r="C444" s="33"/>
      <c r="D444" s="33"/>
      <c r="E444" s="33"/>
      <c r="F444" s="33"/>
      <c r="G444" s="19"/>
      <c r="H444" s="19">
        <f t="shared" ref="H444" si="502">E444*G444*12</f>
        <v>0</v>
      </c>
      <c r="I444" s="19"/>
      <c r="J444" s="19"/>
      <c r="K444" s="19"/>
      <c r="L444" s="19"/>
      <c r="O444" s="19">
        <f>J444*L444*12</f>
        <v>0</v>
      </c>
      <c r="P444" s="19">
        <f>K444*M444*12</f>
        <v>0</v>
      </c>
      <c r="Q444" s="19">
        <f>L444*O444*12</f>
        <v>0</v>
      </c>
      <c r="R444" s="19">
        <f>M444*P444*12</f>
        <v>0</v>
      </c>
      <c r="S444" s="19">
        <f t="shared" ref="S444:T444" si="503">O444*Q444*12</f>
        <v>0</v>
      </c>
      <c r="T444" s="19">
        <f t="shared" si="503"/>
        <v>0</v>
      </c>
    </row>
    <row r="445" spans="1:20" x14ac:dyDescent="0.3">
      <c r="A445" s="38" t="s">
        <v>57</v>
      </c>
      <c r="B445" s="39"/>
      <c r="C445" s="41">
        <f>C446+C447+C448</f>
        <v>6.75</v>
      </c>
      <c r="D445" s="41">
        <f t="shared" ref="D445:F445" si="504">D446+D447+D448</f>
        <v>5.5</v>
      </c>
      <c r="E445" s="41">
        <f t="shared" si="504"/>
        <v>5</v>
      </c>
      <c r="F445" s="41">
        <f t="shared" si="504"/>
        <v>5</v>
      </c>
      <c r="G445" s="41"/>
      <c r="H445" s="42">
        <f t="shared" ref="H445:L445" si="505">H446+H447+H448</f>
        <v>1753164</v>
      </c>
      <c r="I445" s="42">
        <f t="shared" si="505"/>
        <v>0</v>
      </c>
      <c r="J445" s="42">
        <f t="shared" si="505"/>
        <v>0</v>
      </c>
      <c r="K445" s="42">
        <f t="shared" si="505"/>
        <v>0</v>
      </c>
      <c r="L445" s="42">
        <f t="shared" si="505"/>
        <v>0</v>
      </c>
      <c r="O445" s="42">
        <f t="shared" ref="O445:P445" si="506">O446+O447+O448</f>
        <v>0</v>
      </c>
      <c r="P445" s="42">
        <f t="shared" si="506"/>
        <v>0</v>
      </c>
      <c r="Q445" s="42">
        <f t="shared" ref="Q445" si="507">Q446+Q447+Q448</f>
        <v>0</v>
      </c>
      <c r="R445" s="42">
        <f t="shared" ref="R445:S445" si="508">R446+R447+R448</f>
        <v>0</v>
      </c>
      <c r="S445" s="42">
        <f t="shared" si="508"/>
        <v>0</v>
      </c>
      <c r="T445" s="42">
        <f t="shared" ref="T445" si="509">T446+T447+T448</f>
        <v>0</v>
      </c>
    </row>
    <row r="446" spans="1:20" x14ac:dyDescent="0.3">
      <c r="A446" s="4"/>
      <c r="B446" s="5" t="s">
        <v>11</v>
      </c>
      <c r="C446" s="9">
        <v>1.5</v>
      </c>
      <c r="D446" s="9">
        <v>0.5</v>
      </c>
      <c r="E446" s="9">
        <v>0</v>
      </c>
      <c r="F446" s="9">
        <v>0</v>
      </c>
      <c r="G446" s="19">
        <f>'расчёт зарплаты'!K26</f>
        <v>27300</v>
      </c>
      <c r="H446" s="19">
        <f t="shared" ref="H446:H449" si="510">E446*G446*12+ ((D446-E446)*G446/2*12)</f>
        <v>81900</v>
      </c>
      <c r="I446" s="19"/>
      <c r="J446" s="19"/>
      <c r="K446" s="19"/>
      <c r="L446" s="19"/>
      <c r="O446" s="19">
        <f t="shared" ref="O446:P449" si="511">J446*L446*12+ ((I446-J446)*L446/2*12)</f>
        <v>0</v>
      </c>
      <c r="P446" s="19">
        <f t="shared" si="511"/>
        <v>0</v>
      </c>
      <c r="Q446" s="19">
        <f t="shared" ref="Q446:R449" si="512">L446*O446*12+ ((K446-L446)*O446/2*12)</f>
        <v>0</v>
      </c>
      <c r="R446" s="19">
        <f t="shared" si="512"/>
        <v>0</v>
      </c>
      <c r="S446" s="19">
        <f t="shared" ref="S446:T449" si="513">O446*Q446*12+ ((M446-O446)*Q446/2*12)</f>
        <v>0</v>
      </c>
      <c r="T446" s="19">
        <f t="shared" si="513"/>
        <v>0</v>
      </c>
    </row>
    <row r="447" spans="1:20" x14ac:dyDescent="0.3">
      <c r="A447" s="4"/>
      <c r="B447" s="5" t="s">
        <v>12</v>
      </c>
      <c r="C447" s="9">
        <v>2</v>
      </c>
      <c r="D447" s="9">
        <v>2</v>
      </c>
      <c r="E447" s="9">
        <v>2</v>
      </c>
      <c r="F447" s="9">
        <v>2</v>
      </c>
      <c r="G447" s="19">
        <f>'расчёт зарплаты'!K26</f>
        <v>27300</v>
      </c>
      <c r="H447" s="19">
        <f t="shared" si="510"/>
        <v>655200</v>
      </c>
      <c r="I447" s="19"/>
      <c r="J447" s="19"/>
      <c r="K447" s="19"/>
      <c r="L447" s="19"/>
      <c r="O447" s="19">
        <f t="shared" si="511"/>
        <v>0</v>
      </c>
      <c r="P447" s="19">
        <f t="shared" si="511"/>
        <v>0</v>
      </c>
      <c r="Q447" s="19">
        <f t="shared" si="512"/>
        <v>0</v>
      </c>
      <c r="R447" s="19">
        <f t="shared" si="512"/>
        <v>0</v>
      </c>
      <c r="S447" s="19">
        <f t="shared" si="513"/>
        <v>0</v>
      </c>
      <c r="T447" s="19">
        <f t="shared" si="513"/>
        <v>0</v>
      </c>
    </row>
    <row r="448" spans="1:20" ht="28.2" x14ac:dyDescent="0.3">
      <c r="A448" s="4"/>
      <c r="B448" s="5" t="s">
        <v>19</v>
      </c>
      <c r="C448" s="9">
        <v>3.25</v>
      </c>
      <c r="D448" s="9">
        <v>3</v>
      </c>
      <c r="E448" s="9">
        <v>3</v>
      </c>
      <c r="F448" s="9">
        <v>3</v>
      </c>
      <c r="G448" s="19">
        <f>'расчёт зарплаты'!K40</f>
        <v>28224</v>
      </c>
      <c r="H448" s="19">
        <f t="shared" si="510"/>
        <v>1016064</v>
      </c>
      <c r="I448" s="19"/>
      <c r="J448" s="19"/>
      <c r="K448" s="19"/>
      <c r="L448" s="19"/>
      <c r="O448" s="19">
        <f t="shared" si="511"/>
        <v>0</v>
      </c>
      <c r="P448" s="19">
        <f t="shared" si="511"/>
        <v>0</v>
      </c>
      <c r="Q448" s="19">
        <f t="shared" si="512"/>
        <v>0</v>
      </c>
      <c r="R448" s="19">
        <f t="shared" si="512"/>
        <v>0</v>
      </c>
      <c r="S448" s="19">
        <f t="shared" si="513"/>
        <v>0</v>
      </c>
      <c r="T448" s="19">
        <f t="shared" si="513"/>
        <v>0</v>
      </c>
    </row>
    <row r="449" spans="1:20" x14ac:dyDescent="0.3">
      <c r="A449" s="135" t="s">
        <v>23</v>
      </c>
      <c r="B449" s="135"/>
      <c r="C449" s="7">
        <f t="shared" ref="C449:F449" si="514">C450+C456</f>
        <v>6.5</v>
      </c>
      <c r="D449" s="7">
        <f t="shared" si="514"/>
        <v>6.5</v>
      </c>
      <c r="E449" s="7">
        <f t="shared" si="514"/>
        <v>5.5</v>
      </c>
      <c r="F449" s="7">
        <f t="shared" si="514"/>
        <v>5</v>
      </c>
      <c r="G449" s="19"/>
      <c r="H449" s="19">
        <f t="shared" si="510"/>
        <v>0</v>
      </c>
      <c r="I449" s="19"/>
      <c r="J449" s="20">
        <f t="shared" ref="J449:K449" si="515">J450+J456</f>
        <v>1995780</v>
      </c>
      <c r="K449" s="20">
        <f t="shared" si="515"/>
        <v>602725.56000000006</v>
      </c>
      <c r="L449" s="20">
        <f>L450+L456</f>
        <v>2598505.56</v>
      </c>
      <c r="O449" s="19">
        <f t="shared" si="511"/>
        <v>31116272559220.797</v>
      </c>
      <c r="P449" s="19">
        <f t="shared" si="511"/>
        <v>0</v>
      </c>
      <c r="Q449" s="19">
        <f t="shared" si="512"/>
        <v>5.9766228032987791E+20</v>
      </c>
      <c r="R449" s="19">
        <f t="shared" si="512"/>
        <v>0</v>
      </c>
      <c r="S449" s="19">
        <f t="shared" si="513"/>
        <v>1.1158213447865945E+35</v>
      </c>
      <c r="T449" s="19">
        <f t="shared" si="513"/>
        <v>0</v>
      </c>
    </row>
    <row r="450" spans="1:20" x14ac:dyDescent="0.3">
      <c r="A450" s="136" t="s">
        <v>24</v>
      </c>
      <c r="B450" s="136"/>
      <c r="C450" s="7">
        <f t="shared" ref="C450:F450" si="516">C451+C452+C453+C454+C455</f>
        <v>5</v>
      </c>
      <c r="D450" s="7">
        <f t="shared" si="516"/>
        <v>5</v>
      </c>
      <c r="E450" s="7">
        <f t="shared" si="516"/>
        <v>4.5</v>
      </c>
      <c r="F450" s="7">
        <f t="shared" si="516"/>
        <v>4</v>
      </c>
      <c r="G450" s="20"/>
      <c r="H450" s="20">
        <f>H451+H452+H453+H454+H455</f>
        <v>1556100</v>
      </c>
      <c r="I450" s="20">
        <f t="shared" ref="I450" si="517">I451+I452+I453+I454+I455</f>
        <v>0</v>
      </c>
      <c r="J450" s="20">
        <f>H450</f>
        <v>1556100</v>
      </c>
      <c r="K450" s="20">
        <f>J450*30.2%</f>
        <v>469942.2</v>
      </c>
      <c r="L450" s="20">
        <f>J450+K450</f>
        <v>2026042.2</v>
      </c>
      <c r="O450" s="20">
        <f t="shared" ref="O450:T450" si="518">O451+O452+O453+O454+O455</f>
        <v>0</v>
      </c>
      <c r="P450" s="20">
        <f t="shared" si="518"/>
        <v>0</v>
      </c>
      <c r="Q450" s="20">
        <f t="shared" si="518"/>
        <v>0</v>
      </c>
      <c r="R450" s="20">
        <f t="shared" si="518"/>
        <v>0</v>
      </c>
      <c r="S450" s="20">
        <f t="shared" si="518"/>
        <v>0</v>
      </c>
      <c r="T450" s="20">
        <f t="shared" si="518"/>
        <v>0</v>
      </c>
    </row>
    <row r="451" spans="1:20" x14ac:dyDescent="0.3">
      <c r="A451" s="4"/>
      <c r="B451" s="5" t="s">
        <v>25</v>
      </c>
      <c r="C451" s="33"/>
      <c r="D451" s="33"/>
      <c r="E451" s="33"/>
      <c r="F451" s="33"/>
      <c r="G451" s="19"/>
      <c r="H451" s="19">
        <f t="shared" ref="H451:H455" si="519">E451*G451*12+ ((D451-E451)*G451/2*12)</f>
        <v>0</v>
      </c>
      <c r="I451" s="19"/>
      <c r="J451" s="19"/>
      <c r="K451" s="19"/>
      <c r="L451" s="19"/>
      <c r="O451" s="19">
        <f t="shared" ref="O451:P455" si="520">J451*L451*12+ ((I451-J451)*L451/2*12)</f>
        <v>0</v>
      </c>
      <c r="P451" s="19">
        <f t="shared" si="520"/>
        <v>0</v>
      </c>
      <c r="Q451" s="19">
        <f t="shared" ref="Q451:R455" si="521">L451*O451*12+ ((K451-L451)*O451/2*12)</f>
        <v>0</v>
      </c>
      <c r="R451" s="19">
        <f t="shared" si="521"/>
        <v>0</v>
      </c>
      <c r="S451" s="19">
        <f t="shared" ref="S451:T455" si="522">O451*Q451*12+ ((M451-O451)*Q451/2*12)</f>
        <v>0</v>
      </c>
      <c r="T451" s="19">
        <f t="shared" si="522"/>
        <v>0</v>
      </c>
    </row>
    <row r="452" spans="1:20" x14ac:dyDescent="0.3">
      <c r="A452" s="4"/>
      <c r="B452" s="5" t="s">
        <v>26</v>
      </c>
      <c r="C452" s="33"/>
      <c r="D452" s="33"/>
      <c r="E452" s="33"/>
      <c r="F452" s="33"/>
      <c r="G452" s="19"/>
      <c r="H452" s="19">
        <f t="shared" si="519"/>
        <v>0</v>
      </c>
      <c r="I452" s="19"/>
      <c r="J452" s="19"/>
      <c r="K452" s="19"/>
      <c r="L452" s="19"/>
      <c r="O452" s="19">
        <f t="shared" si="520"/>
        <v>0</v>
      </c>
      <c r="P452" s="19">
        <f t="shared" si="520"/>
        <v>0</v>
      </c>
      <c r="Q452" s="19">
        <f t="shared" si="521"/>
        <v>0</v>
      </c>
      <c r="R452" s="19">
        <f t="shared" si="521"/>
        <v>0</v>
      </c>
      <c r="S452" s="19">
        <f t="shared" si="522"/>
        <v>0</v>
      </c>
      <c r="T452" s="19">
        <f t="shared" si="522"/>
        <v>0</v>
      </c>
    </row>
    <row r="453" spans="1:20" x14ac:dyDescent="0.3">
      <c r="A453" s="4"/>
      <c r="B453" s="5" t="s">
        <v>27</v>
      </c>
      <c r="C453" s="33"/>
      <c r="D453" s="33"/>
      <c r="E453" s="33"/>
      <c r="F453" s="33"/>
      <c r="G453" s="19"/>
      <c r="H453" s="19">
        <f t="shared" si="519"/>
        <v>0</v>
      </c>
      <c r="I453" s="19"/>
      <c r="J453" s="19"/>
      <c r="K453" s="19"/>
      <c r="L453" s="19"/>
      <c r="O453" s="19">
        <f t="shared" si="520"/>
        <v>0</v>
      </c>
      <c r="P453" s="19">
        <f t="shared" si="520"/>
        <v>0</v>
      </c>
      <c r="Q453" s="19">
        <f t="shared" si="521"/>
        <v>0</v>
      </c>
      <c r="R453" s="19">
        <f t="shared" si="521"/>
        <v>0</v>
      </c>
      <c r="S453" s="19">
        <f t="shared" si="522"/>
        <v>0</v>
      </c>
      <c r="T453" s="19">
        <f t="shared" si="522"/>
        <v>0</v>
      </c>
    </row>
    <row r="454" spans="1:20" ht="28.2" x14ac:dyDescent="0.3">
      <c r="A454" s="4"/>
      <c r="B454" s="5" t="s">
        <v>28</v>
      </c>
      <c r="C454" s="33">
        <v>3</v>
      </c>
      <c r="D454" s="33">
        <v>3</v>
      </c>
      <c r="E454" s="33">
        <v>2.5</v>
      </c>
      <c r="F454" s="33">
        <v>2</v>
      </c>
      <c r="G454" s="19">
        <f>'расчёт зарплаты'!K26</f>
        <v>27300</v>
      </c>
      <c r="H454" s="19">
        <f t="shared" si="519"/>
        <v>900900</v>
      </c>
      <c r="I454" s="19"/>
      <c r="J454" s="19"/>
      <c r="K454" s="19"/>
      <c r="L454" s="19"/>
      <c r="O454" s="19">
        <f t="shared" si="520"/>
        <v>0</v>
      </c>
      <c r="P454" s="19">
        <f t="shared" si="520"/>
        <v>0</v>
      </c>
      <c r="Q454" s="19">
        <f t="shared" si="521"/>
        <v>0</v>
      </c>
      <c r="R454" s="19">
        <f t="shared" si="521"/>
        <v>0</v>
      </c>
      <c r="S454" s="19">
        <f t="shared" si="522"/>
        <v>0</v>
      </c>
      <c r="T454" s="19">
        <f t="shared" si="522"/>
        <v>0</v>
      </c>
    </row>
    <row r="455" spans="1:20" x14ac:dyDescent="0.3">
      <c r="A455" s="4"/>
      <c r="B455" s="5" t="s">
        <v>29</v>
      </c>
      <c r="C455" s="33">
        <v>2</v>
      </c>
      <c r="D455" s="33">
        <v>2</v>
      </c>
      <c r="E455" s="33">
        <v>2</v>
      </c>
      <c r="F455" s="33">
        <v>2</v>
      </c>
      <c r="G455" s="19">
        <f>'расчёт зарплаты'!K26</f>
        <v>27300</v>
      </c>
      <c r="H455" s="19">
        <f t="shared" si="519"/>
        <v>655200</v>
      </c>
      <c r="I455" s="19"/>
      <c r="J455" s="19"/>
      <c r="K455" s="19"/>
      <c r="L455" s="19"/>
      <c r="O455" s="19">
        <f t="shared" si="520"/>
        <v>0</v>
      </c>
      <c r="P455" s="19">
        <f t="shared" si="520"/>
        <v>0</v>
      </c>
      <c r="Q455" s="19">
        <f t="shared" si="521"/>
        <v>0</v>
      </c>
      <c r="R455" s="19">
        <f t="shared" si="521"/>
        <v>0</v>
      </c>
      <c r="S455" s="19">
        <f t="shared" si="522"/>
        <v>0</v>
      </c>
      <c r="T455" s="19">
        <f t="shared" si="522"/>
        <v>0</v>
      </c>
    </row>
    <row r="456" spans="1:20" x14ac:dyDescent="0.3">
      <c r="A456" s="136" t="s">
        <v>30</v>
      </c>
      <c r="B456" s="136"/>
      <c r="C456" s="7">
        <f t="shared" ref="C456:F456" si="523">C457+C458+C459</f>
        <v>1.5</v>
      </c>
      <c r="D456" s="7">
        <f t="shared" si="523"/>
        <v>1.5</v>
      </c>
      <c r="E456" s="7">
        <f t="shared" si="523"/>
        <v>1</v>
      </c>
      <c r="F456" s="7">
        <f t="shared" si="523"/>
        <v>1</v>
      </c>
      <c r="G456" s="20"/>
      <c r="H456" s="20">
        <f>H457+H458+H459</f>
        <v>439680</v>
      </c>
      <c r="I456" s="20">
        <f t="shared" ref="I456" si="524">I457+I458+I459</f>
        <v>0</v>
      </c>
      <c r="J456" s="20">
        <f>H456</f>
        <v>439680</v>
      </c>
      <c r="K456" s="20">
        <f>J456*30.2%</f>
        <v>132783.35999999999</v>
      </c>
      <c r="L456" s="20">
        <f>J456+K456</f>
        <v>572463.35999999999</v>
      </c>
      <c r="O456" s="20">
        <f t="shared" ref="O456:T456" si="525">O457+O458+O459</f>
        <v>0</v>
      </c>
      <c r="P456" s="20">
        <f t="shared" si="525"/>
        <v>0</v>
      </c>
      <c r="Q456" s="20">
        <f t="shared" si="525"/>
        <v>0</v>
      </c>
      <c r="R456" s="20">
        <f t="shared" si="525"/>
        <v>0</v>
      </c>
      <c r="S456" s="20">
        <f t="shared" si="525"/>
        <v>0</v>
      </c>
      <c r="T456" s="20">
        <f t="shared" si="525"/>
        <v>0</v>
      </c>
    </row>
    <row r="457" spans="1:20" x14ac:dyDescent="0.3">
      <c r="A457" s="4"/>
      <c r="B457" s="5" t="s">
        <v>31</v>
      </c>
      <c r="C457" s="33">
        <v>0.5</v>
      </c>
      <c r="D457" s="33">
        <v>0.5</v>
      </c>
      <c r="E457" s="33">
        <v>0</v>
      </c>
      <c r="F457" s="33">
        <v>0</v>
      </c>
      <c r="G457" s="19">
        <f>'расчёт зарплаты'!K34</f>
        <v>30976</v>
      </c>
      <c r="H457" s="19">
        <f t="shared" ref="H457:H459" si="526">E457*G457*12+ ((D457-E457)*G457/2*12)</f>
        <v>92928</v>
      </c>
      <c r="I457" s="19"/>
      <c r="J457" s="19"/>
      <c r="K457" s="19"/>
      <c r="L457" s="19"/>
      <c r="O457" s="19">
        <f t="shared" ref="O457:P459" si="527">J457*L457*12+ ((I457-J457)*L457/2*12)</f>
        <v>0</v>
      </c>
      <c r="P457" s="19">
        <f t="shared" si="527"/>
        <v>0</v>
      </c>
      <c r="Q457" s="19">
        <f t="shared" ref="Q457:R459" si="528">L457*O457*12+ ((K457-L457)*O457/2*12)</f>
        <v>0</v>
      </c>
      <c r="R457" s="19">
        <f t="shared" si="528"/>
        <v>0</v>
      </c>
      <c r="S457" s="19">
        <f t="shared" ref="S457:T459" si="529">O457*Q457*12+ ((M457-O457)*Q457/2*12)</f>
        <v>0</v>
      </c>
      <c r="T457" s="19">
        <f t="shared" si="529"/>
        <v>0</v>
      </c>
    </row>
    <row r="458" spans="1:20" x14ac:dyDescent="0.3">
      <c r="A458" s="4"/>
      <c r="B458" s="5" t="s">
        <v>32</v>
      </c>
      <c r="C458" s="33"/>
      <c r="D458" s="33"/>
      <c r="E458" s="33"/>
      <c r="F458" s="33"/>
      <c r="G458" s="19"/>
      <c r="H458" s="19">
        <f t="shared" si="526"/>
        <v>0</v>
      </c>
      <c r="I458" s="19"/>
      <c r="J458" s="19"/>
      <c r="K458" s="19"/>
      <c r="L458" s="19"/>
      <c r="O458" s="19">
        <f t="shared" si="527"/>
        <v>0</v>
      </c>
      <c r="P458" s="19">
        <f t="shared" si="527"/>
        <v>0</v>
      </c>
      <c r="Q458" s="19">
        <f t="shared" si="528"/>
        <v>0</v>
      </c>
      <c r="R458" s="19">
        <f t="shared" si="528"/>
        <v>0</v>
      </c>
      <c r="S458" s="19">
        <f t="shared" si="529"/>
        <v>0</v>
      </c>
      <c r="T458" s="19">
        <f t="shared" si="529"/>
        <v>0</v>
      </c>
    </row>
    <row r="459" spans="1:20" x14ac:dyDescent="0.3">
      <c r="A459" s="4"/>
      <c r="B459" s="5" t="s">
        <v>33</v>
      </c>
      <c r="C459" s="33">
        <v>1</v>
      </c>
      <c r="D459" s="33">
        <v>1</v>
      </c>
      <c r="E459" s="33">
        <v>1</v>
      </c>
      <c r="F459" s="33">
        <v>1</v>
      </c>
      <c r="G459" s="19">
        <f>'расчёт зарплаты'!K38</f>
        <v>28896</v>
      </c>
      <c r="H459" s="19">
        <f t="shared" si="526"/>
        <v>346752</v>
      </c>
      <c r="I459" s="19"/>
      <c r="J459" s="19"/>
      <c r="K459" s="19"/>
      <c r="L459" s="19"/>
      <c r="O459" s="19">
        <f t="shared" si="527"/>
        <v>0</v>
      </c>
      <c r="P459" s="19">
        <f t="shared" si="527"/>
        <v>0</v>
      </c>
      <c r="Q459" s="19">
        <f t="shared" si="528"/>
        <v>0</v>
      </c>
      <c r="R459" s="19">
        <f t="shared" si="528"/>
        <v>0</v>
      </c>
      <c r="S459" s="19">
        <f t="shared" si="529"/>
        <v>0</v>
      </c>
      <c r="T459" s="19">
        <f t="shared" si="529"/>
        <v>0</v>
      </c>
    </row>
    <row r="460" spans="1:20" x14ac:dyDescent="0.3">
      <c r="A460" s="141" t="s">
        <v>74</v>
      </c>
      <c r="B460" s="141"/>
      <c r="C460" s="141"/>
      <c r="D460" s="141"/>
      <c r="E460" s="141"/>
      <c r="F460" s="141"/>
      <c r="G460" s="141"/>
      <c r="H460" s="141"/>
      <c r="I460" s="141"/>
      <c r="J460" s="141"/>
      <c r="K460" s="141"/>
      <c r="L460" s="141"/>
    </row>
    <row r="461" spans="1:20" ht="14.4" customHeight="1" x14ac:dyDescent="0.3">
      <c r="A461" s="133" t="s">
        <v>7</v>
      </c>
      <c r="B461" s="134"/>
      <c r="C461" s="8">
        <f>C462+C479+C475</f>
        <v>56</v>
      </c>
      <c r="D461" s="8">
        <f>D462+D479+D475</f>
        <v>53</v>
      </c>
      <c r="E461" s="8">
        <f>E462+E479+E475</f>
        <v>46.1</v>
      </c>
      <c r="F461" s="8">
        <f>F462+F479+F475</f>
        <v>44</v>
      </c>
      <c r="G461" s="19"/>
      <c r="H461" s="19"/>
      <c r="I461" s="19"/>
      <c r="J461" s="19"/>
      <c r="K461" s="19"/>
      <c r="L461" s="19"/>
      <c r="O461" s="19"/>
      <c r="P461" s="19"/>
      <c r="Q461" s="19"/>
      <c r="R461" s="19"/>
      <c r="S461" s="19"/>
      <c r="T461" s="19"/>
    </row>
    <row r="462" spans="1:20" ht="14.4" customHeight="1" x14ac:dyDescent="0.3">
      <c r="A462" s="133" t="s">
        <v>89</v>
      </c>
      <c r="B462" s="134"/>
      <c r="C462" s="40">
        <f t="shared" ref="C462:G462" si="530">SUM(C463:C475)</f>
        <v>53</v>
      </c>
      <c r="D462" s="40">
        <f t="shared" si="530"/>
        <v>50</v>
      </c>
      <c r="E462" s="40">
        <f t="shared" si="530"/>
        <v>44.4</v>
      </c>
      <c r="F462" s="40">
        <f t="shared" si="530"/>
        <v>43</v>
      </c>
      <c r="G462" s="40">
        <f t="shared" si="530"/>
        <v>280760</v>
      </c>
      <c r="H462" s="40">
        <f>SUM(H463:H475)</f>
        <v>16794643.199999999</v>
      </c>
      <c r="I462" s="20"/>
      <c r="J462" s="20">
        <f>H462-I462</f>
        <v>16794643.199999999</v>
      </c>
      <c r="K462" s="20">
        <f>J462*30.2%</f>
        <v>5071982.2463999996</v>
      </c>
      <c r="L462" s="20">
        <f>J462+K462</f>
        <v>21866625.446399998</v>
      </c>
      <c r="O462" s="40">
        <f t="shared" ref="O462:T462" si="531">SUM(O463:O475)</f>
        <v>0</v>
      </c>
      <c r="P462" s="40">
        <f t="shared" si="531"/>
        <v>0</v>
      </c>
      <c r="Q462" s="40">
        <f t="shared" si="531"/>
        <v>0</v>
      </c>
      <c r="R462" s="40">
        <f t="shared" si="531"/>
        <v>0</v>
      </c>
      <c r="S462" s="40">
        <f t="shared" si="531"/>
        <v>0</v>
      </c>
      <c r="T462" s="40">
        <f t="shared" si="531"/>
        <v>0</v>
      </c>
    </row>
    <row r="463" spans="1:20" x14ac:dyDescent="0.3">
      <c r="A463" s="4"/>
      <c r="B463" s="5" t="s">
        <v>9</v>
      </c>
      <c r="C463" s="33">
        <v>20</v>
      </c>
      <c r="D463" s="33">
        <v>20</v>
      </c>
      <c r="E463" s="33">
        <v>17.899999999999999</v>
      </c>
      <c r="F463" s="33">
        <v>17</v>
      </c>
      <c r="G463" s="19">
        <f>'расчёт зарплаты'!K10</f>
        <v>28208</v>
      </c>
      <c r="H463" s="19">
        <f>E463*G463*12+ ((D463-E463)*G463/2*12)</f>
        <v>6414499.1999999993</v>
      </c>
      <c r="I463" s="19"/>
      <c r="J463" s="19"/>
      <c r="K463" s="19"/>
      <c r="L463" s="19">
        <f>G463*K463*12</f>
        <v>0</v>
      </c>
      <c r="O463" s="19">
        <f t="shared" ref="O463:O474" si="532">J463*L463*12+ ((I463-J463)*L463/2*12)</f>
        <v>0</v>
      </c>
      <c r="P463" s="19">
        <f t="shared" ref="P463:P474" si="533">K463*M463*12+ ((J463-K463)*M463/2*12)</f>
        <v>0</v>
      </c>
      <c r="Q463" s="19">
        <f t="shared" ref="Q463:Q474" si="534">L463*O463*12+ ((K463-L463)*O463/2*12)</f>
        <v>0</v>
      </c>
      <c r="R463" s="19">
        <f t="shared" ref="R463:R474" si="535">M463*P463*12+ ((L463-M463)*P463/2*12)</f>
        <v>0</v>
      </c>
      <c r="S463" s="19">
        <f t="shared" ref="S463:T474" si="536">O463*Q463*12+ ((M463-O463)*Q463/2*12)</f>
        <v>0</v>
      </c>
      <c r="T463" s="19">
        <f t="shared" si="536"/>
        <v>0</v>
      </c>
    </row>
    <row r="464" spans="1:20" ht="28.2" x14ac:dyDescent="0.3">
      <c r="A464" s="4"/>
      <c r="B464" s="5" t="s">
        <v>82</v>
      </c>
      <c r="C464" s="33">
        <v>9</v>
      </c>
      <c r="D464" s="33">
        <v>9</v>
      </c>
      <c r="E464" s="33">
        <v>9</v>
      </c>
      <c r="F464" s="33">
        <v>9</v>
      </c>
      <c r="G464" s="19">
        <f>'расчёт зарплаты'!K12</f>
        <v>30960</v>
      </c>
      <c r="H464" s="19">
        <f>E464*G464*12+ ((D464-E464)*G464/2*12)</f>
        <v>3343680</v>
      </c>
      <c r="I464" s="19"/>
      <c r="J464" s="19"/>
      <c r="K464" s="19"/>
      <c r="L464" s="19"/>
      <c r="O464" s="19">
        <f t="shared" si="532"/>
        <v>0</v>
      </c>
      <c r="P464" s="19">
        <f t="shared" si="533"/>
        <v>0</v>
      </c>
      <c r="Q464" s="19">
        <f t="shared" si="534"/>
        <v>0</v>
      </c>
      <c r="R464" s="19">
        <f t="shared" si="535"/>
        <v>0</v>
      </c>
      <c r="S464" s="19">
        <f t="shared" si="536"/>
        <v>0</v>
      </c>
      <c r="T464" s="19">
        <f t="shared" si="536"/>
        <v>0</v>
      </c>
    </row>
    <row r="465" spans="1:20" x14ac:dyDescent="0.3">
      <c r="A465" s="4"/>
      <c r="B465" s="5" t="s">
        <v>10</v>
      </c>
      <c r="C465" s="33">
        <v>1</v>
      </c>
      <c r="D465" s="33"/>
      <c r="E465" s="33"/>
      <c r="F465" s="33"/>
      <c r="G465" s="19"/>
      <c r="H465" s="19">
        <f t="shared" ref="H465:H474" si="537">E465*G465*12+ ((D465-E465)*G465/2*12)</f>
        <v>0</v>
      </c>
      <c r="I465" s="19"/>
      <c r="J465" s="19"/>
      <c r="K465" s="19"/>
      <c r="L465" s="19"/>
      <c r="O465" s="19">
        <f t="shared" si="532"/>
        <v>0</v>
      </c>
      <c r="P465" s="19">
        <f t="shared" si="533"/>
        <v>0</v>
      </c>
      <c r="Q465" s="19">
        <f t="shared" si="534"/>
        <v>0</v>
      </c>
      <c r="R465" s="19">
        <f t="shared" si="535"/>
        <v>0</v>
      </c>
      <c r="S465" s="19">
        <f t="shared" si="536"/>
        <v>0</v>
      </c>
      <c r="T465" s="19">
        <f t="shared" si="536"/>
        <v>0</v>
      </c>
    </row>
    <row r="466" spans="1:20" x14ac:dyDescent="0.3">
      <c r="A466" s="4"/>
      <c r="B466" s="5" t="s">
        <v>13</v>
      </c>
      <c r="C466" s="33">
        <v>5</v>
      </c>
      <c r="D466" s="33">
        <v>4</v>
      </c>
      <c r="E466" s="33">
        <v>2</v>
      </c>
      <c r="F466" s="33">
        <v>2</v>
      </c>
      <c r="G466" s="19">
        <f>'расчёт зарплаты'!K38</f>
        <v>28896</v>
      </c>
      <c r="H466" s="19">
        <f t="shared" si="537"/>
        <v>1040256</v>
      </c>
      <c r="I466" s="19"/>
      <c r="J466" s="19"/>
      <c r="K466" s="19"/>
      <c r="L466" s="19"/>
      <c r="O466" s="19">
        <f t="shared" si="532"/>
        <v>0</v>
      </c>
      <c r="P466" s="19">
        <f t="shared" si="533"/>
        <v>0</v>
      </c>
      <c r="Q466" s="19">
        <f t="shared" si="534"/>
        <v>0</v>
      </c>
      <c r="R466" s="19">
        <f t="shared" si="535"/>
        <v>0</v>
      </c>
      <c r="S466" s="19">
        <f t="shared" si="536"/>
        <v>0</v>
      </c>
      <c r="T466" s="19">
        <f t="shared" si="536"/>
        <v>0</v>
      </c>
    </row>
    <row r="467" spans="1:20" ht="28.2" x14ac:dyDescent="0.3">
      <c r="A467" s="4"/>
      <c r="B467" s="5" t="s">
        <v>14</v>
      </c>
      <c r="C467" s="33"/>
      <c r="D467" s="33"/>
      <c r="E467" s="33"/>
      <c r="F467" s="33"/>
      <c r="G467" s="19"/>
      <c r="H467" s="19">
        <f t="shared" si="537"/>
        <v>0</v>
      </c>
      <c r="I467" s="19"/>
      <c r="J467" s="19"/>
      <c r="K467" s="19"/>
      <c r="L467" s="19"/>
      <c r="O467" s="19">
        <f t="shared" si="532"/>
        <v>0</v>
      </c>
      <c r="P467" s="19">
        <f t="shared" si="533"/>
        <v>0</v>
      </c>
      <c r="Q467" s="19">
        <f t="shared" si="534"/>
        <v>0</v>
      </c>
      <c r="R467" s="19">
        <f t="shared" si="535"/>
        <v>0</v>
      </c>
      <c r="S467" s="19">
        <f t="shared" si="536"/>
        <v>0</v>
      </c>
      <c r="T467" s="19">
        <f t="shared" si="536"/>
        <v>0</v>
      </c>
    </row>
    <row r="468" spans="1:20" x14ac:dyDescent="0.3">
      <c r="A468" s="4"/>
      <c r="B468" s="5" t="s">
        <v>15</v>
      </c>
      <c r="C468" s="33">
        <v>6</v>
      </c>
      <c r="D468" s="33">
        <v>6</v>
      </c>
      <c r="E468" s="33">
        <v>5</v>
      </c>
      <c r="F468" s="33">
        <v>5</v>
      </c>
      <c r="G468" s="19">
        <f>'расчёт зарплаты'!K34</f>
        <v>30976</v>
      </c>
      <c r="H468" s="19">
        <f t="shared" si="537"/>
        <v>2044416</v>
      </c>
      <c r="I468" s="19"/>
      <c r="J468" s="19"/>
      <c r="K468" s="19"/>
      <c r="L468" s="19"/>
      <c r="O468" s="19">
        <f t="shared" si="532"/>
        <v>0</v>
      </c>
      <c r="P468" s="19">
        <f t="shared" si="533"/>
        <v>0</v>
      </c>
      <c r="Q468" s="19">
        <f t="shared" si="534"/>
        <v>0</v>
      </c>
      <c r="R468" s="19">
        <f t="shared" si="535"/>
        <v>0</v>
      </c>
      <c r="S468" s="19">
        <f t="shared" si="536"/>
        <v>0</v>
      </c>
      <c r="T468" s="19">
        <f t="shared" si="536"/>
        <v>0</v>
      </c>
    </row>
    <row r="469" spans="1:20" x14ac:dyDescent="0.3">
      <c r="A469" s="4"/>
      <c r="B469" s="5" t="s">
        <v>16</v>
      </c>
      <c r="C469" s="33">
        <v>6</v>
      </c>
      <c r="D469" s="33">
        <v>6</v>
      </c>
      <c r="E469" s="33">
        <v>6</v>
      </c>
      <c r="F469" s="33">
        <v>6</v>
      </c>
      <c r="G469" s="19">
        <f>'расчёт зарплаты'!K8</f>
        <v>28600</v>
      </c>
      <c r="H469" s="19">
        <f t="shared" si="537"/>
        <v>2059200</v>
      </c>
      <c r="I469" s="19"/>
      <c r="J469" s="19"/>
      <c r="K469" s="19"/>
      <c r="L469" s="19"/>
      <c r="O469" s="19">
        <f t="shared" si="532"/>
        <v>0</v>
      </c>
      <c r="P469" s="19">
        <f t="shared" si="533"/>
        <v>0</v>
      </c>
      <c r="Q469" s="19">
        <f t="shared" si="534"/>
        <v>0</v>
      </c>
      <c r="R469" s="19">
        <f t="shared" si="535"/>
        <v>0</v>
      </c>
      <c r="S469" s="19">
        <f t="shared" si="536"/>
        <v>0</v>
      </c>
      <c r="T469" s="19">
        <f t="shared" si="536"/>
        <v>0</v>
      </c>
    </row>
    <row r="470" spans="1:20" ht="42" x14ac:dyDescent="0.3">
      <c r="A470" s="4"/>
      <c r="B470" s="5" t="s">
        <v>17</v>
      </c>
      <c r="C470" s="33">
        <v>2</v>
      </c>
      <c r="D470" s="33">
        <v>1</v>
      </c>
      <c r="E470" s="33">
        <v>0.5</v>
      </c>
      <c r="F470" s="33">
        <v>0</v>
      </c>
      <c r="G470" s="19">
        <f>'расчёт зарплаты'!K10</f>
        <v>28208</v>
      </c>
      <c r="H470" s="19">
        <f t="shared" si="537"/>
        <v>253872</v>
      </c>
      <c r="I470" s="19"/>
      <c r="J470" s="19"/>
      <c r="K470" s="19"/>
      <c r="L470" s="19"/>
      <c r="O470" s="19">
        <f t="shared" si="532"/>
        <v>0</v>
      </c>
      <c r="P470" s="19">
        <f t="shared" si="533"/>
        <v>0</v>
      </c>
      <c r="Q470" s="19">
        <f t="shared" si="534"/>
        <v>0</v>
      </c>
      <c r="R470" s="19">
        <f t="shared" si="535"/>
        <v>0</v>
      </c>
      <c r="S470" s="19">
        <f t="shared" si="536"/>
        <v>0</v>
      </c>
      <c r="T470" s="19">
        <f t="shared" si="536"/>
        <v>0</v>
      </c>
    </row>
    <row r="471" spans="1:20" ht="28.2" x14ac:dyDescent="0.3">
      <c r="A471" s="4"/>
      <c r="B471" s="5" t="s">
        <v>18</v>
      </c>
      <c r="C471" s="33">
        <v>2</v>
      </c>
      <c r="D471" s="33">
        <v>2</v>
      </c>
      <c r="E471" s="33">
        <v>2</v>
      </c>
      <c r="F471" s="33">
        <v>2</v>
      </c>
      <c r="G471" s="19">
        <f>'расчёт зарплаты'!K20</f>
        <v>31648</v>
      </c>
      <c r="H471" s="19">
        <f t="shared" si="537"/>
        <v>759552</v>
      </c>
      <c r="I471" s="19"/>
      <c r="J471" s="19"/>
      <c r="K471" s="19"/>
      <c r="L471" s="19"/>
      <c r="O471" s="19">
        <f t="shared" si="532"/>
        <v>0</v>
      </c>
      <c r="P471" s="19">
        <f t="shared" si="533"/>
        <v>0</v>
      </c>
      <c r="Q471" s="19">
        <f t="shared" si="534"/>
        <v>0</v>
      </c>
      <c r="R471" s="19">
        <f t="shared" si="535"/>
        <v>0</v>
      </c>
      <c r="S471" s="19">
        <f t="shared" si="536"/>
        <v>0</v>
      </c>
      <c r="T471" s="19">
        <f t="shared" si="536"/>
        <v>0</v>
      </c>
    </row>
    <row r="472" spans="1:20" ht="42" x14ac:dyDescent="0.3">
      <c r="A472" s="4"/>
      <c r="B472" s="5" t="s">
        <v>91</v>
      </c>
      <c r="C472" s="33">
        <v>1</v>
      </c>
      <c r="D472" s="33">
        <v>1</v>
      </c>
      <c r="E472" s="33">
        <v>1</v>
      </c>
      <c r="F472" s="33">
        <v>1</v>
      </c>
      <c r="G472" s="19">
        <f>'расчёт зарплаты'!K10</f>
        <v>28208</v>
      </c>
      <c r="H472" s="19">
        <f t="shared" si="537"/>
        <v>338496</v>
      </c>
      <c r="I472" s="19"/>
      <c r="J472" s="19"/>
      <c r="K472" s="19"/>
      <c r="L472" s="19"/>
      <c r="O472" s="19">
        <f t="shared" si="532"/>
        <v>0</v>
      </c>
      <c r="P472" s="19">
        <f t="shared" si="533"/>
        <v>0</v>
      </c>
      <c r="Q472" s="19">
        <f t="shared" si="534"/>
        <v>0</v>
      </c>
      <c r="R472" s="19">
        <f t="shared" si="535"/>
        <v>0</v>
      </c>
      <c r="S472" s="19">
        <f t="shared" si="536"/>
        <v>0</v>
      </c>
      <c r="T472" s="19">
        <f t="shared" si="536"/>
        <v>0</v>
      </c>
    </row>
    <row r="473" spans="1:20" x14ac:dyDescent="0.3">
      <c r="A473" s="4"/>
      <c r="B473" s="5" t="s">
        <v>20</v>
      </c>
      <c r="C473" s="33"/>
      <c r="D473" s="33"/>
      <c r="E473" s="33"/>
      <c r="F473" s="33"/>
      <c r="G473" s="19"/>
      <c r="H473" s="19">
        <f t="shared" si="537"/>
        <v>0</v>
      </c>
      <c r="I473" s="19"/>
      <c r="J473" s="19"/>
      <c r="K473" s="19"/>
      <c r="L473" s="19"/>
      <c r="O473" s="19">
        <f t="shared" si="532"/>
        <v>0</v>
      </c>
      <c r="P473" s="19">
        <f t="shared" si="533"/>
        <v>0</v>
      </c>
      <c r="Q473" s="19">
        <f t="shared" si="534"/>
        <v>0</v>
      </c>
      <c r="R473" s="19">
        <f t="shared" si="535"/>
        <v>0</v>
      </c>
      <c r="S473" s="19">
        <f t="shared" si="536"/>
        <v>0</v>
      </c>
      <c r="T473" s="19">
        <f t="shared" si="536"/>
        <v>0</v>
      </c>
    </row>
    <row r="474" spans="1:20" ht="39.6" x14ac:dyDescent="0.3">
      <c r="A474" s="4"/>
      <c r="B474" s="6" t="s">
        <v>21</v>
      </c>
      <c r="C474" s="33">
        <v>1</v>
      </c>
      <c r="D474" s="33">
        <v>1</v>
      </c>
      <c r="E474" s="33">
        <v>1</v>
      </c>
      <c r="F474" s="33">
        <v>1</v>
      </c>
      <c r="G474" s="19">
        <f>'расчёт зарплаты'!K44</f>
        <v>45056</v>
      </c>
      <c r="H474" s="19">
        <f t="shared" si="537"/>
        <v>540672</v>
      </c>
      <c r="I474" s="19"/>
      <c r="J474" s="19"/>
      <c r="K474" s="19"/>
      <c r="L474" s="19"/>
      <c r="O474" s="19">
        <f t="shared" si="532"/>
        <v>0</v>
      </c>
      <c r="P474" s="19">
        <f t="shared" si="533"/>
        <v>0</v>
      </c>
      <c r="Q474" s="19">
        <f t="shared" si="534"/>
        <v>0</v>
      </c>
      <c r="R474" s="19">
        <f t="shared" si="535"/>
        <v>0</v>
      </c>
      <c r="S474" s="19">
        <f t="shared" si="536"/>
        <v>0</v>
      </c>
      <c r="T474" s="19">
        <f t="shared" si="536"/>
        <v>0</v>
      </c>
    </row>
    <row r="475" spans="1:20" x14ac:dyDescent="0.3">
      <c r="A475" s="4"/>
      <c r="B475" s="5" t="s">
        <v>22</v>
      </c>
      <c r="C475" s="33"/>
      <c r="D475" s="33"/>
      <c r="E475" s="33"/>
      <c r="F475" s="33"/>
      <c r="G475" s="19"/>
      <c r="H475" s="19">
        <f t="shared" ref="H475" si="538">E475*G475*12</f>
        <v>0</v>
      </c>
      <c r="I475" s="19"/>
      <c r="J475" s="19"/>
      <c r="K475" s="19"/>
      <c r="L475" s="19"/>
      <c r="O475" s="19">
        <f>J475*L475*12</f>
        <v>0</v>
      </c>
      <c r="P475" s="19">
        <f>K475*M475*12</f>
        <v>0</v>
      </c>
      <c r="Q475" s="19">
        <f>L475*O475*12</f>
        <v>0</v>
      </c>
      <c r="R475" s="19">
        <f>M475*P475*12</f>
        <v>0</v>
      </c>
      <c r="S475" s="19">
        <f t="shared" ref="S475:T475" si="539">O475*Q475*12</f>
        <v>0</v>
      </c>
      <c r="T475" s="19">
        <f t="shared" si="539"/>
        <v>0</v>
      </c>
    </row>
    <row r="476" spans="1:20" x14ac:dyDescent="0.3">
      <c r="A476" s="38" t="s">
        <v>57</v>
      </c>
      <c r="B476" s="39"/>
      <c r="C476" s="41">
        <f>C477+C478+C479</f>
        <v>9</v>
      </c>
      <c r="D476" s="41">
        <f t="shared" ref="D476:F476" si="540">D477+D478+D479</f>
        <v>9</v>
      </c>
      <c r="E476" s="41">
        <f t="shared" si="540"/>
        <v>7.7</v>
      </c>
      <c r="F476" s="41">
        <f t="shared" si="540"/>
        <v>7</v>
      </c>
      <c r="G476" s="41"/>
      <c r="H476" s="42">
        <f t="shared" ref="H476:L476" si="541">H477+H478+H479</f>
        <v>2761516.8</v>
      </c>
      <c r="I476" s="42">
        <f t="shared" si="541"/>
        <v>0</v>
      </c>
      <c r="J476" s="42">
        <f t="shared" si="541"/>
        <v>0</v>
      </c>
      <c r="K476" s="42">
        <f t="shared" si="541"/>
        <v>0</v>
      </c>
      <c r="L476" s="42">
        <f t="shared" si="541"/>
        <v>0</v>
      </c>
      <c r="O476" s="42">
        <f t="shared" ref="O476:P476" si="542">O477+O478+O479</f>
        <v>0</v>
      </c>
      <c r="P476" s="42">
        <f t="shared" si="542"/>
        <v>0</v>
      </c>
      <c r="Q476" s="42">
        <f t="shared" ref="Q476" si="543">Q477+Q478+Q479</f>
        <v>0</v>
      </c>
      <c r="R476" s="42">
        <f t="shared" ref="R476:S476" si="544">R477+R478+R479</f>
        <v>0</v>
      </c>
      <c r="S476" s="42">
        <f t="shared" si="544"/>
        <v>0</v>
      </c>
      <c r="T476" s="42">
        <f t="shared" ref="T476" si="545">T477+T478+T479</f>
        <v>0</v>
      </c>
    </row>
    <row r="477" spans="1:20" x14ac:dyDescent="0.3">
      <c r="A477" s="4"/>
      <c r="B477" s="5" t="s">
        <v>11</v>
      </c>
      <c r="C477" s="9">
        <v>3</v>
      </c>
      <c r="D477" s="9">
        <v>3</v>
      </c>
      <c r="E477" s="9">
        <v>3</v>
      </c>
      <c r="F477" s="9">
        <v>3</v>
      </c>
      <c r="G477" s="19">
        <f>'расчёт зарплаты'!K26</f>
        <v>27300</v>
      </c>
      <c r="H477" s="19">
        <f t="shared" ref="H477:H480" si="546">E477*G477*12+ ((D477-E477)*G477/2*12)</f>
        <v>982800</v>
      </c>
      <c r="I477" s="19"/>
      <c r="J477" s="19"/>
      <c r="K477" s="19"/>
      <c r="L477" s="19"/>
      <c r="O477" s="19">
        <f t="shared" ref="O477:P480" si="547">J477*L477*12+ ((I477-J477)*L477/2*12)</f>
        <v>0</v>
      </c>
      <c r="P477" s="19">
        <f t="shared" si="547"/>
        <v>0</v>
      </c>
      <c r="Q477" s="19">
        <f t="shared" ref="Q477:R480" si="548">L477*O477*12+ ((K477-L477)*O477/2*12)</f>
        <v>0</v>
      </c>
      <c r="R477" s="19">
        <f t="shared" si="548"/>
        <v>0</v>
      </c>
      <c r="S477" s="19">
        <f t="shared" ref="S477:T480" si="549">O477*Q477*12+ ((M477-O477)*Q477/2*12)</f>
        <v>0</v>
      </c>
      <c r="T477" s="19">
        <f t="shared" si="549"/>
        <v>0</v>
      </c>
    </row>
    <row r="478" spans="1:20" x14ac:dyDescent="0.3">
      <c r="A478" s="4"/>
      <c r="B478" s="5" t="s">
        <v>12</v>
      </c>
      <c r="C478" s="9">
        <v>3</v>
      </c>
      <c r="D478" s="9">
        <v>3</v>
      </c>
      <c r="E478" s="9">
        <v>3</v>
      </c>
      <c r="F478" s="9">
        <v>3</v>
      </c>
      <c r="G478" s="19">
        <f>'расчёт зарплаты'!K26</f>
        <v>27300</v>
      </c>
      <c r="H478" s="19">
        <f t="shared" si="546"/>
        <v>982800</v>
      </c>
      <c r="I478" s="19"/>
      <c r="J478" s="19"/>
      <c r="K478" s="19"/>
      <c r="L478" s="19"/>
      <c r="O478" s="19">
        <f t="shared" si="547"/>
        <v>0</v>
      </c>
      <c r="P478" s="19">
        <f t="shared" si="547"/>
        <v>0</v>
      </c>
      <c r="Q478" s="19">
        <f t="shared" si="548"/>
        <v>0</v>
      </c>
      <c r="R478" s="19">
        <f t="shared" si="548"/>
        <v>0</v>
      </c>
      <c r="S478" s="19">
        <f t="shared" si="549"/>
        <v>0</v>
      </c>
      <c r="T478" s="19">
        <f t="shared" si="549"/>
        <v>0</v>
      </c>
    </row>
    <row r="479" spans="1:20" ht="28.2" x14ac:dyDescent="0.3">
      <c r="A479" s="4"/>
      <c r="B479" s="5" t="s">
        <v>19</v>
      </c>
      <c r="C479" s="9">
        <v>3</v>
      </c>
      <c r="D479" s="9">
        <v>3</v>
      </c>
      <c r="E479" s="9">
        <v>1.7</v>
      </c>
      <c r="F479" s="9">
        <v>1</v>
      </c>
      <c r="G479" s="19">
        <f>'расчёт зарплаты'!K40</f>
        <v>28224</v>
      </c>
      <c r="H479" s="19">
        <f t="shared" si="546"/>
        <v>795916.80000000005</v>
      </c>
      <c r="I479" s="19"/>
      <c r="J479" s="19"/>
      <c r="K479" s="19"/>
      <c r="L479" s="19"/>
      <c r="O479" s="19">
        <f t="shared" si="547"/>
        <v>0</v>
      </c>
      <c r="P479" s="19">
        <f t="shared" si="547"/>
        <v>0</v>
      </c>
      <c r="Q479" s="19">
        <f t="shared" si="548"/>
        <v>0</v>
      </c>
      <c r="R479" s="19">
        <f t="shared" si="548"/>
        <v>0</v>
      </c>
      <c r="S479" s="19">
        <f t="shared" si="549"/>
        <v>0</v>
      </c>
      <c r="T479" s="19">
        <f t="shared" si="549"/>
        <v>0</v>
      </c>
    </row>
    <row r="480" spans="1:20" x14ac:dyDescent="0.3">
      <c r="A480" s="135" t="s">
        <v>23</v>
      </c>
      <c r="B480" s="135"/>
      <c r="C480" s="7">
        <f t="shared" ref="C480:F480" si="550">C481+C487</f>
        <v>14.5</v>
      </c>
      <c r="D480" s="7">
        <f t="shared" si="550"/>
        <v>14.5</v>
      </c>
      <c r="E480" s="7">
        <f t="shared" si="550"/>
        <v>9</v>
      </c>
      <c r="F480" s="7">
        <f t="shared" si="550"/>
        <v>9</v>
      </c>
      <c r="G480" s="19"/>
      <c r="H480" s="19">
        <f t="shared" si="546"/>
        <v>0</v>
      </c>
      <c r="I480" s="19"/>
      <c r="J480" s="20">
        <f t="shared" ref="J480:K480" si="551">J481+J487</f>
        <v>3985404</v>
      </c>
      <c r="K480" s="20">
        <f t="shared" si="551"/>
        <v>1203592.0079999999</v>
      </c>
      <c r="L480" s="20">
        <f>L481+L487</f>
        <v>5188996.0080000004</v>
      </c>
      <c r="O480" s="19">
        <f t="shared" si="547"/>
        <v>124081472677603.41</v>
      </c>
      <c r="P480" s="19">
        <f t="shared" si="547"/>
        <v>0</v>
      </c>
      <c r="Q480" s="19">
        <f t="shared" si="548"/>
        <v>4.7592104114788741E+21</v>
      </c>
      <c r="R480" s="19">
        <f t="shared" si="548"/>
        <v>0</v>
      </c>
      <c r="S480" s="19">
        <f t="shared" si="549"/>
        <v>3.5431790198332892E+36</v>
      </c>
      <c r="T480" s="19">
        <f t="shared" si="549"/>
        <v>0</v>
      </c>
    </row>
    <row r="481" spans="1:20" x14ac:dyDescent="0.3">
      <c r="A481" s="136" t="s">
        <v>24</v>
      </c>
      <c r="B481" s="136"/>
      <c r="C481" s="7">
        <f t="shared" ref="C481:F481" si="552">C482+C483+C484+C485+C486</f>
        <v>8.5</v>
      </c>
      <c r="D481" s="7">
        <f t="shared" si="552"/>
        <v>8.5</v>
      </c>
      <c r="E481" s="7">
        <f t="shared" si="552"/>
        <v>6</v>
      </c>
      <c r="F481" s="7">
        <f t="shared" si="552"/>
        <v>6</v>
      </c>
      <c r="G481" s="20"/>
      <c r="H481" s="20">
        <f>H482+H483+H484+H485+H486</f>
        <v>2375100</v>
      </c>
      <c r="I481" s="20">
        <f t="shared" ref="I481" si="553">I482+I483+I484+I485+I486</f>
        <v>0</v>
      </c>
      <c r="J481" s="20">
        <f>H481</f>
        <v>2375100</v>
      </c>
      <c r="K481" s="20">
        <f>J481*30.2%</f>
        <v>717280.2</v>
      </c>
      <c r="L481" s="20">
        <f>J481+K481</f>
        <v>3092380.2</v>
      </c>
      <c r="O481" s="20">
        <f t="shared" ref="O481:T481" si="554">O482+O483+O484+O485+O486</f>
        <v>0</v>
      </c>
      <c r="P481" s="20">
        <f t="shared" si="554"/>
        <v>0</v>
      </c>
      <c r="Q481" s="20">
        <f t="shared" si="554"/>
        <v>0</v>
      </c>
      <c r="R481" s="20">
        <f t="shared" si="554"/>
        <v>0</v>
      </c>
      <c r="S481" s="20">
        <f t="shared" si="554"/>
        <v>0</v>
      </c>
      <c r="T481" s="20">
        <f t="shared" si="554"/>
        <v>0</v>
      </c>
    </row>
    <row r="482" spans="1:20" x14ac:dyDescent="0.3">
      <c r="A482" s="4"/>
      <c r="B482" s="5" t="s">
        <v>25</v>
      </c>
      <c r="C482" s="33"/>
      <c r="D482" s="33"/>
      <c r="E482" s="33"/>
      <c r="F482" s="33"/>
      <c r="G482" s="19"/>
      <c r="H482" s="19">
        <f t="shared" ref="H482:H486" si="555">E482*G482*12+ ((D482-E482)*G482/2*12)</f>
        <v>0</v>
      </c>
      <c r="I482" s="19"/>
      <c r="J482" s="19"/>
      <c r="K482" s="19"/>
      <c r="L482" s="19"/>
      <c r="O482" s="19">
        <f t="shared" ref="O482:P486" si="556">J482*L482*12+ ((I482-J482)*L482/2*12)</f>
        <v>0</v>
      </c>
      <c r="P482" s="19">
        <f t="shared" si="556"/>
        <v>0</v>
      </c>
      <c r="Q482" s="19">
        <f t="shared" ref="Q482:R486" si="557">L482*O482*12+ ((K482-L482)*O482/2*12)</f>
        <v>0</v>
      </c>
      <c r="R482" s="19">
        <f t="shared" si="557"/>
        <v>0</v>
      </c>
      <c r="S482" s="19">
        <f t="shared" ref="S482:T486" si="558">O482*Q482*12+ ((M482-O482)*Q482/2*12)</f>
        <v>0</v>
      </c>
      <c r="T482" s="19">
        <f t="shared" si="558"/>
        <v>0</v>
      </c>
    </row>
    <row r="483" spans="1:20" x14ac:dyDescent="0.3">
      <c r="A483" s="4"/>
      <c r="B483" s="5" t="s">
        <v>26</v>
      </c>
      <c r="C483" s="33"/>
      <c r="D483" s="33"/>
      <c r="E483" s="33"/>
      <c r="F483" s="33"/>
      <c r="G483" s="19"/>
      <c r="H483" s="19">
        <f t="shared" si="555"/>
        <v>0</v>
      </c>
      <c r="I483" s="19"/>
      <c r="J483" s="19"/>
      <c r="K483" s="19"/>
      <c r="L483" s="19"/>
      <c r="O483" s="19">
        <f t="shared" si="556"/>
        <v>0</v>
      </c>
      <c r="P483" s="19">
        <f t="shared" si="556"/>
        <v>0</v>
      </c>
      <c r="Q483" s="19">
        <f t="shared" si="557"/>
        <v>0</v>
      </c>
      <c r="R483" s="19">
        <f t="shared" si="557"/>
        <v>0</v>
      </c>
      <c r="S483" s="19">
        <f t="shared" si="558"/>
        <v>0</v>
      </c>
      <c r="T483" s="19">
        <f t="shared" si="558"/>
        <v>0</v>
      </c>
    </row>
    <row r="484" spans="1:20" x14ac:dyDescent="0.3">
      <c r="A484" s="4"/>
      <c r="B484" s="5" t="s">
        <v>27</v>
      </c>
      <c r="C484" s="33"/>
      <c r="D484" s="33"/>
      <c r="E484" s="33"/>
      <c r="F484" s="33"/>
      <c r="G484" s="19"/>
      <c r="H484" s="19">
        <f t="shared" si="555"/>
        <v>0</v>
      </c>
      <c r="I484" s="19"/>
      <c r="J484" s="19"/>
      <c r="K484" s="19"/>
      <c r="L484" s="19"/>
      <c r="O484" s="19">
        <f t="shared" si="556"/>
        <v>0</v>
      </c>
      <c r="P484" s="19">
        <f t="shared" si="556"/>
        <v>0</v>
      </c>
      <c r="Q484" s="19">
        <f t="shared" si="557"/>
        <v>0</v>
      </c>
      <c r="R484" s="19">
        <f t="shared" si="557"/>
        <v>0</v>
      </c>
      <c r="S484" s="19">
        <f t="shared" si="558"/>
        <v>0</v>
      </c>
      <c r="T484" s="19">
        <f t="shared" si="558"/>
        <v>0</v>
      </c>
    </row>
    <row r="485" spans="1:20" ht="28.2" x14ac:dyDescent="0.3">
      <c r="A485" s="4"/>
      <c r="B485" s="5" t="s">
        <v>28</v>
      </c>
      <c r="C485" s="33">
        <v>3.5</v>
      </c>
      <c r="D485" s="33">
        <v>3.5</v>
      </c>
      <c r="E485" s="33">
        <v>3</v>
      </c>
      <c r="F485" s="33">
        <v>3</v>
      </c>
      <c r="G485" s="19">
        <f>'расчёт зарплаты'!K26</f>
        <v>27300</v>
      </c>
      <c r="H485" s="19">
        <f t="shared" si="555"/>
        <v>1064700</v>
      </c>
      <c r="I485" s="19"/>
      <c r="J485" s="19"/>
      <c r="K485" s="19"/>
      <c r="L485" s="19"/>
      <c r="O485" s="19">
        <f t="shared" si="556"/>
        <v>0</v>
      </c>
      <c r="P485" s="19">
        <f t="shared" si="556"/>
        <v>0</v>
      </c>
      <c r="Q485" s="19">
        <f t="shared" si="557"/>
        <v>0</v>
      </c>
      <c r="R485" s="19">
        <f t="shared" si="557"/>
        <v>0</v>
      </c>
      <c r="S485" s="19">
        <f t="shared" si="558"/>
        <v>0</v>
      </c>
      <c r="T485" s="19">
        <f t="shared" si="558"/>
        <v>0</v>
      </c>
    </row>
    <row r="486" spans="1:20" x14ac:dyDescent="0.3">
      <c r="A486" s="4"/>
      <c r="B486" s="5" t="s">
        <v>29</v>
      </c>
      <c r="C486" s="33">
        <v>5</v>
      </c>
      <c r="D486" s="33">
        <v>5</v>
      </c>
      <c r="E486" s="33">
        <v>3</v>
      </c>
      <c r="F486" s="33">
        <v>3</v>
      </c>
      <c r="G486" s="19">
        <f>'расчёт зарплаты'!K26</f>
        <v>27300</v>
      </c>
      <c r="H486" s="19">
        <f t="shared" si="555"/>
        <v>1310400</v>
      </c>
      <c r="I486" s="19"/>
      <c r="J486" s="19"/>
      <c r="K486" s="19"/>
      <c r="L486" s="19"/>
      <c r="O486" s="19">
        <f t="shared" si="556"/>
        <v>0</v>
      </c>
      <c r="P486" s="19">
        <f t="shared" si="556"/>
        <v>0</v>
      </c>
      <c r="Q486" s="19">
        <f t="shared" si="557"/>
        <v>0</v>
      </c>
      <c r="R486" s="19">
        <f t="shared" si="557"/>
        <v>0</v>
      </c>
      <c r="S486" s="19">
        <f t="shared" si="558"/>
        <v>0</v>
      </c>
      <c r="T486" s="19">
        <f t="shared" si="558"/>
        <v>0</v>
      </c>
    </row>
    <row r="487" spans="1:20" x14ac:dyDescent="0.3">
      <c r="A487" s="136" t="s">
        <v>30</v>
      </c>
      <c r="B487" s="136"/>
      <c r="C487" s="7">
        <f t="shared" ref="C487:F487" si="559">C488+C489+C490</f>
        <v>6</v>
      </c>
      <c r="D487" s="7">
        <f t="shared" si="559"/>
        <v>6</v>
      </c>
      <c r="E487" s="7">
        <f t="shared" si="559"/>
        <v>3</v>
      </c>
      <c r="F487" s="7">
        <f t="shared" si="559"/>
        <v>3</v>
      </c>
      <c r="G487" s="20"/>
      <c r="H487" s="20">
        <f>H488+H489+H490</f>
        <v>1610304</v>
      </c>
      <c r="I487" s="20">
        <f t="shared" ref="I487" si="560">I488+I489+I490</f>
        <v>0</v>
      </c>
      <c r="J487" s="20">
        <f>H487</f>
        <v>1610304</v>
      </c>
      <c r="K487" s="20">
        <f>J487*30.2%</f>
        <v>486311.80799999996</v>
      </c>
      <c r="L487" s="20">
        <f>J487+K487</f>
        <v>2096615.808</v>
      </c>
      <c r="O487" s="20">
        <f t="shared" ref="O487:T487" si="561">O488+O489+O490</f>
        <v>0</v>
      </c>
      <c r="P487" s="20">
        <f t="shared" si="561"/>
        <v>0</v>
      </c>
      <c r="Q487" s="20">
        <f t="shared" si="561"/>
        <v>0</v>
      </c>
      <c r="R487" s="20">
        <f t="shared" si="561"/>
        <v>0</v>
      </c>
      <c r="S487" s="20">
        <f t="shared" si="561"/>
        <v>0</v>
      </c>
      <c r="T487" s="20">
        <f t="shared" si="561"/>
        <v>0</v>
      </c>
    </row>
    <row r="488" spans="1:20" x14ac:dyDescent="0.3">
      <c r="A488" s="4"/>
      <c r="B488" s="5" t="s">
        <v>31</v>
      </c>
      <c r="C488" s="33">
        <v>2</v>
      </c>
      <c r="D488" s="33">
        <v>2</v>
      </c>
      <c r="E488" s="33">
        <v>2</v>
      </c>
      <c r="F488" s="33">
        <v>2</v>
      </c>
      <c r="G488" s="19">
        <f>'расчёт зарплаты'!K34</f>
        <v>30976</v>
      </c>
      <c r="H488" s="19">
        <f t="shared" ref="H488:H490" si="562">E488*G488*12+ ((D488-E488)*G488/2*12)</f>
        <v>743424</v>
      </c>
      <c r="I488" s="19"/>
      <c r="J488" s="19"/>
      <c r="K488" s="19"/>
      <c r="L488" s="19"/>
      <c r="O488" s="19">
        <f t="shared" ref="O488:P490" si="563">J488*L488*12+ ((I488-J488)*L488/2*12)</f>
        <v>0</v>
      </c>
      <c r="P488" s="19">
        <f t="shared" si="563"/>
        <v>0</v>
      </c>
      <c r="Q488" s="19">
        <f t="shared" ref="Q488:R490" si="564">L488*O488*12+ ((K488-L488)*O488/2*12)</f>
        <v>0</v>
      </c>
      <c r="R488" s="19">
        <f t="shared" si="564"/>
        <v>0</v>
      </c>
      <c r="S488" s="19">
        <f t="shared" ref="S488:T490" si="565">O488*Q488*12+ ((M488-O488)*Q488/2*12)</f>
        <v>0</v>
      </c>
      <c r="T488" s="19">
        <f t="shared" si="565"/>
        <v>0</v>
      </c>
    </row>
    <row r="489" spans="1:20" x14ac:dyDescent="0.3">
      <c r="A489" s="4"/>
      <c r="B489" s="5" t="s">
        <v>32</v>
      </c>
      <c r="C489" s="33">
        <v>1</v>
      </c>
      <c r="D489" s="33">
        <v>1</v>
      </c>
      <c r="E489" s="33">
        <v>0</v>
      </c>
      <c r="F489" s="33">
        <v>0</v>
      </c>
      <c r="G489" s="19">
        <f>'расчёт зарплаты'!K38</f>
        <v>28896</v>
      </c>
      <c r="H489" s="19">
        <f t="shared" si="562"/>
        <v>173376</v>
      </c>
      <c r="I489" s="19"/>
      <c r="J489" s="19"/>
      <c r="K489" s="19"/>
      <c r="L489" s="19"/>
      <c r="O489" s="19">
        <f t="shared" si="563"/>
        <v>0</v>
      </c>
      <c r="P489" s="19">
        <f t="shared" si="563"/>
        <v>0</v>
      </c>
      <c r="Q489" s="19">
        <f t="shared" si="564"/>
        <v>0</v>
      </c>
      <c r="R489" s="19">
        <f t="shared" si="564"/>
        <v>0</v>
      </c>
      <c r="S489" s="19">
        <f t="shared" si="565"/>
        <v>0</v>
      </c>
      <c r="T489" s="19">
        <f t="shared" si="565"/>
        <v>0</v>
      </c>
    </row>
    <row r="490" spans="1:20" x14ac:dyDescent="0.3">
      <c r="A490" s="4"/>
      <c r="B490" s="5" t="s">
        <v>33</v>
      </c>
      <c r="C490" s="33">
        <v>3</v>
      </c>
      <c r="D490" s="33">
        <v>3</v>
      </c>
      <c r="E490" s="33">
        <v>1</v>
      </c>
      <c r="F490" s="33">
        <v>1</v>
      </c>
      <c r="G490" s="19">
        <f>'расчёт зарплаты'!K38</f>
        <v>28896</v>
      </c>
      <c r="H490" s="19">
        <f t="shared" si="562"/>
        <v>693504</v>
      </c>
      <c r="I490" s="19"/>
      <c r="J490" s="19"/>
      <c r="K490" s="19"/>
      <c r="L490" s="19"/>
      <c r="O490" s="19">
        <f t="shared" si="563"/>
        <v>0</v>
      </c>
      <c r="P490" s="19">
        <f t="shared" si="563"/>
        <v>0</v>
      </c>
      <c r="Q490" s="19">
        <f t="shared" si="564"/>
        <v>0</v>
      </c>
      <c r="R490" s="19">
        <f t="shared" si="564"/>
        <v>0</v>
      </c>
      <c r="S490" s="19">
        <f t="shared" si="565"/>
        <v>0</v>
      </c>
      <c r="T490" s="19">
        <f t="shared" si="565"/>
        <v>0</v>
      </c>
    </row>
    <row r="491" spans="1:20" x14ac:dyDescent="0.3">
      <c r="A491" s="141" t="s">
        <v>75</v>
      </c>
      <c r="B491" s="141"/>
      <c r="C491" s="141"/>
      <c r="D491" s="141"/>
      <c r="E491" s="141"/>
      <c r="F491" s="141"/>
      <c r="G491" s="141"/>
      <c r="H491" s="141"/>
      <c r="I491" s="141"/>
      <c r="J491" s="141"/>
      <c r="K491" s="141"/>
      <c r="L491" s="141"/>
    </row>
    <row r="492" spans="1:20" ht="14.4" customHeight="1" x14ac:dyDescent="0.3">
      <c r="A492" s="133" t="s">
        <v>7</v>
      </c>
      <c r="B492" s="134"/>
      <c r="C492" s="8">
        <f>C493+C510+C506</f>
        <v>45.5</v>
      </c>
      <c r="D492" s="8">
        <f>D493+D510+D506</f>
        <v>45.5</v>
      </c>
      <c r="E492" s="8">
        <f>E493+E510+E506</f>
        <v>34.799999999999997</v>
      </c>
      <c r="F492" s="8">
        <f>F493+F510+F506</f>
        <v>39</v>
      </c>
      <c r="G492" s="19"/>
      <c r="H492" s="19"/>
      <c r="I492" s="19"/>
      <c r="J492" s="19"/>
      <c r="K492" s="19"/>
      <c r="L492" s="19"/>
      <c r="O492" s="19"/>
      <c r="P492" s="19"/>
      <c r="Q492" s="19"/>
      <c r="R492" s="19"/>
      <c r="S492" s="19"/>
      <c r="T492" s="19"/>
    </row>
    <row r="493" spans="1:20" ht="14.4" customHeight="1" x14ac:dyDescent="0.3">
      <c r="A493" s="133" t="s">
        <v>89</v>
      </c>
      <c r="B493" s="134"/>
      <c r="C493" s="40">
        <f t="shared" ref="C493:F493" si="566">SUM(C494:C506)</f>
        <v>41</v>
      </c>
      <c r="D493" s="40">
        <f t="shared" si="566"/>
        <v>41</v>
      </c>
      <c r="E493" s="40">
        <f t="shared" si="566"/>
        <v>32.799999999999997</v>
      </c>
      <c r="F493" s="40">
        <f t="shared" si="566"/>
        <v>37</v>
      </c>
      <c r="G493" s="40"/>
      <c r="H493" s="40">
        <f>SUM(H494:H506)</f>
        <v>13125974.4</v>
      </c>
      <c r="I493" s="20"/>
      <c r="J493" s="20">
        <f>H493-I493</f>
        <v>13125974.4</v>
      </c>
      <c r="K493" s="20">
        <f>J493*30.2%</f>
        <v>3964044.2688000002</v>
      </c>
      <c r="L493" s="20">
        <f>J493+K493</f>
        <v>17090018.6688</v>
      </c>
      <c r="O493" s="40">
        <f t="shared" ref="O493:T493" si="567">SUM(O494:O506)</f>
        <v>0</v>
      </c>
      <c r="P493" s="40">
        <f t="shared" si="567"/>
        <v>0</v>
      </c>
      <c r="Q493" s="40">
        <f t="shared" si="567"/>
        <v>0</v>
      </c>
      <c r="R493" s="40">
        <f t="shared" si="567"/>
        <v>0</v>
      </c>
      <c r="S493" s="40">
        <f t="shared" si="567"/>
        <v>0</v>
      </c>
      <c r="T493" s="40">
        <f t="shared" si="567"/>
        <v>0</v>
      </c>
    </row>
    <row r="494" spans="1:20" x14ac:dyDescent="0.3">
      <c r="A494" s="4"/>
      <c r="B494" s="5" t="s">
        <v>9</v>
      </c>
      <c r="C494" s="33">
        <v>16</v>
      </c>
      <c r="D494" s="33">
        <v>16</v>
      </c>
      <c r="E494" s="33">
        <v>11</v>
      </c>
      <c r="F494" s="33">
        <v>15</v>
      </c>
      <c r="G494" s="19">
        <f>'расчёт зарплаты'!K10</f>
        <v>28208</v>
      </c>
      <c r="H494" s="19">
        <f>E494*G494*12+ ((D494-E494)*G494/2*12)</f>
        <v>4569696</v>
      </c>
      <c r="I494" s="19"/>
      <c r="J494" s="19"/>
      <c r="K494" s="19"/>
      <c r="L494" s="19">
        <f>G494*K494*12</f>
        <v>0</v>
      </c>
      <c r="O494" s="19">
        <f t="shared" ref="O494:O505" si="568">J494*L494*12+ ((I494-J494)*L494/2*12)</f>
        <v>0</v>
      </c>
      <c r="P494" s="19">
        <f t="shared" ref="P494:P505" si="569">K494*M494*12+ ((J494-K494)*M494/2*12)</f>
        <v>0</v>
      </c>
      <c r="Q494" s="19">
        <f t="shared" ref="Q494:Q505" si="570">L494*O494*12+ ((K494-L494)*O494/2*12)</f>
        <v>0</v>
      </c>
      <c r="R494" s="19">
        <f t="shared" ref="R494:R505" si="571">M494*P494*12+ ((L494-M494)*P494/2*12)</f>
        <v>0</v>
      </c>
      <c r="S494" s="19">
        <f t="shared" ref="S494:T505" si="572">O494*Q494*12+ ((M494-O494)*Q494/2*12)</f>
        <v>0</v>
      </c>
      <c r="T494" s="19">
        <f t="shared" si="572"/>
        <v>0</v>
      </c>
    </row>
    <row r="495" spans="1:20" ht="28.2" x14ac:dyDescent="0.3">
      <c r="A495" s="4"/>
      <c r="B495" s="5" t="s">
        <v>81</v>
      </c>
      <c r="C495" s="33">
        <v>6</v>
      </c>
      <c r="D495" s="33">
        <v>6</v>
      </c>
      <c r="E495" s="33">
        <v>6</v>
      </c>
      <c r="F495" s="33">
        <v>6</v>
      </c>
      <c r="G495" s="19">
        <f>'расчёт зарплаты'!K12</f>
        <v>30960</v>
      </c>
      <c r="H495" s="19">
        <f>E495*G495*12+ ((D495-E495)*G495/2*12)</f>
        <v>2229120</v>
      </c>
      <c r="I495" s="19"/>
      <c r="J495" s="19"/>
      <c r="K495" s="19"/>
      <c r="L495" s="19"/>
      <c r="O495" s="19">
        <f t="shared" si="568"/>
        <v>0</v>
      </c>
      <c r="P495" s="19">
        <f t="shared" si="569"/>
        <v>0</v>
      </c>
      <c r="Q495" s="19">
        <f t="shared" si="570"/>
        <v>0</v>
      </c>
      <c r="R495" s="19">
        <f t="shared" si="571"/>
        <v>0</v>
      </c>
      <c r="S495" s="19">
        <f t="shared" si="572"/>
        <v>0</v>
      </c>
      <c r="T495" s="19">
        <f t="shared" si="572"/>
        <v>0</v>
      </c>
    </row>
    <row r="496" spans="1:20" x14ac:dyDescent="0.3">
      <c r="A496" s="4"/>
      <c r="B496" s="5" t="s">
        <v>10</v>
      </c>
      <c r="C496" s="33"/>
      <c r="D496" s="33"/>
      <c r="E496" s="33"/>
      <c r="F496" s="33"/>
      <c r="G496" s="19"/>
      <c r="H496" s="19">
        <f t="shared" ref="H496:H505" si="573">E496*G496*12+ ((D496-E496)*G496/2*12)</f>
        <v>0</v>
      </c>
      <c r="I496" s="19"/>
      <c r="J496" s="19"/>
      <c r="K496" s="19"/>
      <c r="L496" s="19"/>
      <c r="O496" s="19">
        <f t="shared" si="568"/>
        <v>0</v>
      </c>
      <c r="P496" s="19">
        <f t="shared" si="569"/>
        <v>0</v>
      </c>
      <c r="Q496" s="19">
        <f t="shared" si="570"/>
        <v>0</v>
      </c>
      <c r="R496" s="19">
        <f t="shared" si="571"/>
        <v>0</v>
      </c>
      <c r="S496" s="19">
        <f t="shared" si="572"/>
        <v>0</v>
      </c>
      <c r="T496" s="19">
        <f t="shared" si="572"/>
        <v>0</v>
      </c>
    </row>
    <row r="497" spans="1:20" x14ac:dyDescent="0.3">
      <c r="A497" s="4"/>
      <c r="B497" s="5" t="s">
        <v>13</v>
      </c>
      <c r="C497" s="33">
        <v>4</v>
      </c>
      <c r="D497" s="33">
        <v>4</v>
      </c>
      <c r="E497" s="33">
        <v>4</v>
      </c>
      <c r="F497" s="33">
        <v>4</v>
      </c>
      <c r="G497" s="19">
        <f>'расчёт зарплаты'!K38</f>
        <v>28896</v>
      </c>
      <c r="H497" s="19">
        <f t="shared" si="573"/>
        <v>1387008</v>
      </c>
      <c r="I497" s="19"/>
      <c r="J497" s="19"/>
      <c r="K497" s="19"/>
      <c r="L497" s="19"/>
      <c r="O497" s="19">
        <f t="shared" si="568"/>
        <v>0</v>
      </c>
      <c r="P497" s="19">
        <f t="shared" si="569"/>
        <v>0</v>
      </c>
      <c r="Q497" s="19">
        <f t="shared" si="570"/>
        <v>0</v>
      </c>
      <c r="R497" s="19">
        <f t="shared" si="571"/>
        <v>0</v>
      </c>
      <c r="S497" s="19">
        <f t="shared" si="572"/>
        <v>0</v>
      </c>
      <c r="T497" s="19">
        <f t="shared" si="572"/>
        <v>0</v>
      </c>
    </row>
    <row r="498" spans="1:20" ht="28.2" x14ac:dyDescent="0.3">
      <c r="A498" s="4"/>
      <c r="B498" s="5" t="s">
        <v>14</v>
      </c>
      <c r="C498" s="33"/>
      <c r="D498" s="33"/>
      <c r="E498" s="33"/>
      <c r="F498" s="33"/>
      <c r="G498" s="19"/>
      <c r="H498" s="19">
        <f t="shared" si="573"/>
        <v>0</v>
      </c>
      <c r="I498" s="19"/>
      <c r="J498" s="19"/>
      <c r="K498" s="19"/>
      <c r="L498" s="19"/>
      <c r="O498" s="19">
        <f t="shared" si="568"/>
        <v>0</v>
      </c>
      <c r="P498" s="19">
        <f t="shared" si="569"/>
        <v>0</v>
      </c>
      <c r="Q498" s="19">
        <f t="shared" si="570"/>
        <v>0</v>
      </c>
      <c r="R498" s="19">
        <f t="shared" si="571"/>
        <v>0</v>
      </c>
      <c r="S498" s="19">
        <f t="shared" si="572"/>
        <v>0</v>
      </c>
      <c r="T498" s="19">
        <f t="shared" si="572"/>
        <v>0</v>
      </c>
    </row>
    <row r="499" spans="1:20" x14ac:dyDescent="0.3">
      <c r="A499" s="4"/>
      <c r="B499" s="5" t="s">
        <v>15</v>
      </c>
      <c r="C499" s="33">
        <v>4</v>
      </c>
      <c r="D499" s="33">
        <v>4</v>
      </c>
      <c r="E499" s="33">
        <v>1.5</v>
      </c>
      <c r="F499" s="33">
        <v>2</v>
      </c>
      <c r="G499" s="19">
        <f>'расчёт зарплаты'!K34</f>
        <v>30976</v>
      </c>
      <c r="H499" s="19">
        <f t="shared" si="573"/>
        <v>1022208</v>
      </c>
      <c r="I499" s="19"/>
      <c r="J499" s="19"/>
      <c r="K499" s="19"/>
      <c r="L499" s="19"/>
      <c r="O499" s="19">
        <f t="shared" si="568"/>
        <v>0</v>
      </c>
      <c r="P499" s="19">
        <f t="shared" si="569"/>
        <v>0</v>
      </c>
      <c r="Q499" s="19">
        <f t="shared" si="570"/>
        <v>0</v>
      </c>
      <c r="R499" s="19">
        <f t="shared" si="571"/>
        <v>0</v>
      </c>
      <c r="S499" s="19">
        <f t="shared" si="572"/>
        <v>0</v>
      </c>
      <c r="T499" s="19">
        <f t="shared" si="572"/>
        <v>0</v>
      </c>
    </row>
    <row r="500" spans="1:20" x14ac:dyDescent="0.3">
      <c r="A500" s="4"/>
      <c r="B500" s="5" t="s">
        <v>16</v>
      </c>
      <c r="C500" s="33">
        <v>6</v>
      </c>
      <c r="D500" s="33">
        <v>6</v>
      </c>
      <c r="E500" s="33">
        <v>6</v>
      </c>
      <c r="F500" s="33">
        <v>6</v>
      </c>
      <c r="G500" s="19">
        <f>'расчёт зарплаты'!K8</f>
        <v>28600</v>
      </c>
      <c r="H500" s="19">
        <f t="shared" si="573"/>
        <v>2059200</v>
      </c>
      <c r="I500" s="19"/>
      <c r="J500" s="19"/>
      <c r="K500" s="19"/>
      <c r="L500" s="19"/>
      <c r="O500" s="19">
        <f t="shared" si="568"/>
        <v>0</v>
      </c>
      <c r="P500" s="19">
        <f t="shared" si="569"/>
        <v>0</v>
      </c>
      <c r="Q500" s="19">
        <f t="shared" si="570"/>
        <v>0</v>
      </c>
      <c r="R500" s="19">
        <f t="shared" si="571"/>
        <v>0</v>
      </c>
      <c r="S500" s="19">
        <f t="shared" si="572"/>
        <v>0</v>
      </c>
      <c r="T500" s="19">
        <f t="shared" si="572"/>
        <v>0</v>
      </c>
    </row>
    <row r="501" spans="1:20" ht="42" x14ac:dyDescent="0.3">
      <c r="A501" s="4"/>
      <c r="B501" s="5" t="s">
        <v>17</v>
      </c>
      <c r="C501" s="33">
        <v>2</v>
      </c>
      <c r="D501" s="33">
        <v>2</v>
      </c>
      <c r="E501" s="33">
        <v>1.3</v>
      </c>
      <c r="F501" s="33">
        <v>1</v>
      </c>
      <c r="G501" s="19">
        <f>'расчёт зарплаты'!K10</f>
        <v>28208</v>
      </c>
      <c r="H501" s="19">
        <f t="shared" si="573"/>
        <v>558518.4</v>
      </c>
      <c r="I501" s="19"/>
      <c r="J501" s="19"/>
      <c r="K501" s="19"/>
      <c r="L501" s="19"/>
      <c r="O501" s="19">
        <f t="shared" si="568"/>
        <v>0</v>
      </c>
      <c r="P501" s="19">
        <f t="shared" si="569"/>
        <v>0</v>
      </c>
      <c r="Q501" s="19">
        <f t="shared" si="570"/>
        <v>0</v>
      </c>
      <c r="R501" s="19">
        <f t="shared" si="571"/>
        <v>0</v>
      </c>
      <c r="S501" s="19">
        <f t="shared" si="572"/>
        <v>0</v>
      </c>
      <c r="T501" s="19">
        <f t="shared" si="572"/>
        <v>0</v>
      </c>
    </row>
    <row r="502" spans="1:20" ht="28.2" x14ac:dyDescent="0.3">
      <c r="A502" s="4"/>
      <c r="B502" s="5" t="s">
        <v>18</v>
      </c>
      <c r="C502" s="33">
        <v>2</v>
      </c>
      <c r="D502" s="33">
        <v>2</v>
      </c>
      <c r="E502" s="33">
        <v>2</v>
      </c>
      <c r="F502" s="33">
        <v>2</v>
      </c>
      <c r="G502" s="19">
        <f>'расчёт зарплаты'!K20</f>
        <v>31648</v>
      </c>
      <c r="H502" s="19">
        <f t="shared" si="573"/>
        <v>759552</v>
      </c>
      <c r="I502" s="19"/>
      <c r="J502" s="19"/>
      <c r="K502" s="19"/>
      <c r="L502" s="19"/>
      <c r="O502" s="19">
        <f t="shared" si="568"/>
        <v>0</v>
      </c>
      <c r="P502" s="19">
        <f t="shared" si="569"/>
        <v>0</v>
      </c>
      <c r="Q502" s="19">
        <f t="shared" si="570"/>
        <v>0</v>
      </c>
      <c r="R502" s="19">
        <f t="shared" si="571"/>
        <v>0</v>
      </c>
      <c r="S502" s="19">
        <f t="shared" si="572"/>
        <v>0</v>
      </c>
      <c r="T502" s="19">
        <f t="shared" si="572"/>
        <v>0</v>
      </c>
    </row>
    <row r="503" spans="1:20" ht="42" x14ac:dyDescent="0.3">
      <c r="A503" s="4"/>
      <c r="B503" s="5" t="s">
        <v>91</v>
      </c>
      <c r="C503" s="33"/>
      <c r="D503" s="33"/>
      <c r="E503" s="33"/>
      <c r="F503" s="33"/>
      <c r="G503" s="19"/>
      <c r="H503" s="19">
        <f t="shared" si="573"/>
        <v>0</v>
      </c>
      <c r="I503" s="19"/>
      <c r="J503" s="19"/>
      <c r="K503" s="19"/>
      <c r="L503" s="19"/>
      <c r="O503" s="19">
        <f t="shared" si="568"/>
        <v>0</v>
      </c>
      <c r="P503" s="19">
        <f t="shared" si="569"/>
        <v>0</v>
      </c>
      <c r="Q503" s="19">
        <f t="shared" si="570"/>
        <v>0</v>
      </c>
      <c r="R503" s="19">
        <f t="shared" si="571"/>
        <v>0</v>
      </c>
      <c r="S503" s="19">
        <f t="shared" si="572"/>
        <v>0</v>
      </c>
      <c r="T503" s="19">
        <f t="shared" si="572"/>
        <v>0</v>
      </c>
    </row>
    <row r="504" spans="1:20" x14ac:dyDescent="0.3">
      <c r="A504" s="4"/>
      <c r="B504" s="5" t="s">
        <v>20</v>
      </c>
      <c r="C504" s="33"/>
      <c r="D504" s="33"/>
      <c r="E504" s="33"/>
      <c r="F504" s="33"/>
      <c r="G504" s="19"/>
      <c r="H504" s="19">
        <f t="shared" si="573"/>
        <v>0</v>
      </c>
      <c r="I504" s="19"/>
      <c r="J504" s="19"/>
      <c r="K504" s="19"/>
      <c r="L504" s="19"/>
      <c r="O504" s="19">
        <f t="shared" si="568"/>
        <v>0</v>
      </c>
      <c r="P504" s="19">
        <f t="shared" si="569"/>
        <v>0</v>
      </c>
      <c r="Q504" s="19">
        <f t="shared" si="570"/>
        <v>0</v>
      </c>
      <c r="R504" s="19">
        <f t="shared" si="571"/>
        <v>0</v>
      </c>
      <c r="S504" s="19">
        <f t="shared" si="572"/>
        <v>0</v>
      </c>
      <c r="T504" s="19">
        <f t="shared" si="572"/>
        <v>0</v>
      </c>
    </row>
    <row r="505" spans="1:20" ht="39.6" x14ac:dyDescent="0.3">
      <c r="A505" s="4"/>
      <c r="B505" s="6" t="s">
        <v>21</v>
      </c>
      <c r="C505" s="33">
        <v>1</v>
      </c>
      <c r="D505" s="33">
        <v>1</v>
      </c>
      <c r="E505" s="33">
        <v>1</v>
      </c>
      <c r="F505" s="33">
        <v>1</v>
      </c>
      <c r="G505" s="19">
        <f>'расчёт зарплаты'!K44</f>
        <v>45056</v>
      </c>
      <c r="H505" s="19">
        <f t="shared" si="573"/>
        <v>540672</v>
      </c>
      <c r="I505" s="19"/>
      <c r="J505" s="19"/>
      <c r="K505" s="19"/>
      <c r="L505" s="19"/>
      <c r="O505" s="19">
        <f t="shared" si="568"/>
        <v>0</v>
      </c>
      <c r="P505" s="19">
        <f t="shared" si="569"/>
        <v>0</v>
      </c>
      <c r="Q505" s="19">
        <f t="shared" si="570"/>
        <v>0</v>
      </c>
      <c r="R505" s="19">
        <f t="shared" si="571"/>
        <v>0</v>
      </c>
      <c r="S505" s="19">
        <f t="shared" si="572"/>
        <v>0</v>
      </c>
      <c r="T505" s="19">
        <f t="shared" si="572"/>
        <v>0</v>
      </c>
    </row>
    <row r="506" spans="1:20" x14ac:dyDescent="0.3">
      <c r="A506" s="4"/>
      <c r="B506" s="5" t="s">
        <v>22</v>
      </c>
      <c r="C506" s="33"/>
      <c r="D506" s="33"/>
      <c r="E506" s="33"/>
      <c r="F506" s="33"/>
      <c r="G506" s="19"/>
      <c r="H506" s="19">
        <f t="shared" ref="H506" si="574">E506*G506*12</f>
        <v>0</v>
      </c>
      <c r="I506" s="19"/>
      <c r="J506" s="19"/>
      <c r="K506" s="19"/>
      <c r="L506" s="19"/>
      <c r="O506" s="19">
        <f>J506*L506*12</f>
        <v>0</v>
      </c>
      <c r="P506" s="19">
        <f>K506*M506*12</f>
        <v>0</v>
      </c>
      <c r="Q506" s="19">
        <f>L506*O506*12</f>
        <v>0</v>
      </c>
      <c r="R506" s="19">
        <f>M506*P506*12</f>
        <v>0</v>
      </c>
      <c r="S506" s="19">
        <f t="shared" ref="S506:T506" si="575">O506*Q506*12</f>
        <v>0</v>
      </c>
      <c r="T506" s="19">
        <f t="shared" si="575"/>
        <v>0</v>
      </c>
    </row>
    <row r="507" spans="1:20" x14ac:dyDescent="0.3">
      <c r="A507" s="38" t="s">
        <v>57</v>
      </c>
      <c r="B507" s="39"/>
      <c r="C507" s="41">
        <f>C508+C509+C510</f>
        <v>8.5</v>
      </c>
      <c r="D507" s="41">
        <f t="shared" ref="D507:F507" si="576">D508+D509+D510</f>
        <v>8.5</v>
      </c>
      <c r="E507" s="41">
        <f t="shared" si="576"/>
        <v>6</v>
      </c>
      <c r="F507" s="41">
        <f t="shared" si="576"/>
        <v>6</v>
      </c>
      <c r="G507" s="41"/>
      <c r="H507" s="41">
        <f t="shared" ref="H507:L507" si="577">H508+H509+H510</f>
        <v>2411136</v>
      </c>
      <c r="I507" s="42">
        <f t="shared" si="577"/>
        <v>0</v>
      </c>
      <c r="J507" s="42">
        <f t="shared" si="577"/>
        <v>0</v>
      </c>
      <c r="K507" s="42">
        <f t="shared" si="577"/>
        <v>0</v>
      </c>
      <c r="L507" s="42">
        <f t="shared" si="577"/>
        <v>0</v>
      </c>
      <c r="O507" s="41">
        <f t="shared" ref="O507:P507" si="578">O508+O509+O510</f>
        <v>0</v>
      </c>
      <c r="P507" s="41">
        <f t="shared" si="578"/>
        <v>0</v>
      </c>
      <c r="Q507" s="41">
        <f t="shared" ref="Q507" si="579">Q508+Q509+Q510</f>
        <v>0</v>
      </c>
      <c r="R507" s="41">
        <f t="shared" ref="R507:S507" si="580">R508+R509+R510</f>
        <v>0</v>
      </c>
      <c r="S507" s="41">
        <f t="shared" si="580"/>
        <v>0</v>
      </c>
      <c r="T507" s="41">
        <f t="shared" ref="T507" si="581">T508+T509+T510</f>
        <v>0</v>
      </c>
    </row>
    <row r="508" spans="1:20" x14ac:dyDescent="0.3">
      <c r="A508" s="4"/>
      <c r="B508" s="5" t="s">
        <v>11</v>
      </c>
      <c r="C508" s="9">
        <v>2</v>
      </c>
      <c r="D508" s="9">
        <v>2</v>
      </c>
      <c r="E508" s="9">
        <v>2</v>
      </c>
      <c r="F508" s="9">
        <v>2</v>
      </c>
      <c r="G508" s="19">
        <f>'расчёт зарплаты'!K26</f>
        <v>27300</v>
      </c>
      <c r="H508" s="19">
        <f t="shared" ref="H508:H511" si="582">E508*G508*12+ ((D508-E508)*G508/2*12)</f>
        <v>655200</v>
      </c>
      <c r="I508" s="19"/>
      <c r="J508" s="19"/>
      <c r="K508" s="19"/>
      <c r="L508" s="19"/>
      <c r="O508" s="19">
        <f t="shared" ref="O508:P511" si="583">J508*L508*12+ ((I508-J508)*L508/2*12)</f>
        <v>0</v>
      </c>
      <c r="P508" s="19">
        <f t="shared" si="583"/>
        <v>0</v>
      </c>
      <c r="Q508" s="19">
        <f t="shared" ref="Q508:R511" si="584">L508*O508*12+ ((K508-L508)*O508/2*12)</f>
        <v>0</v>
      </c>
      <c r="R508" s="19">
        <f t="shared" si="584"/>
        <v>0</v>
      </c>
      <c r="S508" s="19">
        <f t="shared" ref="S508:T511" si="585">O508*Q508*12+ ((M508-O508)*Q508/2*12)</f>
        <v>0</v>
      </c>
      <c r="T508" s="19">
        <f t="shared" si="585"/>
        <v>0</v>
      </c>
    </row>
    <row r="509" spans="1:20" x14ac:dyDescent="0.3">
      <c r="A509" s="4"/>
      <c r="B509" s="5" t="s">
        <v>12</v>
      </c>
      <c r="C509" s="9">
        <v>2</v>
      </c>
      <c r="D509" s="9">
        <v>2</v>
      </c>
      <c r="E509" s="9">
        <v>2</v>
      </c>
      <c r="F509" s="9">
        <v>2</v>
      </c>
      <c r="G509" s="19">
        <f>'расчёт зарплаты'!K26</f>
        <v>27300</v>
      </c>
      <c r="H509" s="19">
        <f t="shared" si="582"/>
        <v>655200</v>
      </c>
      <c r="I509" s="19"/>
      <c r="J509" s="19"/>
      <c r="K509" s="19"/>
      <c r="L509" s="19"/>
      <c r="O509" s="19">
        <f t="shared" si="583"/>
        <v>0</v>
      </c>
      <c r="P509" s="19">
        <f t="shared" si="583"/>
        <v>0</v>
      </c>
      <c r="Q509" s="19">
        <f t="shared" si="584"/>
        <v>0</v>
      </c>
      <c r="R509" s="19">
        <f t="shared" si="584"/>
        <v>0</v>
      </c>
      <c r="S509" s="19">
        <f t="shared" si="585"/>
        <v>0</v>
      </c>
      <c r="T509" s="19">
        <f t="shared" si="585"/>
        <v>0</v>
      </c>
    </row>
    <row r="510" spans="1:20" ht="28.2" x14ac:dyDescent="0.3">
      <c r="A510" s="4"/>
      <c r="B510" s="5" t="s">
        <v>19</v>
      </c>
      <c r="C510" s="9">
        <v>4.5</v>
      </c>
      <c r="D510" s="9">
        <v>4.5</v>
      </c>
      <c r="E510" s="9">
        <v>2</v>
      </c>
      <c r="F510" s="9">
        <v>2</v>
      </c>
      <c r="G510" s="19">
        <f>'расчёт зарплаты'!K40</f>
        <v>28224</v>
      </c>
      <c r="H510" s="19">
        <f t="shared" si="582"/>
        <v>1100736</v>
      </c>
      <c r="I510" s="19"/>
      <c r="J510" s="19"/>
      <c r="K510" s="19"/>
      <c r="L510" s="19"/>
      <c r="O510" s="19">
        <f t="shared" si="583"/>
        <v>0</v>
      </c>
      <c r="P510" s="19">
        <f t="shared" si="583"/>
        <v>0</v>
      </c>
      <c r="Q510" s="19">
        <f t="shared" si="584"/>
        <v>0</v>
      </c>
      <c r="R510" s="19">
        <f t="shared" si="584"/>
        <v>0</v>
      </c>
      <c r="S510" s="19">
        <f t="shared" si="585"/>
        <v>0</v>
      </c>
      <c r="T510" s="19">
        <f t="shared" si="585"/>
        <v>0</v>
      </c>
    </row>
    <row r="511" spans="1:20" x14ac:dyDescent="0.3">
      <c r="A511" s="135" t="s">
        <v>23</v>
      </c>
      <c r="B511" s="135"/>
      <c r="C511" s="7">
        <f t="shared" ref="C511:F511" si="586">C512+C518</f>
        <v>9</v>
      </c>
      <c r="D511" s="7">
        <f t="shared" si="586"/>
        <v>8.5</v>
      </c>
      <c r="E511" s="7">
        <f t="shared" si="586"/>
        <v>6</v>
      </c>
      <c r="F511" s="7">
        <f t="shared" si="586"/>
        <v>6</v>
      </c>
      <c r="G511" s="19"/>
      <c r="H511" s="19">
        <f t="shared" si="582"/>
        <v>0</v>
      </c>
      <c r="I511" s="19"/>
      <c r="J511" s="20">
        <f t="shared" ref="J511:K511" si="587">J512+J518</f>
        <v>2443152</v>
      </c>
      <c r="K511" s="20">
        <f t="shared" si="587"/>
        <v>737831.90399999998</v>
      </c>
      <c r="L511" s="20">
        <f>L512+L518</f>
        <v>3180983.9040000001</v>
      </c>
      <c r="O511" s="19">
        <f t="shared" si="583"/>
        <v>46629763122152.453</v>
      </c>
      <c r="P511" s="19">
        <f t="shared" si="583"/>
        <v>0</v>
      </c>
      <c r="Q511" s="19">
        <f t="shared" si="584"/>
        <v>1.0964007170783188E+21</v>
      </c>
      <c r="R511" s="19">
        <f t="shared" si="584"/>
        <v>0</v>
      </c>
      <c r="S511" s="19">
        <f t="shared" si="585"/>
        <v>3.067494343459206E+35</v>
      </c>
      <c r="T511" s="19">
        <f t="shared" si="585"/>
        <v>0</v>
      </c>
    </row>
    <row r="512" spans="1:20" x14ac:dyDescent="0.3">
      <c r="A512" s="136" t="s">
        <v>24</v>
      </c>
      <c r="B512" s="136"/>
      <c r="C512" s="7">
        <f t="shared" ref="C512:F512" si="588">C513+C514+C515+C516+C517</f>
        <v>6</v>
      </c>
      <c r="D512" s="7">
        <f t="shared" si="588"/>
        <v>6</v>
      </c>
      <c r="E512" s="7">
        <f t="shared" si="588"/>
        <v>4</v>
      </c>
      <c r="F512" s="7">
        <f t="shared" si="588"/>
        <v>4</v>
      </c>
      <c r="G512" s="20"/>
      <c r="H512" s="20">
        <f>H513+H514+H515+H516+H517</f>
        <v>1638000</v>
      </c>
      <c r="I512" s="20">
        <f t="shared" ref="I512" si="589">I513+I514+I515+I516+I517</f>
        <v>0</v>
      </c>
      <c r="J512" s="20">
        <f>H512</f>
        <v>1638000</v>
      </c>
      <c r="K512" s="20">
        <f>J512*30.2%</f>
        <v>494676</v>
      </c>
      <c r="L512" s="20">
        <f>J512+K512</f>
        <v>2132676</v>
      </c>
      <c r="O512" s="20">
        <f t="shared" ref="O512:T512" si="590">O513+O514+O515+O516+O517</f>
        <v>0</v>
      </c>
      <c r="P512" s="20">
        <f t="shared" si="590"/>
        <v>0</v>
      </c>
      <c r="Q512" s="20">
        <f t="shared" si="590"/>
        <v>0</v>
      </c>
      <c r="R512" s="20">
        <f t="shared" si="590"/>
        <v>0</v>
      </c>
      <c r="S512" s="20">
        <f t="shared" si="590"/>
        <v>0</v>
      </c>
      <c r="T512" s="20">
        <f t="shared" si="590"/>
        <v>0</v>
      </c>
    </row>
    <row r="513" spans="1:20" x14ac:dyDescent="0.3">
      <c r="A513" s="4"/>
      <c r="B513" s="5" t="s">
        <v>25</v>
      </c>
      <c r="C513" s="33"/>
      <c r="D513" s="33"/>
      <c r="E513" s="33"/>
      <c r="F513" s="33"/>
      <c r="G513" s="19"/>
      <c r="H513" s="19">
        <f t="shared" ref="H513:H517" si="591">E513*G513*12+ ((D513-E513)*G513/2*12)</f>
        <v>0</v>
      </c>
      <c r="I513" s="19"/>
      <c r="J513" s="19"/>
      <c r="K513" s="19"/>
      <c r="L513" s="19"/>
      <c r="O513" s="19">
        <f t="shared" ref="O513:P517" si="592">J513*L513*12+ ((I513-J513)*L513/2*12)</f>
        <v>0</v>
      </c>
      <c r="P513" s="19">
        <f t="shared" si="592"/>
        <v>0</v>
      </c>
      <c r="Q513" s="19">
        <f t="shared" ref="Q513:R517" si="593">L513*O513*12+ ((K513-L513)*O513/2*12)</f>
        <v>0</v>
      </c>
      <c r="R513" s="19">
        <f t="shared" si="593"/>
        <v>0</v>
      </c>
      <c r="S513" s="19">
        <f t="shared" ref="S513:T517" si="594">O513*Q513*12+ ((M513-O513)*Q513/2*12)</f>
        <v>0</v>
      </c>
      <c r="T513" s="19">
        <f t="shared" si="594"/>
        <v>0</v>
      </c>
    </row>
    <row r="514" spans="1:20" x14ac:dyDescent="0.3">
      <c r="A514" s="4"/>
      <c r="B514" s="5" t="s">
        <v>26</v>
      </c>
      <c r="C514" s="33"/>
      <c r="D514" s="33"/>
      <c r="E514" s="33"/>
      <c r="F514" s="33"/>
      <c r="G514" s="19"/>
      <c r="H514" s="19">
        <f t="shared" si="591"/>
        <v>0</v>
      </c>
      <c r="I514" s="19"/>
      <c r="J514" s="19"/>
      <c r="K514" s="19"/>
      <c r="L514" s="19"/>
      <c r="O514" s="19">
        <f t="shared" si="592"/>
        <v>0</v>
      </c>
      <c r="P514" s="19">
        <f t="shared" si="592"/>
        <v>0</v>
      </c>
      <c r="Q514" s="19">
        <f t="shared" si="593"/>
        <v>0</v>
      </c>
      <c r="R514" s="19">
        <f t="shared" si="593"/>
        <v>0</v>
      </c>
      <c r="S514" s="19">
        <f t="shared" si="594"/>
        <v>0</v>
      </c>
      <c r="T514" s="19">
        <f t="shared" si="594"/>
        <v>0</v>
      </c>
    </row>
    <row r="515" spans="1:20" x14ac:dyDescent="0.3">
      <c r="A515" s="4"/>
      <c r="B515" s="5" t="s">
        <v>27</v>
      </c>
      <c r="C515" s="33"/>
      <c r="D515" s="33"/>
      <c r="E515" s="33"/>
      <c r="F515" s="33"/>
      <c r="G515" s="19"/>
      <c r="H515" s="19">
        <f t="shared" si="591"/>
        <v>0</v>
      </c>
      <c r="I515" s="19"/>
      <c r="J515" s="19"/>
      <c r="K515" s="19"/>
      <c r="L515" s="19"/>
      <c r="O515" s="19">
        <f t="shared" si="592"/>
        <v>0</v>
      </c>
      <c r="P515" s="19">
        <f t="shared" si="592"/>
        <v>0</v>
      </c>
      <c r="Q515" s="19">
        <f t="shared" si="593"/>
        <v>0</v>
      </c>
      <c r="R515" s="19">
        <f t="shared" si="593"/>
        <v>0</v>
      </c>
      <c r="S515" s="19">
        <f t="shared" si="594"/>
        <v>0</v>
      </c>
      <c r="T515" s="19">
        <f t="shared" si="594"/>
        <v>0</v>
      </c>
    </row>
    <row r="516" spans="1:20" ht="28.2" x14ac:dyDescent="0.3">
      <c r="A516" s="4"/>
      <c r="B516" s="5" t="s">
        <v>28</v>
      </c>
      <c r="C516" s="33">
        <v>2.5</v>
      </c>
      <c r="D516" s="33">
        <v>2.5</v>
      </c>
      <c r="E516" s="33">
        <v>2</v>
      </c>
      <c r="F516" s="33">
        <v>2</v>
      </c>
      <c r="G516" s="19">
        <f>'расчёт зарплаты'!K26</f>
        <v>27300</v>
      </c>
      <c r="H516" s="19">
        <f t="shared" si="591"/>
        <v>737100</v>
      </c>
      <c r="I516" s="19"/>
      <c r="J516" s="19"/>
      <c r="K516" s="19"/>
      <c r="L516" s="19"/>
      <c r="O516" s="19">
        <f t="shared" si="592"/>
        <v>0</v>
      </c>
      <c r="P516" s="19">
        <f t="shared" si="592"/>
        <v>0</v>
      </c>
      <c r="Q516" s="19">
        <f t="shared" si="593"/>
        <v>0</v>
      </c>
      <c r="R516" s="19">
        <f t="shared" si="593"/>
        <v>0</v>
      </c>
      <c r="S516" s="19">
        <f t="shared" si="594"/>
        <v>0</v>
      </c>
      <c r="T516" s="19">
        <f t="shared" si="594"/>
        <v>0</v>
      </c>
    </row>
    <row r="517" spans="1:20" x14ac:dyDescent="0.3">
      <c r="A517" s="4"/>
      <c r="B517" s="5" t="s">
        <v>29</v>
      </c>
      <c r="C517" s="33">
        <v>3.5</v>
      </c>
      <c r="D517" s="33">
        <v>3.5</v>
      </c>
      <c r="E517" s="33">
        <v>2</v>
      </c>
      <c r="F517" s="33">
        <v>2</v>
      </c>
      <c r="G517" s="19">
        <f>'расчёт зарплаты'!K26</f>
        <v>27300</v>
      </c>
      <c r="H517" s="19">
        <f t="shared" si="591"/>
        <v>900900</v>
      </c>
      <c r="I517" s="19"/>
      <c r="J517" s="19"/>
      <c r="K517" s="19"/>
      <c r="L517" s="19"/>
      <c r="O517" s="19">
        <f t="shared" si="592"/>
        <v>0</v>
      </c>
      <c r="P517" s="19">
        <f t="shared" si="592"/>
        <v>0</v>
      </c>
      <c r="Q517" s="19">
        <f t="shared" si="593"/>
        <v>0</v>
      </c>
      <c r="R517" s="19">
        <f t="shared" si="593"/>
        <v>0</v>
      </c>
      <c r="S517" s="19">
        <f t="shared" si="594"/>
        <v>0</v>
      </c>
      <c r="T517" s="19">
        <f t="shared" si="594"/>
        <v>0</v>
      </c>
    </row>
    <row r="518" spans="1:20" x14ac:dyDescent="0.3">
      <c r="A518" s="136" t="s">
        <v>30</v>
      </c>
      <c r="B518" s="136"/>
      <c r="C518" s="7">
        <f t="shared" ref="C518:F518" si="595">C519+C520+C521</f>
        <v>3</v>
      </c>
      <c r="D518" s="7">
        <f t="shared" si="595"/>
        <v>2.5</v>
      </c>
      <c r="E518" s="7">
        <f t="shared" si="595"/>
        <v>2</v>
      </c>
      <c r="F518" s="7">
        <f t="shared" si="595"/>
        <v>2</v>
      </c>
      <c r="G518" s="20"/>
      <c r="H518" s="20">
        <f>H519+H520+H521</f>
        <v>805152</v>
      </c>
      <c r="I518" s="20">
        <f t="shared" ref="I518" si="596">I519+I520+I521</f>
        <v>0</v>
      </c>
      <c r="J518" s="20">
        <f>H518</f>
        <v>805152</v>
      </c>
      <c r="K518" s="20">
        <f>J518*30.2%</f>
        <v>243155.90399999998</v>
      </c>
      <c r="L518" s="20">
        <f>J518+K518</f>
        <v>1048307.904</v>
      </c>
      <c r="O518" s="20">
        <f t="shared" ref="O518:T518" si="597">O519+O520+O521</f>
        <v>0</v>
      </c>
      <c r="P518" s="20">
        <f t="shared" si="597"/>
        <v>0</v>
      </c>
      <c r="Q518" s="20">
        <f t="shared" si="597"/>
        <v>0</v>
      </c>
      <c r="R518" s="20">
        <f t="shared" si="597"/>
        <v>0</v>
      </c>
      <c r="S518" s="20">
        <f t="shared" si="597"/>
        <v>0</v>
      </c>
      <c r="T518" s="20">
        <f t="shared" si="597"/>
        <v>0</v>
      </c>
    </row>
    <row r="519" spans="1:20" x14ac:dyDescent="0.3">
      <c r="A519" s="4"/>
      <c r="B519" s="5" t="s">
        <v>31</v>
      </c>
      <c r="C519" s="33">
        <v>1</v>
      </c>
      <c r="D519" s="33">
        <v>1</v>
      </c>
      <c r="E519" s="33">
        <v>1</v>
      </c>
      <c r="F519" s="33">
        <v>1</v>
      </c>
      <c r="G519" s="19">
        <f>'расчёт зарплаты'!K34</f>
        <v>30976</v>
      </c>
      <c r="H519" s="19">
        <f t="shared" ref="H519:H521" si="598">E519*G519*12+ ((D519-E519)*G519/2*12)</f>
        <v>371712</v>
      </c>
      <c r="I519" s="19"/>
      <c r="J519" s="19"/>
      <c r="K519" s="19"/>
      <c r="L519" s="19"/>
      <c r="O519" s="19">
        <f t="shared" ref="O519:P521" si="599">J519*L519*12+ ((I519-J519)*L519/2*12)</f>
        <v>0</v>
      </c>
      <c r="P519" s="19">
        <f t="shared" si="599"/>
        <v>0</v>
      </c>
      <c r="Q519" s="19">
        <f t="shared" ref="Q519:R521" si="600">L519*O519*12+ ((K519-L519)*O519/2*12)</f>
        <v>0</v>
      </c>
      <c r="R519" s="19">
        <f t="shared" si="600"/>
        <v>0</v>
      </c>
      <c r="S519" s="19">
        <f t="shared" ref="S519:T521" si="601">O519*Q519*12+ ((M519-O519)*Q519/2*12)</f>
        <v>0</v>
      </c>
      <c r="T519" s="19">
        <f t="shared" si="601"/>
        <v>0</v>
      </c>
    </row>
    <row r="520" spans="1:20" x14ac:dyDescent="0.3">
      <c r="A520" s="4"/>
      <c r="B520" s="5" t="s">
        <v>32</v>
      </c>
      <c r="C520" s="33"/>
      <c r="D520" s="33"/>
      <c r="E520" s="33"/>
      <c r="F520" s="33"/>
      <c r="G520" s="19"/>
      <c r="H520" s="19">
        <f t="shared" si="598"/>
        <v>0</v>
      </c>
      <c r="I520" s="19"/>
      <c r="J520" s="19"/>
      <c r="K520" s="19"/>
      <c r="L520" s="19"/>
      <c r="O520" s="19">
        <f t="shared" si="599"/>
        <v>0</v>
      </c>
      <c r="P520" s="19">
        <f t="shared" si="599"/>
        <v>0</v>
      </c>
      <c r="Q520" s="19">
        <f t="shared" si="600"/>
        <v>0</v>
      </c>
      <c r="R520" s="19">
        <f t="shared" si="600"/>
        <v>0</v>
      </c>
      <c r="S520" s="19">
        <f t="shared" si="601"/>
        <v>0</v>
      </c>
      <c r="T520" s="19">
        <f t="shared" si="601"/>
        <v>0</v>
      </c>
    </row>
    <row r="521" spans="1:20" x14ac:dyDescent="0.3">
      <c r="A521" s="4"/>
      <c r="B521" s="5" t="s">
        <v>33</v>
      </c>
      <c r="C521" s="33">
        <v>2</v>
      </c>
      <c r="D521" s="33">
        <v>1.5</v>
      </c>
      <c r="E521" s="33">
        <v>1</v>
      </c>
      <c r="F521" s="33">
        <v>1</v>
      </c>
      <c r="G521" s="19">
        <f>'расчёт зарплаты'!K38</f>
        <v>28896</v>
      </c>
      <c r="H521" s="19">
        <f t="shared" si="598"/>
        <v>433440</v>
      </c>
      <c r="I521" s="19"/>
      <c r="J521" s="19"/>
      <c r="K521" s="19"/>
      <c r="L521" s="19"/>
      <c r="O521" s="19">
        <f t="shared" si="599"/>
        <v>0</v>
      </c>
      <c r="P521" s="19">
        <f t="shared" si="599"/>
        <v>0</v>
      </c>
      <c r="Q521" s="19">
        <f t="shared" si="600"/>
        <v>0</v>
      </c>
      <c r="R521" s="19">
        <f t="shared" si="600"/>
        <v>0</v>
      </c>
      <c r="S521" s="19">
        <f t="shared" si="601"/>
        <v>0</v>
      </c>
      <c r="T521" s="19">
        <f t="shared" si="601"/>
        <v>0</v>
      </c>
    </row>
    <row r="522" spans="1:20" x14ac:dyDescent="0.3">
      <c r="A522" s="141" t="s">
        <v>76</v>
      </c>
      <c r="B522" s="141"/>
      <c r="C522" s="141"/>
      <c r="D522" s="141"/>
      <c r="E522" s="141"/>
      <c r="F522" s="141"/>
      <c r="G522" s="141"/>
      <c r="H522" s="141"/>
      <c r="I522" s="141"/>
      <c r="J522" s="141"/>
      <c r="K522" s="141"/>
      <c r="L522" s="141"/>
    </row>
    <row r="523" spans="1:20" ht="14.4" customHeight="1" x14ac:dyDescent="0.3">
      <c r="A523" s="133" t="s">
        <v>7</v>
      </c>
      <c r="B523" s="134"/>
      <c r="C523" s="8">
        <f>C524+C541+C537</f>
        <v>147</v>
      </c>
      <c r="D523" s="8">
        <f>D524+D541+D537</f>
        <v>128</v>
      </c>
      <c r="E523" s="8">
        <f>E524+E541+E537</f>
        <v>102.3</v>
      </c>
      <c r="F523" s="8">
        <f>F524+F541+F537</f>
        <v>127.75</v>
      </c>
      <c r="G523" s="19"/>
      <c r="H523" s="19"/>
      <c r="I523" s="19"/>
      <c r="J523" s="19"/>
      <c r="K523" s="19"/>
      <c r="L523" s="19"/>
      <c r="O523" s="19"/>
      <c r="P523" s="19"/>
      <c r="Q523" s="19"/>
      <c r="R523" s="19"/>
      <c r="S523" s="19"/>
      <c r="T523" s="19"/>
    </row>
    <row r="524" spans="1:20" ht="14.4" customHeight="1" x14ac:dyDescent="0.3">
      <c r="A524" s="133" t="s">
        <v>89</v>
      </c>
      <c r="B524" s="134"/>
      <c r="C524" s="40">
        <f t="shared" ref="C524:G524" si="602">SUM(C525:C537)</f>
        <v>134.5</v>
      </c>
      <c r="D524" s="40">
        <f t="shared" si="602"/>
        <v>119</v>
      </c>
      <c r="E524" s="40">
        <f t="shared" si="602"/>
        <v>94.3</v>
      </c>
      <c r="F524" s="40">
        <f t="shared" si="602"/>
        <v>118.75</v>
      </c>
      <c r="G524" s="40">
        <f t="shared" si="602"/>
        <v>249800</v>
      </c>
      <c r="H524" s="40">
        <f>SUM(H525:H537)</f>
        <v>36732470.399999999</v>
      </c>
      <c r="I524" s="20"/>
      <c r="J524" s="20">
        <f>H524-I524</f>
        <v>36732470.399999999</v>
      </c>
      <c r="K524" s="20">
        <f>J524*30.2%</f>
        <v>11093206.060799999</v>
      </c>
      <c r="L524" s="20">
        <f>J524+K524</f>
        <v>47825676.4608</v>
      </c>
      <c r="O524" s="40">
        <f t="shared" ref="O524:T524" si="603">SUM(O525:O537)</f>
        <v>0</v>
      </c>
      <c r="P524" s="40">
        <f t="shared" si="603"/>
        <v>0</v>
      </c>
      <c r="Q524" s="40">
        <f t="shared" si="603"/>
        <v>0</v>
      </c>
      <c r="R524" s="40">
        <f t="shared" si="603"/>
        <v>0</v>
      </c>
      <c r="S524" s="40">
        <f t="shared" si="603"/>
        <v>0</v>
      </c>
      <c r="T524" s="40">
        <f t="shared" si="603"/>
        <v>0</v>
      </c>
    </row>
    <row r="525" spans="1:20" x14ac:dyDescent="0.3">
      <c r="A525" s="4"/>
      <c r="B525" s="5" t="s">
        <v>9</v>
      </c>
      <c r="C525" s="33">
        <v>82.25</v>
      </c>
      <c r="D525" s="33">
        <v>80</v>
      </c>
      <c r="E525" s="33">
        <v>61.3</v>
      </c>
      <c r="F525" s="33">
        <v>79.75</v>
      </c>
      <c r="G525" s="19">
        <f>'расчёт зарплаты'!K10</f>
        <v>28208</v>
      </c>
      <c r="H525" s="19">
        <f>E525*G525*12+ ((D525-E525)*G525/2*12)</f>
        <v>23914742.399999999</v>
      </c>
      <c r="I525" s="19"/>
      <c r="J525" s="19"/>
      <c r="K525" s="19"/>
      <c r="L525" s="19">
        <f>G525*K525*12</f>
        <v>0</v>
      </c>
      <c r="O525" s="19">
        <f t="shared" ref="O525:O536" si="604">J525*L525*12+ ((I525-J525)*L525/2*12)</f>
        <v>0</v>
      </c>
      <c r="P525" s="19">
        <f t="shared" ref="P525:P536" si="605">K525*M525*12+ ((J525-K525)*M525/2*12)</f>
        <v>0</v>
      </c>
      <c r="Q525" s="19">
        <f t="shared" ref="Q525:Q536" si="606">L525*O525*12+ ((K525-L525)*O525/2*12)</f>
        <v>0</v>
      </c>
      <c r="R525" s="19">
        <f t="shared" ref="R525:R536" si="607">M525*P525*12+ ((L525-M525)*P525/2*12)</f>
        <v>0</v>
      </c>
      <c r="S525" s="19">
        <f t="shared" ref="S525:T536" si="608">O525*Q525*12+ ((M525-O525)*Q525/2*12)</f>
        <v>0</v>
      </c>
      <c r="T525" s="19">
        <f t="shared" si="608"/>
        <v>0</v>
      </c>
    </row>
    <row r="526" spans="1:20" ht="28.2" x14ac:dyDescent="0.3">
      <c r="A526" s="4"/>
      <c r="B526" s="5" t="s">
        <v>81</v>
      </c>
      <c r="C526" s="33">
        <v>2.5</v>
      </c>
      <c r="D526" s="33">
        <v>2.5</v>
      </c>
      <c r="E526" s="33">
        <v>2.5</v>
      </c>
      <c r="F526" s="33">
        <v>2.5</v>
      </c>
      <c r="G526" s="19">
        <f>'расчёт зарплаты'!K10</f>
        <v>28208</v>
      </c>
      <c r="H526" s="19">
        <f>E526*G526*12+ ((D526-E526)*G526/2*12)</f>
        <v>846240</v>
      </c>
      <c r="I526" s="19"/>
      <c r="J526" s="19"/>
      <c r="K526" s="19"/>
      <c r="L526" s="19"/>
      <c r="O526" s="19">
        <f t="shared" si="604"/>
        <v>0</v>
      </c>
      <c r="P526" s="19">
        <f t="shared" si="605"/>
        <v>0</v>
      </c>
      <c r="Q526" s="19">
        <f t="shared" si="606"/>
        <v>0</v>
      </c>
      <c r="R526" s="19">
        <f t="shared" si="607"/>
        <v>0</v>
      </c>
      <c r="S526" s="19">
        <f t="shared" si="608"/>
        <v>0</v>
      </c>
      <c r="T526" s="19">
        <f t="shared" si="608"/>
        <v>0</v>
      </c>
    </row>
    <row r="527" spans="1:20" x14ac:dyDescent="0.3">
      <c r="A527" s="4"/>
      <c r="B527" s="5" t="s">
        <v>10</v>
      </c>
      <c r="C527" s="33"/>
      <c r="D527" s="33"/>
      <c r="E527" s="33"/>
      <c r="F527" s="33"/>
      <c r="G527" s="19"/>
      <c r="H527" s="19">
        <f t="shared" ref="H527:H536" si="609">E527*G527*12+ ((D527-E527)*G527/2*12)</f>
        <v>0</v>
      </c>
      <c r="I527" s="19"/>
      <c r="J527" s="19"/>
      <c r="K527" s="19"/>
      <c r="L527" s="19"/>
      <c r="O527" s="19">
        <f t="shared" si="604"/>
        <v>0</v>
      </c>
      <c r="P527" s="19">
        <f t="shared" si="605"/>
        <v>0</v>
      </c>
      <c r="Q527" s="19">
        <f t="shared" si="606"/>
        <v>0</v>
      </c>
      <c r="R527" s="19">
        <f t="shared" si="607"/>
        <v>0</v>
      </c>
      <c r="S527" s="19">
        <f t="shared" si="608"/>
        <v>0</v>
      </c>
      <c r="T527" s="19">
        <f t="shared" si="608"/>
        <v>0</v>
      </c>
    </row>
    <row r="528" spans="1:20" x14ac:dyDescent="0.3">
      <c r="A528" s="4"/>
      <c r="B528" s="5" t="s">
        <v>13</v>
      </c>
      <c r="C528" s="33">
        <v>13</v>
      </c>
      <c r="D528" s="33">
        <v>12</v>
      </c>
      <c r="E528" s="33">
        <v>6</v>
      </c>
      <c r="F528" s="33">
        <v>12</v>
      </c>
      <c r="G528" s="19">
        <f>'расчёт зарплаты'!K38</f>
        <v>28896</v>
      </c>
      <c r="H528" s="19">
        <f t="shared" si="609"/>
        <v>3120768</v>
      </c>
      <c r="I528" s="19"/>
      <c r="J528" s="19"/>
      <c r="K528" s="19"/>
      <c r="L528" s="19"/>
      <c r="O528" s="19">
        <f t="shared" si="604"/>
        <v>0</v>
      </c>
      <c r="P528" s="19">
        <f t="shared" si="605"/>
        <v>0</v>
      </c>
      <c r="Q528" s="19">
        <f t="shared" si="606"/>
        <v>0</v>
      </c>
      <c r="R528" s="19">
        <f t="shared" si="607"/>
        <v>0</v>
      </c>
      <c r="S528" s="19">
        <f t="shared" si="608"/>
        <v>0</v>
      </c>
      <c r="T528" s="19">
        <f t="shared" si="608"/>
        <v>0</v>
      </c>
    </row>
    <row r="529" spans="1:20" ht="28.2" x14ac:dyDescent="0.3">
      <c r="A529" s="4"/>
      <c r="B529" s="5" t="s">
        <v>14</v>
      </c>
      <c r="C529" s="33"/>
      <c r="D529" s="33"/>
      <c r="E529" s="33"/>
      <c r="F529" s="33"/>
      <c r="G529" s="19"/>
      <c r="H529" s="19">
        <f t="shared" si="609"/>
        <v>0</v>
      </c>
      <c r="I529" s="19"/>
      <c r="J529" s="19"/>
      <c r="K529" s="19"/>
      <c r="L529" s="19"/>
      <c r="O529" s="19">
        <f t="shared" si="604"/>
        <v>0</v>
      </c>
      <c r="P529" s="19">
        <f t="shared" si="605"/>
        <v>0</v>
      </c>
      <c r="Q529" s="19">
        <f t="shared" si="606"/>
        <v>0</v>
      </c>
      <c r="R529" s="19">
        <f t="shared" si="607"/>
        <v>0</v>
      </c>
      <c r="S529" s="19">
        <f t="shared" si="608"/>
        <v>0</v>
      </c>
      <c r="T529" s="19">
        <f t="shared" si="608"/>
        <v>0</v>
      </c>
    </row>
    <row r="530" spans="1:20" x14ac:dyDescent="0.3">
      <c r="A530" s="4"/>
      <c r="B530" s="5" t="s">
        <v>15</v>
      </c>
      <c r="C530" s="33">
        <v>17.5</v>
      </c>
      <c r="D530" s="33">
        <v>9</v>
      </c>
      <c r="E530" s="33">
        <v>9</v>
      </c>
      <c r="F530" s="33">
        <v>9</v>
      </c>
      <c r="G530" s="19">
        <f>'расчёт зарплаты'!K34</f>
        <v>30976</v>
      </c>
      <c r="H530" s="19">
        <f t="shared" si="609"/>
        <v>3345408</v>
      </c>
      <c r="I530" s="19"/>
      <c r="J530" s="19"/>
      <c r="K530" s="19"/>
      <c r="L530" s="19"/>
      <c r="O530" s="19">
        <f t="shared" si="604"/>
        <v>0</v>
      </c>
      <c r="P530" s="19">
        <f t="shared" si="605"/>
        <v>0</v>
      </c>
      <c r="Q530" s="19">
        <f t="shared" si="606"/>
        <v>0</v>
      </c>
      <c r="R530" s="19">
        <f t="shared" si="607"/>
        <v>0</v>
      </c>
      <c r="S530" s="19">
        <f t="shared" si="608"/>
        <v>0</v>
      </c>
      <c r="T530" s="19">
        <f t="shared" si="608"/>
        <v>0</v>
      </c>
    </row>
    <row r="531" spans="1:20" x14ac:dyDescent="0.3">
      <c r="A531" s="4"/>
      <c r="B531" s="5" t="s">
        <v>16</v>
      </c>
      <c r="C531" s="33">
        <v>12</v>
      </c>
      <c r="D531" s="33">
        <v>12</v>
      </c>
      <c r="E531" s="33">
        <v>12</v>
      </c>
      <c r="F531" s="33">
        <v>12</v>
      </c>
      <c r="G531" s="19">
        <f>'расчёт зарплаты'!K8</f>
        <v>28600</v>
      </c>
      <c r="H531" s="19">
        <f t="shared" si="609"/>
        <v>4118400</v>
      </c>
      <c r="I531" s="19"/>
      <c r="J531" s="19"/>
      <c r="K531" s="19"/>
      <c r="L531" s="19"/>
      <c r="O531" s="19">
        <f t="shared" si="604"/>
        <v>0</v>
      </c>
      <c r="P531" s="19">
        <f t="shared" si="605"/>
        <v>0</v>
      </c>
      <c r="Q531" s="19">
        <f t="shared" si="606"/>
        <v>0</v>
      </c>
      <c r="R531" s="19">
        <f t="shared" si="607"/>
        <v>0</v>
      </c>
      <c r="S531" s="19">
        <f t="shared" si="608"/>
        <v>0</v>
      </c>
      <c r="T531" s="19">
        <f t="shared" si="608"/>
        <v>0</v>
      </c>
    </row>
    <row r="532" spans="1:20" ht="42" x14ac:dyDescent="0.3">
      <c r="A532" s="4"/>
      <c r="B532" s="5" t="s">
        <v>17</v>
      </c>
      <c r="C532" s="33">
        <v>4</v>
      </c>
      <c r="D532" s="33">
        <v>2.5</v>
      </c>
      <c r="E532" s="33">
        <v>2.5</v>
      </c>
      <c r="F532" s="33">
        <v>2.5</v>
      </c>
      <c r="G532" s="19">
        <f>'расчёт зарплаты'!K10</f>
        <v>28208</v>
      </c>
      <c r="H532" s="19">
        <f t="shared" si="609"/>
        <v>846240</v>
      </c>
      <c r="I532" s="19"/>
      <c r="J532" s="19"/>
      <c r="K532" s="19"/>
      <c r="L532" s="19"/>
      <c r="O532" s="19">
        <f t="shared" si="604"/>
        <v>0</v>
      </c>
      <c r="P532" s="19">
        <f t="shared" si="605"/>
        <v>0</v>
      </c>
      <c r="Q532" s="19">
        <f t="shared" si="606"/>
        <v>0</v>
      </c>
      <c r="R532" s="19">
        <f t="shared" si="607"/>
        <v>0</v>
      </c>
      <c r="S532" s="19">
        <f t="shared" si="608"/>
        <v>0</v>
      </c>
      <c r="T532" s="19">
        <f t="shared" si="608"/>
        <v>0</v>
      </c>
    </row>
    <row r="533" spans="1:20" ht="28.2" x14ac:dyDescent="0.3">
      <c r="A533" s="4"/>
      <c r="B533" s="5" t="s">
        <v>18</v>
      </c>
      <c r="C533" s="33">
        <v>2.25</v>
      </c>
      <c r="D533" s="33">
        <v>0</v>
      </c>
      <c r="E533" s="33">
        <v>0</v>
      </c>
      <c r="F533" s="33">
        <v>0</v>
      </c>
      <c r="G533" s="19">
        <f>'расчёт зарплаты'!K20</f>
        <v>31648</v>
      </c>
      <c r="H533" s="19">
        <f t="shared" si="609"/>
        <v>0</v>
      </c>
      <c r="I533" s="19"/>
      <c r="J533" s="19"/>
      <c r="K533" s="19"/>
      <c r="L533" s="19"/>
      <c r="O533" s="19">
        <f t="shared" si="604"/>
        <v>0</v>
      </c>
      <c r="P533" s="19">
        <f t="shared" si="605"/>
        <v>0</v>
      </c>
      <c r="Q533" s="19">
        <f t="shared" si="606"/>
        <v>0</v>
      </c>
      <c r="R533" s="19">
        <f t="shared" si="607"/>
        <v>0</v>
      </c>
      <c r="S533" s="19">
        <f t="shared" si="608"/>
        <v>0</v>
      </c>
      <c r="T533" s="19">
        <f t="shared" si="608"/>
        <v>0</v>
      </c>
    </row>
    <row r="534" spans="1:20" ht="42" x14ac:dyDescent="0.3">
      <c r="A534" s="4"/>
      <c r="B534" s="5" t="s">
        <v>91</v>
      </c>
      <c r="C534" s="33"/>
      <c r="D534" s="33"/>
      <c r="E534" s="33"/>
      <c r="F534" s="33"/>
      <c r="G534" s="19"/>
      <c r="H534" s="19">
        <f t="shared" si="609"/>
        <v>0</v>
      </c>
      <c r="I534" s="19"/>
      <c r="J534" s="19"/>
      <c r="K534" s="19"/>
      <c r="L534" s="19"/>
      <c r="O534" s="19">
        <f t="shared" si="604"/>
        <v>0</v>
      </c>
      <c r="P534" s="19">
        <f t="shared" si="605"/>
        <v>0</v>
      </c>
      <c r="Q534" s="19">
        <f t="shared" si="606"/>
        <v>0</v>
      </c>
      <c r="R534" s="19">
        <f t="shared" si="607"/>
        <v>0</v>
      </c>
      <c r="S534" s="19">
        <f t="shared" si="608"/>
        <v>0</v>
      </c>
      <c r="T534" s="19">
        <f t="shared" si="608"/>
        <v>0</v>
      </c>
    </row>
    <row r="535" spans="1:20" x14ac:dyDescent="0.3">
      <c r="A535" s="4"/>
      <c r="B535" s="5" t="s">
        <v>20</v>
      </c>
      <c r="C535" s="33"/>
      <c r="D535" s="33"/>
      <c r="E535" s="33"/>
      <c r="F535" s="33"/>
      <c r="G535" s="19"/>
      <c r="H535" s="19">
        <f t="shared" si="609"/>
        <v>0</v>
      </c>
      <c r="I535" s="19"/>
      <c r="J535" s="19"/>
      <c r="K535" s="19"/>
      <c r="L535" s="19"/>
      <c r="O535" s="19">
        <f t="shared" si="604"/>
        <v>0</v>
      </c>
      <c r="P535" s="19">
        <f t="shared" si="605"/>
        <v>0</v>
      </c>
      <c r="Q535" s="19">
        <f t="shared" si="606"/>
        <v>0</v>
      </c>
      <c r="R535" s="19">
        <f t="shared" si="607"/>
        <v>0</v>
      </c>
      <c r="S535" s="19">
        <f t="shared" si="608"/>
        <v>0</v>
      </c>
      <c r="T535" s="19">
        <f t="shared" si="608"/>
        <v>0</v>
      </c>
    </row>
    <row r="536" spans="1:20" ht="39.6" x14ac:dyDescent="0.3">
      <c r="A536" s="4"/>
      <c r="B536" s="6" t="s">
        <v>21</v>
      </c>
      <c r="C536" s="33">
        <v>1</v>
      </c>
      <c r="D536" s="33">
        <v>1</v>
      </c>
      <c r="E536" s="33">
        <v>1</v>
      </c>
      <c r="F536" s="33">
        <v>1</v>
      </c>
      <c r="G536" s="19">
        <f>'расчёт зарплаты'!K44</f>
        <v>45056</v>
      </c>
      <c r="H536" s="19">
        <f t="shared" si="609"/>
        <v>540672</v>
      </c>
      <c r="I536" s="19"/>
      <c r="J536" s="19"/>
      <c r="K536" s="19"/>
      <c r="L536" s="19"/>
      <c r="O536" s="19">
        <f t="shared" si="604"/>
        <v>0</v>
      </c>
      <c r="P536" s="19">
        <f t="shared" si="605"/>
        <v>0</v>
      </c>
      <c r="Q536" s="19">
        <f t="shared" si="606"/>
        <v>0</v>
      </c>
      <c r="R536" s="19">
        <f t="shared" si="607"/>
        <v>0</v>
      </c>
      <c r="S536" s="19">
        <f t="shared" si="608"/>
        <v>0</v>
      </c>
      <c r="T536" s="19">
        <f t="shared" si="608"/>
        <v>0</v>
      </c>
    </row>
    <row r="537" spans="1:20" x14ac:dyDescent="0.3">
      <c r="A537" s="4"/>
      <c r="B537" s="5" t="s">
        <v>22</v>
      </c>
      <c r="C537" s="33"/>
      <c r="D537" s="33"/>
      <c r="E537" s="33"/>
      <c r="F537" s="33"/>
      <c r="G537" s="19"/>
      <c r="H537" s="19">
        <f t="shared" ref="H537" si="610">E537*G537*12</f>
        <v>0</v>
      </c>
      <c r="I537" s="19"/>
      <c r="J537" s="19"/>
      <c r="K537" s="19"/>
      <c r="L537" s="19"/>
      <c r="O537" s="19">
        <f>J537*L537*12</f>
        <v>0</v>
      </c>
      <c r="P537" s="19">
        <f>K537*M537*12</f>
        <v>0</v>
      </c>
      <c r="Q537" s="19">
        <f>L537*O537*12</f>
        <v>0</v>
      </c>
      <c r="R537" s="19">
        <f>M537*P537*12</f>
        <v>0</v>
      </c>
      <c r="S537" s="19">
        <f t="shared" ref="S537:T537" si="611">O537*Q537*12</f>
        <v>0</v>
      </c>
      <c r="T537" s="19">
        <f t="shared" si="611"/>
        <v>0</v>
      </c>
    </row>
    <row r="538" spans="1:20" x14ac:dyDescent="0.3">
      <c r="A538" s="38" t="s">
        <v>57</v>
      </c>
      <c r="B538" s="39"/>
      <c r="C538" s="41">
        <f>C539+C540+C541</f>
        <v>22</v>
      </c>
      <c r="D538" s="41">
        <f t="shared" ref="D538:F538" si="612">D539+D540+D541</f>
        <v>14</v>
      </c>
      <c r="E538" s="41">
        <f t="shared" si="612"/>
        <v>13</v>
      </c>
      <c r="F538" s="41">
        <f t="shared" si="612"/>
        <v>14</v>
      </c>
      <c r="G538" s="41"/>
      <c r="H538" s="42">
        <f t="shared" ref="H538:L538" si="613">H539+H540+H541</f>
        <v>4516848</v>
      </c>
      <c r="I538" s="42">
        <f t="shared" si="613"/>
        <v>0</v>
      </c>
      <c r="J538" s="42">
        <f t="shared" si="613"/>
        <v>0</v>
      </c>
      <c r="K538" s="42">
        <f t="shared" si="613"/>
        <v>0</v>
      </c>
      <c r="L538" s="42">
        <f t="shared" si="613"/>
        <v>0</v>
      </c>
      <c r="O538" s="42">
        <f t="shared" ref="O538:P538" si="614">O539+O540+O541</f>
        <v>0</v>
      </c>
      <c r="P538" s="42">
        <f t="shared" si="614"/>
        <v>0</v>
      </c>
      <c r="Q538" s="42">
        <f t="shared" ref="Q538" si="615">Q539+Q540+Q541</f>
        <v>0</v>
      </c>
      <c r="R538" s="42">
        <f t="shared" ref="R538:S538" si="616">R539+R540+R541</f>
        <v>0</v>
      </c>
      <c r="S538" s="42">
        <f t="shared" si="616"/>
        <v>0</v>
      </c>
      <c r="T538" s="42">
        <f t="shared" ref="T538" si="617">T539+T540+T541</f>
        <v>0</v>
      </c>
    </row>
    <row r="539" spans="1:20" x14ac:dyDescent="0.3">
      <c r="A539" s="4"/>
      <c r="B539" s="5" t="s">
        <v>11</v>
      </c>
      <c r="C539" s="9">
        <v>4.5</v>
      </c>
      <c r="D539" s="9">
        <v>0</v>
      </c>
      <c r="E539" s="9">
        <v>0</v>
      </c>
      <c r="F539" s="9">
        <v>0</v>
      </c>
      <c r="G539" s="19">
        <f>'расчёт зарплаты'!K26</f>
        <v>27300</v>
      </c>
      <c r="H539" s="19">
        <f t="shared" ref="H539:H542" si="618">E539*G539*12+ ((D539-E539)*G539/2*12)</f>
        <v>0</v>
      </c>
      <c r="I539" s="19"/>
      <c r="J539" s="19"/>
      <c r="K539" s="19"/>
      <c r="L539" s="19"/>
      <c r="O539" s="19">
        <f t="shared" ref="O539:P542" si="619">J539*L539*12+ ((I539-J539)*L539/2*12)</f>
        <v>0</v>
      </c>
      <c r="P539" s="19">
        <f t="shared" si="619"/>
        <v>0</v>
      </c>
      <c r="Q539" s="19">
        <f t="shared" ref="Q539:R542" si="620">L539*O539*12+ ((K539-L539)*O539/2*12)</f>
        <v>0</v>
      </c>
      <c r="R539" s="19">
        <f t="shared" si="620"/>
        <v>0</v>
      </c>
      <c r="S539" s="19">
        <f t="shared" ref="S539:T542" si="621">O539*Q539*12+ ((M539-O539)*Q539/2*12)</f>
        <v>0</v>
      </c>
      <c r="T539" s="19">
        <f t="shared" si="621"/>
        <v>0</v>
      </c>
    </row>
    <row r="540" spans="1:20" x14ac:dyDescent="0.3">
      <c r="A540" s="4"/>
      <c r="B540" s="5" t="s">
        <v>12</v>
      </c>
      <c r="C540" s="9">
        <v>5</v>
      </c>
      <c r="D540" s="9">
        <v>5</v>
      </c>
      <c r="E540" s="9">
        <v>5</v>
      </c>
      <c r="F540" s="9">
        <v>5</v>
      </c>
      <c r="G540" s="19">
        <f>'расчёт зарплаты'!K26</f>
        <v>27300</v>
      </c>
      <c r="H540" s="19">
        <f t="shared" si="618"/>
        <v>1638000</v>
      </c>
      <c r="I540" s="19"/>
      <c r="J540" s="19"/>
      <c r="K540" s="19"/>
      <c r="L540" s="19"/>
      <c r="O540" s="19">
        <f t="shared" si="619"/>
        <v>0</v>
      </c>
      <c r="P540" s="19">
        <f t="shared" si="619"/>
        <v>0</v>
      </c>
      <c r="Q540" s="19">
        <f t="shared" si="620"/>
        <v>0</v>
      </c>
      <c r="R540" s="19">
        <f t="shared" si="620"/>
        <v>0</v>
      </c>
      <c r="S540" s="19">
        <f t="shared" si="621"/>
        <v>0</v>
      </c>
      <c r="T540" s="19">
        <f t="shared" si="621"/>
        <v>0</v>
      </c>
    </row>
    <row r="541" spans="1:20" ht="28.2" x14ac:dyDescent="0.3">
      <c r="A541" s="4"/>
      <c r="B541" s="5" t="s">
        <v>19</v>
      </c>
      <c r="C541" s="9">
        <v>12.5</v>
      </c>
      <c r="D541" s="9">
        <v>9</v>
      </c>
      <c r="E541" s="9">
        <v>8</v>
      </c>
      <c r="F541" s="9">
        <v>9</v>
      </c>
      <c r="G541" s="19">
        <f>'расчёт зарплаты'!K40</f>
        <v>28224</v>
      </c>
      <c r="H541" s="19">
        <f t="shared" si="618"/>
        <v>2878848</v>
      </c>
      <c r="I541" s="19"/>
      <c r="J541" s="19"/>
      <c r="K541" s="19"/>
      <c r="L541" s="19"/>
      <c r="O541" s="19">
        <f t="shared" si="619"/>
        <v>0</v>
      </c>
      <c r="P541" s="19">
        <f t="shared" si="619"/>
        <v>0</v>
      </c>
      <c r="Q541" s="19">
        <f t="shared" si="620"/>
        <v>0</v>
      </c>
      <c r="R541" s="19">
        <f t="shared" si="620"/>
        <v>0</v>
      </c>
      <c r="S541" s="19">
        <f t="shared" si="621"/>
        <v>0</v>
      </c>
      <c r="T541" s="19">
        <f t="shared" si="621"/>
        <v>0</v>
      </c>
    </row>
    <row r="542" spans="1:20" x14ac:dyDescent="0.3">
      <c r="A542" s="135" t="s">
        <v>23</v>
      </c>
      <c r="B542" s="135"/>
      <c r="C542" s="7">
        <f t="shared" ref="C542:F542" si="622">C543+C549</f>
        <v>25.75</v>
      </c>
      <c r="D542" s="7">
        <f t="shared" si="622"/>
        <v>23.16</v>
      </c>
      <c r="E542" s="7">
        <f t="shared" si="622"/>
        <v>19.5</v>
      </c>
      <c r="F542" s="7">
        <f t="shared" si="622"/>
        <v>21</v>
      </c>
      <c r="G542" s="19"/>
      <c r="H542" s="19">
        <f t="shared" si="618"/>
        <v>0</v>
      </c>
      <c r="I542" s="19"/>
      <c r="J542" s="20">
        <f t="shared" ref="J542:K542" si="623">J543+J549</f>
        <v>7202460</v>
      </c>
      <c r="K542" s="20">
        <f t="shared" si="623"/>
        <v>2175142.92</v>
      </c>
      <c r="L542" s="20">
        <f>L543+L549</f>
        <v>9377602.9199999999</v>
      </c>
      <c r="O542" s="19">
        <f t="shared" si="619"/>
        <v>405250859563099.25</v>
      </c>
      <c r="P542" s="19">
        <f t="shared" si="619"/>
        <v>0</v>
      </c>
      <c r="Q542" s="19">
        <f t="shared" si="620"/>
        <v>2.8090561091844119E+22</v>
      </c>
      <c r="R542" s="19">
        <f t="shared" si="620"/>
        <v>0</v>
      </c>
      <c r="S542" s="19">
        <f t="shared" si="621"/>
        <v>6.8302344168477492E+37</v>
      </c>
      <c r="T542" s="19">
        <f t="shared" si="621"/>
        <v>0</v>
      </c>
    </row>
    <row r="543" spans="1:20" x14ac:dyDescent="0.3">
      <c r="A543" s="136" t="s">
        <v>24</v>
      </c>
      <c r="B543" s="136"/>
      <c r="C543" s="7">
        <f t="shared" ref="C543:F543" si="624">C544+C545+C546+C547+C548</f>
        <v>18.75</v>
      </c>
      <c r="D543" s="7">
        <f t="shared" si="624"/>
        <v>16.16</v>
      </c>
      <c r="E543" s="7">
        <f t="shared" si="624"/>
        <v>14.5</v>
      </c>
      <c r="F543" s="7">
        <f t="shared" si="624"/>
        <v>16</v>
      </c>
      <c r="G543" s="20"/>
      <c r="H543" s="20">
        <f>H544+H545+H546+H547+H548</f>
        <v>5022108</v>
      </c>
      <c r="I543" s="20">
        <f t="shared" ref="I543" si="625">I544+I545+I546+I547+I548</f>
        <v>0</v>
      </c>
      <c r="J543" s="20">
        <f>H543</f>
        <v>5022108</v>
      </c>
      <c r="K543" s="20">
        <f>J543*30.2%</f>
        <v>1516676.6159999999</v>
      </c>
      <c r="L543" s="20">
        <f>J543+K543</f>
        <v>6538784.6160000004</v>
      </c>
      <c r="O543" s="20">
        <f t="shared" ref="O543:T543" si="626">O544+O545+O546+O547+O548</f>
        <v>0</v>
      </c>
      <c r="P543" s="20">
        <f t="shared" si="626"/>
        <v>0</v>
      </c>
      <c r="Q543" s="20">
        <f t="shared" si="626"/>
        <v>0</v>
      </c>
      <c r="R543" s="20">
        <f t="shared" si="626"/>
        <v>0</v>
      </c>
      <c r="S543" s="20">
        <f t="shared" si="626"/>
        <v>0</v>
      </c>
      <c r="T543" s="20">
        <f t="shared" si="626"/>
        <v>0</v>
      </c>
    </row>
    <row r="544" spans="1:20" x14ac:dyDescent="0.3">
      <c r="A544" s="4"/>
      <c r="B544" s="5" t="s">
        <v>25</v>
      </c>
      <c r="C544" s="33"/>
      <c r="D544" s="33"/>
      <c r="E544" s="33"/>
      <c r="F544" s="33"/>
      <c r="G544" s="19"/>
      <c r="H544" s="19">
        <f t="shared" ref="H544:H548" si="627">E544*G544*12+ ((D544-E544)*G544/2*12)</f>
        <v>0</v>
      </c>
      <c r="I544" s="19"/>
      <c r="J544" s="19"/>
      <c r="K544" s="19"/>
      <c r="L544" s="19"/>
      <c r="O544" s="19">
        <f t="shared" ref="O544:P548" si="628">J544*L544*12+ ((I544-J544)*L544/2*12)</f>
        <v>0</v>
      </c>
      <c r="P544" s="19">
        <f t="shared" si="628"/>
        <v>0</v>
      </c>
      <c r="Q544" s="19">
        <f t="shared" ref="Q544:R548" si="629">L544*O544*12+ ((K544-L544)*O544/2*12)</f>
        <v>0</v>
      </c>
      <c r="R544" s="19">
        <f t="shared" si="629"/>
        <v>0</v>
      </c>
      <c r="S544" s="19">
        <f t="shared" ref="S544:T548" si="630">O544*Q544*12+ ((M544-O544)*Q544/2*12)</f>
        <v>0</v>
      </c>
      <c r="T544" s="19">
        <f t="shared" si="630"/>
        <v>0</v>
      </c>
    </row>
    <row r="545" spans="1:20" x14ac:dyDescent="0.3">
      <c r="A545" s="4"/>
      <c r="B545" s="5" t="s">
        <v>26</v>
      </c>
      <c r="C545" s="33"/>
      <c r="D545" s="33"/>
      <c r="E545" s="33"/>
      <c r="F545" s="33"/>
      <c r="G545" s="19"/>
      <c r="H545" s="19">
        <f t="shared" si="627"/>
        <v>0</v>
      </c>
      <c r="I545" s="19"/>
      <c r="J545" s="19"/>
      <c r="K545" s="19"/>
      <c r="L545" s="19"/>
      <c r="O545" s="19">
        <f t="shared" si="628"/>
        <v>0</v>
      </c>
      <c r="P545" s="19">
        <f t="shared" si="628"/>
        <v>0</v>
      </c>
      <c r="Q545" s="19">
        <f t="shared" si="629"/>
        <v>0</v>
      </c>
      <c r="R545" s="19">
        <f t="shared" si="629"/>
        <v>0</v>
      </c>
      <c r="S545" s="19">
        <f t="shared" si="630"/>
        <v>0</v>
      </c>
      <c r="T545" s="19">
        <f t="shared" si="630"/>
        <v>0</v>
      </c>
    </row>
    <row r="546" spans="1:20" x14ac:dyDescent="0.3">
      <c r="A546" s="4"/>
      <c r="B546" s="5" t="s">
        <v>27</v>
      </c>
      <c r="C546" s="33"/>
      <c r="D546" s="33"/>
      <c r="E546" s="33"/>
      <c r="F546" s="33"/>
      <c r="G546" s="19"/>
      <c r="H546" s="19">
        <f t="shared" si="627"/>
        <v>0</v>
      </c>
      <c r="I546" s="19"/>
      <c r="J546" s="19"/>
      <c r="K546" s="19"/>
      <c r="L546" s="19"/>
      <c r="O546" s="19">
        <f t="shared" si="628"/>
        <v>0</v>
      </c>
      <c r="P546" s="19">
        <f t="shared" si="628"/>
        <v>0</v>
      </c>
      <c r="Q546" s="19">
        <f t="shared" si="629"/>
        <v>0</v>
      </c>
      <c r="R546" s="19">
        <f t="shared" si="629"/>
        <v>0</v>
      </c>
      <c r="S546" s="19">
        <f t="shared" si="630"/>
        <v>0</v>
      </c>
      <c r="T546" s="19">
        <f t="shared" si="630"/>
        <v>0</v>
      </c>
    </row>
    <row r="547" spans="1:20" ht="28.2" x14ac:dyDescent="0.3">
      <c r="A547" s="4"/>
      <c r="B547" s="5" t="s">
        <v>28</v>
      </c>
      <c r="C547" s="33">
        <v>7.75</v>
      </c>
      <c r="D547" s="33">
        <v>7</v>
      </c>
      <c r="E547" s="33">
        <v>7</v>
      </c>
      <c r="F547" s="33">
        <v>7</v>
      </c>
      <c r="G547" s="19">
        <f>'расчёт зарплаты'!K26</f>
        <v>27300</v>
      </c>
      <c r="H547" s="19">
        <f t="shared" si="627"/>
        <v>2293200</v>
      </c>
      <c r="I547" s="19"/>
      <c r="J547" s="19"/>
      <c r="K547" s="19"/>
      <c r="L547" s="19"/>
      <c r="O547" s="19">
        <f t="shared" si="628"/>
        <v>0</v>
      </c>
      <c r="P547" s="19">
        <f t="shared" si="628"/>
        <v>0</v>
      </c>
      <c r="Q547" s="19">
        <f t="shared" si="629"/>
        <v>0</v>
      </c>
      <c r="R547" s="19">
        <f t="shared" si="629"/>
        <v>0</v>
      </c>
      <c r="S547" s="19">
        <f t="shared" si="630"/>
        <v>0</v>
      </c>
      <c r="T547" s="19">
        <f t="shared" si="630"/>
        <v>0</v>
      </c>
    </row>
    <row r="548" spans="1:20" x14ac:dyDescent="0.3">
      <c r="A548" s="4"/>
      <c r="B548" s="5" t="s">
        <v>29</v>
      </c>
      <c r="C548" s="33">
        <v>11</v>
      </c>
      <c r="D548" s="33">
        <v>9.16</v>
      </c>
      <c r="E548" s="33">
        <v>7.5</v>
      </c>
      <c r="F548" s="33">
        <v>9</v>
      </c>
      <c r="G548" s="19">
        <f>'расчёт зарплаты'!K26</f>
        <v>27300</v>
      </c>
      <c r="H548" s="19">
        <f t="shared" si="627"/>
        <v>2728908</v>
      </c>
      <c r="I548" s="19"/>
      <c r="J548" s="19"/>
      <c r="K548" s="19"/>
      <c r="L548" s="19"/>
      <c r="O548" s="19">
        <f t="shared" si="628"/>
        <v>0</v>
      </c>
      <c r="P548" s="19">
        <f t="shared" si="628"/>
        <v>0</v>
      </c>
      <c r="Q548" s="19">
        <f t="shared" si="629"/>
        <v>0</v>
      </c>
      <c r="R548" s="19">
        <f t="shared" si="629"/>
        <v>0</v>
      </c>
      <c r="S548" s="19">
        <f t="shared" si="630"/>
        <v>0</v>
      </c>
      <c r="T548" s="19">
        <f t="shared" si="630"/>
        <v>0</v>
      </c>
    </row>
    <row r="549" spans="1:20" x14ac:dyDescent="0.3">
      <c r="A549" s="136" t="s">
        <v>30</v>
      </c>
      <c r="B549" s="136"/>
      <c r="C549" s="7">
        <f t="shared" ref="C549:F549" si="631">C550+C551+C552</f>
        <v>7</v>
      </c>
      <c r="D549" s="7">
        <f t="shared" si="631"/>
        <v>7</v>
      </c>
      <c r="E549" s="7">
        <f t="shared" si="631"/>
        <v>5</v>
      </c>
      <c r="F549" s="7">
        <f t="shared" si="631"/>
        <v>5</v>
      </c>
      <c r="G549" s="20"/>
      <c r="H549" s="20">
        <f>H550+H551+H552</f>
        <v>2180352</v>
      </c>
      <c r="I549" s="20">
        <f t="shared" ref="I549" si="632">I550+I551+I552</f>
        <v>0</v>
      </c>
      <c r="J549" s="20">
        <f>H549</f>
        <v>2180352</v>
      </c>
      <c r="K549" s="20">
        <f>J549*30.2%</f>
        <v>658466.304</v>
      </c>
      <c r="L549" s="20">
        <f>J549+K549</f>
        <v>2838818.304</v>
      </c>
      <c r="O549" s="20">
        <f t="shared" ref="O549:T549" si="633">O550+O551+O552</f>
        <v>0</v>
      </c>
      <c r="P549" s="20">
        <f t="shared" si="633"/>
        <v>0</v>
      </c>
      <c r="Q549" s="20">
        <f t="shared" si="633"/>
        <v>0</v>
      </c>
      <c r="R549" s="20">
        <f t="shared" si="633"/>
        <v>0</v>
      </c>
      <c r="S549" s="20">
        <f t="shared" si="633"/>
        <v>0</v>
      </c>
      <c r="T549" s="20">
        <f t="shared" si="633"/>
        <v>0</v>
      </c>
    </row>
    <row r="550" spans="1:20" x14ac:dyDescent="0.3">
      <c r="A550" s="4"/>
      <c r="B550" s="5" t="s">
        <v>31</v>
      </c>
      <c r="C550" s="33">
        <v>4</v>
      </c>
      <c r="D550" s="33">
        <v>4</v>
      </c>
      <c r="E550" s="33">
        <v>4</v>
      </c>
      <c r="F550" s="33">
        <v>4</v>
      </c>
      <c r="G550" s="19">
        <f>'расчёт зарплаты'!K34</f>
        <v>30976</v>
      </c>
      <c r="H550" s="19">
        <f t="shared" ref="H550:H552" si="634">E550*G550*12+ ((D550-E550)*G550/2*12)</f>
        <v>1486848</v>
      </c>
      <c r="I550" s="19"/>
      <c r="J550" s="19"/>
      <c r="K550" s="19"/>
      <c r="L550" s="19"/>
      <c r="O550" s="19">
        <f t="shared" ref="O550:P552" si="635">J550*L550*12+ ((I550-J550)*L550/2*12)</f>
        <v>0</v>
      </c>
      <c r="P550" s="19">
        <f t="shared" si="635"/>
        <v>0</v>
      </c>
      <c r="Q550" s="19">
        <f t="shared" ref="Q550:R552" si="636">L550*O550*12+ ((K550-L550)*O550/2*12)</f>
        <v>0</v>
      </c>
      <c r="R550" s="19">
        <f t="shared" si="636"/>
        <v>0</v>
      </c>
      <c r="S550" s="19">
        <f t="shared" ref="S550:T552" si="637">O550*Q550*12+ ((M550-O550)*Q550/2*12)</f>
        <v>0</v>
      </c>
      <c r="T550" s="19">
        <f t="shared" si="637"/>
        <v>0</v>
      </c>
    </row>
    <row r="551" spans="1:20" x14ac:dyDescent="0.3">
      <c r="A551" s="4"/>
      <c r="B551" s="5" t="s">
        <v>32</v>
      </c>
      <c r="C551" s="33"/>
      <c r="D551" s="33"/>
      <c r="E551" s="33"/>
      <c r="F551" s="33"/>
      <c r="G551" s="19"/>
      <c r="H551" s="19">
        <f t="shared" si="634"/>
        <v>0</v>
      </c>
      <c r="I551" s="19"/>
      <c r="J551" s="19"/>
      <c r="K551" s="19"/>
      <c r="L551" s="19"/>
      <c r="O551" s="19">
        <f t="shared" si="635"/>
        <v>0</v>
      </c>
      <c r="P551" s="19">
        <f t="shared" si="635"/>
        <v>0</v>
      </c>
      <c r="Q551" s="19">
        <f t="shared" si="636"/>
        <v>0</v>
      </c>
      <c r="R551" s="19">
        <f t="shared" si="636"/>
        <v>0</v>
      </c>
      <c r="S551" s="19">
        <f t="shared" si="637"/>
        <v>0</v>
      </c>
      <c r="T551" s="19">
        <f t="shared" si="637"/>
        <v>0</v>
      </c>
    </row>
    <row r="552" spans="1:20" x14ac:dyDescent="0.3">
      <c r="A552" s="4"/>
      <c r="B552" s="5" t="s">
        <v>33</v>
      </c>
      <c r="C552" s="33">
        <v>3</v>
      </c>
      <c r="D552" s="33">
        <v>3</v>
      </c>
      <c r="E552" s="33">
        <v>1</v>
      </c>
      <c r="F552" s="33">
        <v>1</v>
      </c>
      <c r="G552" s="19">
        <f>'расчёт зарплаты'!K38</f>
        <v>28896</v>
      </c>
      <c r="H552" s="19">
        <f t="shared" si="634"/>
        <v>693504</v>
      </c>
      <c r="I552" s="19"/>
      <c r="J552" s="19"/>
      <c r="K552" s="19"/>
      <c r="L552" s="19"/>
      <c r="O552" s="19">
        <f t="shared" si="635"/>
        <v>0</v>
      </c>
      <c r="P552" s="19">
        <f t="shared" si="635"/>
        <v>0</v>
      </c>
      <c r="Q552" s="19">
        <f t="shared" si="636"/>
        <v>0</v>
      </c>
      <c r="R552" s="19">
        <f t="shared" si="636"/>
        <v>0</v>
      </c>
      <c r="S552" s="19">
        <f t="shared" si="637"/>
        <v>0</v>
      </c>
      <c r="T552" s="19">
        <f t="shared" si="637"/>
        <v>0</v>
      </c>
    </row>
    <row r="553" spans="1:20" x14ac:dyDescent="0.3">
      <c r="A553" s="141" t="s">
        <v>77</v>
      </c>
      <c r="B553" s="141"/>
      <c r="C553" s="141"/>
      <c r="D553" s="141"/>
      <c r="E553" s="141"/>
      <c r="F553" s="141"/>
      <c r="G553" s="141"/>
      <c r="H553" s="141"/>
      <c r="I553" s="141"/>
      <c r="J553" s="141"/>
      <c r="K553" s="141"/>
      <c r="L553" s="141"/>
    </row>
    <row r="554" spans="1:20" ht="14.4" customHeight="1" x14ac:dyDescent="0.3">
      <c r="A554" s="133" t="s">
        <v>7</v>
      </c>
      <c r="B554" s="134"/>
      <c r="C554" s="8">
        <f>C555+C572+C568</f>
        <v>42.5</v>
      </c>
      <c r="D554" s="8">
        <f>D555+D572+D568</f>
        <v>42.5</v>
      </c>
      <c r="E554" s="8">
        <f>E555+E572+E568</f>
        <v>37.799999999999997</v>
      </c>
      <c r="F554" s="8">
        <f>F555+F572+F568</f>
        <v>40</v>
      </c>
      <c r="G554" s="19"/>
      <c r="H554" s="19"/>
      <c r="I554" s="19"/>
      <c r="J554" s="19"/>
      <c r="K554" s="19"/>
      <c r="L554" s="19"/>
      <c r="O554" s="19"/>
      <c r="P554" s="19"/>
      <c r="Q554" s="19"/>
      <c r="R554" s="19"/>
      <c r="S554" s="19"/>
      <c r="T554" s="19"/>
    </row>
    <row r="555" spans="1:20" ht="14.4" customHeight="1" x14ac:dyDescent="0.3">
      <c r="A555" s="133" t="s">
        <v>89</v>
      </c>
      <c r="B555" s="134"/>
      <c r="C555" s="8">
        <f>SUM(C556:C567)</f>
        <v>30</v>
      </c>
      <c r="D555" s="8">
        <f t="shared" ref="D555:H555" si="638">SUM(D556:D567)</f>
        <v>30</v>
      </c>
      <c r="E555" s="8">
        <f t="shared" si="638"/>
        <v>28.799999999999997</v>
      </c>
      <c r="F555" s="8">
        <f t="shared" si="638"/>
        <v>30</v>
      </c>
      <c r="G555" s="8"/>
      <c r="H555" s="8">
        <f t="shared" si="638"/>
        <v>10144329.6</v>
      </c>
      <c r="I555" s="20"/>
      <c r="J555" s="20">
        <f>H555-I555</f>
        <v>10144329.6</v>
      </c>
      <c r="K555" s="20">
        <f>J555*30.2%</f>
        <v>3063587.5392</v>
      </c>
      <c r="L555" s="20">
        <f>J555+K555</f>
        <v>13207917.1392</v>
      </c>
      <c r="O555" s="8">
        <f t="shared" ref="O555:P555" si="639">SUM(O556:O567)</f>
        <v>0</v>
      </c>
      <c r="P555" s="8">
        <f t="shared" si="639"/>
        <v>0</v>
      </c>
      <c r="Q555" s="8">
        <f t="shared" ref="Q555" si="640">SUM(Q556:Q567)</f>
        <v>0</v>
      </c>
      <c r="R555" s="8">
        <f t="shared" ref="R555:S555" si="641">SUM(R556:R567)</f>
        <v>0</v>
      </c>
      <c r="S555" s="8">
        <f t="shared" si="641"/>
        <v>0</v>
      </c>
      <c r="T555" s="8">
        <f t="shared" ref="T555" si="642">SUM(T556:T567)</f>
        <v>0</v>
      </c>
    </row>
    <row r="556" spans="1:20" x14ac:dyDescent="0.3">
      <c r="A556" s="4"/>
      <c r="B556" s="5" t="s">
        <v>9</v>
      </c>
      <c r="C556" s="33">
        <v>16</v>
      </c>
      <c r="D556" s="33">
        <v>16</v>
      </c>
      <c r="E556" s="33">
        <v>15.9</v>
      </c>
      <c r="F556" s="33">
        <v>16</v>
      </c>
      <c r="G556" s="19">
        <f>'расчёт зарплаты'!K10</f>
        <v>28208</v>
      </c>
      <c r="H556" s="19">
        <f>E556*G556*12+ ((D556-E556)*G556/2*12)</f>
        <v>5399011.2000000002</v>
      </c>
      <c r="I556" s="19"/>
      <c r="J556" s="19"/>
      <c r="K556" s="19"/>
      <c r="L556" s="19">
        <f>G556*K556*12</f>
        <v>0</v>
      </c>
      <c r="O556" s="19">
        <f t="shared" ref="O556:O566" si="643">J556*L556*12+ ((I556-J556)*L556/2*12)</f>
        <v>0</v>
      </c>
      <c r="P556" s="19">
        <f t="shared" ref="P556:P566" si="644">K556*M556*12+ ((J556-K556)*M556/2*12)</f>
        <v>0</v>
      </c>
      <c r="Q556" s="19">
        <f t="shared" ref="Q556:Q566" si="645">L556*O556*12+ ((K556-L556)*O556/2*12)</f>
        <v>0</v>
      </c>
      <c r="R556" s="19">
        <f t="shared" ref="R556:R566" si="646">M556*P556*12+ ((L556-M556)*P556/2*12)</f>
        <v>0</v>
      </c>
      <c r="S556" s="19">
        <f t="shared" ref="S556:T566" si="647">O556*Q556*12+ ((M556-O556)*Q556/2*12)</f>
        <v>0</v>
      </c>
      <c r="T556" s="19">
        <f t="shared" si="647"/>
        <v>0</v>
      </c>
    </row>
    <row r="557" spans="1:20" x14ac:dyDescent="0.3">
      <c r="A557" s="4"/>
      <c r="B557" s="5" t="s">
        <v>10</v>
      </c>
      <c r="C557" s="33"/>
      <c r="D557" s="33"/>
      <c r="E557" s="33"/>
      <c r="F557" s="33"/>
      <c r="G557" s="19"/>
      <c r="H557" s="19">
        <f t="shared" ref="H557:H566" si="648">E557*G557*12+ ((D557-E557)*G557/2*12)</f>
        <v>0</v>
      </c>
      <c r="I557" s="19"/>
      <c r="J557" s="19"/>
      <c r="K557" s="19"/>
      <c r="L557" s="19"/>
      <c r="O557" s="19">
        <f t="shared" si="643"/>
        <v>0</v>
      </c>
      <c r="P557" s="19">
        <f t="shared" si="644"/>
        <v>0</v>
      </c>
      <c r="Q557" s="19">
        <f t="shared" si="645"/>
        <v>0</v>
      </c>
      <c r="R557" s="19">
        <f t="shared" si="646"/>
        <v>0</v>
      </c>
      <c r="S557" s="19">
        <f t="shared" si="647"/>
        <v>0</v>
      </c>
      <c r="T557" s="19">
        <f t="shared" si="647"/>
        <v>0</v>
      </c>
    </row>
    <row r="558" spans="1:20" x14ac:dyDescent="0.3">
      <c r="A558" s="4"/>
      <c r="B558" s="5" t="s">
        <v>13</v>
      </c>
      <c r="C558" s="33">
        <v>2</v>
      </c>
      <c r="D558" s="33">
        <v>2</v>
      </c>
      <c r="E558" s="33">
        <v>2</v>
      </c>
      <c r="F558" s="33">
        <v>2</v>
      </c>
      <c r="G558" s="19">
        <f>'расчёт зарплаты'!K38</f>
        <v>28896</v>
      </c>
      <c r="H558" s="19">
        <f t="shared" si="648"/>
        <v>693504</v>
      </c>
      <c r="I558" s="19"/>
      <c r="J558" s="19"/>
      <c r="K558" s="19"/>
      <c r="L558" s="19"/>
      <c r="O558" s="19">
        <f t="shared" si="643"/>
        <v>0</v>
      </c>
      <c r="P558" s="19">
        <f t="shared" si="644"/>
        <v>0</v>
      </c>
      <c r="Q558" s="19">
        <f t="shared" si="645"/>
        <v>0</v>
      </c>
      <c r="R558" s="19">
        <f t="shared" si="646"/>
        <v>0</v>
      </c>
      <c r="S558" s="19">
        <f t="shared" si="647"/>
        <v>0</v>
      </c>
      <c r="T558" s="19">
        <f t="shared" si="647"/>
        <v>0</v>
      </c>
    </row>
    <row r="559" spans="1:20" ht="28.2" x14ac:dyDescent="0.3">
      <c r="A559" s="4"/>
      <c r="B559" s="5" t="s">
        <v>14</v>
      </c>
      <c r="C559" s="33"/>
      <c r="D559" s="33"/>
      <c r="E559" s="33"/>
      <c r="F559" s="33"/>
      <c r="G559" s="19"/>
      <c r="H559" s="19">
        <f t="shared" si="648"/>
        <v>0</v>
      </c>
      <c r="I559" s="19"/>
      <c r="J559" s="19"/>
      <c r="K559" s="19"/>
      <c r="L559" s="19"/>
      <c r="O559" s="19">
        <f t="shared" si="643"/>
        <v>0</v>
      </c>
      <c r="P559" s="19">
        <f t="shared" si="644"/>
        <v>0</v>
      </c>
      <c r="Q559" s="19">
        <f t="shared" si="645"/>
        <v>0</v>
      </c>
      <c r="R559" s="19">
        <f t="shared" si="646"/>
        <v>0</v>
      </c>
      <c r="S559" s="19">
        <f t="shared" si="647"/>
        <v>0</v>
      </c>
      <c r="T559" s="19">
        <f t="shared" si="647"/>
        <v>0</v>
      </c>
    </row>
    <row r="560" spans="1:20" x14ac:dyDescent="0.3">
      <c r="A560" s="4"/>
      <c r="B560" s="5" t="s">
        <v>15</v>
      </c>
      <c r="C560" s="33">
        <v>5</v>
      </c>
      <c r="D560" s="33">
        <v>5</v>
      </c>
      <c r="E560" s="33">
        <v>3.9</v>
      </c>
      <c r="F560" s="33">
        <v>5</v>
      </c>
      <c r="G560" s="19">
        <f>'расчёт зарплаты'!K34</f>
        <v>30976</v>
      </c>
      <c r="H560" s="19">
        <f t="shared" si="648"/>
        <v>1654118.3999999999</v>
      </c>
      <c r="I560" s="19"/>
      <c r="J560" s="19"/>
      <c r="K560" s="19"/>
      <c r="L560" s="19"/>
      <c r="O560" s="19">
        <f t="shared" si="643"/>
        <v>0</v>
      </c>
      <c r="P560" s="19">
        <f t="shared" si="644"/>
        <v>0</v>
      </c>
      <c r="Q560" s="19">
        <f t="shared" si="645"/>
        <v>0</v>
      </c>
      <c r="R560" s="19">
        <f t="shared" si="646"/>
        <v>0</v>
      </c>
      <c r="S560" s="19">
        <f t="shared" si="647"/>
        <v>0</v>
      </c>
      <c r="T560" s="19">
        <f t="shared" si="647"/>
        <v>0</v>
      </c>
    </row>
    <row r="561" spans="1:20" x14ac:dyDescent="0.3">
      <c r="A561" s="4"/>
      <c r="B561" s="5" t="s">
        <v>16</v>
      </c>
      <c r="C561" s="33">
        <v>6</v>
      </c>
      <c r="D561" s="33">
        <v>6</v>
      </c>
      <c r="E561" s="33">
        <v>6</v>
      </c>
      <c r="F561" s="33">
        <v>6</v>
      </c>
      <c r="G561" s="19">
        <f>'расчёт зарплаты'!K8</f>
        <v>28600</v>
      </c>
      <c r="H561" s="19">
        <f t="shared" si="648"/>
        <v>2059200</v>
      </c>
      <c r="I561" s="19"/>
      <c r="J561" s="19"/>
      <c r="K561" s="19"/>
      <c r="L561" s="19"/>
      <c r="O561" s="19">
        <f t="shared" si="643"/>
        <v>0</v>
      </c>
      <c r="P561" s="19">
        <f t="shared" si="644"/>
        <v>0</v>
      </c>
      <c r="Q561" s="19">
        <f t="shared" si="645"/>
        <v>0</v>
      </c>
      <c r="R561" s="19">
        <f t="shared" si="646"/>
        <v>0</v>
      </c>
      <c r="S561" s="19">
        <f t="shared" si="647"/>
        <v>0</v>
      </c>
      <c r="T561" s="19">
        <f t="shared" si="647"/>
        <v>0</v>
      </c>
    </row>
    <row r="562" spans="1:20" ht="42" x14ac:dyDescent="0.3">
      <c r="A562" s="4"/>
      <c r="B562" s="5" t="s">
        <v>17</v>
      </c>
      <c r="C562" s="33">
        <v>1</v>
      </c>
      <c r="D562" s="33">
        <v>1</v>
      </c>
      <c r="E562" s="33">
        <v>1</v>
      </c>
      <c r="F562" s="33">
        <v>1</v>
      </c>
      <c r="G562" s="19">
        <f>'расчёт зарплаты'!K10</f>
        <v>28208</v>
      </c>
      <c r="H562" s="19">
        <f t="shared" si="648"/>
        <v>338496</v>
      </c>
      <c r="I562" s="19"/>
      <c r="J562" s="19"/>
      <c r="K562" s="19"/>
      <c r="L562" s="19"/>
      <c r="O562" s="19">
        <f t="shared" si="643"/>
        <v>0</v>
      </c>
      <c r="P562" s="19">
        <f t="shared" si="644"/>
        <v>0</v>
      </c>
      <c r="Q562" s="19">
        <f t="shared" si="645"/>
        <v>0</v>
      </c>
      <c r="R562" s="19">
        <f t="shared" si="646"/>
        <v>0</v>
      </c>
      <c r="S562" s="19">
        <f t="shared" si="647"/>
        <v>0</v>
      </c>
      <c r="T562" s="19">
        <f t="shared" si="647"/>
        <v>0</v>
      </c>
    </row>
    <row r="563" spans="1:20" ht="28.2" x14ac:dyDescent="0.3">
      <c r="A563" s="4"/>
      <c r="B563" s="5" t="s">
        <v>18</v>
      </c>
      <c r="C563" s="33"/>
      <c r="D563" s="33"/>
      <c r="E563" s="33"/>
      <c r="F563" s="33"/>
      <c r="G563" s="19"/>
      <c r="H563" s="19">
        <f t="shared" si="648"/>
        <v>0</v>
      </c>
      <c r="I563" s="19"/>
      <c r="J563" s="19"/>
      <c r="K563" s="19"/>
      <c r="L563" s="19"/>
      <c r="O563" s="19">
        <f t="shared" si="643"/>
        <v>0</v>
      </c>
      <c r="P563" s="19">
        <f t="shared" si="644"/>
        <v>0</v>
      </c>
      <c r="Q563" s="19">
        <f t="shared" si="645"/>
        <v>0</v>
      </c>
      <c r="R563" s="19">
        <f t="shared" si="646"/>
        <v>0</v>
      </c>
      <c r="S563" s="19">
        <f t="shared" si="647"/>
        <v>0</v>
      </c>
      <c r="T563" s="19">
        <f t="shared" si="647"/>
        <v>0</v>
      </c>
    </row>
    <row r="564" spans="1:20" ht="42" x14ac:dyDescent="0.3">
      <c r="A564" s="4"/>
      <c r="B564" s="5" t="s">
        <v>91</v>
      </c>
      <c r="C564" s="33"/>
      <c r="D564" s="33"/>
      <c r="E564" s="33"/>
      <c r="F564" s="33"/>
      <c r="G564" s="19"/>
      <c r="H564" s="19">
        <f t="shared" si="648"/>
        <v>0</v>
      </c>
      <c r="I564" s="19"/>
      <c r="J564" s="19"/>
      <c r="K564" s="19"/>
      <c r="L564" s="19"/>
      <c r="O564" s="19">
        <f t="shared" si="643"/>
        <v>0</v>
      </c>
      <c r="P564" s="19">
        <f t="shared" si="644"/>
        <v>0</v>
      </c>
      <c r="Q564" s="19">
        <f t="shared" si="645"/>
        <v>0</v>
      </c>
      <c r="R564" s="19">
        <f t="shared" si="646"/>
        <v>0</v>
      </c>
      <c r="S564" s="19">
        <f t="shared" si="647"/>
        <v>0</v>
      </c>
      <c r="T564" s="19">
        <f t="shared" si="647"/>
        <v>0</v>
      </c>
    </row>
    <row r="565" spans="1:20" x14ac:dyDescent="0.3">
      <c r="A565" s="4"/>
      <c r="B565" s="5" t="s">
        <v>20</v>
      </c>
      <c r="C565" s="33"/>
      <c r="D565" s="33"/>
      <c r="E565" s="33"/>
      <c r="F565" s="33"/>
      <c r="G565" s="19"/>
      <c r="H565" s="19">
        <f t="shared" si="648"/>
        <v>0</v>
      </c>
      <c r="I565" s="19"/>
      <c r="J565" s="19"/>
      <c r="K565" s="19"/>
      <c r="L565" s="19"/>
      <c r="O565" s="19">
        <f t="shared" si="643"/>
        <v>0</v>
      </c>
      <c r="P565" s="19">
        <f t="shared" si="644"/>
        <v>0</v>
      </c>
      <c r="Q565" s="19">
        <f t="shared" si="645"/>
        <v>0</v>
      </c>
      <c r="R565" s="19">
        <f t="shared" si="646"/>
        <v>0</v>
      </c>
      <c r="S565" s="19">
        <f t="shared" si="647"/>
        <v>0</v>
      </c>
      <c r="T565" s="19">
        <f t="shared" si="647"/>
        <v>0</v>
      </c>
    </row>
    <row r="566" spans="1:20" ht="39.6" x14ac:dyDescent="0.3">
      <c r="A566" s="4"/>
      <c r="B566" s="6" t="s">
        <v>21</v>
      </c>
      <c r="C566" s="33"/>
      <c r="D566" s="33"/>
      <c r="E566" s="33"/>
      <c r="F566" s="33"/>
      <c r="G566" s="19"/>
      <c r="H566" s="19">
        <f t="shared" si="648"/>
        <v>0</v>
      </c>
      <c r="I566" s="19"/>
      <c r="J566" s="19"/>
      <c r="K566" s="19"/>
      <c r="L566" s="19"/>
      <c r="O566" s="19">
        <f t="shared" si="643"/>
        <v>0</v>
      </c>
      <c r="P566" s="19">
        <f t="shared" si="644"/>
        <v>0</v>
      </c>
      <c r="Q566" s="19">
        <f t="shared" si="645"/>
        <v>0</v>
      </c>
      <c r="R566" s="19">
        <f t="shared" si="646"/>
        <v>0</v>
      </c>
      <c r="S566" s="19">
        <f t="shared" si="647"/>
        <v>0</v>
      </c>
      <c r="T566" s="19">
        <f t="shared" si="647"/>
        <v>0</v>
      </c>
    </row>
    <row r="567" spans="1:20" x14ac:dyDescent="0.3">
      <c r="A567" s="4"/>
      <c r="B567" s="5" t="s">
        <v>22</v>
      </c>
      <c r="C567" s="33"/>
      <c r="D567" s="33"/>
      <c r="E567" s="33"/>
      <c r="F567" s="33"/>
      <c r="G567" s="19"/>
      <c r="H567" s="19">
        <f t="shared" ref="H567" si="649">E567*G567*12</f>
        <v>0</v>
      </c>
      <c r="I567" s="19"/>
      <c r="J567" s="19"/>
      <c r="K567" s="19"/>
      <c r="L567" s="19"/>
      <c r="O567" s="19">
        <f>J567*L567*12</f>
        <v>0</v>
      </c>
      <c r="P567" s="19">
        <f>K567*M567*12</f>
        <v>0</v>
      </c>
      <c r="Q567" s="19">
        <f>L567*O567*12</f>
        <v>0</v>
      </c>
      <c r="R567" s="19">
        <f>M567*P567*12</f>
        <v>0</v>
      </c>
      <c r="S567" s="19">
        <f t="shared" ref="S567:T567" si="650">O567*Q567*12</f>
        <v>0</v>
      </c>
      <c r="T567" s="19">
        <f t="shared" si="650"/>
        <v>0</v>
      </c>
    </row>
    <row r="568" spans="1:20" x14ac:dyDescent="0.3">
      <c r="A568" s="38" t="s">
        <v>57</v>
      </c>
      <c r="B568" s="39"/>
      <c r="C568" s="41">
        <f>C569+C570+C571</f>
        <v>6</v>
      </c>
      <c r="D568" s="41">
        <f t="shared" ref="D568:F568" si="651">D569+D570+D571</f>
        <v>6</v>
      </c>
      <c r="E568" s="41">
        <f t="shared" si="651"/>
        <v>4</v>
      </c>
      <c r="F568" s="41">
        <f t="shared" si="651"/>
        <v>5</v>
      </c>
      <c r="G568" s="41"/>
      <c r="H568" s="42">
        <f t="shared" ref="H568:L568" si="652">H569+H570+H571</f>
        <v>1671264</v>
      </c>
      <c r="I568" s="42">
        <f t="shared" si="652"/>
        <v>0</v>
      </c>
      <c r="J568" s="42">
        <f t="shared" si="652"/>
        <v>0</v>
      </c>
      <c r="K568" s="42">
        <f t="shared" si="652"/>
        <v>0</v>
      </c>
      <c r="L568" s="42">
        <f t="shared" si="652"/>
        <v>0</v>
      </c>
      <c r="O568" s="42">
        <f t="shared" ref="O568:P568" si="653">O569+O570+O571</f>
        <v>0</v>
      </c>
      <c r="P568" s="42">
        <f t="shared" si="653"/>
        <v>0</v>
      </c>
      <c r="Q568" s="42">
        <f t="shared" ref="Q568" si="654">Q569+Q570+Q571</f>
        <v>0</v>
      </c>
      <c r="R568" s="42">
        <f t="shared" ref="R568:S568" si="655">R569+R570+R571</f>
        <v>0</v>
      </c>
      <c r="S568" s="42">
        <f t="shared" si="655"/>
        <v>0</v>
      </c>
      <c r="T568" s="42">
        <f t="shared" ref="T568" si="656">T569+T570+T571</f>
        <v>0</v>
      </c>
    </row>
    <row r="569" spans="1:20" x14ac:dyDescent="0.3">
      <c r="A569" s="4"/>
      <c r="B569" s="5" t="s">
        <v>11</v>
      </c>
      <c r="C569" s="9">
        <v>1</v>
      </c>
      <c r="D569" s="9">
        <v>1</v>
      </c>
      <c r="E569" s="9">
        <v>1</v>
      </c>
      <c r="F569" s="9">
        <v>1</v>
      </c>
      <c r="G569" s="19">
        <f>'расчёт зарплаты'!K26</f>
        <v>27300</v>
      </c>
      <c r="H569" s="19">
        <f t="shared" ref="H569:H572" si="657">E569*G569*12+ ((D569-E569)*G569/2*12)</f>
        <v>327600</v>
      </c>
      <c r="I569" s="19"/>
      <c r="J569" s="19"/>
      <c r="K569" s="19"/>
      <c r="L569" s="19"/>
      <c r="O569" s="19">
        <f t="shared" ref="O569:P572" si="658">J569*L569*12+ ((I569-J569)*L569/2*12)</f>
        <v>0</v>
      </c>
      <c r="P569" s="19">
        <f t="shared" si="658"/>
        <v>0</v>
      </c>
      <c r="Q569" s="19">
        <f t="shared" ref="Q569:R572" si="659">L569*O569*12+ ((K569-L569)*O569/2*12)</f>
        <v>0</v>
      </c>
      <c r="R569" s="19">
        <f t="shared" si="659"/>
        <v>0</v>
      </c>
      <c r="S569" s="19">
        <f t="shared" ref="S569:T572" si="660">O569*Q569*12+ ((M569-O569)*Q569/2*12)</f>
        <v>0</v>
      </c>
      <c r="T569" s="19">
        <f t="shared" si="660"/>
        <v>0</v>
      </c>
    </row>
    <row r="570" spans="1:20" x14ac:dyDescent="0.3">
      <c r="A570" s="4"/>
      <c r="B570" s="5" t="s">
        <v>12</v>
      </c>
      <c r="C570" s="9">
        <v>1</v>
      </c>
      <c r="D570" s="9">
        <v>1</v>
      </c>
      <c r="E570" s="9">
        <v>1</v>
      </c>
      <c r="F570" s="9">
        <v>1</v>
      </c>
      <c r="G570" s="19">
        <f>'расчёт зарплаты'!K26</f>
        <v>27300</v>
      </c>
      <c r="H570" s="19">
        <f t="shared" si="657"/>
        <v>327600</v>
      </c>
      <c r="I570" s="19"/>
      <c r="J570" s="19"/>
      <c r="K570" s="19"/>
      <c r="L570" s="19"/>
      <c r="O570" s="19">
        <f t="shared" si="658"/>
        <v>0</v>
      </c>
      <c r="P570" s="19">
        <f t="shared" si="658"/>
        <v>0</v>
      </c>
      <c r="Q570" s="19">
        <f t="shared" si="659"/>
        <v>0</v>
      </c>
      <c r="R570" s="19">
        <f t="shared" si="659"/>
        <v>0</v>
      </c>
      <c r="S570" s="19">
        <f t="shared" si="660"/>
        <v>0</v>
      </c>
      <c r="T570" s="19">
        <f t="shared" si="660"/>
        <v>0</v>
      </c>
    </row>
    <row r="571" spans="1:20" ht="28.2" x14ac:dyDescent="0.3">
      <c r="A571" s="4"/>
      <c r="B571" s="5" t="s">
        <v>19</v>
      </c>
      <c r="C571" s="9">
        <v>4</v>
      </c>
      <c r="D571" s="9">
        <v>4</v>
      </c>
      <c r="E571" s="9">
        <v>2</v>
      </c>
      <c r="F571" s="9">
        <v>3</v>
      </c>
      <c r="G571" s="19">
        <f>'расчёт зарплаты'!K40</f>
        <v>28224</v>
      </c>
      <c r="H571" s="19">
        <f t="shared" si="657"/>
        <v>1016064</v>
      </c>
      <c r="I571" s="19"/>
      <c r="J571" s="19"/>
      <c r="K571" s="19"/>
      <c r="L571" s="19"/>
      <c r="O571" s="19">
        <f t="shared" si="658"/>
        <v>0</v>
      </c>
      <c r="P571" s="19">
        <f t="shared" si="658"/>
        <v>0</v>
      </c>
      <c r="Q571" s="19">
        <f t="shared" si="659"/>
        <v>0</v>
      </c>
      <c r="R571" s="19">
        <f t="shared" si="659"/>
        <v>0</v>
      </c>
      <c r="S571" s="19">
        <f t="shared" si="660"/>
        <v>0</v>
      </c>
      <c r="T571" s="19">
        <f t="shared" si="660"/>
        <v>0</v>
      </c>
    </row>
    <row r="572" spans="1:20" x14ac:dyDescent="0.3">
      <c r="A572" s="135" t="s">
        <v>23</v>
      </c>
      <c r="B572" s="135"/>
      <c r="C572" s="7">
        <f t="shared" ref="C572:F572" si="661">C573+C579</f>
        <v>6.5</v>
      </c>
      <c r="D572" s="7">
        <f t="shared" si="661"/>
        <v>6.5</v>
      </c>
      <c r="E572" s="7">
        <f t="shared" si="661"/>
        <v>5</v>
      </c>
      <c r="F572" s="7">
        <f t="shared" si="661"/>
        <v>5</v>
      </c>
      <c r="G572" s="19"/>
      <c r="H572" s="19">
        <f t="shared" si="657"/>
        <v>0</v>
      </c>
      <c r="I572" s="19"/>
      <c r="J572" s="20">
        <f t="shared" ref="J572:K572" si="662">J573+J579</f>
        <v>1951752</v>
      </c>
      <c r="K572" s="20">
        <f t="shared" si="662"/>
        <v>589429.10400000005</v>
      </c>
      <c r="L572" s="20">
        <f>L573+L579</f>
        <v>2541181.1039999998</v>
      </c>
      <c r="O572" s="19">
        <f t="shared" si="658"/>
        <v>29758531812565.25</v>
      </c>
      <c r="P572" s="19">
        <f t="shared" si="658"/>
        <v>0</v>
      </c>
      <c r="Q572" s="19">
        <f t="shared" si="659"/>
        <v>5.5897418080505718E+20</v>
      </c>
      <c r="R572" s="19">
        <f t="shared" si="659"/>
        <v>0</v>
      </c>
      <c r="S572" s="19">
        <f t="shared" si="660"/>
        <v>9.9805505651339374E+34</v>
      </c>
      <c r="T572" s="19">
        <f t="shared" si="660"/>
        <v>0</v>
      </c>
    </row>
    <row r="573" spans="1:20" x14ac:dyDescent="0.3">
      <c r="A573" s="136" t="s">
        <v>24</v>
      </c>
      <c r="B573" s="136"/>
      <c r="C573" s="7">
        <f t="shared" ref="C573:F573" si="663">C574+C575+C576+C577+C578</f>
        <v>4</v>
      </c>
      <c r="D573" s="7">
        <f t="shared" si="663"/>
        <v>4</v>
      </c>
      <c r="E573" s="7">
        <f t="shared" si="663"/>
        <v>3</v>
      </c>
      <c r="F573" s="7">
        <f t="shared" si="663"/>
        <v>3</v>
      </c>
      <c r="G573" s="20"/>
      <c r="H573" s="20">
        <f>H574+H575+H576+H577+H578</f>
        <v>1146600</v>
      </c>
      <c r="I573" s="20">
        <f t="shared" ref="I573" si="664">I574+I575+I576+I577+I578</f>
        <v>0</v>
      </c>
      <c r="J573" s="20">
        <f>H573</f>
        <v>1146600</v>
      </c>
      <c r="K573" s="20">
        <f>J573*30.2%</f>
        <v>346273.2</v>
      </c>
      <c r="L573" s="20">
        <f>J573+K573</f>
        <v>1492873.2</v>
      </c>
      <c r="O573" s="20">
        <f t="shared" ref="O573:T573" si="665">O574+O575+O576+O577+O578</f>
        <v>0</v>
      </c>
      <c r="P573" s="20">
        <f t="shared" si="665"/>
        <v>0</v>
      </c>
      <c r="Q573" s="20">
        <f t="shared" si="665"/>
        <v>0</v>
      </c>
      <c r="R573" s="20">
        <f t="shared" si="665"/>
        <v>0</v>
      </c>
      <c r="S573" s="20">
        <f t="shared" si="665"/>
        <v>0</v>
      </c>
      <c r="T573" s="20">
        <f t="shared" si="665"/>
        <v>0</v>
      </c>
    </row>
    <row r="574" spans="1:20" x14ac:dyDescent="0.3">
      <c r="A574" s="4"/>
      <c r="B574" s="5" t="s">
        <v>25</v>
      </c>
      <c r="C574" s="33"/>
      <c r="D574" s="33"/>
      <c r="E574" s="33"/>
      <c r="F574" s="33"/>
      <c r="G574" s="19"/>
      <c r="H574" s="19">
        <f t="shared" ref="H574:H578" si="666">E574*G574*12+ ((D574-E574)*G574/2*12)</f>
        <v>0</v>
      </c>
      <c r="I574" s="19"/>
      <c r="J574" s="19"/>
      <c r="K574" s="19"/>
      <c r="L574" s="19"/>
      <c r="O574" s="19">
        <f t="shared" ref="O574:P578" si="667">J574*L574*12+ ((I574-J574)*L574/2*12)</f>
        <v>0</v>
      </c>
      <c r="P574" s="19">
        <f t="shared" si="667"/>
        <v>0</v>
      </c>
      <c r="Q574" s="19">
        <f t="shared" ref="Q574:R578" si="668">L574*O574*12+ ((K574-L574)*O574/2*12)</f>
        <v>0</v>
      </c>
      <c r="R574" s="19">
        <f t="shared" si="668"/>
        <v>0</v>
      </c>
      <c r="S574" s="19">
        <f t="shared" ref="S574:T578" si="669">O574*Q574*12+ ((M574-O574)*Q574/2*12)</f>
        <v>0</v>
      </c>
      <c r="T574" s="19">
        <f t="shared" si="669"/>
        <v>0</v>
      </c>
    </row>
    <row r="575" spans="1:20" x14ac:dyDescent="0.3">
      <c r="A575" s="4"/>
      <c r="B575" s="5" t="s">
        <v>26</v>
      </c>
      <c r="C575" s="33"/>
      <c r="D575" s="33"/>
      <c r="E575" s="33"/>
      <c r="F575" s="33"/>
      <c r="G575" s="19"/>
      <c r="H575" s="19">
        <f t="shared" si="666"/>
        <v>0</v>
      </c>
      <c r="I575" s="19"/>
      <c r="J575" s="19"/>
      <c r="K575" s="19"/>
      <c r="L575" s="19"/>
      <c r="O575" s="19">
        <f t="shared" si="667"/>
        <v>0</v>
      </c>
      <c r="P575" s="19">
        <f t="shared" si="667"/>
        <v>0</v>
      </c>
      <c r="Q575" s="19">
        <f t="shared" si="668"/>
        <v>0</v>
      </c>
      <c r="R575" s="19">
        <f t="shared" si="668"/>
        <v>0</v>
      </c>
      <c r="S575" s="19">
        <f t="shared" si="669"/>
        <v>0</v>
      </c>
      <c r="T575" s="19">
        <f t="shared" si="669"/>
        <v>0</v>
      </c>
    </row>
    <row r="576" spans="1:20" x14ac:dyDescent="0.3">
      <c r="A576" s="4"/>
      <c r="B576" s="5" t="s">
        <v>27</v>
      </c>
      <c r="C576" s="33"/>
      <c r="D576" s="33"/>
      <c r="E576" s="33"/>
      <c r="F576" s="33"/>
      <c r="G576" s="19"/>
      <c r="H576" s="19">
        <f t="shared" si="666"/>
        <v>0</v>
      </c>
      <c r="I576" s="19"/>
      <c r="J576" s="19"/>
      <c r="K576" s="19"/>
      <c r="L576" s="19"/>
      <c r="O576" s="19">
        <f t="shared" si="667"/>
        <v>0</v>
      </c>
      <c r="P576" s="19">
        <f t="shared" si="667"/>
        <v>0</v>
      </c>
      <c r="Q576" s="19">
        <f t="shared" si="668"/>
        <v>0</v>
      </c>
      <c r="R576" s="19">
        <f t="shared" si="668"/>
        <v>0</v>
      </c>
      <c r="S576" s="19">
        <f t="shared" si="669"/>
        <v>0</v>
      </c>
      <c r="T576" s="19">
        <f t="shared" si="669"/>
        <v>0</v>
      </c>
    </row>
    <row r="577" spans="1:20" ht="28.2" x14ac:dyDescent="0.3">
      <c r="A577" s="4"/>
      <c r="B577" s="5" t="s">
        <v>28</v>
      </c>
      <c r="C577" s="33">
        <v>2</v>
      </c>
      <c r="D577" s="33">
        <v>2</v>
      </c>
      <c r="E577" s="33">
        <v>1</v>
      </c>
      <c r="F577" s="33">
        <v>1</v>
      </c>
      <c r="G577" s="19">
        <f>'расчёт зарплаты'!K26</f>
        <v>27300</v>
      </c>
      <c r="H577" s="19">
        <f t="shared" si="666"/>
        <v>491400</v>
      </c>
      <c r="I577" s="19"/>
      <c r="J577" s="19"/>
      <c r="K577" s="19"/>
      <c r="L577" s="19"/>
      <c r="O577" s="19">
        <f t="shared" si="667"/>
        <v>0</v>
      </c>
      <c r="P577" s="19">
        <f t="shared" si="667"/>
        <v>0</v>
      </c>
      <c r="Q577" s="19">
        <f t="shared" si="668"/>
        <v>0</v>
      </c>
      <c r="R577" s="19">
        <f t="shared" si="668"/>
        <v>0</v>
      </c>
      <c r="S577" s="19">
        <f t="shared" si="669"/>
        <v>0</v>
      </c>
      <c r="T577" s="19">
        <f t="shared" si="669"/>
        <v>0</v>
      </c>
    </row>
    <row r="578" spans="1:20" x14ac:dyDescent="0.3">
      <c r="A578" s="4"/>
      <c r="B578" s="5" t="s">
        <v>29</v>
      </c>
      <c r="C578" s="33">
        <v>2</v>
      </c>
      <c r="D578" s="33">
        <v>2</v>
      </c>
      <c r="E578" s="33">
        <v>2</v>
      </c>
      <c r="F578" s="33">
        <v>2</v>
      </c>
      <c r="G578" s="19">
        <f>'расчёт зарплаты'!K26</f>
        <v>27300</v>
      </c>
      <c r="H578" s="19">
        <f t="shared" si="666"/>
        <v>655200</v>
      </c>
      <c r="I578" s="19"/>
      <c r="J578" s="19"/>
      <c r="K578" s="19"/>
      <c r="L578" s="19"/>
      <c r="O578" s="19">
        <f t="shared" si="667"/>
        <v>0</v>
      </c>
      <c r="P578" s="19">
        <f t="shared" si="667"/>
        <v>0</v>
      </c>
      <c r="Q578" s="19">
        <f t="shared" si="668"/>
        <v>0</v>
      </c>
      <c r="R578" s="19">
        <f t="shared" si="668"/>
        <v>0</v>
      </c>
      <c r="S578" s="19">
        <f t="shared" si="669"/>
        <v>0</v>
      </c>
      <c r="T578" s="19">
        <f t="shared" si="669"/>
        <v>0</v>
      </c>
    </row>
    <row r="579" spans="1:20" x14ac:dyDescent="0.3">
      <c r="A579" s="136" t="s">
        <v>30</v>
      </c>
      <c r="B579" s="136"/>
      <c r="C579" s="7">
        <f t="shared" ref="C579:F579" si="670">C580+C581+C582</f>
        <v>2.5</v>
      </c>
      <c r="D579" s="7">
        <f t="shared" si="670"/>
        <v>2.5</v>
      </c>
      <c r="E579" s="7">
        <f t="shared" si="670"/>
        <v>2</v>
      </c>
      <c r="F579" s="7">
        <f t="shared" si="670"/>
        <v>2</v>
      </c>
      <c r="G579" s="20"/>
      <c r="H579" s="20">
        <f>H580+H581+H582</f>
        <v>805152</v>
      </c>
      <c r="I579" s="20">
        <f t="shared" ref="I579" si="671">I580+I581+I582</f>
        <v>0</v>
      </c>
      <c r="J579" s="20">
        <f>H579</f>
        <v>805152</v>
      </c>
      <c r="K579" s="20">
        <f>J579*30.2%</f>
        <v>243155.90399999998</v>
      </c>
      <c r="L579" s="20">
        <f>J579+K579</f>
        <v>1048307.904</v>
      </c>
      <c r="O579" s="20">
        <f t="shared" ref="O579:T579" si="672">O580+O581+O582</f>
        <v>0</v>
      </c>
      <c r="P579" s="20">
        <f t="shared" si="672"/>
        <v>0</v>
      </c>
      <c r="Q579" s="20">
        <f t="shared" si="672"/>
        <v>0</v>
      </c>
      <c r="R579" s="20">
        <f t="shared" si="672"/>
        <v>0</v>
      </c>
      <c r="S579" s="20">
        <f t="shared" si="672"/>
        <v>0</v>
      </c>
      <c r="T579" s="20">
        <f t="shared" si="672"/>
        <v>0</v>
      </c>
    </row>
    <row r="580" spans="1:20" x14ac:dyDescent="0.3">
      <c r="A580" s="4"/>
      <c r="B580" s="5" t="s">
        <v>31</v>
      </c>
      <c r="C580" s="33">
        <v>1</v>
      </c>
      <c r="D580" s="33">
        <v>1</v>
      </c>
      <c r="E580" s="33">
        <v>1</v>
      </c>
      <c r="F580" s="33">
        <v>1</v>
      </c>
      <c r="G580" s="19">
        <f>'расчёт зарплаты'!K34</f>
        <v>30976</v>
      </c>
      <c r="H580" s="19">
        <f t="shared" ref="H580:H582" si="673">E580*G580*12+ ((D580-E580)*G580/2*12)</f>
        <v>371712</v>
      </c>
      <c r="I580" s="19"/>
      <c r="J580" s="19"/>
      <c r="K580" s="19"/>
      <c r="L580" s="19"/>
      <c r="O580" s="19">
        <f t="shared" ref="O580:P582" si="674">J580*L580*12+ ((I580-J580)*L580/2*12)</f>
        <v>0</v>
      </c>
      <c r="P580" s="19">
        <f t="shared" si="674"/>
        <v>0</v>
      </c>
      <c r="Q580" s="19">
        <f t="shared" ref="Q580:R582" si="675">L580*O580*12+ ((K580-L580)*O580/2*12)</f>
        <v>0</v>
      </c>
      <c r="R580" s="19">
        <f t="shared" si="675"/>
        <v>0</v>
      </c>
      <c r="S580" s="19">
        <f t="shared" ref="S580:T582" si="676">O580*Q580*12+ ((M580-O580)*Q580/2*12)</f>
        <v>0</v>
      </c>
      <c r="T580" s="19">
        <f t="shared" si="676"/>
        <v>0</v>
      </c>
    </row>
    <row r="581" spans="1:20" x14ac:dyDescent="0.3">
      <c r="A581" s="4"/>
      <c r="B581" s="5" t="s">
        <v>32</v>
      </c>
      <c r="C581" s="33"/>
      <c r="D581" s="33"/>
      <c r="E581" s="33"/>
      <c r="F581" s="33"/>
      <c r="G581" s="19"/>
      <c r="H581" s="19">
        <f t="shared" si="673"/>
        <v>0</v>
      </c>
      <c r="I581" s="19"/>
      <c r="J581" s="19"/>
      <c r="K581" s="19"/>
      <c r="L581" s="19"/>
      <c r="O581" s="19">
        <f t="shared" si="674"/>
        <v>0</v>
      </c>
      <c r="P581" s="19">
        <f t="shared" si="674"/>
        <v>0</v>
      </c>
      <c r="Q581" s="19">
        <f t="shared" si="675"/>
        <v>0</v>
      </c>
      <c r="R581" s="19">
        <f t="shared" si="675"/>
        <v>0</v>
      </c>
      <c r="S581" s="19">
        <f t="shared" si="676"/>
        <v>0</v>
      </c>
      <c r="T581" s="19">
        <f t="shared" si="676"/>
        <v>0</v>
      </c>
    </row>
    <row r="582" spans="1:20" x14ac:dyDescent="0.3">
      <c r="A582" s="4"/>
      <c r="B582" s="5" t="s">
        <v>33</v>
      </c>
      <c r="C582" s="33">
        <v>1.5</v>
      </c>
      <c r="D582" s="33">
        <v>1.5</v>
      </c>
      <c r="E582" s="33">
        <v>1</v>
      </c>
      <c r="F582" s="33">
        <v>1</v>
      </c>
      <c r="G582" s="19">
        <f>'расчёт зарплаты'!K38</f>
        <v>28896</v>
      </c>
      <c r="H582" s="19">
        <f t="shared" si="673"/>
        <v>433440</v>
      </c>
      <c r="I582" s="19"/>
      <c r="J582" s="19"/>
      <c r="K582" s="19"/>
      <c r="L582" s="19"/>
      <c r="O582" s="19">
        <f t="shared" si="674"/>
        <v>0</v>
      </c>
      <c r="P582" s="19">
        <f t="shared" si="674"/>
        <v>0</v>
      </c>
      <c r="Q582" s="19">
        <f t="shared" si="675"/>
        <v>0</v>
      </c>
      <c r="R582" s="19">
        <f t="shared" si="675"/>
        <v>0</v>
      </c>
      <c r="S582" s="19">
        <f t="shared" si="676"/>
        <v>0</v>
      </c>
      <c r="T582" s="19">
        <f t="shared" si="676"/>
        <v>0</v>
      </c>
    </row>
    <row r="583" spans="1:20" x14ac:dyDescent="0.3">
      <c r="A583" s="141" t="s">
        <v>78</v>
      </c>
      <c r="B583" s="141"/>
      <c r="C583" s="141"/>
      <c r="D583" s="141"/>
      <c r="E583" s="141"/>
      <c r="F583" s="141"/>
      <c r="G583" s="141"/>
      <c r="H583" s="141"/>
      <c r="I583" s="141"/>
      <c r="J583" s="141"/>
      <c r="K583" s="141"/>
      <c r="L583" s="141"/>
    </row>
    <row r="584" spans="1:20" ht="14.4" customHeight="1" x14ac:dyDescent="0.3">
      <c r="A584" s="133" t="s">
        <v>7</v>
      </c>
      <c r="B584" s="134"/>
      <c r="C584" s="8">
        <f>C585+C602+C598</f>
        <v>19.75</v>
      </c>
      <c r="D584" s="8">
        <f>D585+D602+D598</f>
        <v>19.75</v>
      </c>
      <c r="E584" s="8">
        <f>E585+E602+E598</f>
        <v>19</v>
      </c>
      <c r="F584" s="8">
        <f>F585+F602+F598</f>
        <v>19</v>
      </c>
      <c r="G584" s="19"/>
      <c r="H584" s="19"/>
      <c r="I584" s="19"/>
      <c r="J584" s="19"/>
      <c r="K584" s="19"/>
      <c r="L584" s="19"/>
      <c r="O584" s="19"/>
      <c r="P584" s="19"/>
      <c r="Q584" s="19"/>
      <c r="R584" s="19"/>
      <c r="S584" s="19"/>
      <c r="T584" s="19"/>
    </row>
    <row r="585" spans="1:20" ht="14.4" customHeight="1" x14ac:dyDescent="0.3">
      <c r="A585" s="133" t="s">
        <v>89</v>
      </c>
      <c r="B585" s="134"/>
      <c r="C585" s="8">
        <f>SUM(C586:C597)</f>
        <v>15</v>
      </c>
      <c r="D585" s="8">
        <f>SUM(D586:D597)</f>
        <v>15</v>
      </c>
      <c r="E585" s="8">
        <f>SUM(E586:E597)</f>
        <v>15</v>
      </c>
      <c r="F585" s="8">
        <f>SUM(F586:F597)</f>
        <v>15</v>
      </c>
      <c r="G585" s="8"/>
      <c r="H585" s="40">
        <f>SUM(H586:H597)</f>
        <v>5199456</v>
      </c>
      <c r="I585" s="20"/>
      <c r="J585" s="20">
        <f>H585-I585</f>
        <v>5199456</v>
      </c>
      <c r="K585" s="20">
        <f>J585*30.2%</f>
        <v>1570235.7120000001</v>
      </c>
      <c r="L585" s="20">
        <f>J585+K585</f>
        <v>6769691.7120000003</v>
      </c>
      <c r="O585" s="40">
        <f t="shared" ref="O585:T585" si="677">SUM(O586:O597)</f>
        <v>0</v>
      </c>
      <c r="P585" s="40">
        <f t="shared" si="677"/>
        <v>0</v>
      </c>
      <c r="Q585" s="40">
        <f t="shared" si="677"/>
        <v>0</v>
      </c>
      <c r="R585" s="40">
        <f t="shared" si="677"/>
        <v>0</v>
      </c>
      <c r="S585" s="40">
        <f t="shared" si="677"/>
        <v>0</v>
      </c>
      <c r="T585" s="40">
        <f t="shared" si="677"/>
        <v>0</v>
      </c>
    </row>
    <row r="586" spans="1:20" x14ac:dyDescent="0.3">
      <c r="A586" s="4"/>
      <c r="B586" s="5" t="s">
        <v>9</v>
      </c>
      <c r="C586" s="33">
        <v>7</v>
      </c>
      <c r="D586" s="33">
        <v>7</v>
      </c>
      <c r="E586" s="33">
        <v>7</v>
      </c>
      <c r="F586" s="33">
        <v>7</v>
      </c>
      <c r="G586" s="19">
        <f>'расчёт зарплаты'!K10</f>
        <v>28208</v>
      </c>
      <c r="H586" s="19">
        <f>E586*G586*12+ ((D586-E586)*G586/2*12)</f>
        <v>2369472</v>
      </c>
      <c r="I586" s="19"/>
      <c r="J586" s="19"/>
      <c r="K586" s="19"/>
      <c r="L586" s="19">
        <f>G586*K586*12</f>
        <v>0</v>
      </c>
      <c r="O586" s="19">
        <f t="shared" ref="O586:O596" si="678">J586*L586*12+ ((I586-J586)*L586/2*12)</f>
        <v>0</v>
      </c>
      <c r="P586" s="19">
        <f t="shared" ref="P586:P596" si="679">K586*M586*12+ ((J586-K586)*M586/2*12)</f>
        <v>0</v>
      </c>
      <c r="Q586" s="19">
        <f t="shared" ref="Q586:Q596" si="680">L586*O586*12+ ((K586-L586)*O586/2*12)</f>
        <v>0</v>
      </c>
      <c r="R586" s="19">
        <f t="shared" ref="R586:R596" si="681">M586*P586*12+ ((L586-M586)*P586/2*12)</f>
        <v>0</v>
      </c>
      <c r="S586" s="19">
        <f t="shared" ref="S586:T596" si="682">O586*Q586*12+ ((M586-O586)*Q586/2*12)</f>
        <v>0</v>
      </c>
      <c r="T586" s="19">
        <f t="shared" si="682"/>
        <v>0</v>
      </c>
    </row>
    <row r="587" spans="1:20" x14ac:dyDescent="0.3">
      <c r="A587" s="4"/>
      <c r="B587" s="5" t="s">
        <v>10</v>
      </c>
      <c r="C587" s="33"/>
      <c r="D587" s="33"/>
      <c r="E587" s="33"/>
      <c r="F587" s="33"/>
      <c r="G587" s="19"/>
      <c r="H587" s="19">
        <f t="shared" ref="H587:H596" si="683">E587*G587*12+ ((D587-E587)*G587/2*12)</f>
        <v>0</v>
      </c>
      <c r="I587" s="19"/>
      <c r="J587" s="19"/>
      <c r="K587" s="19"/>
      <c r="L587" s="19"/>
      <c r="O587" s="19">
        <f t="shared" si="678"/>
        <v>0</v>
      </c>
      <c r="P587" s="19">
        <f t="shared" si="679"/>
        <v>0</v>
      </c>
      <c r="Q587" s="19">
        <f t="shared" si="680"/>
        <v>0</v>
      </c>
      <c r="R587" s="19">
        <f t="shared" si="681"/>
        <v>0</v>
      </c>
      <c r="S587" s="19">
        <f t="shared" si="682"/>
        <v>0</v>
      </c>
      <c r="T587" s="19">
        <f t="shared" si="682"/>
        <v>0</v>
      </c>
    </row>
    <row r="588" spans="1:20" x14ac:dyDescent="0.3">
      <c r="A588" s="4"/>
      <c r="B588" s="5" t="s">
        <v>13</v>
      </c>
      <c r="C588" s="33">
        <v>1</v>
      </c>
      <c r="D588" s="33">
        <v>1</v>
      </c>
      <c r="E588" s="33">
        <v>1</v>
      </c>
      <c r="F588" s="33">
        <v>1</v>
      </c>
      <c r="G588" s="19">
        <f>'расчёт зарплаты'!K38</f>
        <v>28896</v>
      </c>
      <c r="H588" s="19">
        <f t="shared" si="683"/>
        <v>346752</v>
      </c>
      <c r="I588" s="19"/>
      <c r="J588" s="19"/>
      <c r="K588" s="19"/>
      <c r="L588" s="19"/>
      <c r="O588" s="19">
        <f t="shared" si="678"/>
        <v>0</v>
      </c>
      <c r="P588" s="19">
        <f t="shared" si="679"/>
        <v>0</v>
      </c>
      <c r="Q588" s="19">
        <f t="shared" si="680"/>
        <v>0</v>
      </c>
      <c r="R588" s="19">
        <f t="shared" si="681"/>
        <v>0</v>
      </c>
      <c r="S588" s="19">
        <f t="shared" si="682"/>
        <v>0</v>
      </c>
      <c r="T588" s="19">
        <f t="shared" si="682"/>
        <v>0</v>
      </c>
    </row>
    <row r="589" spans="1:20" ht="28.2" x14ac:dyDescent="0.3">
      <c r="A589" s="4"/>
      <c r="B589" s="5" t="s">
        <v>14</v>
      </c>
      <c r="C589" s="33"/>
      <c r="D589" s="33"/>
      <c r="E589" s="33"/>
      <c r="F589" s="33"/>
      <c r="G589" s="19"/>
      <c r="H589" s="19">
        <f t="shared" si="683"/>
        <v>0</v>
      </c>
      <c r="I589" s="19"/>
      <c r="J589" s="19"/>
      <c r="K589" s="19"/>
      <c r="L589" s="19"/>
      <c r="O589" s="19">
        <f t="shared" si="678"/>
        <v>0</v>
      </c>
      <c r="P589" s="19">
        <f t="shared" si="679"/>
        <v>0</v>
      </c>
      <c r="Q589" s="19">
        <f t="shared" si="680"/>
        <v>0</v>
      </c>
      <c r="R589" s="19">
        <f t="shared" si="681"/>
        <v>0</v>
      </c>
      <c r="S589" s="19">
        <f t="shared" si="682"/>
        <v>0</v>
      </c>
      <c r="T589" s="19">
        <f t="shared" si="682"/>
        <v>0</v>
      </c>
    </row>
    <row r="590" spans="1:20" x14ac:dyDescent="0.3">
      <c r="A590" s="4"/>
      <c r="B590" s="5" t="s">
        <v>15</v>
      </c>
      <c r="C590" s="33">
        <v>2</v>
      </c>
      <c r="D590" s="33">
        <v>2</v>
      </c>
      <c r="E590" s="33">
        <v>2</v>
      </c>
      <c r="F590" s="33">
        <v>2</v>
      </c>
      <c r="G590" s="19">
        <f>'расчёт зарплаты'!K34</f>
        <v>30976</v>
      </c>
      <c r="H590" s="19">
        <f t="shared" si="683"/>
        <v>743424</v>
      </c>
      <c r="I590" s="19"/>
      <c r="J590" s="19"/>
      <c r="K590" s="19"/>
      <c r="L590" s="19"/>
      <c r="O590" s="19">
        <f t="shared" si="678"/>
        <v>0</v>
      </c>
      <c r="P590" s="19">
        <f t="shared" si="679"/>
        <v>0</v>
      </c>
      <c r="Q590" s="19">
        <f t="shared" si="680"/>
        <v>0</v>
      </c>
      <c r="R590" s="19">
        <f t="shared" si="681"/>
        <v>0</v>
      </c>
      <c r="S590" s="19">
        <f t="shared" si="682"/>
        <v>0</v>
      </c>
      <c r="T590" s="19">
        <f t="shared" si="682"/>
        <v>0</v>
      </c>
    </row>
    <row r="591" spans="1:20" x14ac:dyDescent="0.3">
      <c r="A591" s="4"/>
      <c r="B591" s="5" t="s">
        <v>16</v>
      </c>
      <c r="C591" s="33">
        <v>3</v>
      </c>
      <c r="D591" s="33">
        <v>3</v>
      </c>
      <c r="E591" s="33">
        <v>3</v>
      </c>
      <c r="F591" s="33">
        <v>3</v>
      </c>
      <c r="G591" s="19">
        <f>'расчёт зарплаты'!K8</f>
        <v>28600</v>
      </c>
      <c r="H591" s="19">
        <f t="shared" si="683"/>
        <v>1029600</v>
      </c>
      <c r="I591" s="19"/>
      <c r="J591" s="19"/>
      <c r="K591" s="19"/>
      <c r="L591" s="19"/>
      <c r="O591" s="19">
        <f t="shared" si="678"/>
        <v>0</v>
      </c>
      <c r="P591" s="19">
        <f t="shared" si="679"/>
        <v>0</v>
      </c>
      <c r="Q591" s="19">
        <f t="shared" si="680"/>
        <v>0</v>
      </c>
      <c r="R591" s="19">
        <f t="shared" si="681"/>
        <v>0</v>
      </c>
      <c r="S591" s="19">
        <f t="shared" si="682"/>
        <v>0</v>
      </c>
      <c r="T591" s="19">
        <f t="shared" si="682"/>
        <v>0</v>
      </c>
    </row>
    <row r="592" spans="1:20" ht="42" x14ac:dyDescent="0.3">
      <c r="A592" s="4"/>
      <c r="B592" s="5" t="s">
        <v>17</v>
      </c>
      <c r="C592" s="33">
        <v>1</v>
      </c>
      <c r="D592" s="33">
        <v>1</v>
      </c>
      <c r="E592" s="33">
        <v>1</v>
      </c>
      <c r="F592" s="33">
        <v>1</v>
      </c>
      <c r="G592" s="19">
        <f>'расчёт зарплаты'!K10</f>
        <v>28208</v>
      </c>
      <c r="H592" s="19">
        <f t="shared" si="683"/>
        <v>338496</v>
      </c>
      <c r="I592" s="19"/>
      <c r="J592" s="19"/>
      <c r="K592" s="19"/>
      <c r="L592" s="19"/>
      <c r="O592" s="19">
        <f t="shared" si="678"/>
        <v>0</v>
      </c>
      <c r="P592" s="19">
        <f t="shared" si="679"/>
        <v>0</v>
      </c>
      <c r="Q592" s="19">
        <f t="shared" si="680"/>
        <v>0</v>
      </c>
      <c r="R592" s="19">
        <f t="shared" si="681"/>
        <v>0</v>
      </c>
      <c r="S592" s="19">
        <f t="shared" si="682"/>
        <v>0</v>
      </c>
      <c r="T592" s="19">
        <f t="shared" si="682"/>
        <v>0</v>
      </c>
    </row>
    <row r="593" spans="1:20" ht="28.2" x14ac:dyDescent="0.3">
      <c r="A593" s="4"/>
      <c r="B593" s="5" t="s">
        <v>18</v>
      </c>
      <c r="C593" s="33"/>
      <c r="D593" s="33"/>
      <c r="E593" s="33"/>
      <c r="F593" s="33"/>
      <c r="G593" s="19"/>
      <c r="H593" s="19">
        <f t="shared" si="683"/>
        <v>0</v>
      </c>
      <c r="I593" s="19"/>
      <c r="J593" s="19"/>
      <c r="K593" s="19"/>
      <c r="L593" s="19"/>
      <c r="O593" s="19">
        <f t="shared" si="678"/>
        <v>0</v>
      </c>
      <c r="P593" s="19">
        <f t="shared" si="679"/>
        <v>0</v>
      </c>
      <c r="Q593" s="19">
        <f t="shared" si="680"/>
        <v>0</v>
      </c>
      <c r="R593" s="19">
        <f t="shared" si="681"/>
        <v>0</v>
      </c>
      <c r="S593" s="19">
        <f t="shared" si="682"/>
        <v>0</v>
      </c>
      <c r="T593" s="19">
        <f t="shared" si="682"/>
        <v>0</v>
      </c>
    </row>
    <row r="594" spans="1:20" ht="42" x14ac:dyDescent="0.3">
      <c r="A594" s="4"/>
      <c r="B594" s="5" t="s">
        <v>91</v>
      </c>
      <c r="C594" s="33"/>
      <c r="D594" s="33"/>
      <c r="E594" s="33"/>
      <c r="F594" s="33"/>
      <c r="G594" s="19"/>
      <c r="H594" s="19">
        <f t="shared" si="683"/>
        <v>0</v>
      </c>
      <c r="I594" s="19"/>
      <c r="J594" s="19"/>
      <c r="K594" s="19"/>
      <c r="L594" s="19"/>
      <c r="O594" s="19">
        <f t="shared" si="678"/>
        <v>0</v>
      </c>
      <c r="P594" s="19">
        <f t="shared" si="679"/>
        <v>0</v>
      </c>
      <c r="Q594" s="19">
        <f t="shared" si="680"/>
        <v>0</v>
      </c>
      <c r="R594" s="19">
        <f t="shared" si="681"/>
        <v>0</v>
      </c>
      <c r="S594" s="19">
        <f t="shared" si="682"/>
        <v>0</v>
      </c>
      <c r="T594" s="19">
        <f t="shared" si="682"/>
        <v>0</v>
      </c>
    </row>
    <row r="595" spans="1:20" x14ac:dyDescent="0.3">
      <c r="A595" s="4"/>
      <c r="B595" s="5" t="s">
        <v>20</v>
      </c>
      <c r="C595" s="33">
        <v>1</v>
      </c>
      <c r="D595" s="33">
        <v>1</v>
      </c>
      <c r="E595" s="33">
        <v>1</v>
      </c>
      <c r="F595" s="33">
        <v>1</v>
      </c>
      <c r="G595" s="19">
        <f>'расчёт зарплаты'!K34</f>
        <v>30976</v>
      </c>
      <c r="H595" s="19">
        <f t="shared" si="683"/>
        <v>371712</v>
      </c>
      <c r="I595" s="19"/>
      <c r="J595" s="19"/>
      <c r="K595" s="19"/>
      <c r="L595" s="19"/>
      <c r="O595" s="19">
        <f t="shared" si="678"/>
        <v>0</v>
      </c>
      <c r="P595" s="19">
        <f t="shared" si="679"/>
        <v>0</v>
      </c>
      <c r="Q595" s="19">
        <f t="shared" si="680"/>
        <v>0</v>
      </c>
      <c r="R595" s="19">
        <f t="shared" si="681"/>
        <v>0</v>
      </c>
      <c r="S595" s="19">
        <f t="shared" si="682"/>
        <v>0</v>
      </c>
      <c r="T595" s="19">
        <f t="shared" si="682"/>
        <v>0</v>
      </c>
    </row>
    <row r="596" spans="1:20" ht="39.6" x14ac:dyDescent="0.3">
      <c r="A596" s="4"/>
      <c r="B596" s="6" t="s">
        <v>21</v>
      </c>
      <c r="C596" s="33"/>
      <c r="D596" s="33"/>
      <c r="E596" s="33"/>
      <c r="F596" s="33"/>
      <c r="G596" s="19"/>
      <c r="H596" s="19">
        <f t="shared" si="683"/>
        <v>0</v>
      </c>
      <c r="I596" s="19"/>
      <c r="J596" s="19"/>
      <c r="K596" s="19"/>
      <c r="L596" s="19"/>
      <c r="O596" s="19">
        <f t="shared" si="678"/>
        <v>0</v>
      </c>
      <c r="P596" s="19">
        <f t="shared" si="679"/>
        <v>0</v>
      </c>
      <c r="Q596" s="19">
        <f t="shared" si="680"/>
        <v>0</v>
      </c>
      <c r="R596" s="19">
        <f t="shared" si="681"/>
        <v>0</v>
      </c>
      <c r="S596" s="19">
        <f t="shared" si="682"/>
        <v>0</v>
      </c>
      <c r="T596" s="19">
        <f t="shared" si="682"/>
        <v>0</v>
      </c>
    </row>
    <row r="597" spans="1:20" x14ac:dyDescent="0.3">
      <c r="A597" s="4"/>
      <c r="B597" s="5" t="s">
        <v>22</v>
      </c>
      <c r="C597" s="33"/>
      <c r="D597" s="33"/>
      <c r="E597" s="33"/>
      <c r="F597" s="33"/>
      <c r="G597" s="19"/>
      <c r="H597" s="19">
        <f t="shared" ref="H597" si="684">E597*G597*12</f>
        <v>0</v>
      </c>
      <c r="I597" s="19"/>
      <c r="J597" s="19"/>
      <c r="K597" s="19"/>
      <c r="L597" s="19"/>
      <c r="O597" s="19">
        <f>J597*L597*12</f>
        <v>0</v>
      </c>
      <c r="P597" s="19">
        <f>K597*M597*12</f>
        <v>0</v>
      </c>
      <c r="Q597" s="19">
        <f>L597*O597*12</f>
        <v>0</v>
      </c>
      <c r="R597" s="19">
        <f>M597*P597*12</f>
        <v>0</v>
      </c>
      <c r="S597" s="19">
        <f t="shared" ref="S597:T597" si="685">O597*Q597*12</f>
        <v>0</v>
      </c>
      <c r="T597" s="19">
        <f t="shared" si="685"/>
        <v>0</v>
      </c>
    </row>
    <row r="598" spans="1:20" x14ac:dyDescent="0.3">
      <c r="A598" s="38" t="s">
        <v>57</v>
      </c>
      <c r="B598" s="39"/>
      <c r="C598" s="41">
        <f>C599+C600+C601</f>
        <v>1.5</v>
      </c>
      <c r="D598" s="41">
        <f t="shared" ref="D598:F598" si="686">D599+D600+D601</f>
        <v>1.5</v>
      </c>
      <c r="E598" s="41">
        <f t="shared" si="686"/>
        <v>1</v>
      </c>
      <c r="F598" s="41">
        <f t="shared" si="686"/>
        <v>1</v>
      </c>
      <c r="G598" s="41"/>
      <c r="H598" s="41">
        <f t="shared" ref="H598:L598" si="687">H599+H600+H601</f>
        <v>420588</v>
      </c>
      <c r="I598" s="42">
        <f t="shared" si="687"/>
        <v>0</v>
      </c>
      <c r="J598" s="42">
        <f t="shared" si="687"/>
        <v>0</v>
      </c>
      <c r="K598" s="42">
        <f t="shared" si="687"/>
        <v>0</v>
      </c>
      <c r="L598" s="42">
        <f t="shared" si="687"/>
        <v>0</v>
      </c>
      <c r="O598" s="41">
        <f t="shared" ref="O598:P598" si="688">O599+O600+O601</f>
        <v>0</v>
      </c>
      <c r="P598" s="41">
        <f t="shared" si="688"/>
        <v>0</v>
      </c>
      <c r="Q598" s="41">
        <f t="shared" ref="Q598" si="689">Q599+Q600+Q601</f>
        <v>0</v>
      </c>
      <c r="R598" s="41">
        <f t="shared" ref="R598:S598" si="690">R599+R600+R601</f>
        <v>0</v>
      </c>
      <c r="S598" s="41">
        <f t="shared" si="690"/>
        <v>0</v>
      </c>
      <c r="T598" s="41">
        <f t="shared" ref="T598" si="691">T599+T600+T601</f>
        <v>0</v>
      </c>
    </row>
    <row r="599" spans="1:20" x14ac:dyDescent="0.3">
      <c r="A599" s="4"/>
      <c r="B599" s="5" t="s">
        <v>11</v>
      </c>
      <c r="C599" s="9">
        <v>0.5</v>
      </c>
      <c r="D599" s="9">
        <v>0.5</v>
      </c>
      <c r="E599" s="9">
        <v>0</v>
      </c>
      <c r="F599" s="9">
        <v>0</v>
      </c>
      <c r="G599" s="19">
        <f>'расчёт зарплаты'!K26</f>
        <v>27300</v>
      </c>
      <c r="H599" s="19">
        <f t="shared" ref="H599:H602" si="692">E599*G599*12+ ((D599-E599)*G599/2*12)</f>
        <v>81900</v>
      </c>
      <c r="I599" s="19"/>
      <c r="J599" s="19"/>
      <c r="K599" s="19"/>
      <c r="L599" s="19"/>
      <c r="O599" s="19">
        <f t="shared" ref="O599:P602" si="693">J599*L599*12+ ((I599-J599)*L599/2*12)</f>
        <v>0</v>
      </c>
      <c r="P599" s="19">
        <f t="shared" si="693"/>
        <v>0</v>
      </c>
      <c r="Q599" s="19">
        <f t="shared" ref="Q599:R602" si="694">L599*O599*12+ ((K599-L599)*O599/2*12)</f>
        <v>0</v>
      </c>
      <c r="R599" s="19">
        <f t="shared" si="694"/>
        <v>0</v>
      </c>
      <c r="S599" s="19">
        <f t="shared" ref="S599:T602" si="695">O599*Q599*12+ ((M599-O599)*Q599/2*12)</f>
        <v>0</v>
      </c>
      <c r="T599" s="19">
        <f t="shared" si="695"/>
        <v>0</v>
      </c>
    </row>
    <row r="600" spans="1:20" x14ac:dyDescent="0.3">
      <c r="A600" s="4"/>
      <c r="B600" s="5" t="s">
        <v>12</v>
      </c>
      <c r="C600" s="9"/>
      <c r="D600" s="9"/>
      <c r="E600" s="9"/>
      <c r="F600" s="9"/>
      <c r="G600" s="19"/>
      <c r="H600" s="19">
        <f t="shared" si="692"/>
        <v>0</v>
      </c>
      <c r="I600" s="19"/>
      <c r="J600" s="19"/>
      <c r="K600" s="19"/>
      <c r="L600" s="19"/>
      <c r="O600" s="19">
        <f t="shared" si="693"/>
        <v>0</v>
      </c>
      <c r="P600" s="19">
        <f t="shared" si="693"/>
        <v>0</v>
      </c>
      <c r="Q600" s="19">
        <f t="shared" si="694"/>
        <v>0</v>
      </c>
      <c r="R600" s="19">
        <f t="shared" si="694"/>
        <v>0</v>
      </c>
      <c r="S600" s="19">
        <f t="shared" si="695"/>
        <v>0</v>
      </c>
      <c r="T600" s="19">
        <f t="shared" si="695"/>
        <v>0</v>
      </c>
    </row>
    <row r="601" spans="1:20" ht="28.2" x14ac:dyDescent="0.3">
      <c r="A601" s="4"/>
      <c r="B601" s="5" t="s">
        <v>19</v>
      </c>
      <c r="C601" s="9">
        <v>1</v>
      </c>
      <c r="D601" s="9">
        <v>1</v>
      </c>
      <c r="E601" s="9">
        <v>1</v>
      </c>
      <c r="F601" s="9">
        <v>1</v>
      </c>
      <c r="G601" s="19">
        <f>'расчёт зарплаты'!K40</f>
        <v>28224</v>
      </c>
      <c r="H601" s="19">
        <f t="shared" si="692"/>
        <v>338688</v>
      </c>
      <c r="I601" s="19"/>
      <c r="J601" s="19"/>
      <c r="K601" s="19"/>
      <c r="L601" s="19"/>
      <c r="O601" s="19">
        <f t="shared" si="693"/>
        <v>0</v>
      </c>
      <c r="P601" s="19">
        <f t="shared" si="693"/>
        <v>0</v>
      </c>
      <c r="Q601" s="19">
        <f t="shared" si="694"/>
        <v>0</v>
      </c>
      <c r="R601" s="19">
        <f t="shared" si="694"/>
        <v>0</v>
      </c>
      <c r="S601" s="19">
        <f t="shared" si="695"/>
        <v>0</v>
      </c>
      <c r="T601" s="19">
        <f t="shared" si="695"/>
        <v>0</v>
      </c>
    </row>
    <row r="602" spans="1:20" x14ac:dyDescent="0.3">
      <c r="A602" s="135" t="s">
        <v>23</v>
      </c>
      <c r="B602" s="135"/>
      <c r="C602" s="7">
        <f t="shared" ref="C602:F602" si="696">C603+C609</f>
        <v>3.25</v>
      </c>
      <c r="D602" s="7">
        <f t="shared" si="696"/>
        <v>3.25</v>
      </c>
      <c r="E602" s="7">
        <f t="shared" si="696"/>
        <v>3</v>
      </c>
      <c r="F602" s="7">
        <f t="shared" si="696"/>
        <v>3</v>
      </c>
      <c r="G602" s="19"/>
      <c r="H602" s="19">
        <f t="shared" si="692"/>
        <v>0</v>
      </c>
      <c r="I602" s="19"/>
      <c r="J602" s="20">
        <f t="shared" ref="J602:K602" si="697">J603+J609</f>
        <v>1072650</v>
      </c>
      <c r="K602" s="20">
        <f t="shared" si="697"/>
        <v>323940.3</v>
      </c>
      <c r="L602" s="20">
        <f>L603+L609</f>
        <v>1396590.3</v>
      </c>
      <c r="O602" s="19">
        <f t="shared" si="693"/>
        <v>8988315511770</v>
      </c>
      <c r="P602" s="19">
        <f t="shared" si="693"/>
        <v>0</v>
      </c>
      <c r="Q602" s="19">
        <f t="shared" si="694"/>
        <v>9.2788031282729681E+19</v>
      </c>
      <c r="R602" s="19">
        <f t="shared" si="694"/>
        <v>0</v>
      </c>
      <c r="S602" s="19">
        <f t="shared" si="695"/>
        <v>5.0040486053109553E+33</v>
      </c>
      <c r="T602" s="19">
        <f t="shared" si="695"/>
        <v>0</v>
      </c>
    </row>
    <row r="603" spans="1:20" x14ac:dyDescent="0.3">
      <c r="A603" s="136" t="s">
        <v>24</v>
      </c>
      <c r="B603" s="136"/>
      <c r="C603" s="7">
        <f t="shared" ref="C603:F603" si="698">C604+C605+C606+C607+C608</f>
        <v>1.75</v>
      </c>
      <c r="D603" s="7">
        <f t="shared" si="698"/>
        <v>1.75</v>
      </c>
      <c r="E603" s="7">
        <f t="shared" si="698"/>
        <v>2</v>
      </c>
      <c r="F603" s="7">
        <f t="shared" si="698"/>
        <v>2</v>
      </c>
      <c r="G603" s="20"/>
      <c r="H603" s="20">
        <f>H604+H605+H606+H607+H608</f>
        <v>614250</v>
      </c>
      <c r="I603" s="20">
        <f t="shared" ref="I603" si="699">I604+I605+I606+I607+I608</f>
        <v>0</v>
      </c>
      <c r="J603" s="20">
        <f>H603</f>
        <v>614250</v>
      </c>
      <c r="K603" s="20">
        <f>J603*30.2%</f>
        <v>185503.5</v>
      </c>
      <c r="L603" s="20">
        <f>J603+K603</f>
        <v>799753.5</v>
      </c>
      <c r="O603" s="20">
        <f t="shared" ref="O603:T603" si="700">O604+O605+O606+O607+O608</f>
        <v>0</v>
      </c>
      <c r="P603" s="20">
        <f t="shared" si="700"/>
        <v>0</v>
      </c>
      <c r="Q603" s="20">
        <f t="shared" si="700"/>
        <v>0</v>
      </c>
      <c r="R603" s="20">
        <f t="shared" si="700"/>
        <v>0</v>
      </c>
      <c r="S603" s="20">
        <f t="shared" si="700"/>
        <v>0</v>
      </c>
      <c r="T603" s="20">
        <f t="shared" si="700"/>
        <v>0</v>
      </c>
    </row>
    <row r="604" spans="1:20" x14ac:dyDescent="0.3">
      <c r="A604" s="4"/>
      <c r="B604" s="5" t="s">
        <v>25</v>
      </c>
      <c r="C604" s="33"/>
      <c r="D604" s="33"/>
      <c r="E604" s="33"/>
      <c r="F604" s="33"/>
      <c r="G604" s="19"/>
      <c r="H604" s="19">
        <f t="shared" ref="H604:H608" si="701">E604*G604*12+ ((D604-E604)*G604/2*12)</f>
        <v>0</v>
      </c>
      <c r="I604" s="19"/>
      <c r="J604" s="19"/>
      <c r="K604" s="19"/>
      <c r="L604" s="19"/>
      <c r="O604" s="19">
        <f t="shared" ref="O604:P608" si="702">J604*L604*12+ ((I604-J604)*L604/2*12)</f>
        <v>0</v>
      </c>
      <c r="P604" s="19">
        <f t="shared" si="702"/>
        <v>0</v>
      </c>
      <c r="Q604" s="19">
        <f t="shared" ref="Q604:R608" si="703">L604*O604*12+ ((K604-L604)*O604/2*12)</f>
        <v>0</v>
      </c>
      <c r="R604" s="19">
        <f t="shared" si="703"/>
        <v>0</v>
      </c>
      <c r="S604" s="19">
        <f t="shared" ref="S604:T608" si="704">O604*Q604*12+ ((M604-O604)*Q604/2*12)</f>
        <v>0</v>
      </c>
      <c r="T604" s="19">
        <f t="shared" si="704"/>
        <v>0</v>
      </c>
    </row>
    <row r="605" spans="1:20" x14ac:dyDescent="0.3">
      <c r="A605" s="4"/>
      <c r="B605" s="5" t="s">
        <v>26</v>
      </c>
      <c r="C605" s="33"/>
      <c r="D605" s="33"/>
      <c r="E605" s="33"/>
      <c r="F605" s="33"/>
      <c r="G605" s="19"/>
      <c r="H605" s="19">
        <f t="shared" si="701"/>
        <v>0</v>
      </c>
      <c r="I605" s="19"/>
      <c r="J605" s="19"/>
      <c r="K605" s="19"/>
      <c r="L605" s="19"/>
      <c r="O605" s="19">
        <f t="shared" si="702"/>
        <v>0</v>
      </c>
      <c r="P605" s="19">
        <f t="shared" si="702"/>
        <v>0</v>
      </c>
      <c r="Q605" s="19">
        <f t="shared" si="703"/>
        <v>0</v>
      </c>
      <c r="R605" s="19">
        <f t="shared" si="703"/>
        <v>0</v>
      </c>
      <c r="S605" s="19">
        <f t="shared" si="704"/>
        <v>0</v>
      </c>
      <c r="T605" s="19">
        <f t="shared" si="704"/>
        <v>0</v>
      </c>
    </row>
    <row r="606" spans="1:20" x14ac:dyDescent="0.3">
      <c r="A606" s="4"/>
      <c r="B606" s="5" t="s">
        <v>27</v>
      </c>
      <c r="C606" s="33"/>
      <c r="D606" s="33"/>
      <c r="E606" s="33"/>
      <c r="F606" s="33"/>
      <c r="G606" s="19"/>
      <c r="H606" s="19">
        <f t="shared" si="701"/>
        <v>0</v>
      </c>
      <c r="I606" s="19"/>
      <c r="J606" s="19"/>
      <c r="K606" s="19"/>
      <c r="L606" s="19"/>
      <c r="O606" s="19">
        <f t="shared" si="702"/>
        <v>0</v>
      </c>
      <c r="P606" s="19">
        <f t="shared" si="702"/>
        <v>0</v>
      </c>
      <c r="Q606" s="19">
        <f t="shared" si="703"/>
        <v>0</v>
      </c>
      <c r="R606" s="19">
        <f t="shared" si="703"/>
        <v>0</v>
      </c>
      <c r="S606" s="19">
        <f t="shared" si="704"/>
        <v>0</v>
      </c>
      <c r="T606" s="19">
        <f t="shared" si="704"/>
        <v>0</v>
      </c>
    </row>
    <row r="607" spans="1:20" ht="28.2" x14ac:dyDescent="0.3">
      <c r="A607" s="4"/>
      <c r="B607" s="5" t="s">
        <v>28</v>
      </c>
      <c r="C607" s="33">
        <v>0.75</v>
      </c>
      <c r="D607" s="33">
        <v>0.75</v>
      </c>
      <c r="E607" s="33">
        <v>1</v>
      </c>
      <c r="F607" s="33">
        <v>1</v>
      </c>
      <c r="G607" s="19">
        <f>'расчёт зарплаты'!K26</f>
        <v>27300</v>
      </c>
      <c r="H607" s="19">
        <f t="shared" si="701"/>
        <v>286650</v>
      </c>
      <c r="I607" s="19"/>
      <c r="J607" s="19"/>
      <c r="K607" s="19"/>
      <c r="L607" s="19"/>
      <c r="O607" s="19">
        <f t="shared" si="702"/>
        <v>0</v>
      </c>
      <c r="P607" s="19">
        <f t="shared" si="702"/>
        <v>0</v>
      </c>
      <c r="Q607" s="19">
        <f t="shared" si="703"/>
        <v>0</v>
      </c>
      <c r="R607" s="19">
        <f t="shared" si="703"/>
        <v>0</v>
      </c>
      <c r="S607" s="19">
        <f t="shared" si="704"/>
        <v>0</v>
      </c>
      <c r="T607" s="19">
        <f t="shared" si="704"/>
        <v>0</v>
      </c>
    </row>
    <row r="608" spans="1:20" x14ac:dyDescent="0.3">
      <c r="A608" s="4"/>
      <c r="B608" s="5" t="s">
        <v>29</v>
      </c>
      <c r="C608" s="33">
        <v>1</v>
      </c>
      <c r="D608" s="33">
        <v>1</v>
      </c>
      <c r="E608" s="33">
        <v>1</v>
      </c>
      <c r="F608" s="33">
        <v>1</v>
      </c>
      <c r="G608" s="19">
        <f>'расчёт зарплаты'!K26</f>
        <v>27300</v>
      </c>
      <c r="H608" s="19">
        <f t="shared" si="701"/>
        <v>327600</v>
      </c>
      <c r="I608" s="19"/>
      <c r="J608" s="19"/>
      <c r="K608" s="19"/>
      <c r="L608" s="19"/>
      <c r="O608" s="19">
        <f t="shared" si="702"/>
        <v>0</v>
      </c>
      <c r="P608" s="19">
        <f t="shared" si="702"/>
        <v>0</v>
      </c>
      <c r="Q608" s="19">
        <f t="shared" si="703"/>
        <v>0</v>
      </c>
      <c r="R608" s="19">
        <f t="shared" si="703"/>
        <v>0</v>
      </c>
      <c r="S608" s="19">
        <f t="shared" si="704"/>
        <v>0</v>
      </c>
      <c r="T608" s="19">
        <f t="shared" si="704"/>
        <v>0</v>
      </c>
    </row>
    <row r="609" spans="1:20" x14ac:dyDescent="0.3">
      <c r="A609" s="136" t="s">
        <v>30</v>
      </c>
      <c r="B609" s="136"/>
      <c r="C609" s="7">
        <f t="shared" ref="C609:F609" si="705">C610+C611+C612</f>
        <v>1.5</v>
      </c>
      <c r="D609" s="7">
        <f t="shared" si="705"/>
        <v>1.5</v>
      </c>
      <c r="E609" s="7">
        <f t="shared" si="705"/>
        <v>1</v>
      </c>
      <c r="F609" s="7">
        <f t="shared" si="705"/>
        <v>1</v>
      </c>
      <c r="G609" s="20"/>
      <c r="H609" s="20">
        <f>H610+H611+H612</f>
        <v>458400</v>
      </c>
      <c r="I609" s="20">
        <f t="shared" ref="I609" si="706">I610+I611+I612</f>
        <v>0</v>
      </c>
      <c r="J609" s="20">
        <f>H609</f>
        <v>458400</v>
      </c>
      <c r="K609" s="20">
        <f>J609*30.2%</f>
        <v>138436.79999999999</v>
      </c>
      <c r="L609" s="20">
        <f>J609+K609</f>
        <v>596836.80000000005</v>
      </c>
      <c r="O609" s="20">
        <f t="shared" ref="O609:T609" si="707">O610+O611+O612</f>
        <v>0</v>
      </c>
      <c r="P609" s="20">
        <f t="shared" si="707"/>
        <v>0</v>
      </c>
      <c r="Q609" s="20">
        <f t="shared" si="707"/>
        <v>0</v>
      </c>
      <c r="R609" s="20">
        <f t="shared" si="707"/>
        <v>0</v>
      </c>
      <c r="S609" s="20">
        <f t="shared" si="707"/>
        <v>0</v>
      </c>
      <c r="T609" s="20">
        <f t="shared" si="707"/>
        <v>0</v>
      </c>
    </row>
    <row r="610" spans="1:20" x14ac:dyDescent="0.3">
      <c r="A610" s="4"/>
      <c r="B610" s="5" t="s">
        <v>31</v>
      </c>
      <c r="C610" s="33">
        <v>1</v>
      </c>
      <c r="D610" s="33">
        <v>1</v>
      </c>
      <c r="E610" s="33">
        <v>1</v>
      </c>
      <c r="F610" s="33">
        <v>1</v>
      </c>
      <c r="G610" s="19">
        <f>'расчёт зарплаты'!K34</f>
        <v>30976</v>
      </c>
      <c r="H610" s="19">
        <f t="shared" ref="H610:H612" si="708">E610*G610*12+ ((D610-E610)*G610/2*12)</f>
        <v>371712</v>
      </c>
      <c r="I610" s="19"/>
      <c r="J610" s="19"/>
      <c r="K610" s="19"/>
      <c r="L610" s="19"/>
      <c r="O610" s="19">
        <f t="shared" ref="O610:P612" si="709">J610*L610*12+ ((I610-J610)*L610/2*12)</f>
        <v>0</v>
      </c>
      <c r="P610" s="19">
        <f t="shared" si="709"/>
        <v>0</v>
      </c>
      <c r="Q610" s="19">
        <f t="shared" ref="Q610:R612" si="710">L610*O610*12+ ((K610-L610)*O610/2*12)</f>
        <v>0</v>
      </c>
      <c r="R610" s="19">
        <f t="shared" si="710"/>
        <v>0</v>
      </c>
      <c r="S610" s="19">
        <f t="shared" ref="S610:T612" si="711">O610*Q610*12+ ((M610-O610)*Q610/2*12)</f>
        <v>0</v>
      </c>
      <c r="T610" s="19">
        <f t="shared" si="711"/>
        <v>0</v>
      </c>
    </row>
    <row r="611" spans="1:20" x14ac:dyDescent="0.3">
      <c r="A611" s="4"/>
      <c r="B611" s="5" t="s">
        <v>32</v>
      </c>
      <c r="C611" s="33"/>
      <c r="D611" s="33"/>
      <c r="E611" s="33"/>
      <c r="F611" s="33"/>
      <c r="G611" s="19"/>
      <c r="H611" s="19">
        <f t="shared" si="708"/>
        <v>0</v>
      </c>
      <c r="I611" s="19"/>
      <c r="J611" s="19"/>
      <c r="K611" s="19"/>
      <c r="L611" s="19"/>
      <c r="O611" s="19">
        <f t="shared" si="709"/>
        <v>0</v>
      </c>
      <c r="P611" s="19">
        <f t="shared" si="709"/>
        <v>0</v>
      </c>
      <c r="Q611" s="19">
        <f t="shared" si="710"/>
        <v>0</v>
      </c>
      <c r="R611" s="19">
        <f t="shared" si="710"/>
        <v>0</v>
      </c>
      <c r="S611" s="19">
        <f t="shared" si="711"/>
        <v>0</v>
      </c>
      <c r="T611" s="19">
        <f t="shared" si="711"/>
        <v>0</v>
      </c>
    </row>
    <row r="612" spans="1:20" x14ac:dyDescent="0.3">
      <c r="A612" s="4"/>
      <c r="B612" s="5" t="s">
        <v>33</v>
      </c>
      <c r="C612" s="33">
        <v>0.5</v>
      </c>
      <c r="D612" s="33">
        <v>0.5</v>
      </c>
      <c r="E612" s="33">
        <v>0</v>
      </c>
      <c r="F612" s="33">
        <v>0</v>
      </c>
      <c r="G612" s="19">
        <f>'расчёт зарплаты'!K38</f>
        <v>28896</v>
      </c>
      <c r="H612" s="19">
        <f t="shared" si="708"/>
        <v>86688</v>
      </c>
      <c r="I612" s="19"/>
      <c r="J612" s="19"/>
      <c r="K612" s="19"/>
      <c r="L612" s="19"/>
      <c r="O612" s="19">
        <f t="shared" si="709"/>
        <v>0</v>
      </c>
      <c r="P612" s="19">
        <f t="shared" si="709"/>
        <v>0</v>
      </c>
      <c r="Q612" s="19">
        <f t="shared" si="710"/>
        <v>0</v>
      </c>
      <c r="R612" s="19">
        <f t="shared" si="710"/>
        <v>0</v>
      </c>
      <c r="S612" s="19">
        <f t="shared" si="711"/>
        <v>0</v>
      </c>
      <c r="T612" s="19">
        <f t="shared" si="711"/>
        <v>0</v>
      </c>
    </row>
    <row r="613" spans="1:20" x14ac:dyDescent="0.3">
      <c r="A613" s="141"/>
      <c r="B613" s="141"/>
      <c r="C613" s="141"/>
      <c r="D613" s="141"/>
      <c r="E613" s="141"/>
      <c r="F613" s="141"/>
      <c r="G613" s="141"/>
      <c r="H613" s="141"/>
      <c r="I613" s="141"/>
      <c r="J613" s="141"/>
      <c r="K613" s="141"/>
      <c r="L613" s="141"/>
      <c r="N613" t="s">
        <v>135</v>
      </c>
      <c r="O613" t="s">
        <v>135</v>
      </c>
      <c r="P613" t="s">
        <v>135</v>
      </c>
      <c r="Q613" t="s">
        <v>135</v>
      </c>
      <c r="R613" t="s">
        <v>135</v>
      </c>
      <c r="S613" t="s">
        <v>135</v>
      </c>
      <c r="T613" t="s">
        <v>135</v>
      </c>
    </row>
    <row r="614" spans="1:20" ht="14.4" customHeight="1" x14ac:dyDescent="0.3">
      <c r="A614" s="133" t="s">
        <v>7</v>
      </c>
      <c r="B614" s="134"/>
      <c r="C614" s="8">
        <f>C615+C634+C630</f>
        <v>1460.25</v>
      </c>
      <c r="D614" s="8">
        <f>D615+D634+D630</f>
        <v>1349.41</v>
      </c>
      <c r="E614" s="8">
        <f>E615+E634+E630</f>
        <v>1162.3499999999999</v>
      </c>
      <c r="F614" s="8">
        <f>F615+F634+F630</f>
        <v>1220.1500000000001</v>
      </c>
      <c r="G614" s="19"/>
      <c r="H614" s="19"/>
      <c r="I614" s="19"/>
      <c r="J614" s="19"/>
      <c r="K614" s="19"/>
      <c r="L614" s="19"/>
      <c r="O614" s="19"/>
      <c r="P614" s="19"/>
      <c r="Q614" s="19"/>
      <c r="R614" s="19"/>
      <c r="S614" s="19"/>
      <c r="T614" s="19"/>
    </row>
    <row r="615" spans="1:20" ht="14.4" customHeight="1" x14ac:dyDescent="0.3">
      <c r="A615" s="133" t="s">
        <v>89</v>
      </c>
      <c r="B615" s="134"/>
      <c r="C615" s="8">
        <f t="shared" ref="C615:D615" si="712">SUM(C616:C629)</f>
        <v>1030.25</v>
      </c>
      <c r="D615" s="8">
        <f t="shared" si="712"/>
        <v>968</v>
      </c>
      <c r="E615" s="8">
        <f>SUM(E616:E629)</f>
        <v>855.55</v>
      </c>
      <c r="F615" s="8">
        <f>SUM(F616:F629)</f>
        <v>906.65</v>
      </c>
      <c r="G615" s="8"/>
      <c r="H615" s="40">
        <f>SUM(H616:H629)</f>
        <v>317751698.40000004</v>
      </c>
      <c r="I615" s="20"/>
      <c r="J615" s="20">
        <f>H615-I615</f>
        <v>317751698.40000004</v>
      </c>
      <c r="K615" s="20">
        <f>J615*30.2%</f>
        <v>95961012.916800007</v>
      </c>
      <c r="L615" s="20">
        <f>J615+K615</f>
        <v>413712711.31680006</v>
      </c>
      <c r="M615" s="34">
        <f>J585+J555+J524+J493+J462+J432+J402+J372+J342+J312+J281+J251+J221+J191+J161+J131+J101+J69+J39+J8</f>
        <v>316903183.19999999</v>
      </c>
      <c r="N615" s="40">
        <v>299843200</v>
      </c>
      <c r="O615" s="40">
        <f>SUM(O616:O629)</f>
        <v>322184544</v>
      </c>
      <c r="P615" s="40">
        <f>SUM(P616:P629)</f>
        <v>284889936</v>
      </c>
      <c r="Q615" s="40">
        <f>SUM(Q616:Q629)</f>
        <v>303576984</v>
      </c>
      <c r="R615" s="40">
        <f>SUM(R616:R629)</f>
        <v>312468324.94208002</v>
      </c>
      <c r="S615" s="40">
        <f>N615-R615</f>
        <v>-12625124.942080021</v>
      </c>
      <c r="T615" s="40">
        <f>S615*1.302</f>
        <v>-16437912.674588189</v>
      </c>
    </row>
    <row r="616" spans="1:20" x14ac:dyDescent="0.3">
      <c r="A616" s="4"/>
      <c r="B616" s="5" t="s">
        <v>9</v>
      </c>
      <c r="C616" s="9">
        <f>C586+C556+C525+C494+C463+C433+C403+C373+C343+C313+C282+C252+C222+C192+C162+C132+C102+C70+C40+C9</f>
        <v>510.25</v>
      </c>
      <c r="D616" s="9">
        <f t="shared" ref="D616:F616" si="713">D586+D556+D525+D494+D463+D433+D403+D373+D343+D313+D282+D252+D222+D192+D162+D132+D102+D70+D40+D9</f>
        <v>489.75</v>
      </c>
      <c r="E616" s="9">
        <f t="shared" si="713"/>
        <v>436.25000000000006</v>
      </c>
      <c r="F616" s="9">
        <f t="shared" si="713"/>
        <v>466.4</v>
      </c>
      <c r="G616" s="19">
        <f>'расчёт зарплаты'!K10</f>
        <v>28208</v>
      </c>
      <c r="H616" s="19">
        <f>E616*G616*12+ ((D616-E616)*G616/2*12)</f>
        <v>156723648.00000003</v>
      </c>
      <c r="I616" s="19"/>
      <c r="J616" s="19"/>
      <c r="K616" s="19"/>
      <c r="L616" s="19">
        <f>G616*K616*12</f>
        <v>0</v>
      </c>
      <c r="O616" s="19">
        <f>D616*8600*2*1.6*12</f>
        <v>161735040</v>
      </c>
      <c r="P616" s="19">
        <f>E616*8600*2*1.6*12</f>
        <v>144067200.00000003</v>
      </c>
      <c r="Q616" s="19">
        <f>(E616*8600*2*1.6*12)+((D616-E616)*27520/2)*12</f>
        <v>152901120.00000003</v>
      </c>
      <c r="R616" s="19">
        <f>(E616*8600*2*1.6*12)+((D616-E616)*27520/2)*12+(E616*6000)</f>
        <v>155518620.00000003</v>
      </c>
      <c r="S616" s="19"/>
      <c r="T616" s="19"/>
    </row>
    <row r="617" spans="1:20" ht="28.2" x14ac:dyDescent="0.3">
      <c r="A617" s="4"/>
      <c r="B617" s="5" t="s">
        <v>92</v>
      </c>
      <c r="C617" s="9">
        <f>C526+C495+C464+C283+C71</f>
        <v>41.75</v>
      </c>
      <c r="D617" s="9">
        <f t="shared" ref="D617:F617" si="714">D526+D495+D464+D283+D71</f>
        <v>41.75</v>
      </c>
      <c r="E617" s="9">
        <f t="shared" si="714"/>
        <v>41.75</v>
      </c>
      <c r="F617" s="9">
        <f t="shared" si="714"/>
        <v>41.75</v>
      </c>
      <c r="G617" s="19">
        <f>'расчёт зарплаты'!K12</f>
        <v>30960</v>
      </c>
      <c r="H617" s="19">
        <f t="shared" ref="H617:H628" si="715">E617*G617*12+ ((D617-E617)*G617/2*12)</f>
        <v>15510960</v>
      </c>
      <c r="I617" s="19"/>
      <c r="J617" s="19"/>
      <c r="K617" s="19"/>
      <c r="L617" s="19"/>
      <c r="O617" s="19">
        <f>D617*8600*2*1.15*1.6*12</f>
        <v>15855648</v>
      </c>
      <c r="P617" s="19">
        <f>E617*8600*2*1.15*1.6*12</f>
        <v>15855648</v>
      </c>
      <c r="Q617" s="19">
        <f>(E617*8600*2*1.15*1.6*12)+((D617-E617)*27520/2)*12</f>
        <v>15855648</v>
      </c>
      <c r="R617" s="19">
        <f>(E617*8600*2*1.15*1.6*12)+((D617-E617)*27520/2)*12+E617*6000</f>
        <v>16106148</v>
      </c>
      <c r="S617" s="19"/>
      <c r="T617" s="19"/>
    </row>
    <row r="618" spans="1:20" x14ac:dyDescent="0.3">
      <c r="A618" s="4"/>
      <c r="B618" s="5" t="s">
        <v>10</v>
      </c>
      <c r="C618" s="9">
        <f>C587+C557+C527+C496+C465+C434+C404+C374+C344+C314+C284+C253+C223+C193+C163+C133+C103+C72+C41+C10</f>
        <v>10</v>
      </c>
      <c r="D618" s="9">
        <f t="shared" ref="D618:F618" si="716">D587+D557+D527+D496+D465+D434+D404+D374+D344+D314+D284+D253+D223+D193+D163+D133+D103+D72+D41+D10</f>
        <v>8</v>
      </c>
      <c r="E618" s="9">
        <f t="shared" si="716"/>
        <v>6</v>
      </c>
      <c r="F618" s="9">
        <f t="shared" si="716"/>
        <v>6</v>
      </c>
      <c r="G618" s="19">
        <v>25862.400000000001</v>
      </c>
      <c r="H618" s="19">
        <f t="shared" si="715"/>
        <v>2172441.6000000006</v>
      </c>
      <c r="I618" s="19"/>
      <c r="J618" s="19"/>
      <c r="K618" s="19"/>
      <c r="L618" s="19"/>
      <c r="O618" s="19">
        <f>D618*9200*2*1.6*12</f>
        <v>2826240</v>
      </c>
      <c r="P618" s="19">
        <f>E618*9200*2*1.6*12</f>
        <v>2119680</v>
      </c>
      <c r="Q618" s="19">
        <f>(E618*9200*2*1.6*12)+((D618-E618)*29440/2)*12</f>
        <v>2472960</v>
      </c>
      <c r="R618" s="19">
        <f>(E618*9200*2*1.6*12)+((D618-E618)*29440/2)*12+E618*6000</f>
        <v>2508960</v>
      </c>
      <c r="S618" s="19"/>
      <c r="T618" s="19"/>
    </row>
    <row r="619" spans="1:20" ht="28.2" x14ac:dyDescent="0.3">
      <c r="A619" s="4"/>
      <c r="B619" s="5" t="s">
        <v>93</v>
      </c>
      <c r="C619" s="9">
        <f>C73</f>
        <v>2.25</v>
      </c>
      <c r="D619" s="9">
        <f t="shared" ref="D619:F619" si="717">D73</f>
        <v>0.5</v>
      </c>
      <c r="E619" s="9">
        <f t="shared" si="717"/>
        <v>2</v>
      </c>
      <c r="F619" s="9">
        <f t="shared" si="717"/>
        <v>2</v>
      </c>
      <c r="G619" s="19">
        <f>'расчёт зарплаты'!K22</f>
        <v>32384</v>
      </c>
      <c r="H619" s="19">
        <f t="shared" si="715"/>
        <v>485760</v>
      </c>
      <c r="I619" s="19"/>
      <c r="J619" s="19"/>
      <c r="K619" s="19"/>
      <c r="L619" s="19"/>
      <c r="O619" s="19">
        <f>D619*9200*2*1.15*1.6*12</f>
        <v>203136</v>
      </c>
      <c r="P619" s="19">
        <f>E619*9200*2*1.15*1.6*12</f>
        <v>812544</v>
      </c>
      <c r="Q619" s="19">
        <f>(E619*9200*2*1.15*1.6*12)+((D619-E619)*29440/2)*12</f>
        <v>547584</v>
      </c>
      <c r="R619" s="19">
        <f>(E619*9200*2*1.15*1.6*12)+((D619-E619)*29440/2)*12+E619*6000</f>
        <v>559584</v>
      </c>
      <c r="S619" s="19"/>
      <c r="T619" s="19"/>
    </row>
    <row r="620" spans="1:20" x14ac:dyDescent="0.3">
      <c r="A620" s="4"/>
      <c r="B620" s="5" t="s">
        <v>13</v>
      </c>
      <c r="C620" s="9">
        <f>C588+C558+C528+C497+C466+C435+C405+C375+C345+C315+C285+C254+C224+C194+C164+C134+C104+C74+C42+C11</f>
        <v>90.75</v>
      </c>
      <c r="D620" s="9">
        <f t="shared" ref="D620:F621" si="718">D588+D558+D528+D497+D466+D435+D405+D375+D345+D315+D285+D254+D224+D194+D164+D134+D104+D74+D42+D11</f>
        <v>82.25</v>
      </c>
      <c r="E620" s="9">
        <f t="shared" si="718"/>
        <v>59.45</v>
      </c>
      <c r="F620" s="9">
        <f t="shared" si="718"/>
        <v>70</v>
      </c>
      <c r="G620" s="19">
        <f>'расчёт зарплаты'!K38</f>
        <v>28896</v>
      </c>
      <c r="H620" s="19">
        <f t="shared" si="715"/>
        <v>24567379.200000003</v>
      </c>
      <c r="I620" s="19"/>
      <c r="J620" s="19"/>
      <c r="K620" s="19"/>
      <c r="L620" s="19"/>
      <c r="O620" s="19">
        <f>D620*8600*2*1.6*12</f>
        <v>27162240</v>
      </c>
      <c r="P620" s="19">
        <f>E620*8600*2*1.6*12</f>
        <v>19632768</v>
      </c>
      <c r="Q620" s="19">
        <f>(E620*8600*2*1.6*12)+((D620-E620)*27520/2)*12</f>
        <v>23397504</v>
      </c>
      <c r="R620" s="128">
        <f>(E620*8600*2*1.6*12)+(E620*8.6*0.04*1.6*12)+((D620-E620)*27520/2)*12+E620*6000</f>
        <v>23754596.655359998</v>
      </c>
      <c r="S620" s="19"/>
      <c r="T620" s="19"/>
    </row>
    <row r="621" spans="1:20" ht="28.2" x14ac:dyDescent="0.3">
      <c r="A621" s="4"/>
      <c r="B621" s="5" t="s">
        <v>14</v>
      </c>
      <c r="C621" s="9">
        <f>C589+C559+C529+C498+C467+C436+C406+C376+C346+C316+C286+C255+C225+C195+C165+C135+C105+C75+C43+C12</f>
        <v>1</v>
      </c>
      <c r="D621" s="9">
        <f t="shared" si="718"/>
        <v>1</v>
      </c>
      <c r="E621" s="9">
        <f t="shared" si="718"/>
        <v>1</v>
      </c>
      <c r="F621" s="9">
        <f t="shared" si="718"/>
        <v>1</v>
      </c>
      <c r="G621" s="19">
        <f>'расчёт зарплаты'!K38</f>
        <v>28896</v>
      </c>
      <c r="H621" s="19">
        <f t="shared" si="715"/>
        <v>346752</v>
      </c>
      <c r="I621" s="19"/>
      <c r="J621" s="19"/>
      <c r="K621" s="19"/>
      <c r="L621" s="19"/>
      <c r="O621" s="19">
        <f>D621*8600*2*1.6*12</f>
        <v>330240</v>
      </c>
      <c r="P621" s="19">
        <f>E621*8600*2*1.6*12</f>
        <v>330240</v>
      </c>
      <c r="Q621" s="19">
        <f>(E621*8600*2*1.6*12)+((D621-E621)*27520/2)*12</f>
        <v>330240</v>
      </c>
      <c r="R621" s="36">
        <f>(E621*8600*2*1.6*12)+((D621-E621)*27520/2)*12+E621*6000</f>
        <v>336240</v>
      </c>
      <c r="S621" s="19"/>
      <c r="T621" s="19"/>
    </row>
    <row r="622" spans="1:20" x14ac:dyDescent="0.3">
      <c r="A622" s="4"/>
      <c r="B622" s="5" t="s">
        <v>15</v>
      </c>
      <c r="C622" s="9">
        <f t="shared" ref="C622:F629" si="719">C590+C560+C530+C499+C468+C437+C407+C377+C347+C317+C287+C256+C226+C196+C166+C136+C106+C76+C44+C13</f>
        <v>128</v>
      </c>
      <c r="D622" s="9">
        <f t="shared" si="719"/>
        <v>112.5</v>
      </c>
      <c r="E622" s="9">
        <f t="shared" si="719"/>
        <v>87.9</v>
      </c>
      <c r="F622" s="9">
        <f t="shared" si="719"/>
        <v>95</v>
      </c>
      <c r="G622" s="19">
        <f>'расчёт зарплаты'!K34</f>
        <v>30976</v>
      </c>
      <c r="H622" s="19">
        <f t="shared" si="715"/>
        <v>37245542.400000006</v>
      </c>
      <c r="I622" s="19"/>
      <c r="J622" s="19"/>
      <c r="K622" s="19"/>
      <c r="L622" s="19"/>
      <c r="O622" s="19">
        <f>D622*8800*2*1.6*12</f>
        <v>38016000</v>
      </c>
      <c r="P622" s="19">
        <f>E622*8800*2*1.6*12</f>
        <v>29703168</v>
      </c>
      <c r="Q622" s="19">
        <f>(E622*8800*2*1.6*12)+((D622-E622)*28160/2)*12</f>
        <v>33859584</v>
      </c>
      <c r="R622" s="128">
        <f>(E622*8800*2*1.6*12)+(E622*8.6*0.04*1.6*12)+((D622-E622)*28160/2)*12+E622*6000</f>
        <v>34387564.561919995</v>
      </c>
      <c r="S622" s="19"/>
      <c r="T622" s="19"/>
    </row>
    <row r="623" spans="1:20" x14ac:dyDescent="0.3">
      <c r="A623" s="4"/>
      <c r="B623" s="5" t="s">
        <v>16</v>
      </c>
      <c r="C623" s="9">
        <f t="shared" si="719"/>
        <v>165</v>
      </c>
      <c r="D623" s="9">
        <f t="shared" si="719"/>
        <v>161</v>
      </c>
      <c r="E623" s="9">
        <f t="shared" si="719"/>
        <v>157.85</v>
      </c>
      <c r="F623" s="9">
        <f t="shared" si="719"/>
        <v>161</v>
      </c>
      <c r="G623" s="19">
        <f>'расчёт зарплаты'!K8</f>
        <v>28600</v>
      </c>
      <c r="H623" s="19">
        <f t="shared" si="715"/>
        <v>54714660</v>
      </c>
      <c r="I623" s="19"/>
      <c r="J623" s="19"/>
      <c r="K623" s="19"/>
      <c r="L623" s="19"/>
      <c r="O623" s="19">
        <f>D623*8125*2*1.6*12</f>
        <v>50232000</v>
      </c>
      <c r="P623" s="19">
        <f>E623*8125*2*1.6*12</f>
        <v>49249200</v>
      </c>
      <c r="Q623" s="19">
        <f>(E623*8125*2*1.6*12)+((D623-E623)*26000/2)*12</f>
        <v>49740600</v>
      </c>
      <c r="R623" s="129">
        <f>(E623*8125*2*1.6*12)+((D623-E623)*26000/2)*12+E623*6000+(17.3*2920*C623/3)+(15*24*49.42*C623/3)</f>
        <v>54444596</v>
      </c>
      <c r="S623" s="19"/>
      <c r="T623" s="19"/>
    </row>
    <row r="624" spans="1:20" ht="42" x14ac:dyDescent="0.3">
      <c r="A624" s="4"/>
      <c r="B624" s="5" t="s">
        <v>17</v>
      </c>
      <c r="C624" s="9">
        <f t="shared" si="719"/>
        <v>35</v>
      </c>
      <c r="D624" s="9">
        <f t="shared" si="719"/>
        <v>29.5</v>
      </c>
      <c r="E624" s="9">
        <f t="shared" si="719"/>
        <v>23.05</v>
      </c>
      <c r="F624" s="9">
        <f t="shared" si="719"/>
        <v>22.5</v>
      </c>
      <c r="G624" s="19">
        <f>'расчёт зарплаты'!K10</f>
        <v>28208</v>
      </c>
      <c r="H624" s="19">
        <f t="shared" si="715"/>
        <v>8893982.4000000004</v>
      </c>
      <c r="I624" s="19"/>
      <c r="J624" s="19"/>
      <c r="K624" s="19"/>
      <c r="L624" s="19"/>
      <c r="O624" s="19">
        <f>D624*8600*2*1.6*12</f>
        <v>9742080</v>
      </c>
      <c r="P624" s="19">
        <f>E624*8600*2*1.6*12</f>
        <v>7612032</v>
      </c>
      <c r="Q624" s="19">
        <f>(E624*8600*2*1.6*12)+((D624-E624)*27520/2)*12</f>
        <v>8677056</v>
      </c>
      <c r="R624" s="19">
        <f>(E624*8600*2*1.6*12)+((D624-E624)*27520/2)*12+E624*6000</f>
        <v>8815356</v>
      </c>
      <c r="S624" s="19"/>
      <c r="T624" s="19"/>
    </row>
    <row r="625" spans="1:20" ht="28.2" x14ac:dyDescent="0.3">
      <c r="A625" s="4"/>
      <c r="B625" s="5" t="s">
        <v>18</v>
      </c>
      <c r="C625" s="9">
        <f t="shared" si="719"/>
        <v>29.25</v>
      </c>
      <c r="D625" s="9">
        <f t="shared" si="719"/>
        <v>27</v>
      </c>
      <c r="E625" s="9">
        <f t="shared" si="719"/>
        <v>26</v>
      </c>
      <c r="F625" s="9">
        <f t="shared" si="719"/>
        <v>26</v>
      </c>
      <c r="G625" s="19">
        <f>'расчёт зарплаты'!K20</f>
        <v>31648</v>
      </c>
      <c r="H625" s="19">
        <f t="shared" si="715"/>
        <v>10064064</v>
      </c>
      <c r="I625" s="19"/>
      <c r="J625" s="19"/>
      <c r="K625" s="19"/>
      <c r="L625" s="19"/>
      <c r="O625" s="19">
        <f>D625*9200*2*1.6*12</f>
        <v>9538560</v>
      </c>
      <c r="P625" s="19">
        <f>E625*9200*2*1.6*12</f>
        <v>9185280</v>
      </c>
      <c r="Q625" s="19">
        <f>(E625*9200*2*1.6*12)+((D625-E625)*29440/2)*12</f>
        <v>9361920</v>
      </c>
      <c r="R625" s="128">
        <f>(E625*9200*2*1.6*12)+(E625*8.6*0.04*1.6*12)+((D625-E625)*29440/2)*12+E625*6000</f>
        <v>9518091.7248</v>
      </c>
      <c r="S625" s="19"/>
      <c r="T625" s="19"/>
    </row>
    <row r="626" spans="1:20" ht="46.2" customHeight="1" x14ac:dyDescent="0.3">
      <c r="A626" s="4"/>
      <c r="B626" s="5" t="s">
        <v>91</v>
      </c>
      <c r="C626" s="9">
        <f t="shared" si="719"/>
        <v>4</v>
      </c>
      <c r="D626" s="9">
        <f t="shared" si="719"/>
        <v>2</v>
      </c>
      <c r="E626" s="9">
        <f t="shared" si="719"/>
        <v>2</v>
      </c>
      <c r="F626" s="9">
        <f t="shared" si="719"/>
        <v>2</v>
      </c>
      <c r="G626" s="19">
        <f>'расчёт зарплаты'!K10</f>
        <v>28208</v>
      </c>
      <c r="H626" s="19">
        <f t="shared" si="715"/>
        <v>676992</v>
      </c>
      <c r="I626" s="19"/>
      <c r="J626" s="19"/>
      <c r="K626" s="19"/>
      <c r="L626" s="19"/>
      <c r="O626" s="19">
        <f>D626*8600*2*1.6*12</f>
        <v>660480</v>
      </c>
      <c r="P626" s="19">
        <f>E626*8600*2*1.6*12</f>
        <v>660480</v>
      </c>
      <c r="Q626" s="19">
        <f>(E626*8600*2*1.6*12)+((D626-E626)*27520/2)*12</f>
        <v>660480</v>
      </c>
      <c r="R626" s="19">
        <f>(E626*8600*2*1.6*12)+((D626-E626)*27520/2)*12+E626*6000</f>
        <v>672480</v>
      </c>
      <c r="S626" s="19"/>
      <c r="T626" s="19"/>
    </row>
    <row r="627" spans="1:20" x14ac:dyDescent="0.3">
      <c r="A627" s="4"/>
      <c r="B627" s="5" t="s">
        <v>20</v>
      </c>
      <c r="C627" s="9">
        <f t="shared" si="719"/>
        <v>2.5</v>
      </c>
      <c r="D627" s="9">
        <f t="shared" si="719"/>
        <v>2.5</v>
      </c>
      <c r="E627" s="9">
        <f t="shared" si="719"/>
        <v>2.5</v>
      </c>
      <c r="F627" s="9">
        <f t="shared" si="719"/>
        <v>3</v>
      </c>
      <c r="G627" s="19">
        <f>'расчёт зарплаты'!K34</f>
        <v>30976</v>
      </c>
      <c r="H627" s="19">
        <f t="shared" si="715"/>
        <v>929280</v>
      </c>
      <c r="I627" s="19"/>
      <c r="J627" s="19"/>
      <c r="K627" s="19"/>
      <c r="L627" s="19"/>
      <c r="O627" s="19">
        <f>D627*8800*2*1.6*12</f>
        <v>844800</v>
      </c>
      <c r="P627" s="19">
        <f>E627*8800*2*1.6*12</f>
        <v>844800</v>
      </c>
      <c r="Q627" s="19">
        <f>(E627*8800*2*1.6*12)+((D627-E627)*28160/2)*12</f>
        <v>844800</v>
      </c>
      <c r="R627" s="19">
        <f>(E627*8800*2*1.6*12)+((D627-E627)*28160/2)*12+E627*6000</f>
        <v>859800</v>
      </c>
      <c r="S627" s="19"/>
      <c r="T627" s="19"/>
    </row>
    <row r="628" spans="1:20" ht="39.6" x14ac:dyDescent="0.3">
      <c r="A628" s="4"/>
      <c r="B628" s="6" t="s">
        <v>21</v>
      </c>
      <c r="C628" s="9">
        <f t="shared" si="719"/>
        <v>10.5</v>
      </c>
      <c r="D628" s="9">
        <f t="shared" si="719"/>
        <v>10.25</v>
      </c>
      <c r="E628" s="9">
        <f t="shared" si="719"/>
        <v>9.8000000000000007</v>
      </c>
      <c r="F628" s="9">
        <f t="shared" si="719"/>
        <v>10</v>
      </c>
      <c r="G628" s="19">
        <f>'расчёт зарплаты'!K44</f>
        <v>45056</v>
      </c>
      <c r="H628" s="19">
        <f t="shared" si="715"/>
        <v>5420236.8000000007</v>
      </c>
      <c r="I628" s="19"/>
      <c r="J628" s="19"/>
      <c r="K628" s="19"/>
      <c r="L628" s="19"/>
      <c r="O628" s="19">
        <f>D628*12800*2*1.6*12</f>
        <v>5038080</v>
      </c>
      <c r="P628" s="19">
        <f>E628*12800*2*1.6*12</f>
        <v>4816896.0000000009</v>
      </c>
      <c r="Q628" s="19">
        <f>(E628*12800*2*1.6*12)+((D628-E628)*40960/2)*12</f>
        <v>4927488.0000000009</v>
      </c>
      <c r="R628" s="19">
        <f>(E628*12800*2*1.6*12)+((D628-E628)*40960/2)*12+E628*6000</f>
        <v>4986288.0000000009</v>
      </c>
      <c r="S628" s="19"/>
      <c r="T628" s="19"/>
    </row>
    <row r="629" spans="1:20" x14ac:dyDescent="0.3">
      <c r="A629" s="4"/>
      <c r="B629" s="5" t="s">
        <v>22</v>
      </c>
      <c r="C629" s="9">
        <f t="shared" si="719"/>
        <v>0</v>
      </c>
      <c r="D629" s="9">
        <f t="shared" si="719"/>
        <v>0</v>
      </c>
      <c r="E629" s="9">
        <f t="shared" si="719"/>
        <v>0</v>
      </c>
      <c r="F629" s="9">
        <f t="shared" si="719"/>
        <v>0</v>
      </c>
      <c r="G629" s="19">
        <v>24736.48</v>
      </c>
      <c r="H629" s="19">
        <f t="shared" ref="H629" si="720">E629*G629*12</f>
        <v>0</v>
      </c>
      <c r="I629" s="19"/>
      <c r="J629" s="19"/>
      <c r="K629" s="19"/>
      <c r="L629" s="19"/>
      <c r="O629" s="19">
        <f>J629*L629*12</f>
        <v>0</v>
      </c>
      <c r="P629" s="19">
        <f>K629*M629*12</f>
        <v>0</v>
      </c>
      <c r="Q629" s="19">
        <f>L629*O629*12</f>
        <v>0</v>
      </c>
      <c r="R629" s="19">
        <f>M629*P629*12</f>
        <v>0</v>
      </c>
      <c r="S629" s="19"/>
      <c r="T629" s="19"/>
    </row>
    <row r="630" spans="1:20" x14ac:dyDescent="0.3">
      <c r="A630" s="38" t="s">
        <v>57</v>
      </c>
      <c r="B630" s="39"/>
      <c r="C630" s="41">
        <f>C631+C632+C633</f>
        <v>177</v>
      </c>
      <c r="D630" s="41">
        <f t="shared" ref="D630:F630" si="721">D631+D632+D633</f>
        <v>149.25</v>
      </c>
      <c r="E630" s="41">
        <f t="shared" si="721"/>
        <v>120.7</v>
      </c>
      <c r="F630" s="41">
        <f t="shared" si="721"/>
        <v>120</v>
      </c>
      <c r="G630" s="41"/>
      <c r="H630" s="42">
        <f t="shared" ref="H630:L630" si="722">H631+H632+H633</f>
        <v>44886970.799999997</v>
      </c>
      <c r="I630" s="42">
        <f t="shared" si="722"/>
        <v>0</v>
      </c>
      <c r="J630" s="42">
        <f t="shared" si="722"/>
        <v>0</v>
      </c>
      <c r="K630" s="42">
        <f t="shared" si="722"/>
        <v>0</v>
      </c>
      <c r="L630" s="42">
        <f t="shared" si="722"/>
        <v>0</v>
      </c>
      <c r="M630" s="34"/>
      <c r="N630" s="127">
        <v>46404584.07</v>
      </c>
      <c r="O630" s="42">
        <f t="shared" ref="O630:P630" si="723">O631+O632+O633</f>
        <v>47294640</v>
      </c>
      <c r="P630" s="42">
        <f t="shared" si="723"/>
        <v>38204352</v>
      </c>
      <c r="Q630" s="42">
        <f t="shared" ref="Q630" si="724">Q631+Q632+Q633</f>
        <v>42749496</v>
      </c>
      <c r="R630" s="42">
        <f t="shared" ref="R630" si="725">R631+R632+R633</f>
        <v>40962738.124799997</v>
      </c>
      <c r="S630" s="42"/>
      <c r="T630" s="42"/>
    </row>
    <row r="631" spans="1:20" x14ac:dyDescent="0.3">
      <c r="A631" s="4"/>
      <c r="B631" s="5" t="s">
        <v>11</v>
      </c>
      <c r="C631" s="9">
        <f t="shared" ref="C631:F633" si="726">C599+C569+C539+C508+C477+C446+C416+C386+C356+C326+C296+C265+C235+C205+C175+C145+C115+C85+C53+C22</f>
        <v>40.75</v>
      </c>
      <c r="D631" s="9">
        <f t="shared" si="726"/>
        <v>30.75</v>
      </c>
      <c r="E631" s="9">
        <f t="shared" si="726"/>
        <v>22</v>
      </c>
      <c r="F631" s="9">
        <f t="shared" si="726"/>
        <v>24</v>
      </c>
      <c r="G631" s="19">
        <f>'расчёт зарплаты'!K26</f>
        <v>27300</v>
      </c>
      <c r="H631" s="19">
        <f t="shared" ref="H631:H634" si="727">E631*G631*12+ ((D631-E631)*G631/2*12)</f>
        <v>8640450</v>
      </c>
      <c r="I631" s="19"/>
      <c r="J631" s="19"/>
      <c r="K631" s="19"/>
      <c r="L631" s="19"/>
      <c r="O631" s="19">
        <f>D631*8125*2*1.6*12</f>
        <v>9594000</v>
      </c>
      <c r="P631" s="19">
        <f>E631*8125*2*1.6*12</f>
        <v>6864000</v>
      </c>
      <c r="Q631" s="19">
        <f>(E631*8125*2*1.6*12)+((D631-E631)*26000/2)*12</f>
        <v>8229000</v>
      </c>
      <c r="R631" s="19">
        <f>(E631*8125*2*1.6*12)+((D631-E631)*26000/2)*12+E631*6000</f>
        <v>8361000</v>
      </c>
      <c r="S631" s="19"/>
      <c r="T631" s="19"/>
    </row>
    <row r="632" spans="1:20" x14ac:dyDescent="0.3">
      <c r="A632" s="4"/>
      <c r="B632" s="5" t="s">
        <v>12</v>
      </c>
      <c r="C632" s="9">
        <f t="shared" si="726"/>
        <v>52.5</v>
      </c>
      <c r="D632" s="9">
        <f t="shared" si="726"/>
        <v>49.5</v>
      </c>
      <c r="E632" s="9">
        <f t="shared" si="726"/>
        <v>47</v>
      </c>
      <c r="F632" s="9">
        <f t="shared" si="726"/>
        <v>47</v>
      </c>
      <c r="G632" s="19">
        <f>'расчёт зарплаты'!K26</f>
        <v>27300</v>
      </c>
      <c r="H632" s="19">
        <f t="shared" si="727"/>
        <v>15806700</v>
      </c>
      <c r="I632" s="19"/>
      <c r="J632" s="19"/>
      <c r="K632" s="19"/>
      <c r="L632" s="19"/>
      <c r="O632" s="19">
        <f>D632*8125*2*1.6*12</f>
        <v>15444000</v>
      </c>
      <c r="P632" s="19">
        <f>E632*8125*2*1.6*12</f>
        <v>14664000</v>
      </c>
      <c r="Q632" s="19">
        <f>(E632*8125*2*1.6*12)+((D632-E632)*26000/2)*12</f>
        <v>15054000</v>
      </c>
      <c r="R632" s="19">
        <f>(E632*8125*2*1.6*12)+((D632-E632)*26000/2)*12+E632*6000</f>
        <v>15336000</v>
      </c>
      <c r="S632" s="19"/>
      <c r="T632" s="19"/>
    </row>
    <row r="633" spans="1:20" ht="28.2" x14ac:dyDescent="0.3">
      <c r="A633" s="4"/>
      <c r="B633" s="5" t="s">
        <v>19</v>
      </c>
      <c r="C633" s="9">
        <f t="shared" si="726"/>
        <v>83.75</v>
      </c>
      <c r="D633" s="9">
        <f t="shared" si="726"/>
        <v>69</v>
      </c>
      <c r="E633" s="9">
        <f t="shared" si="726"/>
        <v>51.7</v>
      </c>
      <c r="F633" s="9">
        <f t="shared" si="726"/>
        <v>49</v>
      </c>
      <c r="G633" s="19">
        <f>'расчёт зарплаты'!K40</f>
        <v>28224</v>
      </c>
      <c r="H633" s="19">
        <f t="shared" si="727"/>
        <v>20439820.800000001</v>
      </c>
      <c r="I633" s="19"/>
      <c r="J633" s="19"/>
      <c r="K633" s="19"/>
      <c r="L633" s="19"/>
      <c r="O633" s="19">
        <f>D633*8400*2*1.6*12</f>
        <v>22256640</v>
      </c>
      <c r="P633" s="19">
        <f>E633*8400*2*1.6*12</f>
        <v>16676352</v>
      </c>
      <c r="Q633" s="19">
        <f>(E633*8400*2*1.6*12)+((D633-E633)*26880/2)*12</f>
        <v>19466496</v>
      </c>
      <c r="R633" s="128">
        <f>(E633*8400*2*1.6*12)+(E625*8.6*0.04*1.6*12)+((D633-E633)*2688/2)*12+E633*6000</f>
        <v>17265738.1248</v>
      </c>
      <c r="S633" s="19"/>
      <c r="T633" s="19"/>
    </row>
    <row r="634" spans="1:20" x14ac:dyDescent="0.3">
      <c r="A634" s="135" t="s">
        <v>23</v>
      </c>
      <c r="B634" s="135"/>
      <c r="C634" s="8">
        <f t="shared" ref="C634:F634" si="728">C635+C642</f>
        <v>253</v>
      </c>
      <c r="D634" s="8">
        <f t="shared" si="728"/>
        <v>232.16</v>
      </c>
      <c r="E634" s="8">
        <f t="shared" si="728"/>
        <v>186.1</v>
      </c>
      <c r="F634" s="8">
        <f t="shared" si="728"/>
        <v>193.5</v>
      </c>
      <c r="G634" s="19"/>
      <c r="H634" s="19">
        <f t="shared" si="727"/>
        <v>0</v>
      </c>
      <c r="I634" s="19"/>
      <c r="J634" s="20">
        <f>H635+H642</f>
        <v>63352152</v>
      </c>
      <c r="K634" s="19"/>
      <c r="L634" s="19"/>
      <c r="O634" s="19">
        <f t="shared" ref="O634:P634" si="729">J634*L634*12+ ((I634-J634)*L634/2*12)</f>
        <v>0</v>
      </c>
      <c r="P634" s="19">
        <f t="shared" si="729"/>
        <v>0</v>
      </c>
      <c r="Q634" s="19">
        <f t="shared" ref="Q634:R634" si="730">L634*O634*12+ ((K634-L634)*O634/2*12)</f>
        <v>0</v>
      </c>
      <c r="R634" s="19">
        <f t="shared" si="730"/>
        <v>0</v>
      </c>
      <c r="S634" s="19"/>
      <c r="T634" s="19"/>
    </row>
    <row r="635" spans="1:20" x14ac:dyDescent="0.3">
      <c r="A635" s="136" t="s">
        <v>24</v>
      </c>
      <c r="B635" s="136"/>
      <c r="C635" s="8">
        <f t="shared" ref="C635:F635" si="731">C636+C637+C638+C639+C641</f>
        <v>172.5</v>
      </c>
      <c r="D635" s="8">
        <f t="shared" si="731"/>
        <v>156.41</v>
      </c>
      <c r="E635" s="8">
        <f t="shared" si="731"/>
        <v>127.1</v>
      </c>
      <c r="F635" s="8">
        <f t="shared" si="731"/>
        <v>133</v>
      </c>
      <c r="G635" s="20"/>
      <c r="H635" s="20">
        <f>H636+H637+H638+H639+H641</f>
        <v>42095064</v>
      </c>
      <c r="I635" s="20">
        <f t="shared" ref="I635:L635" si="732">I636+I637+I638+I639+I641</f>
        <v>0</v>
      </c>
      <c r="J635" s="20">
        <f t="shared" si="732"/>
        <v>0</v>
      </c>
      <c r="K635" s="20">
        <f t="shared" si="732"/>
        <v>0</v>
      </c>
      <c r="L635" s="20">
        <f t="shared" si="732"/>
        <v>0</v>
      </c>
      <c r="O635" s="20">
        <f>O636+O637+O638+O639+O641</f>
        <v>0</v>
      </c>
      <c r="P635" s="20">
        <f>P636+P637+P638+P639+P641</f>
        <v>0</v>
      </c>
      <c r="Q635" s="20">
        <f>Q636+Q637+Q638+Q639+Q641</f>
        <v>0</v>
      </c>
      <c r="R635" s="20">
        <f>R636+R637+R638+R639+R641</f>
        <v>0</v>
      </c>
      <c r="S635" s="20"/>
      <c r="T635" s="20"/>
    </row>
    <row r="636" spans="1:20" x14ac:dyDescent="0.3">
      <c r="A636" s="4"/>
      <c r="B636" s="5" t="s">
        <v>25</v>
      </c>
      <c r="C636" s="9">
        <f t="shared" ref="C636:F638" si="733">C604+C574+C544+C513+C482+C451+C421+C391+C361+C331+C301+C270+C240+C210+C180+C150+C120+C90+C58+C27</f>
        <v>6</v>
      </c>
      <c r="D636" s="9">
        <f t="shared" si="733"/>
        <v>5</v>
      </c>
      <c r="E636" s="9">
        <f t="shared" si="733"/>
        <v>4</v>
      </c>
      <c r="F636" s="9">
        <f t="shared" si="733"/>
        <v>4</v>
      </c>
      <c r="G636" s="19">
        <f>'расчёт зарплаты'!K14</f>
        <v>33792</v>
      </c>
      <c r="H636" s="19">
        <f>E636*G636*12</f>
        <v>1622016</v>
      </c>
      <c r="I636" s="19"/>
      <c r="J636" s="19"/>
      <c r="K636" s="19"/>
      <c r="L636" s="19"/>
      <c r="O636" s="19">
        <f t="shared" ref="O636:P641" si="734">J636*L636*12</f>
        <v>0</v>
      </c>
      <c r="P636" s="19">
        <f t="shared" si="734"/>
        <v>0</v>
      </c>
      <c r="Q636" s="19">
        <f t="shared" ref="Q636:R641" si="735">L636*O636*12</f>
        <v>0</v>
      </c>
      <c r="R636" s="19">
        <f t="shared" si="735"/>
        <v>0</v>
      </c>
      <c r="S636" s="19"/>
      <c r="T636" s="19"/>
    </row>
    <row r="637" spans="1:20" x14ac:dyDescent="0.3">
      <c r="A637" s="4"/>
      <c r="B637" s="5" t="s">
        <v>26</v>
      </c>
      <c r="C637" s="9">
        <f t="shared" si="733"/>
        <v>0</v>
      </c>
      <c r="D637" s="9">
        <f t="shared" si="733"/>
        <v>0</v>
      </c>
      <c r="E637" s="9">
        <f t="shared" si="733"/>
        <v>0</v>
      </c>
      <c r="F637" s="9">
        <f t="shared" si="733"/>
        <v>0</v>
      </c>
      <c r="G637" s="19">
        <f>'расчёт зарплаты'!K16</f>
        <v>36608</v>
      </c>
      <c r="H637" s="19">
        <f t="shared" ref="H637:H641" si="736">E637*G637*12</f>
        <v>0</v>
      </c>
      <c r="I637" s="19"/>
      <c r="J637" s="19"/>
      <c r="K637" s="19"/>
      <c r="L637" s="19"/>
      <c r="O637" s="19">
        <f t="shared" si="734"/>
        <v>0</v>
      </c>
      <c r="P637" s="19">
        <f t="shared" si="734"/>
        <v>0</v>
      </c>
      <c r="Q637" s="19">
        <f t="shared" si="735"/>
        <v>0</v>
      </c>
      <c r="R637" s="19">
        <f t="shared" si="735"/>
        <v>0</v>
      </c>
      <c r="S637" s="19"/>
      <c r="T637" s="19"/>
    </row>
    <row r="638" spans="1:20" x14ac:dyDescent="0.3">
      <c r="A638" s="4"/>
      <c r="B638" s="5" t="s">
        <v>27</v>
      </c>
      <c r="C638" s="9">
        <f t="shared" si="733"/>
        <v>1</v>
      </c>
      <c r="D638" s="9">
        <f t="shared" si="733"/>
        <v>1</v>
      </c>
      <c r="E638" s="9">
        <f t="shared" si="733"/>
        <v>1</v>
      </c>
      <c r="F638" s="9">
        <f t="shared" si="733"/>
        <v>1</v>
      </c>
      <c r="G638" s="19">
        <f>'расчёт зарплаты'!K18</f>
        <v>39424</v>
      </c>
      <c r="H638" s="19">
        <f t="shared" si="736"/>
        <v>473088</v>
      </c>
      <c r="I638" s="19"/>
      <c r="J638" s="19"/>
      <c r="K638" s="19"/>
      <c r="L638" s="19"/>
      <c r="O638" s="19">
        <f t="shared" si="734"/>
        <v>0</v>
      </c>
      <c r="P638" s="19">
        <f t="shared" si="734"/>
        <v>0</v>
      </c>
      <c r="Q638" s="19">
        <f t="shared" si="735"/>
        <v>0</v>
      </c>
      <c r="R638" s="19">
        <f t="shared" si="735"/>
        <v>0</v>
      </c>
      <c r="S638" s="19"/>
      <c r="T638" s="19"/>
    </row>
    <row r="639" spans="1:20" ht="28.2" x14ac:dyDescent="0.3">
      <c r="A639" s="4"/>
      <c r="B639" s="5" t="s">
        <v>28</v>
      </c>
      <c r="C639" s="9">
        <f>C607+C577+C547+C516+C485+C454+C424+C394+C364+C334+C304+C273+C243+C213+C183+C153+C123+C93+C61+C31</f>
        <v>70</v>
      </c>
      <c r="D639" s="9">
        <f t="shared" ref="D639:F639" si="737">D607+D577+D547+D516+D485+D454+D424+D394+D364+D334+D304+D273+D243+D213+D183+D153+D123+D93+D61+D31</f>
        <v>66</v>
      </c>
      <c r="E639" s="9">
        <f t="shared" si="737"/>
        <v>54.5</v>
      </c>
      <c r="F639" s="9">
        <f t="shared" si="737"/>
        <v>55</v>
      </c>
      <c r="G639" s="19">
        <f>'расчёт зарплаты'!K26</f>
        <v>27300</v>
      </c>
      <c r="H639" s="19">
        <f t="shared" si="736"/>
        <v>17854200</v>
      </c>
      <c r="I639" s="19"/>
      <c r="J639" s="19"/>
      <c r="K639" s="19"/>
      <c r="L639" s="19"/>
      <c r="O639" s="19">
        <f t="shared" si="734"/>
        <v>0</v>
      </c>
      <c r="P639" s="19">
        <f t="shared" si="734"/>
        <v>0</v>
      </c>
      <c r="Q639" s="19">
        <f t="shared" si="735"/>
        <v>0</v>
      </c>
      <c r="R639" s="19">
        <f t="shared" si="735"/>
        <v>0</v>
      </c>
      <c r="S639" s="19"/>
      <c r="T639" s="19"/>
    </row>
    <row r="640" spans="1:20" x14ac:dyDescent="0.3">
      <c r="A640" s="4"/>
      <c r="B640" s="5" t="s">
        <v>84</v>
      </c>
      <c r="C640" s="9">
        <f>C30</f>
        <v>8</v>
      </c>
      <c r="D640" s="9">
        <f t="shared" ref="D640:F640" si="738">D30</f>
        <v>8</v>
      </c>
      <c r="E640" s="9">
        <f t="shared" si="738"/>
        <v>8</v>
      </c>
      <c r="F640" s="9">
        <f t="shared" si="738"/>
        <v>8</v>
      </c>
      <c r="G640" s="19">
        <f>'расчёт зарплаты'!K36</f>
        <v>45056</v>
      </c>
      <c r="H640" s="19">
        <f t="shared" si="736"/>
        <v>4325376</v>
      </c>
      <c r="I640" s="19"/>
      <c r="J640" s="19"/>
      <c r="K640" s="19"/>
      <c r="L640" s="19"/>
      <c r="O640" s="19">
        <f t="shared" si="734"/>
        <v>0</v>
      </c>
      <c r="P640" s="19">
        <f t="shared" si="734"/>
        <v>0</v>
      </c>
      <c r="Q640" s="19">
        <f t="shared" si="735"/>
        <v>0</v>
      </c>
      <c r="R640" s="19">
        <f t="shared" si="735"/>
        <v>0</v>
      </c>
      <c r="S640" s="19"/>
      <c r="T640" s="19"/>
    </row>
    <row r="641" spans="1:20" x14ac:dyDescent="0.3">
      <c r="A641" s="4"/>
      <c r="B641" s="5" t="s">
        <v>29</v>
      </c>
      <c r="C641" s="9">
        <f>C608+C578+C548+C517+C486+C455+C425+C395+C365+C335+C305+C274+C244+C214+C184+C154+C124+C94+C62+C32</f>
        <v>95.5</v>
      </c>
      <c r="D641" s="9">
        <f t="shared" ref="D641:F641" si="739">D608+D578+D548+D517+D486+D455+D425+D395+D365+D335+D305+D274+D244+D214+D184+D154+D124+D94+D62+D32</f>
        <v>84.41</v>
      </c>
      <c r="E641" s="9">
        <f t="shared" si="739"/>
        <v>67.599999999999994</v>
      </c>
      <c r="F641" s="9">
        <f t="shared" si="739"/>
        <v>73</v>
      </c>
      <c r="G641" s="19">
        <f>'расчёт зарплаты'!K26</f>
        <v>27300</v>
      </c>
      <c r="H641" s="19">
        <f t="shared" si="736"/>
        <v>22145759.999999996</v>
      </c>
      <c r="I641" s="19"/>
      <c r="J641" s="19"/>
      <c r="K641" s="19"/>
      <c r="L641" s="19"/>
      <c r="O641" s="19">
        <f t="shared" si="734"/>
        <v>0</v>
      </c>
      <c r="P641" s="19">
        <f t="shared" si="734"/>
        <v>0</v>
      </c>
      <c r="Q641" s="19">
        <f t="shared" si="735"/>
        <v>0</v>
      </c>
      <c r="R641" s="19">
        <f t="shared" si="735"/>
        <v>0</v>
      </c>
      <c r="S641" s="19"/>
      <c r="T641" s="19"/>
    </row>
    <row r="642" spans="1:20" x14ac:dyDescent="0.3">
      <c r="A642" s="136" t="s">
        <v>30</v>
      </c>
      <c r="B642" s="136"/>
      <c r="C642" s="8">
        <f t="shared" ref="C642:F642" si="740">C643+C644+C645</f>
        <v>80.5</v>
      </c>
      <c r="D642" s="8">
        <f t="shared" si="740"/>
        <v>75.75</v>
      </c>
      <c r="E642" s="8">
        <f t="shared" si="740"/>
        <v>59</v>
      </c>
      <c r="F642" s="8">
        <f t="shared" si="740"/>
        <v>60.5</v>
      </c>
      <c r="G642" s="20"/>
      <c r="H642" s="20">
        <f>H643+H644+H645</f>
        <v>21257088</v>
      </c>
      <c r="I642" s="20">
        <f t="shared" ref="I642:L642" si="741">I643+I644+I645</f>
        <v>0</v>
      </c>
      <c r="J642" s="20">
        <f t="shared" si="741"/>
        <v>0</v>
      </c>
      <c r="K642" s="20">
        <f t="shared" si="741"/>
        <v>0</v>
      </c>
      <c r="L642" s="20">
        <f t="shared" si="741"/>
        <v>0</v>
      </c>
      <c r="O642" s="20">
        <f>O643+O644+O645</f>
        <v>0</v>
      </c>
      <c r="P642" s="20">
        <f>P643+P644+P645</f>
        <v>0</v>
      </c>
      <c r="Q642" s="20">
        <f>Q643+Q644+Q645</f>
        <v>0</v>
      </c>
      <c r="R642" s="20">
        <f>R643+R644+R645</f>
        <v>0</v>
      </c>
      <c r="S642" s="20"/>
      <c r="T642" s="20"/>
    </row>
    <row r="643" spans="1:20" x14ac:dyDescent="0.3">
      <c r="A643" s="4"/>
      <c r="B643" s="5" t="s">
        <v>31</v>
      </c>
      <c r="C643" s="9">
        <f>C610+C580+C550+C519+C488+C457+C427+C397+C367+C337+C307+C276+C246+C216+C186+C156+C126+C96+C64+C34</f>
        <v>35.5</v>
      </c>
      <c r="D643" s="9">
        <f t="shared" ref="D643:F643" si="742">D610+D580+D550+D519+D488+D457+D427+D397+D367+D337+D307+D276+D246+D216+D186+D156+D126+D96+D64+D34</f>
        <v>34.5</v>
      </c>
      <c r="E643" s="9">
        <f t="shared" si="742"/>
        <v>32</v>
      </c>
      <c r="F643" s="9">
        <f t="shared" si="742"/>
        <v>33</v>
      </c>
      <c r="G643" s="19">
        <f>'расчёт зарплаты'!K34</f>
        <v>30976</v>
      </c>
      <c r="H643" s="19">
        <f>E643*G643*12</f>
        <v>11894784</v>
      </c>
      <c r="I643" s="19"/>
      <c r="J643" s="19"/>
      <c r="K643" s="19"/>
      <c r="L643" s="19"/>
      <c r="O643" s="19">
        <f t="shared" ref="O643:P645" si="743">J643*L643*12</f>
        <v>0</v>
      </c>
      <c r="P643" s="19">
        <f t="shared" si="743"/>
        <v>0</v>
      </c>
      <c r="Q643" s="19">
        <f t="shared" ref="Q643:R645" si="744">L643*O643*12</f>
        <v>0</v>
      </c>
      <c r="R643" s="19">
        <f t="shared" si="744"/>
        <v>0</v>
      </c>
      <c r="S643" s="19"/>
      <c r="T643" s="19"/>
    </row>
    <row r="644" spans="1:20" x14ac:dyDescent="0.3">
      <c r="A644" s="4"/>
      <c r="B644" s="5" t="s">
        <v>32</v>
      </c>
      <c r="C644" s="9">
        <f t="shared" ref="C644:F645" si="745">C611+C581+C551+C520+C489+C458+C428+C398+C368+C338+C308+C277+C247+C217+C187+C157+C127+C97+C65+C35</f>
        <v>2</v>
      </c>
      <c r="D644" s="9">
        <f t="shared" si="745"/>
        <v>2</v>
      </c>
      <c r="E644" s="9">
        <f t="shared" si="745"/>
        <v>1</v>
      </c>
      <c r="F644" s="9">
        <f t="shared" si="745"/>
        <v>1</v>
      </c>
      <c r="G644" s="19">
        <f>'расчёт зарплаты'!K38</f>
        <v>28896</v>
      </c>
      <c r="H644" s="19">
        <f t="shared" ref="H644:H645" si="746">E644*G644*12</f>
        <v>346752</v>
      </c>
      <c r="I644" s="19"/>
      <c r="J644" s="19"/>
      <c r="K644" s="19"/>
      <c r="L644" s="19"/>
      <c r="O644" s="19">
        <f t="shared" si="743"/>
        <v>0</v>
      </c>
      <c r="P644" s="19">
        <f t="shared" si="743"/>
        <v>0</v>
      </c>
      <c r="Q644" s="19">
        <f t="shared" si="744"/>
        <v>0</v>
      </c>
      <c r="R644" s="19">
        <f t="shared" si="744"/>
        <v>0</v>
      </c>
      <c r="S644" s="19"/>
      <c r="T644" s="19"/>
    </row>
    <row r="645" spans="1:20" x14ac:dyDescent="0.3">
      <c r="A645" s="4"/>
      <c r="B645" s="5" t="s">
        <v>33</v>
      </c>
      <c r="C645" s="9">
        <f t="shared" si="745"/>
        <v>43</v>
      </c>
      <c r="D645" s="9">
        <f t="shared" si="745"/>
        <v>39.25</v>
      </c>
      <c r="E645" s="9">
        <f t="shared" si="745"/>
        <v>26</v>
      </c>
      <c r="F645" s="9">
        <f t="shared" si="745"/>
        <v>26.5</v>
      </c>
      <c r="G645" s="19">
        <f>'расчёт зарплаты'!K38</f>
        <v>28896</v>
      </c>
      <c r="H645" s="19">
        <f t="shared" si="746"/>
        <v>9015552</v>
      </c>
      <c r="I645" s="19"/>
      <c r="J645" s="19"/>
      <c r="K645" s="19"/>
      <c r="L645" s="19"/>
      <c r="O645" s="19">
        <f t="shared" si="743"/>
        <v>0</v>
      </c>
      <c r="P645" s="19">
        <f t="shared" si="743"/>
        <v>0</v>
      </c>
      <c r="Q645" s="19">
        <f t="shared" si="744"/>
        <v>0</v>
      </c>
      <c r="R645" s="19">
        <f t="shared" si="744"/>
        <v>0</v>
      </c>
      <c r="S645" s="19"/>
      <c r="T645" s="19"/>
    </row>
    <row r="647" spans="1:20" ht="14.4" customHeight="1" x14ac:dyDescent="0.3"/>
    <row r="648" spans="1:20" ht="14.4" customHeight="1" x14ac:dyDescent="0.3"/>
    <row r="663" ht="14.4" customHeight="1" x14ac:dyDescent="0.3"/>
    <row r="664" ht="14.4" customHeight="1" x14ac:dyDescent="0.3"/>
    <row r="670" ht="14.4" customHeight="1" x14ac:dyDescent="0.3"/>
    <row r="675" ht="14.4" customHeight="1" x14ac:dyDescent="0.3"/>
    <row r="676" ht="14.4" customHeight="1" x14ac:dyDescent="0.3"/>
    <row r="691" ht="14.4" customHeight="1" x14ac:dyDescent="0.3"/>
    <row r="692" ht="14.4" customHeight="1" x14ac:dyDescent="0.3"/>
    <row r="698" ht="14.4" customHeight="1" x14ac:dyDescent="0.3"/>
    <row r="703" ht="14.4" customHeight="1" x14ac:dyDescent="0.3"/>
    <row r="704" ht="14.4" customHeight="1" x14ac:dyDescent="0.3"/>
    <row r="719" ht="14.4" customHeight="1" x14ac:dyDescent="0.3"/>
    <row r="720" ht="14.4" customHeight="1" x14ac:dyDescent="0.3"/>
    <row r="726" ht="14.4" customHeight="1" x14ac:dyDescent="0.3"/>
    <row r="731" ht="14.4" customHeight="1" x14ac:dyDescent="0.3"/>
    <row r="732" ht="14.4" customHeight="1" x14ac:dyDescent="0.3"/>
    <row r="747" ht="14.4" customHeight="1" x14ac:dyDescent="0.3"/>
    <row r="748" ht="14.4" customHeight="1" x14ac:dyDescent="0.3"/>
    <row r="754" ht="14.4" customHeight="1" x14ac:dyDescent="0.3"/>
    <row r="759" ht="14.4" customHeight="1" x14ac:dyDescent="0.3"/>
    <row r="760" ht="14.4" customHeight="1" x14ac:dyDescent="0.3"/>
    <row r="775" ht="14.4" customHeight="1" x14ac:dyDescent="0.3"/>
    <row r="776" ht="14.4" customHeight="1" x14ac:dyDescent="0.3"/>
    <row r="782" ht="14.4" customHeight="1" x14ac:dyDescent="0.3"/>
  </sheetData>
  <mergeCells count="126">
    <mergeCell ref="A613:L613"/>
    <mergeCell ref="A614:B614"/>
    <mergeCell ref="A615:B615"/>
    <mergeCell ref="A634:B634"/>
    <mergeCell ref="A635:B635"/>
    <mergeCell ref="A642:B642"/>
    <mergeCell ref="A583:L583"/>
    <mergeCell ref="A584:B584"/>
    <mergeCell ref="A585:B585"/>
    <mergeCell ref="A602:B602"/>
    <mergeCell ref="A603:B603"/>
    <mergeCell ref="A609:B609"/>
    <mergeCell ref="A553:L553"/>
    <mergeCell ref="A554:B554"/>
    <mergeCell ref="A555:B555"/>
    <mergeCell ref="A572:B572"/>
    <mergeCell ref="A573:B573"/>
    <mergeCell ref="A579:B579"/>
    <mergeCell ref="A522:L522"/>
    <mergeCell ref="A523:B523"/>
    <mergeCell ref="A524:B524"/>
    <mergeCell ref="A542:B542"/>
    <mergeCell ref="A543:B543"/>
    <mergeCell ref="A549:B549"/>
    <mergeCell ref="A491:L491"/>
    <mergeCell ref="A492:B492"/>
    <mergeCell ref="A493:B493"/>
    <mergeCell ref="A511:B511"/>
    <mergeCell ref="A512:B512"/>
    <mergeCell ref="A518:B518"/>
    <mergeCell ref="A460:L460"/>
    <mergeCell ref="A461:B461"/>
    <mergeCell ref="A462:B462"/>
    <mergeCell ref="A480:B480"/>
    <mergeCell ref="A481:B481"/>
    <mergeCell ref="A487:B487"/>
    <mergeCell ref="A430:L430"/>
    <mergeCell ref="A431:B431"/>
    <mergeCell ref="A432:B432"/>
    <mergeCell ref="A449:B449"/>
    <mergeCell ref="A450:B450"/>
    <mergeCell ref="A456:B456"/>
    <mergeCell ref="A400:L400"/>
    <mergeCell ref="A401:B401"/>
    <mergeCell ref="A402:B402"/>
    <mergeCell ref="A419:B419"/>
    <mergeCell ref="A420:B420"/>
    <mergeCell ref="A426:B426"/>
    <mergeCell ref="A370:L370"/>
    <mergeCell ref="A371:B371"/>
    <mergeCell ref="A372:B372"/>
    <mergeCell ref="A389:B389"/>
    <mergeCell ref="A390:B390"/>
    <mergeCell ref="A396:B396"/>
    <mergeCell ref="A340:L340"/>
    <mergeCell ref="A341:B341"/>
    <mergeCell ref="A342:B342"/>
    <mergeCell ref="A359:B359"/>
    <mergeCell ref="A360:B360"/>
    <mergeCell ref="A366:B366"/>
    <mergeCell ref="A310:L310"/>
    <mergeCell ref="A311:B311"/>
    <mergeCell ref="A312:B312"/>
    <mergeCell ref="A329:B329"/>
    <mergeCell ref="A330:B330"/>
    <mergeCell ref="A336:B336"/>
    <mergeCell ref="A279:L279"/>
    <mergeCell ref="A280:B280"/>
    <mergeCell ref="A281:B281"/>
    <mergeCell ref="A299:B299"/>
    <mergeCell ref="A300:B300"/>
    <mergeCell ref="A306:B306"/>
    <mergeCell ref="A249:L249"/>
    <mergeCell ref="A250:B250"/>
    <mergeCell ref="A251:B251"/>
    <mergeCell ref="A268:B268"/>
    <mergeCell ref="A269:B269"/>
    <mergeCell ref="A275:B275"/>
    <mergeCell ref="A219:L219"/>
    <mergeCell ref="A220:B220"/>
    <mergeCell ref="A221:B221"/>
    <mergeCell ref="A238:B238"/>
    <mergeCell ref="A239:B239"/>
    <mergeCell ref="A245:B245"/>
    <mergeCell ref="A189:L189"/>
    <mergeCell ref="A190:B190"/>
    <mergeCell ref="A191:B191"/>
    <mergeCell ref="A208:B208"/>
    <mergeCell ref="A209:B209"/>
    <mergeCell ref="A215:B215"/>
    <mergeCell ref="A159:L159"/>
    <mergeCell ref="A160:B160"/>
    <mergeCell ref="A161:B161"/>
    <mergeCell ref="A178:B178"/>
    <mergeCell ref="A179:B179"/>
    <mergeCell ref="A185:B185"/>
    <mergeCell ref="A129:L129"/>
    <mergeCell ref="A130:B130"/>
    <mergeCell ref="A131:B131"/>
    <mergeCell ref="A148:B148"/>
    <mergeCell ref="A149:B149"/>
    <mergeCell ref="A155:B155"/>
    <mergeCell ref="A99:L99"/>
    <mergeCell ref="A100:B100"/>
    <mergeCell ref="A101:B101"/>
    <mergeCell ref="A118:B118"/>
    <mergeCell ref="A119:B119"/>
    <mergeCell ref="A125:B125"/>
    <mergeCell ref="A88:B88"/>
    <mergeCell ref="A89:B89"/>
    <mergeCell ref="A95:B95"/>
    <mergeCell ref="A37:L37"/>
    <mergeCell ref="A38:B38"/>
    <mergeCell ref="A39:B39"/>
    <mergeCell ref="A56:B56"/>
    <mergeCell ref="A57:B57"/>
    <mergeCell ref="A63:B63"/>
    <mergeCell ref="A6:L6"/>
    <mergeCell ref="A7:B7"/>
    <mergeCell ref="A8:B8"/>
    <mergeCell ref="A25:B25"/>
    <mergeCell ref="A26:B26"/>
    <mergeCell ref="A33:B33"/>
    <mergeCell ref="A67:L67"/>
    <mergeCell ref="A68:B68"/>
    <mergeCell ref="A69:B69"/>
  </mergeCells>
  <pageMargins left="0" right="0" top="0.74803149606299213" bottom="0.74803149606299213" header="0.31496062992125984" footer="0.31496062992125984"/>
  <pageSetup paperSize="9" scale="49" orientation="landscape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9" tint="0.79998168889431442"/>
  </sheetPr>
  <dimension ref="A4:Q145"/>
  <sheetViews>
    <sheetView topLeftCell="E1" workbookViewId="0">
      <selection activeCell="Q6" sqref="Q6"/>
    </sheetView>
  </sheetViews>
  <sheetFormatPr defaultRowHeight="14.4" x14ac:dyDescent="0.3"/>
  <cols>
    <col min="1" max="1" width="4.109375" customWidth="1"/>
    <col min="2" max="2" width="27.109375" customWidth="1"/>
    <col min="3" max="4" width="18.5546875" customWidth="1"/>
    <col min="5" max="6" width="14.44140625" customWidth="1"/>
    <col min="7" max="7" width="12.88671875" hidden="1" customWidth="1"/>
    <col min="8" max="8" width="16.33203125" hidden="1" customWidth="1"/>
    <col min="9" max="9" width="18.5546875" customWidth="1"/>
    <col min="10" max="10" width="17.109375" customWidth="1"/>
    <col min="11" max="11" width="16.5546875" hidden="1" customWidth="1"/>
    <col min="12" max="12" width="17.109375" customWidth="1"/>
    <col min="13" max="17" width="20.109375" customWidth="1"/>
  </cols>
  <sheetData>
    <row r="4" spans="1:17" ht="162.75" customHeight="1" x14ac:dyDescent="0.3">
      <c r="A4" s="1"/>
      <c r="B4" s="3" t="s">
        <v>0</v>
      </c>
      <c r="C4" s="2" t="s">
        <v>138</v>
      </c>
      <c r="D4" s="2" t="s">
        <v>143</v>
      </c>
      <c r="E4" s="2" t="s">
        <v>142</v>
      </c>
      <c r="F4" s="2" t="s">
        <v>139</v>
      </c>
      <c r="G4" s="2" t="s">
        <v>57</v>
      </c>
      <c r="H4" s="2" t="s">
        <v>58</v>
      </c>
      <c r="I4" s="2" t="s">
        <v>145</v>
      </c>
      <c r="J4" s="2" t="s">
        <v>141</v>
      </c>
      <c r="L4" s="78" t="s">
        <v>144</v>
      </c>
      <c r="M4" s="78" t="s">
        <v>134</v>
      </c>
      <c r="N4" s="78" t="s">
        <v>136</v>
      </c>
      <c r="O4" s="78" t="s">
        <v>137</v>
      </c>
      <c r="P4" s="78" t="s">
        <v>146</v>
      </c>
      <c r="Q4" s="78" t="s">
        <v>147</v>
      </c>
    </row>
    <row r="5" spans="1:17" ht="21" customHeight="1" x14ac:dyDescent="0.3">
      <c r="A5" s="1"/>
      <c r="B5" s="3"/>
      <c r="C5" s="2"/>
      <c r="D5" s="2"/>
      <c r="E5" s="2"/>
      <c r="F5" s="2"/>
      <c r="G5" s="2"/>
      <c r="H5" s="2"/>
      <c r="I5" s="2"/>
      <c r="J5" s="2"/>
      <c r="L5" s="2"/>
      <c r="M5" s="2"/>
      <c r="N5" s="2"/>
      <c r="O5" s="2"/>
      <c r="P5" s="2"/>
      <c r="Q5" s="2"/>
    </row>
    <row r="6" spans="1:17" ht="14.4" customHeight="1" x14ac:dyDescent="0.3">
      <c r="A6" s="133" t="s">
        <v>89</v>
      </c>
      <c r="B6" s="134"/>
      <c r="C6" s="8">
        <f>SUM(C7:C8)</f>
        <v>95.9</v>
      </c>
      <c r="D6" s="8">
        <f>SUM(D7:D8)</f>
        <v>105.25</v>
      </c>
      <c r="E6" s="8"/>
      <c r="F6" s="8"/>
      <c r="G6" s="20"/>
      <c r="H6" s="20" t="e">
        <f>#REF!-G6</f>
        <v>#REF!</v>
      </c>
      <c r="I6" s="40">
        <f>SUM(I7:I8)</f>
        <v>31744904.399999999</v>
      </c>
      <c r="J6" s="40">
        <f>SUM(J7:J8)</f>
        <v>31320600</v>
      </c>
      <c r="K6" s="34" t="e">
        <f>#REF!+#REF!+#REF!+#REF!+#REF!+#REF!+#REF!+#REF!+#REF!+#REF!+#REF!+#REF!+#REF!+#REF!+#REF!+#REF!+#REF!+#REF!+#REF!+#REF!</f>
        <v>#REF!</v>
      </c>
      <c r="L6" s="40">
        <f t="shared" ref="L6:Q6" si="0">SUM(L7:L8)</f>
        <v>30238176</v>
      </c>
      <c r="M6" s="40">
        <f t="shared" si="0"/>
        <v>33312240</v>
      </c>
      <c r="N6" s="40">
        <f t="shared" si="0"/>
        <v>31775208</v>
      </c>
      <c r="O6" s="40">
        <f t="shared" si="0"/>
        <v>32350608</v>
      </c>
      <c r="P6" s="40">
        <f t="shared" si="0"/>
        <v>-1030008</v>
      </c>
      <c r="Q6" s="40">
        <f t="shared" si="0"/>
        <v>-1341070.4160000002</v>
      </c>
    </row>
    <row r="7" spans="1:17" ht="28.2" x14ac:dyDescent="0.3">
      <c r="A7" s="4"/>
      <c r="B7" s="5" t="s">
        <v>148</v>
      </c>
      <c r="C7" s="9">
        <v>78.5</v>
      </c>
      <c r="D7" s="9">
        <v>79.25</v>
      </c>
      <c r="E7" s="19">
        <f>8125*2*1.6</f>
        <v>26000</v>
      </c>
      <c r="F7" s="19">
        <v>27447</v>
      </c>
      <c r="G7" s="19"/>
      <c r="H7" s="19"/>
      <c r="I7" s="19">
        <f>F7*C7*12</f>
        <v>25855074</v>
      </c>
      <c r="J7" s="19">
        <f>25045400-565500</f>
        <v>24479900</v>
      </c>
      <c r="L7" s="19">
        <f>C7*E7*12</f>
        <v>24492000</v>
      </c>
      <c r="M7" s="19">
        <f>D7*E7*12</f>
        <v>24726000</v>
      </c>
      <c r="N7" s="19">
        <f>(C7*8125*2*1.6*12)+((D7-C7)*26000/2)*12</f>
        <v>24609000</v>
      </c>
      <c r="O7" s="19">
        <f>(C7*8125*2*1.6*12)+((D7-C7)*26000/2)*12+(6000*C7)</f>
        <v>25080000</v>
      </c>
      <c r="P7" s="19">
        <f>J7-O7</f>
        <v>-600100</v>
      </c>
      <c r="Q7" s="19">
        <f>P7*1.302</f>
        <v>-781330.20000000007</v>
      </c>
    </row>
    <row r="8" spans="1:17" ht="42" x14ac:dyDescent="0.3">
      <c r="A8" s="4"/>
      <c r="B8" s="5" t="s">
        <v>17</v>
      </c>
      <c r="C8" s="9">
        <v>17.399999999999999</v>
      </c>
      <c r="D8" s="9">
        <v>26</v>
      </c>
      <c r="E8" s="19">
        <f>8600*2*1.6</f>
        <v>27520</v>
      </c>
      <c r="F8" s="19">
        <v>28208</v>
      </c>
      <c r="G8" s="19"/>
      <c r="H8" s="19"/>
      <c r="I8" s="19">
        <f>F8*C8*12</f>
        <v>5889830.3999999994</v>
      </c>
      <c r="J8" s="19">
        <f>7239900-399200</f>
        <v>6840700</v>
      </c>
      <c r="L8" s="19">
        <f>C8*E8*12</f>
        <v>5746175.9999999991</v>
      </c>
      <c r="M8" s="19">
        <f>D8*E8*12</f>
        <v>8586240</v>
      </c>
      <c r="N8" s="19">
        <f>(C8*8600*2*1.6*12)+((D8-C8)*27520/2)*12</f>
        <v>7166208</v>
      </c>
      <c r="O8" s="19">
        <f>(C8*8600*2*1.6*12)+((D8-C8)*27520/2)*12+C8*6000</f>
        <v>7270608</v>
      </c>
      <c r="P8" s="19">
        <f>J8-O8</f>
        <v>-429908</v>
      </c>
      <c r="Q8" s="19">
        <f>P8*1.302</f>
        <v>-559740.21600000001</v>
      </c>
    </row>
    <row r="10" spans="1:17" ht="14.4" customHeight="1" x14ac:dyDescent="0.3"/>
    <row r="11" spans="1:17" ht="14.4" customHeight="1" x14ac:dyDescent="0.3"/>
    <row r="26" ht="14.4" customHeight="1" x14ac:dyDescent="0.3"/>
    <row r="27" ht="14.4" customHeight="1" x14ac:dyDescent="0.3"/>
    <row r="33" ht="14.4" customHeight="1" x14ac:dyDescent="0.3"/>
    <row r="38" ht="14.4" customHeight="1" x14ac:dyDescent="0.3"/>
    <row r="39" ht="14.4" customHeight="1" x14ac:dyDescent="0.3"/>
    <row r="54" ht="14.4" customHeight="1" x14ac:dyDescent="0.3"/>
    <row r="55" ht="14.4" customHeight="1" x14ac:dyDescent="0.3"/>
    <row r="61" ht="14.4" customHeight="1" x14ac:dyDescent="0.3"/>
    <row r="66" ht="14.4" customHeight="1" x14ac:dyDescent="0.3"/>
    <row r="67" ht="14.4" customHeight="1" x14ac:dyDescent="0.3"/>
    <row r="82" ht="14.4" customHeight="1" x14ac:dyDescent="0.3"/>
    <row r="83" ht="14.4" customHeight="1" x14ac:dyDescent="0.3"/>
    <row r="89" ht="14.4" customHeight="1" x14ac:dyDescent="0.3"/>
    <row r="94" ht="14.4" customHeight="1" x14ac:dyDescent="0.3"/>
    <row r="95" ht="14.4" customHeight="1" x14ac:dyDescent="0.3"/>
    <row r="110" ht="14.4" customHeight="1" x14ac:dyDescent="0.3"/>
    <row r="111" ht="14.4" customHeight="1" x14ac:dyDescent="0.3"/>
    <row r="117" ht="14.4" customHeight="1" x14ac:dyDescent="0.3"/>
    <row r="122" ht="14.4" customHeight="1" x14ac:dyDescent="0.3"/>
    <row r="123" ht="14.4" customHeight="1" x14ac:dyDescent="0.3"/>
    <row r="138" ht="14.4" customHeight="1" x14ac:dyDescent="0.3"/>
    <row r="139" ht="14.4" customHeight="1" x14ac:dyDescent="0.3"/>
    <row r="145" ht="14.4" customHeight="1" x14ac:dyDescent="0.3"/>
  </sheetData>
  <mergeCells count="1">
    <mergeCell ref="A6:B6"/>
  </mergeCells>
  <pageMargins left="0" right="0" top="0.74803149606299213" bottom="0.74803149606299213" header="0.31496062992125984" footer="0.31496062992125984"/>
  <pageSetup paperSize="9" scale="55" orientation="landscape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9" tint="0.59999389629810485"/>
  </sheetPr>
  <dimension ref="A4:Q145"/>
  <sheetViews>
    <sheetView workbookViewId="0">
      <selection activeCell="G7" sqref="G7"/>
    </sheetView>
  </sheetViews>
  <sheetFormatPr defaultRowHeight="14.4" x14ac:dyDescent="0.3"/>
  <cols>
    <col min="1" max="1" width="4.109375" customWidth="1"/>
    <col min="2" max="2" width="27.109375" customWidth="1"/>
    <col min="3" max="4" width="18.5546875" customWidth="1"/>
    <col min="5" max="6" width="14.44140625" customWidth="1"/>
    <col min="7" max="7" width="17.109375" customWidth="1"/>
    <col min="8" max="8" width="12.88671875" hidden="1" customWidth="1"/>
    <col min="9" max="9" width="16.33203125" hidden="1" customWidth="1"/>
    <col min="10" max="10" width="18.5546875" customWidth="1"/>
    <col min="11" max="11" width="17.109375" customWidth="1"/>
    <col min="12" max="12" width="16.5546875" hidden="1" customWidth="1"/>
    <col min="13" max="17" width="20.109375" customWidth="1"/>
  </cols>
  <sheetData>
    <row r="4" spans="1:17" ht="162.75" customHeight="1" x14ac:dyDescent="0.3">
      <c r="A4" s="1"/>
      <c r="B4" s="3" t="s">
        <v>0</v>
      </c>
      <c r="C4" s="2" t="s">
        <v>138</v>
      </c>
      <c r="D4" s="2" t="s">
        <v>143</v>
      </c>
      <c r="E4" s="2" t="s">
        <v>142</v>
      </c>
      <c r="F4" s="2" t="s">
        <v>139</v>
      </c>
      <c r="G4" s="78" t="s">
        <v>144</v>
      </c>
      <c r="H4" s="2" t="s">
        <v>57</v>
      </c>
      <c r="I4" s="2" t="s">
        <v>58</v>
      </c>
      <c r="J4" s="2" t="s">
        <v>145</v>
      </c>
      <c r="K4" s="2" t="s">
        <v>141</v>
      </c>
      <c r="M4" s="78" t="s">
        <v>134</v>
      </c>
      <c r="N4" s="78" t="s">
        <v>136</v>
      </c>
      <c r="O4" s="78" t="s">
        <v>137</v>
      </c>
      <c r="P4" s="78" t="s">
        <v>146</v>
      </c>
      <c r="Q4" s="78" t="s">
        <v>147</v>
      </c>
    </row>
    <row r="5" spans="1:17" ht="21" customHeight="1" x14ac:dyDescent="0.3">
      <c r="A5" s="1"/>
      <c r="B5" s="3"/>
      <c r="C5" s="2"/>
      <c r="D5" s="2"/>
      <c r="E5" s="2"/>
      <c r="F5" s="2"/>
      <c r="G5" s="2"/>
      <c r="H5" s="2"/>
      <c r="I5" s="2"/>
      <c r="J5" s="2"/>
      <c r="K5" s="2"/>
      <c r="M5" s="2"/>
      <c r="N5" s="2"/>
      <c r="O5" s="2"/>
      <c r="P5" s="2"/>
      <c r="Q5" s="2"/>
    </row>
    <row r="6" spans="1:17" ht="14.4" customHeight="1" x14ac:dyDescent="0.3">
      <c r="A6" s="133" t="s">
        <v>89</v>
      </c>
      <c r="B6" s="134"/>
      <c r="C6" s="8">
        <f>SUM(C7:C8)</f>
        <v>139</v>
      </c>
      <c r="D6" s="8">
        <f>SUM(D7:D8)</f>
        <v>179.5</v>
      </c>
      <c r="E6" s="8"/>
      <c r="F6" s="8"/>
      <c r="G6" s="40">
        <f>SUM(G7:G8)</f>
        <v>11232000</v>
      </c>
      <c r="H6" s="20"/>
      <c r="I6" s="20">
        <f>G6-H6</f>
        <v>11232000</v>
      </c>
      <c r="J6" s="40">
        <f>SUM(J7:J8)</f>
        <v>11793600</v>
      </c>
      <c r="K6" s="40">
        <f>SUM(K7:K8)</f>
        <v>44522600</v>
      </c>
      <c r="L6" s="34" t="e">
        <f>#REF!+#REF!+#REF!+#REF!+#REF!+#REF!+#REF!+#REF!+#REF!+#REF!+#REF!+#REF!+#REF!+#REF!+#REF!+#REF!+#REF!+#REF!+#REF!+#REF!</f>
        <v>#REF!</v>
      </c>
      <c r="M6" s="40">
        <f>SUM(M7:M8)</f>
        <v>16224000</v>
      </c>
      <c r="N6" s="40">
        <f>SUM(N7:N8)</f>
        <v>13728000</v>
      </c>
      <c r="O6" s="40">
        <f>SUM(O7:O8)</f>
        <v>13944000</v>
      </c>
      <c r="P6" s="40">
        <f>SUM(P7:P8)</f>
        <v>-2717500</v>
      </c>
      <c r="Q6" s="40">
        <f>SUM(Q7:Q8)</f>
        <v>-3538185</v>
      </c>
    </row>
    <row r="7" spans="1:17" ht="28.2" x14ac:dyDescent="0.3">
      <c r="A7" s="4"/>
      <c r="B7" s="5" t="s">
        <v>149</v>
      </c>
      <c r="C7" s="9">
        <v>36</v>
      </c>
      <c r="D7" s="9">
        <v>52</v>
      </c>
      <c r="E7" s="19">
        <f>8125*2*1.6</f>
        <v>26000</v>
      </c>
      <c r="F7" s="19">
        <v>27300</v>
      </c>
      <c r="G7" s="19">
        <f>E7*C7*12</f>
        <v>11232000</v>
      </c>
      <c r="H7" s="19"/>
      <c r="I7" s="19"/>
      <c r="J7" s="19">
        <f>F7*C7*12</f>
        <v>11793600</v>
      </c>
      <c r="K7" s="19">
        <v>11226500</v>
      </c>
      <c r="M7" s="19">
        <f>D7*E7*12</f>
        <v>16224000</v>
      </c>
      <c r="N7" s="19">
        <f>(C7*8125*2*1.6*12)+((D7-C7)*26000/2)*12</f>
        <v>13728000</v>
      </c>
      <c r="O7" s="19">
        <f>(C7*8125*2*1.6*12)+((D7-C7)*26000/2)*12+(6000*C7)</f>
        <v>13944000</v>
      </c>
      <c r="P7" s="19">
        <f>K7-O7</f>
        <v>-2717500</v>
      </c>
      <c r="Q7" s="19">
        <f>P7*1.302</f>
        <v>-3538185</v>
      </c>
    </row>
    <row r="8" spans="1:17" x14ac:dyDescent="0.3">
      <c r="A8" s="4"/>
      <c r="B8" s="5" t="s">
        <v>150</v>
      </c>
      <c r="C8" s="9">
        <f>112.59-9.59</f>
        <v>103</v>
      </c>
      <c r="D8" s="9">
        <f>137.09-9.59</f>
        <v>127.5</v>
      </c>
      <c r="E8" s="19"/>
      <c r="F8" s="19"/>
      <c r="G8" s="19">
        <f>E8*C8*12</f>
        <v>0</v>
      </c>
      <c r="H8" s="19"/>
      <c r="I8" s="19"/>
      <c r="J8" s="19">
        <f>F8*C8*12</f>
        <v>0</v>
      </c>
      <c r="K8" s="19">
        <v>33296100</v>
      </c>
      <c r="M8" s="19">
        <f>D8*E8*12</f>
        <v>0</v>
      </c>
      <c r="N8" s="19"/>
      <c r="O8" s="19"/>
      <c r="P8" s="19"/>
      <c r="Q8" s="19"/>
    </row>
    <row r="10" spans="1:17" ht="14.4" customHeight="1" x14ac:dyDescent="0.3"/>
    <row r="11" spans="1:17" ht="14.4" customHeight="1" x14ac:dyDescent="0.3"/>
    <row r="26" ht="14.4" customHeight="1" x14ac:dyDescent="0.3"/>
    <row r="27" ht="14.4" customHeight="1" x14ac:dyDescent="0.3"/>
    <row r="33" ht="14.4" customHeight="1" x14ac:dyDescent="0.3"/>
    <row r="38" ht="14.4" customHeight="1" x14ac:dyDescent="0.3"/>
    <row r="39" ht="14.4" customHeight="1" x14ac:dyDescent="0.3"/>
    <row r="54" ht="14.4" customHeight="1" x14ac:dyDescent="0.3"/>
    <row r="55" ht="14.4" customHeight="1" x14ac:dyDescent="0.3"/>
    <row r="61" ht="14.4" customHeight="1" x14ac:dyDescent="0.3"/>
    <row r="66" ht="14.4" customHeight="1" x14ac:dyDescent="0.3"/>
    <row r="67" ht="14.4" customHeight="1" x14ac:dyDescent="0.3"/>
    <row r="82" ht="14.4" customHeight="1" x14ac:dyDescent="0.3"/>
    <row r="83" ht="14.4" customHeight="1" x14ac:dyDescent="0.3"/>
    <row r="89" ht="14.4" customHeight="1" x14ac:dyDescent="0.3"/>
    <row r="94" ht="14.4" customHeight="1" x14ac:dyDescent="0.3"/>
    <row r="95" ht="14.4" customHeight="1" x14ac:dyDescent="0.3"/>
    <row r="110" ht="14.4" customHeight="1" x14ac:dyDescent="0.3"/>
    <row r="111" ht="14.4" customHeight="1" x14ac:dyDescent="0.3"/>
    <row r="117" ht="14.4" customHeight="1" x14ac:dyDescent="0.3"/>
    <row r="122" ht="14.4" customHeight="1" x14ac:dyDescent="0.3"/>
    <row r="123" ht="14.4" customHeight="1" x14ac:dyDescent="0.3"/>
    <row r="138" ht="14.4" customHeight="1" x14ac:dyDescent="0.3"/>
    <row r="139" ht="14.4" customHeight="1" x14ac:dyDescent="0.3"/>
    <row r="145" ht="14.4" customHeight="1" x14ac:dyDescent="0.3"/>
  </sheetData>
  <mergeCells count="1">
    <mergeCell ref="A6:B6"/>
  </mergeCells>
  <pageMargins left="0.7" right="0.7" top="0.75" bottom="0.75" header="0.3" footer="0.3"/>
  <legacy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250"/>
  <sheetViews>
    <sheetView workbookViewId="0">
      <pane ySplit="2" topLeftCell="A174" activePane="bottomLeft" state="frozen"/>
      <selection pane="bottomLeft" activeCell="K227" sqref="K227"/>
    </sheetView>
  </sheetViews>
  <sheetFormatPr defaultRowHeight="13.2" x14ac:dyDescent="0.25"/>
  <cols>
    <col min="1" max="1" width="41.109375" style="11" customWidth="1"/>
    <col min="2" max="3" width="11.109375" style="11" customWidth="1"/>
    <col min="4" max="4" width="16.88671875" style="11" customWidth="1"/>
    <col min="5" max="5" width="15.33203125" style="11" customWidth="1"/>
    <col min="6" max="6" width="16" style="11" customWidth="1"/>
    <col min="7" max="7" width="18.33203125" style="11" customWidth="1"/>
    <col min="8" max="8" width="16" style="11" customWidth="1"/>
    <col min="9" max="9" width="18.33203125" style="11" customWidth="1"/>
    <col min="10" max="10" width="14.6640625" style="11" bestFit="1" customWidth="1"/>
    <col min="11" max="11" width="17.5546875" style="11" bestFit="1" customWidth="1"/>
    <col min="12" max="12" width="14.88671875" style="11" bestFit="1" customWidth="1"/>
    <col min="13" max="256" width="9.109375" style="11"/>
    <col min="257" max="257" width="37.33203125" style="11" customWidth="1"/>
    <col min="258" max="262" width="16.88671875" style="11" customWidth="1"/>
    <col min="263" max="263" width="20.5546875" style="11" customWidth="1"/>
    <col min="264" max="264" width="16.88671875" style="11" customWidth="1"/>
    <col min="265" max="265" width="20.88671875" style="11" customWidth="1"/>
    <col min="266" max="512" width="9.109375" style="11"/>
    <col min="513" max="513" width="37.33203125" style="11" customWidth="1"/>
    <col min="514" max="518" width="16.88671875" style="11" customWidth="1"/>
    <col min="519" max="519" width="20.5546875" style="11" customWidth="1"/>
    <col min="520" max="520" width="16.88671875" style="11" customWidth="1"/>
    <col min="521" max="521" width="20.88671875" style="11" customWidth="1"/>
    <col min="522" max="768" width="9.109375" style="11"/>
    <col min="769" max="769" width="37.33203125" style="11" customWidth="1"/>
    <col min="770" max="774" width="16.88671875" style="11" customWidth="1"/>
    <col min="775" max="775" width="20.5546875" style="11" customWidth="1"/>
    <col min="776" max="776" width="16.88671875" style="11" customWidth="1"/>
    <col min="777" max="777" width="20.88671875" style="11" customWidth="1"/>
    <col min="778" max="1024" width="9.109375" style="11"/>
    <col min="1025" max="1025" width="37.33203125" style="11" customWidth="1"/>
    <col min="1026" max="1030" width="16.88671875" style="11" customWidth="1"/>
    <col min="1031" max="1031" width="20.5546875" style="11" customWidth="1"/>
    <col min="1032" max="1032" width="16.88671875" style="11" customWidth="1"/>
    <col min="1033" max="1033" width="20.88671875" style="11" customWidth="1"/>
    <col min="1034" max="1280" width="9.109375" style="11"/>
    <col min="1281" max="1281" width="37.33203125" style="11" customWidth="1"/>
    <col min="1282" max="1286" width="16.88671875" style="11" customWidth="1"/>
    <col min="1287" max="1287" width="20.5546875" style="11" customWidth="1"/>
    <col min="1288" max="1288" width="16.88671875" style="11" customWidth="1"/>
    <col min="1289" max="1289" width="20.88671875" style="11" customWidth="1"/>
    <col min="1290" max="1536" width="9.109375" style="11"/>
    <col min="1537" max="1537" width="37.33203125" style="11" customWidth="1"/>
    <col min="1538" max="1542" width="16.88671875" style="11" customWidth="1"/>
    <col min="1543" max="1543" width="20.5546875" style="11" customWidth="1"/>
    <col min="1544" max="1544" width="16.88671875" style="11" customWidth="1"/>
    <col min="1545" max="1545" width="20.88671875" style="11" customWidth="1"/>
    <col min="1546" max="1792" width="9.109375" style="11"/>
    <col min="1793" max="1793" width="37.33203125" style="11" customWidth="1"/>
    <col min="1794" max="1798" width="16.88671875" style="11" customWidth="1"/>
    <col min="1799" max="1799" width="20.5546875" style="11" customWidth="1"/>
    <col min="1800" max="1800" width="16.88671875" style="11" customWidth="1"/>
    <col min="1801" max="1801" width="20.88671875" style="11" customWidth="1"/>
    <col min="1802" max="2048" width="9.109375" style="11"/>
    <col min="2049" max="2049" width="37.33203125" style="11" customWidth="1"/>
    <col min="2050" max="2054" width="16.88671875" style="11" customWidth="1"/>
    <col min="2055" max="2055" width="20.5546875" style="11" customWidth="1"/>
    <col min="2056" max="2056" width="16.88671875" style="11" customWidth="1"/>
    <col min="2057" max="2057" width="20.88671875" style="11" customWidth="1"/>
    <col min="2058" max="2304" width="9.109375" style="11"/>
    <col min="2305" max="2305" width="37.33203125" style="11" customWidth="1"/>
    <col min="2306" max="2310" width="16.88671875" style="11" customWidth="1"/>
    <col min="2311" max="2311" width="20.5546875" style="11" customWidth="1"/>
    <col min="2312" max="2312" width="16.88671875" style="11" customWidth="1"/>
    <col min="2313" max="2313" width="20.88671875" style="11" customWidth="1"/>
    <col min="2314" max="2560" width="9.109375" style="11"/>
    <col min="2561" max="2561" width="37.33203125" style="11" customWidth="1"/>
    <col min="2562" max="2566" width="16.88671875" style="11" customWidth="1"/>
    <col min="2567" max="2567" width="20.5546875" style="11" customWidth="1"/>
    <col min="2568" max="2568" width="16.88671875" style="11" customWidth="1"/>
    <col min="2569" max="2569" width="20.88671875" style="11" customWidth="1"/>
    <col min="2570" max="2816" width="9.109375" style="11"/>
    <col min="2817" max="2817" width="37.33203125" style="11" customWidth="1"/>
    <col min="2818" max="2822" width="16.88671875" style="11" customWidth="1"/>
    <col min="2823" max="2823" width="20.5546875" style="11" customWidth="1"/>
    <col min="2824" max="2824" width="16.88671875" style="11" customWidth="1"/>
    <col min="2825" max="2825" width="20.88671875" style="11" customWidth="1"/>
    <col min="2826" max="3072" width="9.109375" style="11"/>
    <col min="3073" max="3073" width="37.33203125" style="11" customWidth="1"/>
    <col min="3074" max="3078" width="16.88671875" style="11" customWidth="1"/>
    <col min="3079" max="3079" width="20.5546875" style="11" customWidth="1"/>
    <col min="3080" max="3080" width="16.88671875" style="11" customWidth="1"/>
    <col min="3081" max="3081" width="20.88671875" style="11" customWidth="1"/>
    <col min="3082" max="3328" width="9.109375" style="11"/>
    <col min="3329" max="3329" width="37.33203125" style="11" customWidth="1"/>
    <col min="3330" max="3334" width="16.88671875" style="11" customWidth="1"/>
    <col min="3335" max="3335" width="20.5546875" style="11" customWidth="1"/>
    <col min="3336" max="3336" width="16.88671875" style="11" customWidth="1"/>
    <col min="3337" max="3337" width="20.88671875" style="11" customWidth="1"/>
    <col min="3338" max="3584" width="9.109375" style="11"/>
    <col min="3585" max="3585" width="37.33203125" style="11" customWidth="1"/>
    <col min="3586" max="3590" width="16.88671875" style="11" customWidth="1"/>
    <col min="3591" max="3591" width="20.5546875" style="11" customWidth="1"/>
    <col min="3592" max="3592" width="16.88671875" style="11" customWidth="1"/>
    <col min="3593" max="3593" width="20.88671875" style="11" customWidth="1"/>
    <col min="3594" max="3840" width="9.109375" style="11"/>
    <col min="3841" max="3841" width="37.33203125" style="11" customWidth="1"/>
    <col min="3842" max="3846" width="16.88671875" style="11" customWidth="1"/>
    <col min="3847" max="3847" width="20.5546875" style="11" customWidth="1"/>
    <col min="3848" max="3848" width="16.88671875" style="11" customWidth="1"/>
    <col min="3849" max="3849" width="20.88671875" style="11" customWidth="1"/>
    <col min="3850" max="4096" width="9.109375" style="11"/>
    <col min="4097" max="4097" width="37.33203125" style="11" customWidth="1"/>
    <col min="4098" max="4102" width="16.88671875" style="11" customWidth="1"/>
    <col min="4103" max="4103" width="20.5546875" style="11" customWidth="1"/>
    <col min="4104" max="4104" width="16.88671875" style="11" customWidth="1"/>
    <col min="4105" max="4105" width="20.88671875" style="11" customWidth="1"/>
    <col min="4106" max="4352" width="9.109375" style="11"/>
    <col min="4353" max="4353" width="37.33203125" style="11" customWidth="1"/>
    <col min="4354" max="4358" width="16.88671875" style="11" customWidth="1"/>
    <col min="4359" max="4359" width="20.5546875" style="11" customWidth="1"/>
    <col min="4360" max="4360" width="16.88671875" style="11" customWidth="1"/>
    <col min="4361" max="4361" width="20.88671875" style="11" customWidth="1"/>
    <col min="4362" max="4608" width="9.109375" style="11"/>
    <col min="4609" max="4609" width="37.33203125" style="11" customWidth="1"/>
    <col min="4610" max="4614" width="16.88671875" style="11" customWidth="1"/>
    <col min="4615" max="4615" width="20.5546875" style="11" customWidth="1"/>
    <col min="4616" max="4616" width="16.88671875" style="11" customWidth="1"/>
    <col min="4617" max="4617" width="20.88671875" style="11" customWidth="1"/>
    <col min="4618" max="4864" width="9.109375" style="11"/>
    <col min="4865" max="4865" width="37.33203125" style="11" customWidth="1"/>
    <col min="4866" max="4870" width="16.88671875" style="11" customWidth="1"/>
    <col min="4871" max="4871" width="20.5546875" style="11" customWidth="1"/>
    <col min="4872" max="4872" width="16.88671875" style="11" customWidth="1"/>
    <col min="4873" max="4873" width="20.88671875" style="11" customWidth="1"/>
    <col min="4874" max="5120" width="9.109375" style="11"/>
    <col min="5121" max="5121" width="37.33203125" style="11" customWidth="1"/>
    <col min="5122" max="5126" width="16.88671875" style="11" customWidth="1"/>
    <col min="5127" max="5127" width="20.5546875" style="11" customWidth="1"/>
    <col min="5128" max="5128" width="16.88671875" style="11" customWidth="1"/>
    <col min="5129" max="5129" width="20.88671875" style="11" customWidth="1"/>
    <col min="5130" max="5376" width="9.109375" style="11"/>
    <col min="5377" max="5377" width="37.33203125" style="11" customWidth="1"/>
    <col min="5378" max="5382" width="16.88671875" style="11" customWidth="1"/>
    <col min="5383" max="5383" width="20.5546875" style="11" customWidth="1"/>
    <col min="5384" max="5384" width="16.88671875" style="11" customWidth="1"/>
    <col min="5385" max="5385" width="20.88671875" style="11" customWidth="1"/>
    <col min="5386" max="5632" width="9.109375" style="11"/>
    <col min="5633" max="5633" width="37.33203125" style="11" customWidth="1"/>
    <col min="5634" max="5638" width="16.88671875" style="11" customWidth="1"/>
    <col min="5639" max="5639" width="20.5546875" style="11" customWidth="1"/>
    <col min="5640" max="5640" width="16.88671875" style="11" customWidth="1"/>
    <col min="5641" max="5641" width="20.88671875" style="11" customWidth="1"/>
    <col min="5642" max="5888" width="9.109375" style="11"/>
    <col min="5889" max="5889" width="37.33203125" style="11" customWidth="1"/>
    <col min="5890" max="5894" width="16.88671875" style="11" customWidth="1"/>
    <col min="5895" max="5895" width="20.5546875" style="11" customWidth="1"/>
    <col min="5896" max="5896" width="16.88671875" style="11" customWidth="1"/>
    <col min="5897" max="5897" width="20.88671875" style="11" customWidth="1"/>
    <col min="5898" max="6144" width="9.109375" style="11"/>
    <col min="6145" max="6145" width="37.33203125" style="11" customWidth="1"/>
    <col min="6146" max="6150" width="16.88671875" style="11" customWidth="1"/>
    <col min="6151" max="6151" width="20.5546875" style="11" customWidth="1"/>
    <col min="6152" max="6152" width="16.88671875" style="11" customWidth="1"/>
    <col min="6153" max="6153" width="20.88671875" style="11" customWidth="1"/>
    <col min="6154" max="6400" width="9.109375" style="11"/>
    <col min="6401" max="6401" width="37.33203125" style="11" customWidth="1"/>
    <col min="6402" max="6406" width="16.88671875" style="11" customWidth="1"/>
    <col min="6407" max="6407" width="20.5546875" style="11" customWidth="1"/>
    <col min="6408" max="6408" width="16.88671875" style="11" customWidth="1"/>
    <col min="6409" max="6409" width="20.88671875" style="11" customWidth="1"/>
    <col min="6410" max="6656" width="9.109375" style="11"/>
    <col min="6657" max="6657" width="37.33203125" style="11" customWidth="1"/>
    <col min="6658" max="6662" width="16.88671875" style="11" customWidth="1"/>
    <col min="6663" max="6663" width="20.5546875" style="11" customWidth="1"/>
    <col min="6664" max="6664" width="16.88671875" style="11" customWidth="1"/>
    <col min="6665" max="6665" width="20.88671875" style="11" customWidth="1"/>
    <col min="6666" max="6912" width="9.109375" style="11"/>
    <col min="6913" max="6913" width="37.33203125" style="11" customWidth="1"/>
    <col min="6914" max="6918" width="16.88671875" style="11" customWidth="1"/>
    <col min="6919" max="6919" width="20.5546875" style="11" customWidth="1"/>
    <col min="6920" max="6920" width="16.88671875" style="11" customWidth="1"/>
    <col min="6921" max="6921" width="20.88671875" style="11" customWidth="1"/>
    <col min="6922" max="7168" width="9.109375" style="11"/>
    <col min="7169" max="7169" width="37.33203125" style="11" customWidth="1"/>
    <col min="7170" max="7174" width="16.88671875" style="11" customWidth="1"/>
    <col min="7175" max="7175" width="20.5546875" style="11" customWidth="1"/>
    <col min="7176" max="7176" width="16.88671875" style="11" customWidth="1"/>
    <col min="7177" max="7177" width="20.88671875" style="11" customWidth="1"/>
    <col min="7178" max="7424" width="9.109375" style="11"/>
    <col min="7425" max="7425" width="37.33203125" style="11" customWidth="1"/>
    <col min="7426" max="7430" width="16.88671875" style="11" customWidth="1"/>
    <col min="7431" max="7431" width="20.5546875" style="11" customWidth="1"/>
    <col min="7432" max="7432" width="16.88671875" style="11" customWidth="1"/>
    <col min="7433" max="7433" width="20.88671875" style="11" customWidth="1"/>
    <col min="7434" max="7680" width="9.109375" style="11"/>
    <col min="7681" max="7681" width="37.33203125" style="11" customWidth="1"/>
    <col min="7682" max="7686" width="16.88671875" style="11" customWidth="1"/>
    <col min="7687" max="7687" width="20.5546875" style="11" customWidth="1"/>
    <col min="7688" max="7688" width="16.88671875" style="11" customWidth="1"/>
    <col min="7689" max="7689" width="20.88671875" style="11" customWidth="1"/>
    <col min="7690" max="7936" width="9.109375" style="11"/>
    <col min="7937" max="7937" width="37.33203125" style="11" customWidth="1"/>
    <col min="7938" max="7942" width="16.88671875" style="11" customWidth="1"/>
    <col min="7943" max="7943" width="20.5546875" style="11" customWidth="1"/>
    <col min="7944" max="7944" width="16.88671875" style="11" customWidth="1"/>
    <col min="7945" max="7945" width="20.88671875" style="11" customWidth="1"/>
    <col min="7946" max="8192" width="9.109375" style="11"/>
    <col min="8193" max="8193" width="37.33203125" style="11" customWidth="1"/>
    <col min="8194" max="8198" width="16.88671875" style="11" customWidth="1"/>
    <col min="8199" max="8199" width="20.5546875" style="11" customWidth="1"/>
    <col min="8200" max="8200" width="16.88671875" style="11" customWidth="1"/>
    <col min="8201" max="8201" width="20.88671875" style="11" customWidth="1"/>
    <col min="8202" max="8448" width="9.109375" style="11"/>
    <col min="8449" max="8449" width="37.33203125" style="11" customWidth="1"/>
    <col min="8450" max="8454" width="16.88671875" style="11" customWidth="1"/>
    <col min="8455" max="8455" width="20.5546875" style="11" customWidth="1"/>
    <col min="8456" max="8456" width="16.88671875" style="11" customWidth="1"/>
    <col min="8457" max="8457" width="20.88671875" style="11" customWidth="1"/>
    <col min="8458" max="8704" width="9.109375" style="11"/>
    <col min="8705" max="8705" width="37.33203125" style="11" customWidth="1"/>
    <col min="8706" max="8710" width="16.88671875" style="11" customWidth="1"/>
    <col min="8711" max="8711" width="20.5546875" style="11" customWidth="1"/>
    <col min="8712" max="8712" width="16.88671875" style="11" customWidth="1"/>
    <col min="8713" max="8713" width="20.88671875" style="11" customWidth="1"/>
    <col min="8714" max="8960" width="9.109375" style="11"/>
    <col min="8961" max="8961" width="37.33203125" style="11" customWidth="1"/>
    <col min="8962" max="8966" width="16.88671875" style="11" customWidth="1"/>
    <col min="8967" max="8967" width="20.5546875" style="11" customWidth="1"/>
    <col min="8968" max="8968" width="16.88671875" style="11" customWidth="1"/>
    <col min="8969" max="8969" width="20.88671875" style="11" customWidth="1"/>
    <col min="8970" max="9216" width="9.109375" style="11"/>
    <col min="9217" max="9217" width="37.33203125" style="11" customWidth="1"/>
    <col min="9218" max="9222" width="16.88671875" style="11" customWidth="1"/>
    <col min="9223" max="9223" width="20.5546875" style="11" customWidth="1"/>
    <col min="9224" max="9224" width="16.88671875" style="11" customWidth="1"/>
    <col min="9225" max="9225" width="20.88671875" style="11" customWidth="1"/>
    <col min="9226" max="9472" width="9.109375" style="11"/>
    <col min="9473" max="9473" width="37.33203125" style="11" customWidth="1"/>
    <col min="9474" max="9478" width="16.88671875" style="11" customWidth="1"/>
    <col min="9479" max="9479" width="20.5546875" style="11" customWidth="1"/>
    <col min="9480" max="9480" width="16.88671875" style="11" customWidth="1"/>
    <col min="9481" max="9481" width="20.88671875" style="11" customWidth="1"/>
    <col min="9482" max="9728" width="9.109375" style="11"/>
    <col min="9729" max="9729" width="37.33203125" style="11" customWidth="1"/>
    <col min="9730" max="9734" width="16.88671875" style="11" customWidth="1"/>
    <col min="9735" max="9735" width="20.5546875" style="11" customWidth="1"/>
    <col min="9736" max="9736" width="16.88671875" style="11" customWidth="1"/>
    <col min="9737" max="9737" width="20.88671875" style="11" customWidth="1"/>
    <col min="9738" max="9984" width="9.109375" style="11"/>
    <col min="9985" max="9985" width="37.33203125" style="11" customWidth="1"/>
    <col min="9986" max="9990" width="16.88671875" style="11" customWidth="1"/>
    <col min="9991" max="9991" width="20.5546875" style="11" customWidth="1"/>
    <col min="9992" max="9992" width="16.88671875" style="11" customWidth="1"/>
    <col min="9993" max="9993" width="20.88671875" style="11" customWidth="1"/>
    <col min="9994" max="10240" width="9.109375" style="11"/>
    <col min="10241" max="10241" width="37.33203125" style="11" customWidth="1"/>
    <col min="10242" max="10246" width="16.88671875" style="11" customWidth="1"/>
    <col min="10247" max="10247" width="20.5546875" style="11" customWidth="1"/>
    <col min="10248" max="10248" width="16.88671875" style="11" customWidth="1"/>
    <col min="10249" max="10249" width="20.88671875" style="11" customWidth="1"/>
    <col min="10250" max="10496" width="9.109375" style="11"/>
    <col min="10497" max="10497" width="37.33203125" style="11" customWidth="1"/>
    <col min="10498" max="10502" width="16.88671875" style="11" customWidth="1"/>
    <col min="10503" max="10503" width="20.5546875" style="11" customWidth="1"/>
    <col min="10504" max="10504" width="16.88671875" style="11" customWidth="1"/>
    <col min="10505" max="10505" width="20.88671875" style="11" customWidth="1"/>
    <col min="10506" max="10752" width="9.109375" style="11"/>
    <col min="10753" max="10753" width="37.33203125" style="11" customWidth="1"/>
    <col min="10754" max="10758" width="16.88671875" style="11" customWidth="1"/>
    <col min="10759" max="10759" width="20.5546875" style="11" customWidth="1"/>
    <col min="10760" max="10760" width="16.88671875" style="11" customWidth="1"/>
    <col min="10761" max="10761" width="20.88671875" style="11" customWidth="1"/>
    <col min="10762" max="11008" width="9.109375" style="11"/>
    <col min="11009" max="11009" width="37.33203125" style="11" customWidth="1"/>
    <col min="11010" max="11014" width="16.88671875" style="11" customWidth="1"/>
    <col min="11015" max="11015" width="20.5546875" style="11" customWidth="1"/>
    <col min="11016" max="11016" width="16.88671875" style="11" customWidth="1"/>
    <col min="11017" max="11017" width="20.88671875" style="11" customWidth="1"/>
    <col min="11018" max="11264" width="9.109375" style="11"/>
    <col min="11265" max="11265" width="37.33203125" style="11" customWidth="1"/>
    <col min="11266" max="11270" width="16.88671875" style="11" customWidth="1"/>
    <col min="11271" max="11271" width="20.5546875" style="11" customWidth="1"/>
    <col min="11272" max="11272" width="16.88671875" style="11" customWidth="1"/>
    <col min="11273" max="11273" width="20.88671875" style="11" customWidth="1"/>
    <col min="11274" max="11520" width="9.109375" style="11"/>
    <col min="11521" max="11521" width="37.33203125" style="11" customWidth="1"/>
    <col min="11522" max="11526" width="16.88671875" style="11" customWidth="1"/>
    <col min="11527" max="11527" width="20.5546875" style="11" customWidth="1"/>
    <col min="11528" max="11528" width="16.88671875" style="11" customWidth="1"/>
    <col min="11529" max="11529" width="20.88671875" style="11" customWidth="1"/>
    <col min="11530" max="11776" width="9.109375" style="11"/>
    <col min="11777" max="11777" width="37.33203125" style="11" customWidth="1"/>
    <col min="11778" max="11782" width="16.88671875" style="11" customWidth="1"/>
    <col min="11783" max="11783" width="20.5546875" style="11" customWidth="1"/>
    <col min="11784" max="11784" width="16.88671875" style="11" customWidth="1"/>
    <col min="11785" max="11785" width="20.88671875" style="11" customWidth="1"/>
    <col min="11786" max="12032" width="9.109375" style="11"/>
    <col min="12033" max="12033" width="37.33203125" style="11" customWidth="1"/>
    <col min="12034" max="12038" width="16.88671875" style="11" customWidth="1"/>
    <col min="12039" max="12039" width="20.5546875" style="11" customWidth="1"/>
    <col min="12040" max="12040" width="16.88671875" style="11" customWidth="1"/>
    <col min="12041" max="12041" width="20.88671875" style="11" customWidth="1"/>
    <col min="12042" max="12288" width="9.109375" style="11"/>
    <col min="12289" max="12289" width="37.33203125" style="11" customWidth="1"/>
    <col min="12290" max="12294" width="16.88671875" style="11" customWidth="1"/>
    <col min="12295" max="12295" width="20.5546875" style="11" customWidth="1"/>
    <col min="12296" max="12296" width="16.88671875" style="11" customWidth="1"/>
    <col min="12297" max="12297" width="20.88671875" style="11" customWidth="1"/>
    <col min="12298" max="12544" width="9.109375" style="11"/>
    <col min="12545" max="12545" width="37.33203125" style="11" customWidth="1"/>
    <col min="12546" max="12550" width="16.88671875" style="11" customWidth="1"/>
    <col min="12551" max="12551" width="20.5546875" style="11" customWidth="1"/>
    <col min="12552" max="12552" width="16.88671875" style="11" customWidth="1"/>
    <col min="12553" max="12553" width="20.88671875" style="11" customWidth="1"/>
    <col min="12554" max="12800" width="9.109375" style="11"/>
    <col min="12801" max="12801" width="37.33203125" style="11" customWidth="1"/>
    <col min="12802" max="12806" width="16.88671875" style="11" customWidth="1"/>
    <col min="12807" max="12807" width="20.5546875" style="11" customWidth="1"/>
    <col min="12808" max="12808" width="16.88671875" style="11" customWidth="1"/>
    <col min="12809" max="12809" width="20.88671875" style="11" customWidth="1"/>
    <col min="12810" max="13056" width="9.109375" style="11"/>
    <col min="13057" max="13057" width="37.33203125" style="11" customWidth="1"/>
    <col min="13058" max="13062" width="16.88671875" style="11" customWidth="1"/>
    <col min="13063" max="13063" width="20.5546875" style="11" customWidth="1"/>
    <col min="13064" max="13064" width="16.88671875" style="11" customWidth="1"/>
    <col min="13065" max="13065" width="20.88671875" style="11" customWidth="1"/>
    <col min="13066" max="13312" width="9.109375" style="11"/>
    <col min="13313" max="13313" width="37.33203125" style="11" customWidth="1"/>
    <col min="13314" max="13318" width="16.88671875" style="11" customWidth="1"/>
    <col min="13319" max="13319" width="20.5546875" style="11" customWidth="1"/>
    <col min="13320" max="13320" width="16.88671875" style="11" customWidth="1"/>
    <col min="13321" max="13321" width="20.88671875" style="11" customWidth="1"/>
    <col min="13322" max="13568" width="9.109375" style="11"/>
    <col min="13569" max="13569" width="37.33203125" style="11" customWidth="1"/>
    <col min="13570" max="13574" width="16.88671875" style="11" customWidth="1"/>
    <col min="13575" max="13575" width="20.5546875" style="11" customWidth="1"/>
    <col min="13576" max="13576" width="16.88671875" style="11" customWidth="1"/>
    <col min="13577" max="13577" width="20.88671875" style="11" customWidth="1"/>
    <col min="13578" max="13824" width="9.109375" style="11"/>
    <col min="13825" max="13825" width="37.33203125" style="11" customWidth="1"/>
    <col min="13826" max="13830" width="16.88671875" style="11" customWidth="1"/>
    <col min="13831" max="13831" width="20.5546875" style="11" customWidth="1"/>
    <col min="13832" max="13832" width="16.88671875" style="11" customWidth="1"/>
    <col min="13833" max="13833" width="20.88671875" style="11" customWidth="1"/>
    <col min="13834" max="14080" width="9.109375" style="11"/>
    <col min="14081" max="14081" width="37.33203125" style="11" customWidth="1"/>
    <col min="14082" max="14086" width="16.88671875" style="11" customWidth="1"/>
    <col min="14087" max="14087" width="20.5546875" style="11" customWidth="1"/>
    <col min="14088" max="14088" width="16.88671875" style="11" customWidth="1"/>
    <col min="14089" max="14089" width="20.88671875" style="11" customWidth="1"/>
    <col min="14090" max="14336" width="9.109375" style="11"/>
    <col min="14337" max="14337" width="37.33203125" style="11" customWidth="1"/>
    <col min="14338" max="14342" width="16.88671875" style="11" customWidth="1"/>
    <col min="14343" max="14343" width="20.5546875" style="11" customWidth="1"/>
    <col min="14344" max="14344" width="16.88671875" style="11" customWidth="1"/>
    <col min="14345" max="14345" width="20.88671875" style="11" customWidth="1"/>
    <col min="14346" max="14592" width="9.109375" style="11"/>
    <col min="14593" max="14593" width="37.33203125" style="11" customWidth="1"/>
    <col min="14594" max="14598" width="16.88671875" style="11" customWidth="1"/>
    <col min="14599" max="14599" width="20.5546875" style="11" customWidth="1"/>
    <col min="14600" max="14600" width="16.88671875" style="11" customWidth="1"/>
    <col min="14601" max="14601" width="20.88671875" style="11" customWidth="1"/>
    <col min="14602" max="14848" width="9.109375" style="11"/>
    <col min="14849" max="14849" width="37.33203125" style="11" customWidth="1"/>
    <col min="14850" max="14854" width="16.88671875" style="11" customWidth="1"/>
    <col min="14855" max="14855" width="20.5546875" style="11" customWidth="1"/>
    <col min="14856" max="14856" width="16.88671875" style="11" customWidth="1"/>
    <col min="14857" max="14857" width="20.88671875" style="11" customWidth="1"/>
    <col min="14858" max="15104" width="9.109375" style="11"/>
    <col min="15105" max="15105" width="37.33203125" style="11" customWidth="1"/>
    <col min="15106" max="15110" width="16.88671875" style="11" customWidth="1"/>
    <col min="15111" max="15111" width="20.5546875" style="11" customWidth="1"/>
    <col min="15112" max="15112" width="16.88671875" style="11" customWidth="1"/>
    <col min="15113" max="15113" width="20.88671875" style="11" customWidth="1"/>
    <col min="15114" max="15360" width="9.109375" style="11"/>
    <col min="15361" max="15361" width="37.33203125" style="11" customWidth="1"/>
    <col min="15362" max="15366" width="16.88671875" style="11" customWidth="1"/>
    <col min="15367" max="15367" width="20.5546875" style="11" customWidth="1"/>
    <col min="15368" max="15368" width="16.88671875" style="11" customWidth="1"/>
    <col min="15369" max="15369" width="20.88671875" style="11" customWidth="1"/>
    <col min="15370" max="15616" width="9.109375" style="11"/>
    <col min="15617" max="15617" width="37.33203125" style="11" customWidth="1"/>
    <col min="15618" max="15622" width="16.88671875" style="11" customWidth="1"/>
    <col min="15623" max="15623" width="20.5546875" style="11" customWidth="1"/>
    <col min="15624" max="15624" width="16.88671875" style="11" customWidth="1"/>
    <col min="15625" max="15625" width="20.88671875" style="11" customWidth="1"/>
    <col min="15626" max="15872" width="9.109375" style="11"/>
    <col min="15873" max="15873" width="37.33203125" style="11" customWidth="1"/>
    <col min="15874" max="15878" width="16.88671875" style="11" customWidth="1"/>
    <col min="15879" max="15879" width="20.5546875" style="11" customWidth="1"/>
    <col min="15880" max="15880" width="16.88671875" style="11" customWidth="1"/>
    <col min="15881" max="15881" width="20.88671875" style="11" customWidth="1"/>
    <col min="15882" max="16128" width="9.109375" style="11"/>
    <col min="16129" max="16129" width="37.33203125" style="11" customWidth="1"/>
    <col min="16130" max="16134" width="16.88671875" style="11" customWidth="1"/>
    <col min="16135" max="16135" width="20.5546875" style="11" customWidth="1"/>
    <col min="16136" max="16136" width="16.88671875" style="11" customWidth="1"/>
    <col min="16137" max="16137" width="20.88671875" style="11" customWidth="1"/>
    <col min="16138" max="16384" width="9.109375" style="11"/>
  </cols>
  <sheetData>
    <row r="2" spans="1:13" ht="79.2" x14ac:dyDescent="0.25">
      <c r="A2" s="79" t="s">
        <v>0</v>
      </c>
      <c r="B2" s="79" t="s">
        <v>1</v>
      </c>
      <c r="C2" s="79" t="s">
        <v>2</v>
      </c>
      <c r="D2" s="79" t="s">
        <v>180</v>
      </c>
      <c r="E2" s="79" t="s">
        <v>3</v>
      </c>
      <c r="F2" s="79" t="s">
        <v>214</v>
      </c>
      <c r="G2" s="79" t="s">
        <v>140</v>
      </c>
      <c r="H2" s="79" t="s">
        <v>181</v>
      </c>
      <c r="I2" s="79" t="s">
        <v>5</v>
      </c>
    </row>
    <row r="3" spans="1:13" ht="13.8" x14ac:dyDescent="0.25">
      <c r="A3" s="145" t="s">
        <v>182</v>
      </c>
      <c r="B3" s="145"/>
      <c r="C3" s="145"/>
      <c r="D3" s="145"/>
      <c r="E3" s="145"/>
      <c r="F3" s="145"/>
      <c r="G3" s="145"/>
      <c r="H3" s="145"/>
      <c r="I3" s="145"/>
    </row>
    <row r="4" spans="1:13" ht="13.8" x14ac:dyDescent="0.25">
      <c r="A4" s="84" t="s">
        <v>153</v>
      </c>
      <c r="B4" s="82">
        <v>1</v>
      </c>
      <c r="C4" s="82">
        <v>1</v>
      </c>
      <c r="D4" s="82">
        <v>1</v>
      </c>
      <c r="E4" s="82">
        <v>1</v>
      </c>
      <c r="F4" s="83">
        <v>39360</v>
      </c>
      <c r="G4" s="83">
        <f>E4*F4*12+((C4-E4)*F4/2*12)</f>
        <v>472320</v>
      </c>
      <c r="H4" s="83"/>
      <c r="I4" s="83"/>
      <c r="J4" s="123"/>
    </row>
    <row r="5" spans="1:13" ht="13.8" x14ac:dyDescent="0.25">
      <c r="A5" s="85" t="s">
        <v>33</v>
      </c>
      <c r="B5" s="82">
        <v>0.5</v>
      </c>
      <c r="C5" s="82">
        <v>0.5</v>
      </c>
      <c r="D5" s="82">
        <v>0</v>
      </c>
      <c r="E5" s="82">
        <v>0</v>
      </c>
      <c r="F5" s="83">
        <v>25920</v>
      </c>
      <c r="G5" s="83">
        <f>E5*F5*12+((C5-E5)*F5/2*12)</f>
        <v>77760</v>
      </c>
      <c r="H5" s="83"/>
      <c r="I5" s="83"/>
      <c r="J5" s="123"/>
    </row>
    <row r="6" spans="1:13" ht="26.4" customHeight="1" x14ac:dyDescent="0.25">
      <c r="A6" s="85" t="s">
        <v>155</v>
      </c>
      <c r="B6" s="82">
        <v>0.5</v>
      </c>
      <c r="C6" s="82">
        <v>0.5</v>
      </c>
      <c r="D6" s="82">
        <v>0.5</v>
      </c>
      <c r="E6" s="82">
        <v>0.5</v>
      </c>
      <c r="F6" s="83">
        <v>25920</v>
      </c>
      <c r="G6" s="83">
        <f>E6*F6*12+((C6-E6)*F6/2*12)</f>
        <v>155520</v>
      </c>
      <c r="H6" s="83"/>
      <c r="I6" s="83"/>
      <c r="J6" s="123"/>
    </row>
    <row r="7" spans="1:13" s="98" customFormat="1" ht="16.5" customHeight="1" x14ac:dyDescent="0.25">
      <c r="A7" s="95"/>
      <c r="B7" s="96"/>
      <c r="C7" s="96"/>
      <c r="D7" s="96"/>
      <c r="E7" s="96"/>
      <c r="F7" s="97"/>
      <c r="G7" s="97">
        <f>SUM(G4:G6)</f>
        <v>705600</v>
      </c>
      <c r="H7" s="97">
        <f>G7*30.2%</f>
        <v>213091.19999999998</v>
      </c>
      <c r="I7" s="97">
        <f>G7+H7</f>
        <v>918691.2</v>
      </c>
      <c r="K7" s="99">
        <f>I7+I15+I90+I106+I115+I126+I139+I146+I175</f>
        <v>46055518.258175999</v>
      </c>
      <c r="L7" s="100" t="s">
        <v>135</v>
      </c>
    </row>
    <row r="8" spans="1:13" s="91" customFormat="1" ht="24" customHeight="1" x14ac:dyDescent="0.25">
      <c r="A8" s="101" t="s">
        <v>156</v>
      </c>
      <c r="B8" s="88">
        <v>0.5</v>
      </c>
      <c r="C8" s="88">
        <v>0.5</v>
      </c>
      <c r="D8" s="88">
        <v>0</v>
      </c>
      <c r="E8" s="88">
        <v>0</v>
      </c>
      <c r="F8" s="90">
        <v>24480</v>
      </c>
      <c r="G8" s="90">
        <f>E8*F8*12+((C8-E8)*F8/2*12)</f>
        <v>73440</v>
      </c>
      <c r="H8" s="90"/>
      <c r="I8" s="90"/>
      <c r="K8" s="102">
        <f>G7+G15+G90+G106+G115+G126+G141+G146+G175+G188</f>
        <v>44295935.088</v>
      </c>
      <c r="L8" s="100">
        <v>211</v>
      </c>
      <c r="M8" s="91" t="s">
        <v>183</v>
      </c>
    </row>
    <row r="9" spans="1:13" ht="13.8" x14ac:dyDescent="0.25">
      <c r="A9" s="84"/>
      <c r="B9" s="82"/>
      <c r="C9" s="82"/>
      <c r="D9" s="82"/>
      <c r="E9" s="82"/>
      <c r="F9" s="83"/>
      <c r="G9" s="97"/>
      <c r="H9" s="97"/>
      <c r="I9" s="97"/>
    </row>
    <row r="10" spans="1:13" ht="13.8" x14ac:dyDescent="0.25">
      <c r="A10" s="142" t="s">
        <v>184</v>
      </c>
      <c r="B10" s="143"/>
      <c r="C10" s="143"/>
      <c r="D10" s="143"/>
      <c r="E10" s="143"/>
      <c r="F10" s="143"/>
      <c r="G10" s="143"/>
      <c r="H10" s="143"/>
      <c r="I10" s="144"/>
    </row>
    <row r="11" spans="1:13" ht="13.8" x14ac:dyDescent="0.25">
      <c r="A11" s="84" t="s">
        <v>153</v>
      </c>
      <c r="B11" s="82">
        <v>1</v>
      </c>
      <c r="C11" s="82">
        <v>1</v>
      </c>
      <c r="D11" s="82">
        <v>1</v>
      </c>
      <c r="E11" s="82">
        <v>1</v>
      </c>
      <c r="F11" s="83">
        <f>12300*2*1.6</f>
        <v>39360</v>
      </c>
      <c r="G11" s="83">
        <f>D11*F11*12+((C11-D11)*F11/2*12)</f>
        <v>472320</v>
      </c>
      <c r="H11" s="83"/>
      <c r="I11" s="83"/>
      <c r="J11" s="123"/>
    </row>
    <row r="12" spans="1:13" ht="13.8" x14ac:dyDescent="0.25">
      <c r="A12" s="84" t="s">
        <v>31</v>
      </c>
      <c r="B12" s="82">
        <v>2</v>
      </c>
      <c r="C12" s="82">
        <v>2</v>
      </c>
      <c r="D12" s="82">
        <v>2</v>
      </c>
      <c r="E12" s="82">
        <v>2</v>
      </c>
      <c r="F12" s="83">
        <f>8300*2*1.6</f>
        <v>26560</v>
      </c>
      <c r="G12" s="83">
        <f t="shared" ref="G12:G18" si="0">D12*F12*12+((C12-D12)*F12/2*12)</f>
        <v>637440</v>
      </c>
      <c r="H12" s="83"/>
      <c r="I12" s="83"/>
      <c r="J12" s="123"/>
    </row>
    <row r="13" spans="1:13" ht="26.4" x14ac:dyDescent="0.25">
      <c r="A13" s="103" t="s">
        <v>155</v>
      </c>
      <c r="B13" s="82">
        <v>3</v>
      </c>
      <c r="C13" s="82">
        <v>2</v>
      </c>
      <c r="D13" s="82">
        <v>1</v>
      </c>
      <c r="E13" s="82">
        <v>1</v>
      </c>
      <c r="F13" s="83">
        <f>8100*2*1.6</f>
        <v>25920</v>
      </c>
      <c r="G13" s="83">
        <f t="shared" si="0"/>
        <v>466560</v>
      </c>
      <c r="H13" s="83"/>
      <c r="I13" s="83"/>
      <c r="J13" s="123"/>
    </row>
    <row r="14" spans="1:13" ht="13.8" x14ac:dyDescent="0.25">
      <c r="A14" s="84" t="s">
        <v>157</v>
      </c>
      <c r="B14" s="82">
        <v>3</v>
      </c>
      <c r="C14" s="82">
        <v>2</v>
      </c>
      <c r="D14" s="82">
        <v>2</v>
      </c>
      <c r="E14" s="82">
        <v>2</v>
      </c>
      <c r="F14" s="83">
        <f>7900*2*1.6</f>
        <v>25280</v>
      </c>
      <c r="G14" s="83">
        <f>D14*F14*12+((C14-D14)*F14/2*12)</f>
        <v>606720</v>
      </c>
      <c r="H14" s="83"/>
      <c r="I14" s="83"/>
      <c r="J14" s="123"/>
    </row>
    <row r="15" spans="1:13" ht="13.8" x14ac:dyDescent="0.25">
      <c r="A15" s="84"/>
      <c r="B15" s="82"/>
      <c r="C15" s="82"/>
      <c r="D15" s="82"/>
      <c r="E15" s="82"/>
      <c r="F15" s="83"/>
      <c r="G15" s="97">
        <f>SUM(G11:G14)</f>
        <v>2183040</v>
      </c>
      <c r="H15" s="97">
        <f>G15*30.2%</f>
        <v>659278.07999999996</v>
      </c>
      <c r="I15" s="97">
        <f>G15+H15</f>
        <v>2842318.08</v>
      </c>
    </row>
    <row r="16" spans="1:13" s="91" customFormat="1" ht="13.8" x14ac:dyDescent="0.25">
      <c r="A16" s="104" t="s">
        <v>29</v>
      </c>
      <c r="B16" s="88">
        <v>2</v>
      </c>
      <c r="C16" s="88">
        <v>1</v>
      </c>
      <c r="D16" s="88">
        <v>0</v>
      </c>
      <c r="E16" s="88">
        <v>0</v>
      </c>
      <c r="F16" s="90">
        <f>7650*2*1.6</f>
        <v>24480</v>
      </c>
      <c r="G16" s="90">
        <f>D16*F16*12+((C16-D16)*F16/2*12)</f>
        <v>146880</v>
      </c>
      <c r="H16" s="90"/>
      <c r="I16" s="90"/>
      <c r="J16" s="124"/>
    </row>
    <row r="17" spans="1:10" s="91" customFormat="1" ht="13.8" x14ac:dyDescent="0.25">
      <c r="A17" s="104" t="s">
        <v>156</v>
      </c>
      <c r="B17" s="88">
        <v>2</v>
      </c>
      <c r="C17" s="88">
        <v>2</v>
      </c>
      <c r="D17" s="88">
        <v>0</v>
      </c>
      <c r="E17" s="88">
        <v>0</v>
      </c>
      <c r="F17" s="90">
        <f>7650*2*1.6</f>
        <v>24480</v>
      </c>
      <c r="G17" s="90">
        <f t="shared" si="0"/>
        <v>293760</v>
      </c>
      <c r="H17" s="90"/>
      <c r="I17" s="90"/>
      <c r="J17" s="124"/>
    </row>
    <row r="18" spans="1:10" s="91" customFormat="1" ht="13.8" x14ac:dyDescent="0.25">
      <c r="A18" s="104" t="s">
        <v>175</v>
      </c>
      <c r="B18" s="88">
        <v>2</v>
      </c>
      <c r="C18" s="88">
        <v>2</v>
      </c>
      <c r="D18" s="88">
        <v>2</v>
      </c>
      <c r="E18" s="88">
        <v>2</v>
      </c>
      <c r="F18" s="90">
        <f>7650*2*1.6</f>
        <v>24480</v>
      </c>
      <c r="G18" s="90">
        <f t="shared" si="0"/>
        <v>587520</v>
      </c>
      <c r="H18" s="90"/>
      <c r="I18" s="90"/>
    </row>
    <row r="19" spans="1:10" ht="13.8" x14ac:dyDescent="0.25">
      <c r="A19" s="84"/>
      <c r="B19" s="82">
        <f>SUM(B11:B18)</f>
        <v>15</v>
      </c>
      <c r="C19" s="82">
        <f>SUM(C11:C18)</f>
        <v>12</v>
      </c>
      <c r="D19" s="82"/>
      <c r="E19" s="82"/>
      <c r="F19" s="83"/>
      <c r="G19" s="97"/>
      <c r="H19" s="97"/>
      <c r="I19" s="97"/>
    </row>
    <row r="20" spans="1:10" ht="13.8" hidden="1" x14ac:dyDescent="0.25">
      <c r="A20" s="142" t="s">
        <v>185</v>
      </c>
      <c r="B20" s="143"/>
      <c r="C20" s="143"/>
      <c r="D20" s="143"/>
      <c r="E20" s="143"/>
      <c r="F20" s="143"/>
      <c r="G20" s="143"/>
      <c r="H20" s="143"/>
      <c r="I20" s="144"/>
    </row>
    <row r="21" spans="1:10" ht="13.8" hidden="1" x14ac:dyDescent="0.25">
      <c r="A21" s="84" t="s">
        <v>186</v>
      </c>
      <c r="B21" s="82">
        <v>4</v>
      </c>
      <c r="C21" s="82">
        <v>4</v>
      </c>
      <c r="D21" s="82">
        <v>3.11</v>
      </c>
      <c r="E21" s="82">
        <v>3</v>
      </c>
      <c r="F21" s="83"/>
      <c r="G21" s="83">
        <f>E21*F21*12+((C21-E21)*F21/2*12)</f>
        <v>0</v>
      </c>
      <c r="H21" s="83"/>
      <c r="I21" s="83"/>
    </row>
    <row r="22" spans="1:10" ht="13.8" hidden="1" x14ac:dyDescent="0.25">
      <c r="A22" s="84" t="s">
        <v>33</v>
      </c>
      <c r="B22" s="82">
        <v>2</v>
      </c>
      <c r="C22" s="82">
        <v>2</v>
      </c>
      <c r="D22" s="82">
        <v>1.89</v>
      </c>
      <c r="E22" s="82">
        <v>0</v>
      </c>
      <c r="F22" s="83"/>
      <c r="G22" s="83">
        <f t="shared" ref="G22:G27" si="1">E22*F22*12+((C22-E22)*F22/2*12)</f>
        <v>0</v>
      </c>
      <c r="H22" s="83"/>
      <c r="I22" s="83"/>
    </row>
    <row r="23" spans="1:10" ht="13.8" hidden="1" x14ac:dyDescent="0.25">
      <c r="A23" s="84" t="s">
        <v>31</v>
      </c>
      <c r="B23" s="82">
        <v>1</v>
      </c>
      <c r="C23" s="82">
        <v>1</v>
      </c>
      <c r="D23" s="82">
        <v>1</v>
      </c>
      <c r="E23" s="82">
        <v>0</v>
      </c>
      <c r="F23" s="83"/>
      <c r="G23" s="83">
        <f t="shared" si="1"/>
        <v>0</v>
      </c>
      <c r="H23" s="83"/>
      <c r="I23" s="83"/>
    </row>
    <row r="24" spans="1:10" ht="13.8" hidden="1" x14ac:dyDescent="0.25">
      <c r="A24" s="84" t="s">
        <v>29</v>
      </c>
      <c r="B24" s="82">
        <v>1</v>
      </c>
      <c r="C24" s="82">
        <v>1</v>
      </c>
      <c r="D24" s="82">
        <v>1</v>
      </c>
      <c r="E24" s="82">
        <v>0</v>
      </c>
      <c r="F24" s="83"/>
      <c r="G24" s="83">
        <f t="shared" si="1"/>
        <v>0</v>
      </c>
      <c r="H24" s="83"/>
      <c r="I24" s="83"/>
    </row>
    <row r="25" spans="1:10" ht="13.8" hidden="1" x14ac:dyDescent="0.25">
      <c r="A25" s="84" t="s">
        <v>155</v>
      </c>
      <c r="B25" s="82">
        <v>2.25</v>
      </c>
      <c r="C25" s="82">
        <v>2.25</v>
      </c>
      <c r="D25" s="82">
        <v>2.25</v>
      </c>
      <c r="E25" s="82">
        <v>1</v>
      </c>
      <c r="F25" s="83"/>
      <c r="G25" s="83">
        <f t="shared" si="1"/>
        <v>0</v>
      </c>
      <c r="H25" s="83"/>
      <c r="I25" s="83"/>
    </row>
    <row r="26" spans="1:10" ht="13.8" hidden="1" x14ac:dyDescent="0.25">
      <c r="A26" s="84" t="s">
        <v>156</v>
      </c>
      <c r="B26" s="82">
        <v>1.5</v>
      </c>
      <c r="C26" s="82">
        <v>1.5</v>
      </c>
      <c r="D26" s="82">
        <v>1.5</v>
      </c>
      <c r="E26" s="82">
        <v>2</v>
      </c>
      <c r="F26" s="83"/>
      <c r="G26" s="83">
        <f t="shared" si="1"/>
        <v>0</v>
      </c>
      <c r="H26" s="83"/>
      <c r="I26" s="83"/>
    </row>
    <row r="27" spans="1:10" ht="13.8" hidden="1" x14ac:dyDescent="0.25">
      <c r="A27" s="84" t="s">
        <v>187</v>
      </c>
      <c r="B27" s="82">
        <v>3</v>
      </c>
      <c r="C27" s="82">
        <v>3</v>
      </c>
      <c r="D27" s="82">
        <v>3</v>
      </c>
      <c r="E27" s="82">
        <v>3</v>
      </c>
      <c r="F27" s="83"/>
      <c r="G27" s="83">
        <f t="shared" si="1"/>
        <v>0</v>
      </c>
      <c r="H27" s="83"/>
      <c r="I27" s="83"/>
    </row>
    <row r="28" spans="1:10" ht="13.8" hidden="1" x14ac:dyDescent="0.25">
      <c r="A28" s="84"/>
      <c r="B28" s="97">
        <f>SUM(B21:B27)</f>
        <v>14.75</v>
      </c>
      <c r="C28" s="97">
        <f>SUM(C21:C27)</f>
        <v>14.75</v>
      </c>
      <c r="D28" s="97">
        <f>SUM(D21:D27)</f>
        <v>13.75</v>
      </c>
      <c r="E28" s="97">
        <f>SUM(E21:E27)</f>
        <v>9</v>
      </c>
      <c r="F28" s="97"/>
      <c r="G28" s="97">
        <f>SUM(G21:G27)</f>
        <v>0</v>
      </c>
      <c r="H28" s="97">
        <f>G28*30.2%</f>
        <v>0</v>
      </c>
      <c r="I28" s="97">
        <f>G28+H28</f>
        <v>0</v>
      </c>
    </row>
    <row r="29" spans="1:10" ht="13.8" hidden="1" x14ac:dyDescent="0.25">
      <c r="A29" s="142" t="s">
        <v>188</v>
      </c>
      <c r="B29" s="143"/>
      <c r="C29" s="143"/>
      <c r="D29" s="143"/>
      <c r="E29" s="143"/>
      <c r="F29" s="143"/>
      <c r="G29" s="143"/>
      <c r="H29" s="143"/>
      <c r="I29" s="144"/>
    </row>
    <row r="30" spans="1:10" ht="13.8" hidden="1" x14ac:dyDescent="0.25">
      <c r="A30" s="85" t="s">
        <v>32</v>
      </c>
      <c r="B30" s="82">
        <v>1</v>
      </c>
      <c r="C30" s="82">
        <v>1</v>
      </c>
      <c r="D30" s="82">
        <v>1</v>
      </c>
      <c r="E30" s="82">
        <v>1</v>
      </c>
      <c r="F30" s="83"/>
      <c r="G30" s="83">
        <f t="shared" ref="G30:G55" si="2">D30*F30*12+((C30-D30)*F30/2*12)</f>
        <v>0</v>
      </c>
      <c r="H30" s="83"/>
      <c r="I30" s="83"/>
    </row>
    <row r="31" spans="1:10" ht="13.8" hidden="1" x14ac:dyDescent="0.25">
      <c r="A31" s="85" t="s">
        <v>31</v>
      </c>
      <c r="B31" s="82">
        <v>2.5</v>
      </c>
      <c r="C31" s="82">
        <v>2.5</v>
      </c>
      <c r="D31" s="82">
        <v>3</v>
      </c>
      <c r="E31" s="82">
        <v>3</v>
      </c>
      <c r="F31" s="83"/>
      <c r="G31" s="83">
        <f t="shared" si="2"/>
        <v>0</v>
      </c>
      <c r="H31" s="83"/>
      <c r="I31" s="83"/>
    </row>
    <row r="32" spans="1:10" ht="13.8" hidden="1" x14ac:dyDescent="0.25">
      <c r="A32" s="85" t="s">
        <v>29</v>
      </c>
      <c r="B32" s="82">
        <v>4</v>
      </c>
      <c r="C32" s="82">
        <v>4</v>
      </c>
      <c r="D32" s="82">
        <v>3</v>
      </c>
      <c r="E32" s="82">
        <v>3</v>
      </c>
      <c r="F32" s="83"/>
      <c r="G32" s="83">
        <f t="shared" si="2"/>
        <v>0</v>
      </c>
      <c r="H32" s="83"/>
      <c r="I32" s="83"/>
    </row>
    <row r="33" spans="1:9" ht="26.4" hidden="1" x14ac:dyDescent="0.25">
      <c r="A33" s="85" t="s">
        <v>155</v>
      </c>
      <c r="B33" s="82">
        <v>3.25</v>
      </c>
      <c r="C33" s="82">
        <v>3.25</v>
      </c>
      <c r="D33" s="82">
        <v>4</v>
      </c>
      <c r="E33" s="82">
        <v>3</v>
      </c>
      <c r="F33" s="83"/>
      <c r="G33" s="83">
        <f t="shared" si="2"/>
        <v>0</v>
      </c>
      <c r="H33" s="83"/>
      <c r="I33" s="83"/>
    </row>
    <row r="34" spans="1:9" ht="13.8" hidden="1" x14ac:dyDescent="0.25">
      <c r="A34" s="85" t="s">
        <v>156</v>
      </c>
      <c r="B34" s="82">
        <v>17</v>
      </c>
      <c r="C34" s="82">
        <v>16.25</v>
      </c>
      <c r="D34" s="82">
        <v>10.5</v>
      </c>
      <c r="E34" s="82">
        <v>11</v>
      </c>
      <c r="F34" s="83"/>
      <c r="G34" s="83">
        <f t="shared" si="2"/>
        <v>0</v>
      </c>
      <c r="H34" s="83"/>
      <c r="I34" s="83"/>
    </row>
    <row r="35" spans="1:9" ht="13.8" hidden="1" x14ac:dyDescent="0.25">
      <c r="A35" s="85" t="s">
        <v>157</v>
      </c>
      <c r="B35" s="82">
        <v>3</v>
      </c>
      <c r="C35" s="82">
        <v>2.5</v>
      </c>
      <c r="D35" s="82">
        <v>2.5</v>
      </c>
      <c r="E35" s="82">
        <v>3</v>
      </c>
      <c r="F35" s="83"/>
      <c r="G35" s="83">
        <f t="shared" si="2"/>
        <v>0</v>
      </c>
      <c r="H35" s="83"/>
      <c r="I35" s="83"/>
    </row>
    <row r="36" spans="1:9" ht="13.8" hidden="1" x14ac:dyDescent="0.25">
      <c r="A36" s="84" t="s">
        <v>158</v>
      </c>
      <c r="B36" s="82">
        <v>9</v>
      </c>
      <c r="C36" s="82">
        <v>9</v>
      </c>
      <c r="D36" s="82">
        <v>9</v>
      </c>
      <c r="E36" s="82">
        <v>9</v>
      </c>
      <c r="F36" s="83"/>
      <c r="G36" s="83">
        <f t="shared" si="2"/>
        <v>0</v>
      </c>
      <c r="H36" s="83"/>
      <c r="I36" s="83"/>
    </row>
    <row r="37" spans="1:9" ht="13.8" hidden="1" x14ac:dyDescent="0.25">
      <c r="A37" s="84" t="s">
        <v>27</v>
      </c>
      <c r="B37" s="82">
        <v>2</v>
      </c>
      <c r="C37" s="82">
        <v>2</v>
      </c>
      <c r="D37" s="82">
        <v>2</v>
      </c>
      <c r="E37" s="82">
        <v>2</v>
      </c>
      <c r="F37" s="83"/>
      <c r="G37" s="83">
        <f t="shared" si="2"/>
        <v>0</v>
      </c>
      <c r="H37" s="83"/>
      <c r="I37" s="83"/>
    </row>
    <row r="38" spans="1:9" ht="13.8" hidden="1" x14ac:dyDescent="0.25">
      <c r="A38" s="84" t="s">
        <v>26</v>
      </c>
      <c r="B38" s="82">
        <v>1</v>
      </c>
      <c r="C38" s="82">
        <v>1</v>
      </c>
      <c r="D38" s="82">
        <v>1</v>
      </c>
      <c r="E38" s="82">
        <v>1</v>
      </c>
      <c r="F38" s="83"/>
      <c r="G38" s="83">
        <f t="shared" si="2"/>
        <v>0</v>
      </c>
      <c r="H38" s="83"/>
      <c r="I38" s="83"/>
    </row>
    <row r="39" spans="1:9" ht="13.8" hidden="1" x14ac:dyDescent="0.25">
      <c r="A39" s="84" t="s">
        <v>160</v>
      </c>
      <c r="B39" s="82">
        <v>0.5</v>
      </c>
      <c r="C39" s="82">
        <v>0.5</v>
      </c>
      <c r="D39" s="82">
        <v>0</v>
      </c>
      <c r="E39" s="82">
        <v>0</v>
      </c>
      <c r="F39" s="83"/>
      <c r="G39" s="83">
        <f t="shared" si="2"/>
        <v>0</v>
      </c>
      <c r="H39" s="83"/>
      <c r="I39" s="83"/>
    </row>
    <row r="40" spans="1:9" ht="13.8" hidden="1" x14ac:dyDescent="0.25">
      <c r="A40" s="84" t="s">
        <v>161</v>
      </c>
      <c r="B40" s="82">
        <v>1</v>
      </c>
      <c r="C40" s="82">
        <v>1</v>
      </c>
      <c r="D40" s="82">
        <v>1</v>
      </c>
      <c r="E40" s="82">
        <v>1</v>
      </c>
      <c r="F40" s="83"/>
      <c r="G40" s="83">
        <f t="shared" si="2"/>
        <v>0</v>
      </c>
      <c r="H40" s="83"/>
      <c r="I40" s="83"/>
    </row>
    <row r="41" spans="1:9" ht="13.8" hidden="1" x14ac:dyDescent="0.25">
      <c r="A41" s="84" t="s">
        <v>162</v>
      </c>
      <c r="B41" s="82">
        <v>6</v>
      </c>
      <c r="C41" s="82">
        <v>6</v>
      </c>
      <c r="D41" s="82">
        <v>6</v>
      </c>
      <c r="E41" s="82">
        <v>6</v>
      </c>
      <c r="F41" s="83"/>
      <c r="G41" s="83">
        <f t="shared" si="2"/>
        <v>0</v>
      </c>
      <c r="H41" s="83"/>
      <c r="I41" s="83"/>
    </row>
    <row r="42" spans="1:9" ht="13.8" hidden="1" x14ac:dyDescent="0.25">
      <c r="A42" s="84" t="s">
        <v>163</v>
      </c>
      <c r="B42" s="82">
        <v>1</v>
      </c>
      <c r="C42" s="82">
        <v>1</v>
      </c>
      <c r="D42" s="82">
        <v>1</v>
      </c>
      <c r="E42" s="82">
        <v>1</v>
      </c>
      <c r="F42" s="83"/>
      <c r="G42" s="83">
        <f t="shared" si="2"/>
        <v>0</v>
      </c>
      <c r="H42" s="83"/>
      <c r="I42" s="83"/>
    </row>
    <row r="43" spans="1:9" ht="13.8" hidden="1" x14ac:dyDescent="0.25">
      <c r="A43" s="84" t="s">
        <v>164</v>
      </c>
      <c r="B43" s="82">
        <v>3</v>
      </c>
      <c r="C43" s="82">
        <v>3</v>
      </c>
      <c r="D43" s="82">
        <v>3</v>
      </c>
      <c r="E43" s="82">
        <v>3</v>
      </c>
      <c r="F43" s="83"/>
      <c r="G43" s="83">
        <f t="shared" si="2"/>
        <v>0</v>
      </c>
      <c r="H43" s="83"/>
      <c r="I43" s="83"/>
    </row>
    <row r="44" spans="1:9" ht="13.8" hidden="1" x14ac:dyDescent="0.25">
      <c r="A44" s="84" t="s">
        <v>165</v>
      </c>
      <c r="B44" s="82">
        <v>0.5</v>
      </c>
      <c r="C44" s="82">
        <v>0.5</v>
      </c>
      <c r="D44" s="82">
        <v>0</v>
      </c>
      <c r="E44" s="82">
        <v>0</v>
      </c>
      <c r="F44" s="83"/>
      <c r="G44" s="83">
        <f t="shared" si="2"/>
        <v>0</v>
      </c>
      <c r="H44" s="83"/>
      <c r="I44" s="83"/>
    </row>
    <row r="45" spans="1:9" ht="13.8" hidden="1" x14ac:dyDescent="0.25">
      <c r="A45" s="84" t="s">
        <v>166</v>
      </c>
      <c r="B45" s="82">
        <v>1</v>
      </c>
      <c r="C45" s="82">
        <v>1</v>
      </c>
      <c r="D45" s="82">
        <v>1</v>
      </c>
      <c r="E45" s="82">
        <v>1</v>
      </c>
      <c r="F45" s="83"/>
      <c r="G45" s="83">
        <f t="shared" si="2"/>
        <v>0</v>
      </c>
      <c r="H45" s="83"/>
      <c r="I45" s="83"/>
    </row>
    <row r="46" spans="1:9" ht="13.8" hidden="1" x14ac:dyDescent="0.25">
      <c r="A46" s="84" t="s">
        <v>167</v>
      </c>
      <c r="B46" s="82">
        <v>1</v>
      </c>
      <c r="C46" s="82">
        <v>1</v>
      </c>
      <c r="D46" s="82">
        <v>1</v>
      </c>
      <c r="E46" s="82">
        <v>1</v>
      </c>
      <c r="F46" s="83"/>
      <c r="G46" s="83">
        <f t="shared" si="2"/>
        <v>0</v>
      </c>
      <c r="H46" s="83"/>
      <c r="I46" s="83"/>
    </row>
    <row r="47" spans="1:9" ht="13.8" hidden="1" x14ac:dyDescent="0.25">
      <c r="A47" s="84" t="s">
        <v>168</v>
      </c>
      <c r="B47" s="82">
        <v>1</v>
      </c>
      <c r="C47" s="82">
        <v>1</v>
      </c>
      <c r="D47" s="82">
        <v>0</v>
      </c>
      <c r="E47" s="82">
        <v>0</v>
      </c>
      <c r="F47" s="83"/>
      <c r="G47" s="83">
        <f t="shared" si="2"/>
        <v>0</v>
      </c>
      <c r="H47" s="83"/>
      <c r="I47" s="83"/>
    </row>
    <row r="48" spans="1:9" ht="13.8" hidden="1" x14ac:dyDescent="0.25">
      <c r="A48" s="84" t="s">
        <v>20</v>
      </c>
      <c r="B48" s="82">
        <v>1</v>
      </c>
      <c r="C48" s="82">
        <v>1</v>
      </c>
      <c r="D48" s="82">
        <v>1</v>
      </c>
      <c r="E48" s="82">
        <v>1</v>
      </c>
      <c r="F48" s="83"/>
      <c r="G48" s="83">
        <f t="shared" si="2"/>
        <v>0</v>
      </c>
      <c r="H48" s="83"/>
      <c r="I48" s="83"/>
    </row>
    <row r="49" spans="1:9" ht="13.8" hidden="1" x14ac:dyDescent="0.25">
      <c r="A49" s="84" t="s">
        <v>169</v>
      </c>
      <c r="B49" s="82">
        <v>0.5</v>
      </c>
      <c r="C49" s="82">
        <v>0</v>
      </c>
      <c r="D49" s="82">
        <v>0</v>
      </c>
      <c r="E49" s="82">
        <v>0</v>
      </c>
      <c r="F49" s="83"/>
      <c r="G49" s="83">
        <f t="shared" si="2"/>
        <v>0</v>
      </c>
      <c r="H49" s="83"/>
      <c r="I49" s="83"/>
    </row>
    <row r="50" spans="1:9" ht="13.8" hidden="1" x14ac:dyDescent="0.25">
      <c r="A50" s="84" t="s">
        <v>171</v>
      </c>
      <c r="B50" s="82">
        <v>1</v>
      </c>
      <c r="C50" s="82">
        <v>1</v>
      </c>
      <c r="D50" s="82">
        <v>1</v>
      </c>
      <c r="E50" s="82">
        <v>1</v>
      </c>
      <c r="F50" s="83"/>
      <c r="G50" s="83">
        <f t="shared" si="2"/>
        <v>0</v>
      </c>
      <c r="H50" s="83"/>
      <c r="I50" s="83"/>
    </row>
    <row r="51" spans="1:9" ht="13.8" hidden="1" x14ac:dyDescent="0.25">
      <c r="A51" s="84" t="s">
        <v>172</v>
      </c>
      <c r="B51" s="82">
        <v>0.75</v>
      </c>
      <c r="C51" s="82">
        <v>0.75</v>
      </c>
      <c r="D51" s="82">
        <v>0</v>
      </c>
      <c r="E51" s="82">
        <v>0</v>
      </c>
      <c r="F51" s="83"/>
      <c r="G51" s="83">
        <f t="shared" si="2"/>
        <v>0</v>
      </c>
      <c r="H51" s="83"/>
      <c r="I51" s="83"/>
    </row>
    <row r="52" spans="1:9" ht="13.8" hidden="1" x14ac:dyDescent="0.25">
      <c r="A52" s="84" t="s">
        <v>173</v>
      </c>
      <c r="B52" s="82">
        <v>1</v>
      </c>
      <c r="C52" s="82">
        <v>1</v>
      </c>
      <c r="D52" s="82">
        <v>1</v>
      </c>
      <c r="E52" s="82">
        <v>1</v>
      </c>
      <c r="F52" s="83"/>
      <c r="G52" s="83">
        <f t="shared" si="2"/>
        <v>0</v>
      </c>
      <c r="H52" s="83"/>
      <c r="I52" s="83"/>
    </row>
    <row r="53" spans="1:9" ht="13.8" hidden="1" x14ac:dyDescent="0.25">
      <c r="A53" s="84" t="s">
        <v>174</v>
      </c>
      <c r="B53" s="82">
        <v>5</v>
      </c>
      <c r="C53" s="82">
        <v>5</v>
      </c>
      <c r="D53" s="82">
        <v>5</v>
      </c>
      <c r="E53" s="82">
        <v>5</v>
      </c>
      <c r="F53" s="83"/>
      <c r="G53" s="83">
        <f t="shared" si="2"/>
        <v>0</v>
      </c>
      <c r="H53" s="83"/>
      <c r="I53" s="83"/>
    </row>
    <row r="54" spans="1:9" ht="13.8" hidden="1" x14ac:dyDescent="0.25">
      <c r="A54" s="84" t="s">
        <v>189</v>
      </c>
      <c r="B54" s="82">
        <v>1</v>
      </c>
      <c r="C54" s="82">
        <v>1</v>
      </c>
      <c r="D54" s="82">
        <v>1</v>
      </c>
      <c r="E54" s="82">
        <v>1</v>
      </c>
      <c r="F54" s="83"/>
      <c r="G54" s="83">
        <f t="shared" si="2"/>
        <v>0</v>
      </c>
      <c r="H54" s="83"/>
      <c r="I54" s="83"/>
    </row>
    <row r="55" spans="1:9" ht="13.8" hidden="1" x14ac:dyDescent="0.25">
      <c r="A55" s="84" t="s">
        <v>190</v>
      </c>
      <c r="B55" s="82">
        <v>1</v>
      </c>
      <c r="C55" s="82">
        <v>1</v>
      </c>
      <c r="D55" s="82">
        <v>1</v>
      </c>
      <c r="E55" s="82">
        <v>1</v>
      </c>
      <c r="F55" s="83"/>
      <c r="G55" s="83">
        <f t="shared" si="2"/>
        <v>0</v>
      </c>
      <c r="H55" s="83"/>
      <c r="I55" s="83"/>
    </row>
    <row r="56" spans="1:9" ht="13.8" hidden="1" x14ac:dyDescent="0.25">
      <c r="A56" s="84"/>
      <c r="B56" s="82"/>
      <c r="C56" s="82"/>
      <c r="D56" s="97">
        <f>SUM(D30:D55)</f>
        <v>59</v>
      </c>
      <c r="E56" s="97">
        <f>SUM(E30:E55)</f>
        <v>59</v>
      </c>
      <c r="F56" s="97">
        <f>SUM(F30:F55)</f>
        <v>0</v>
      </c>
      <c r="G56" s="97">
        <f>SUM(G30:G55)</f>
        <v>0</v>
      </c>
      <c r="H56" s="97">
        <f>G56*30.2%</f>
        <v>0</v>
      </c>
      <c r="I56" s="97">
        <f>G56+H56</f>
        <v>0</v>
      </c>
    </row>
    <row r="57" spans="1:9" ht="13.8" hidden="1" x14ac:dyDescent="0.25">
      <c r="A57" s="142" t="s">
        <v>191</v>
      </c>
      <c r="B57" s="143"/>
      <c r="C57" s="143"/>
      <c r="D57" s="143"/>
      <c r="E57" s="143"/>
      <c r="F57" s="143"/>
      <c r="G57" s="143"/>
      <c r="H57" s="143"/>
      <c r="I57" s="144"/>
    </row>
    <row r="58" spans="1:9" ht="13.8" hidden="1" x14ac:dyDescent="0.25">
      <c r="A58" s="84" t="s">
        <v>192</v>
      </c>
      <c r="B58" s="82">
        <v>0.5</v>
      </c>
      <c r="C58" s="82">
        <v>0.5</v>
      </c>
      <c r="D58" s="82">
        <v>0</v>
      </c>
      <c r="E58" s="82">
        <v>0</v>
      </c>
      <c r="F58" s="83"/>
      <c r="G58" s="83">
        <f t="shared" ref="G58:G66" si="3">D58*F58*12+((C58-D58)*F58/2*12)</f>
        <v>0</v>
      </c>
      <c r="H58" s="83"/>
      <c r="I58" s="83"/>
    </row>
    <row r="59" spans="1:9" ht="13.8" hidden="1" x14ac:dyDescent="0.25">
      <c r="A59" s="84" t="s">
        <v>155</v>
      </c>
      <c r="B59" s="82">
        <v>1</v>
      </c>
      <c r="C59" s="82">
        <v>1</v>
      </c>
      <c r="D59" s="82">
        <v>0</v>
      </c>
      <c r="E59" s="82">
        <v>0</v>
      </c>
      <c r="F59" s="83"/>
      <c r="G59" s="83">
        <f t="shared" si="3"/>
        <v>0</v>
      </c>
      <c r="H59" s="83"/>
      <c r="I59" s="83"/>
    </row>
    <row r="60" spans="1:9" ht="13.8" hidden="1" x14ac:dyDescent="0.25">
      <c r="A60" s="84" t="s">
        <v>156</v>
      </c>
      <c r="B60" s="82">
        <v>2</v>
      </c>
      <c r="C60" s="82">
        <v>2</v>
      </c>
      <c r="D60" s="82">
        <v>2</v>
      </c>
      <c r="E60" s="82">
        <v>2</v>
      </c>
      <c r="F60" s="83"/>
      <c r="G60" s="83">
        <f t="shared" si="3"/>
        <v>0</v>
      </c>
      <c r="H60" s="83"/>
      <c r="I60" s="83"/>
    </row>
    <row r="61" spans="1:9" ht="13.8" hidden="1" x14ac:dyDescent="0.25">
      <c r="A61" s="84" t="s">
        <v>54</v>
      </c>
      <c r="B61" s="82">
        <v>1</v>
      </c>
      <c r="C61" s="82">
        <v>1</v>
      </c>
      <c r="D61" s="82">
        <v>1</v>
      </c>
      <c r="E61" s="82">
        <v>1</v>
      </c>
      <c r="F61" s="83"/>
      <c r="G61" s="83">
        <f t="shared" si="3"/>
        <v>0</v>
      </c>
      <c r="H61" s="83"/>
      <c r="I61" s="83"/>
    </row>
    <row r="62" spans="1:9" ht="13.8" hidden="1" x14ac:dyDescent="0.25">
      <c r="A62" s="84" t="s">
        <v>193</v>
      </c>
      <c r="B62" s="82">
        <v>0.5</v>
      </c>
      <c r="C62" s="82">
        <v>0.5</v>
      </c>
      <c r="D62" s="82">
        <v>0</v>
      </c>
      <c r="E62" s="82">
        <v>0</v>
      </c>
      <c r="F62" s="83"/>
      <c r="G62" s="83">
        <f t="shared" si="3"/>
        <v>0</v>
      </c>
      <c r="H62" s="83"/>
      <c r="I62" s="83"/>
    </row>
    <row r="63" spans="1:9" ht="13.8" hidden="1" x14ac:dyDescent="0.25">
      <c r="A63" s="84" t="s">
        <v>161</v>
      </c>
      <c r="B63" s="82">
        <v>1</v>
      </c>
      <c r="C63" s="82">
        <v>1</v>
      </c>
      <c r="D63" s="82">
        <v>1</v>
      </c>
      <c r="E63" s="82">
        <v>1</v>
      </c>
      <c r="F63" s="83"/>
      <c r="G63" s="83">
        <f t="shared" si="3"/>
        <v>0</v>
      </c>
      <c r="H63" s="83"/>
      <c r="I63" s="83"/>
    </row>
    <row r="64" spans="1:9" ht="13.8" hidden="1" x14ac:dyDescent="0.25">
      <c r="A64" s="84" t="s">
        <v>169</v>
      </c>
      <c r="B64" s="82">
        <v>1</v>
      </c>
      <c r="C64" s="82">
        <v>1</v>
      </c>
      <c r="D64" s="82">
        <v>1</v>
      </c>
      <c r="E64" s="82">
        <v>1</v>
      </c>
      <c r="F64" s="83"/>
      <c r="G64" s="83">
        <f t="shared" si="3"/>
        <v>0</v>
      </c>
      <c r="H64" s="83"/>
      <c r="I64" s="83"/>
    </row>
    <row r="65" spans="1:9" ht="13.8" hidden="1" x14ac:dyDescent="0.25">
      <c r="A65" s="84" t="s">
        <v>14</v>
      </c>
      <c r="B65" s="82">
        <v>4</v>
      </c>
      <c r="C65" s="82">
        <v>4</v>
      </c>
      <c r="D65" s="82">
        <v>4</v>
      </c>
      <c r="E65" s="82">
        <v>4</v>
      </c>
      <c r="F65" s="83"/>
      <c r="G65" s="83">
        <f t="shared" si="3"/>
        <v>0</v>
      </c>
      <c r="H65" s="83"/>
      <c r="I65" s="83"/>
    </row>
    <row r="66" spans="1:9" ht="13.8" hidden="1" x14ac:dyDescent="0.25">
      <c r="A66" s="84" t="s">
        <v>194</v>
      </c>
      <c r="B66" s="82">
        <v>5</v>
      </c>
      <c r="C66" s="82">
        <v>5</v>
      </c>
      <c r="D66" s="82">
        <v>5</v>
      </c>
      <c r="E66" s="82">
        <v>5</v>
      </c>
      <c r="F66" s="83"/>
      <c r="G66" s="83">
        <f t="shared" si="3"/>
        <v>0</v>
      </c>
      <c r="H66" s="83"/>
      <c r="I66" s="83"/>
    </row>
    <row r="67" spans="1:9" ht="13.8" hidden="1" x14ac:dyDescent="0.25">
      <c r="A67" s="84"/>
      <c r="B67" s="82"/>
      <c r="C67" s="82"/>
      <c r="D67" s="82"/>
      <c r="E67" s="82"/>
      <c r="F67" s="83"/>
      <c r="G67" s="97">
        <f>SUM(G58:G66)</f>
        <v>0</v>
      </c>
      <c r="H67" s="97">
        <f>G67*30.2%</f>
        <v>0</v>
      </c>
      <c r="I67" s="97">
        <f>G67+H67</f>
        <v>0</v>
      </c>
    </row>
    <row r="68" spans="1:9" ht="13.8" hidden="1" x14ac:dyDescent="0.25">
      <c r="A68" s="142" t="s">
        <v>195</v>
      </c>
      <c r="B68" s="143"/>
      <c r="C68" s="143"/>
      <c r="D68" s="143"/>
      <c r="E68" s="143"/>
      <c r="F68" s="143"/>
      <c r="G68" s="143"/>
      <c r="H68" s="143"/>
      <c r="I68" s="144"/>
    </row>
    <row r="69" spans="1:9" ht="13.8" hidden="1" x14ac:dyDescent="0.25">
      <c r="A69" s="84" t="s">
        <v>196</v>
      </c>
      <c r="B69" s="82">
        <v>1</v>
      </c>
      <c r="C69" s="82">
        <v>1</v>
      </c>
      <c r="D69" s="82">
        <v>1.8</v>
      </c>
      <c r="E69" s="82">
        <v>1</v>
      </c>
      <c r="F69" s="83"/>
      <c r="G69" s="83">
        <f t="shared" ref="G69:G78" si="4">D69*F69*12+((C69-D69)*F69/2*12)</f>
        <v>0</v>
      </c>
      <c r="H69" s="83"/>
      <c r="I69" s="83"/>
    </row>
    <row r="70" spans="1:9" ht="13.8" hidden="1" x14ac:dyDescent="0.25">
      <c r="A70" s="84" t="s">
        <v>29</v>
      </c>
      <c r="B70" s="82">
        <v>1</v>
      </c>
      <c r="C70" s="82">
        <v>1</v>
      </c>
      <c r="D70" s="82">
        <v>0</v>
      </c>
      <c r="E70" s="82">
        <v>0</v>
      </c>
      <c r="F70" s="83"/>
      <c r="G70" s="83">
        <f t="shared" si="4"/>
        <v>0</v>
      </c>
      <c r="H70" s="83"/>
      <c r="I70" s="83"/>
    </row>
    <row r="71" spans="1:9" ht="13.8" hidden="1" x14ac:dyDescent="0.25">
      <c r="A71" s="84" t="s">
        <v>155</v>
      </c>
      <c r="B71" s="82">
        <v>1.5</v>
      </c>
      <c r="C71" s="82">
        <v>1.5</v>
      </c>
      <c r="D71" s="82">
        <v>1</v>
      </c>
      <c r="E71" s="82">
        <v>1</v>
      </c>
      <c r="F71" s="83"/>
      <c r="G71" s="83">
        <f t="shared" si="4"/>
        <v>0</v>
      </c>
      <c r="H71" s="83"/>
      <c r="I71" s="83"/>
    </row>
    <row r="72" spans="1:9" ht="13.8" hidden="1" x14ac:dyDescent="0.25">
      <c r="A72" s="84" t="s">
        <v>156</v>
      </c>
      <c r="B72" s="82">
        <v>4</v>
      </c>
      <c r="C72" s="82">
        <v>3.75</v>
      </c>
      <c r="D72" s="82">
        <v>3.7</v>
      </c>
      <c r="E72" s="82">
        <v>4</v>
      </c>
      <c r="F72" s="83"/>
      <c r="G72" s="83">
        <f t="shared" si="4"/>
        <v>0</v>
      </c>
      <c r="H72" s="83"/>
      <c r="I72" s="83"/>
    </row>
    <row r="73" spans="1:9" ht="13.8" hidden="1" x14ac:dyDescent="0.25">
      <c r="A73" s="84" t="s">
        <v>157</v>
      </c>
      <c r="B73" s="82">
        <v>4</v>
      </c>
      <c r="C73" s="82">
        <v>4</v>
      </c>
      <c r="D73" s="82">
        <v>4</v>
      </c>
      <c r="E73" s="82">
        <v>4</v>
      </c>
      <c r="F73" s="83"/>
      <c r="G73" s="83">
        <f t="shared" si="4"/>
        <v>0</v>
      </c>
      <c r="H73" s="83"/>
      <c r="I73" s="83"/>
    </row>
    <row r="74" spans="1:9" ht="13.8" hidden="1" x14ac:dyDescent="0.25">
      <c r="A74" s="84" t="s">
        <v>27</v>
      </c>
      <c r="B74" s="82">
        <v>1</v>
      </c>
      <c r="C74" s="82">
        <v>0.5</v>
      </c>
      <c r="D74" s="82">
        <v>0</v>
      </c>
      <c r="E74" s="82">
        <v>0</v>
      </c>
      <c r="F74" s="83"/>
      <c r="G74" s="83">
        <f t="shared" si="4"/>
        <v>0</v>
      </c>
      <c r="H74" s="83"/>
      <c r="I74" s="83"/>
    </row>
    <row r="75" spans="1:9" ht="13.8" hidden="1" x14ac:dyDescent="0.25">
      <c r="A75" s="84" t="s">
        <v>26</v>
      </c>
      <c r="B75" s="82">
        <v>1</v>
      </c>
      <c r="C75" s="82">
        <v>1</v>
      </c>
      <c r="D75" s="82">
        <v>1</v>
      </c>
      <c r="E75" s="82">
        <v>1</v>
      </c>
      <c r="F75" s="83"/>
      <c r="G75" s="83">
        <f t="shared" si="4"/>
        <v>0</v>
      </c>
      <c r="H75" s="83"/>
      <c r="I75" s="83"/>
    </row>
    <row r="76" spans="1:9" ht="13.8" hidden="1" x14ac:dyDescent="0.25">
      <c r="A76" s="84" t="s">
        <v>168</v>
      </c>
      <c r="B76" s="82">
        <v>0.5</v>
      </c>
      <c r="C76" s="82">
        <v>0</v>
      </c>
      <c r="D76" s="82">
        <v>0</v>
      </c>
      <c r="E76" s="82">
        <v>0</v>
      </c>
      <c r="F76" s="83"/>
      <c r="G76" s="83">
        <f t="shared" si="4"/>
        <v>0</v>
      </c>
      <c r="H76" s="83"/>
      <c r="I76" s="83"/>
    </row>
    <row r="77" spans="1:9" ht="13.8" hidden="1" x14ac:dyDescent="0.25">
      <c r="A77" s="84" t="s">
        <v>197</v>
      </c>
      <c r="B77" s="82">
        <v>3</v>
      </c>
      <c r="C77" s="82">
        <v>2</v>
      </c>
      <c r="D77" s="82">
        <v>2.8</v>
      </c>
      <c r="E77" s="82">
        <v>2</v>
      </c>
      <c r="F77" s="83"/>
      <c r="G77" s="83">
        <f t="shared" si="4"/>
        <v>0</v>
      </c>
      <c r="H77" s="83"/>
      <c r="I77" s="83"/>
    </row>
    <row r="78" spans="1:9" ht="13.8" hidden="1" x14ac:dyDescent="0.25">
      <c r="A78" s="84" t="s">
        <v>173</v>
      </c>
      <c r="B78" s="82">
        <v>1</v>
      </c>
      <c r="C78" s="82">
        <v>0</v>
      </c>
      <c r="D78" s="82">
        <v>0</v>
      </c>
      <c r="E78" s="82">
        <v>0</v>
      </c>
      <c r="F78" s="83"/>
      <c r="G78" s="83">
        <f t="shared" si="4"/>
        <v>0</v>
      </c>
      <c r="H78" s="83"/>
      <c r="I78" s="83"/>
    </row>
    <row r="79" spans="1:9" ht="13.8" hidden="1" x14ac:dyDescent="0.25">
      <c r="A79" s="84"/>
      <c r="B79" s="82"/>
      <c r="C79" s="82"/>
      <c r="D79" s="82"/>
      <c r="E79" s="82"/>
      <c r="F79" s="83"/>
      <c r="G79" s="97">
        <f>SUM(G69:G78)</f>
        <v>0</v>
      </c>
      <c r="H79" s="97">
        <f>G79*30.2%</f>
        <v>0</v>
      </c>
      <c r="I79" s="97">
        <f>G79+H79</f>
        <v>0</v>
      </c>
    </row>
    <row r="80" spans="1:9" ht="13.8" hidden="1" x14ac:dyDescent="0.25">
      <c r="A80" s="142" t="s">
        <v>198</v>
      </c>
      <c r="B80" s="143"/>
      <c r="C80" s="143"/>
      <c r="D80" s="143"/>
      <c r="E80" s="143"/>
      <c r="F80" s="143"/>
      <c r="G80" s="143"/>
      <c r="H80" s="143"/>
      <c r="I80" s="144"/>
    </row>
    <row r="81" spans="1:11" ht="13.8" hidden="1" x14ac:dyDescent="0.25">
      <c r="A81" s="84" t="s">
        <v>155</v>
      </c>
      <c r="B81" s="82">
        <v>1</v>
      </c>
      <c r="C81" s="82">
        <v>1</v>
      </c>
      <c r="D81" s="82">
        <v>1</v>
      </c>
      <c r="E81" s="82">
        <v>1</v>
      </c>
      <c r="F81" s="83"/>
      <c r="G81" s="83">
        <f>D81*F81*12+((C81-D81)*F81/2*12)</f>
        <v>0</v>
      </c>
      <c r="H81" s="83"/>
      <c r="I81" s="83"/>
    </row>
    <row r="82" spans="1:11" ht="13.8" hidden="1" x14ac:dyDescent="0.25">
      <c r="A82" s="84" t="s">
        <v>156</v>
      </c>
      <c r="B82" s="82">
        <v>2</v>
      </c>
      <c r="C82" s="82">
        <v>2</v>
      </c>
      <c r="D82" s="82">
        <v>2</v>
      </c>
      <c r="E82" s="82">
        <v>2</v>
      </c>
      <c r="F82" s="83"/>
      <c r="G82" s="83">
        <f>D82*F82*12+((C82-D82)*F82/2*12)</f>
        <v>0</v>
      </c>
      <c r="H82" s="83"/>
      <c r="I82" s="83"/>
    </row>
    <row r="83" spans="1:11" ht="13.8" hidden="1" x14ac:dyDescent="0.25">
      <c r="A83" s="84" t="s">
        <v>187</v>
      </c>
      <c r="B83" s="82">
        <v>3.5</v>
      </c>
      <c r="C83" s="82">
        <v>3</v>
      </c>
      <c r="D83" s="82">
        <v>3</v>
      </c>
      <c r="E83" s="82">
        <v>3</v>
      </c>
      <c r="F83" s="83"/>
      <c r="G83" s="83">
        <f>D83*F83*12+((C83-D83)*F83/2*12)</f>
        <v>0</v>
      </c>
      <c r="H83" s="83"/>
      <c r="I83" s="83"/>
    </row>
    <row r="84" spans="1:11" ht="13.8" hidden="1" x14ac:dyDescent="0.25">
      <c r="A84" s="84" t="s">
        <v>54</v>
      </c>
      <c r="B84" s="82">
        <v>1</v>
      </c>
      <c r="C84" s="82">
        <v>0</v>
      </c>
      <c r="D84" s="82">
        <v>0</v>
      </c>
      <c r="E84" s="82">
        <v>0</v>
      </c>
      <c r="F84" s="83"/>
      <c r="G84" s="83">
        <f>D84*F84*12+((C84-D84)*F84/2*12)</f>
        <v>0</v>
      </c>
      <c r="H84" s="83"/>
      <c r="I84" s="83"/>
    </row>
    <row r="85" spans="1:11" ht="13.8" hidden="1" x14ac:dyDescent="0.25">
      <c r="A85" s="84"/>
      <c r="B85" s="82"/>
      <c r="C85" s="82"/>
      <c r="D85" s="82"/>
      <c r="E85" s="82"/>
      <c r="F85" s="83"/>
      <c r="G85" s="97">
        <f>SUM(G81:G84)</f>
        <v>0</v>
      </c>
      <c r="H85" s="97">
        <f>G85*30.2%</f>
        <v>0</v>
      </c>
      <c r="I85" s="97">
        <f>G85+H85</f>
        <v>0</v>
      </c>
    </row>
    <row r="86" spans="1:11" ht="13.8" x14ac:dyDescent="0.25">
      <c r="A86" s="142" t="s">
        <v>199</v>
      </c>
      <c r="B86" s="143"/>
      <c r="C86" s="143"/>
      <c r="D86" s="143"/>
      <c r="E86" s="143"/>
      <c r="F86" s="143"/>
      <c r="G86" s="143"/>
      <c r="H86" s="143"/>
      <c r="I86" s="144"/>
    </row>
    <row r="87" spans="1:11" ht="13.8" x14ac:dyDescent="0.25">
      <c r="A87" s="85" t="s">
        <v>157</v>
      </c>
      <c r="B87" s="82">
        <v>2</v>
      </c>
      <c r="C87" s="82">
        <v>2</v>
      </c>
      <c r="D87" s="82">
        <v>2</v>
      </c>
      <c r="E87" s="82">
        <v>2</v>
      </c>
      <c r="F87" s="83">
        <v>25280</v>
      </c>
      <c r="G87" s="83">
        <f>D87*F87*12+((C87-D87)*F87/2*12)</f>
        <v>606720</v>
      </c>
      <c r="H87" s="83"/>
      <c r="I87" s="83"/>
      <c r="J87" s="123"/>
    </row>
    <row r="88" spans="1:11" ht="26.4" x14ac:dyDescent="0.25">
      <c r="A88" s="85" t="s">
        <v>155</v>
      </c>
      <c r="B88" s="82">
        <v>1</v>
      </c>
      <c r="C88" s="82">
        <v>1</v>
      </c>
      <c r="D88" s="82">
        <v>1</v>
      </c>
      <c r="E88" s="82">
        <v>1</v>
      </c>
      <c r="F88" s="83">
        <v>25920</v>
      </c>
      <c r="G88" s="83">
        <f>D88*F88*12+((C88-D88)*F88/2*12)</f>
        <v>311040</v>
      </c>
      <c r="H88" s="83"/>
      <c r="I88" s="83"/>
      <c r="J88" s="123"/>
      <c r="K88" s="11" t="s">
        <v>200</v>
      </c>
    </row>
    <row r="89" spans="1:11" ht="13.8" x14ac:dyDescent="0.25">
      <c r="A89" s="85" t="s">
        <v>187</v>
      </c>
      <c r="B89" s="82">
        <v>2</v>
      </c>
      <c r="C89" s="82">
        <v>2</v>
      </c>
      <c r="D89" s="82">
        <v>2</v>
      </c>
      <c r="E89" s="82">
        <v>2</v>
      </c>
      <c r="F89" s="83">
        <v>26564.671999999999</v>
      </c>
      <c r="G89" s="83">
        <v>637552.12800000003</v>
      </c>
      <c r="H89" s="83"/>
      <c r="I89" s="83"/>
      <c r="J89" s="123"/>
    </row>
    <row r="90" spans="1:11" ht="13.8" x14ac:dyDescent="0.25">
      <c r="A90" s="85"/>
      <c r="B90" s="82"/>
      <c r="C90" s="82"/>
      <c r="D90" s="82"/>
      <c r="E90" s="82"/>
      <c r="F90" s="83"/>
      <c r="G90" s="97">
        <f>SUM(G87:G89)</f>
        <v>1555312.128</v>
      </c>
      <c r="H90" s="97">
        <f>G90*30.2%</f>
        <v>469704.26265599998</v>
      </c>
      <c r="I90" s="97">
        <f>G90+H90</f>
        <v>2025016.390656</v>
      </c>
    </row>
    <row r="91" spans="1:11" s="91" customFormat="1" ht="13.8" x14ac:dyDescent="0.25">
      <c r="A91" s="101" t="s">
        <v>29</v>
      </c>
      <c r="B91" s="88">
        <v>1</v>
      </c>
      <c r="C91" s="88">
        <v>0.5</v>
      </c>
      <c r="D91" s="88">
        <v>0</v>
      </c>
      <c r="E91" s="88">
        <v>0</v>
      </c>
      <c r="F91" s="90">
        <v>24480</v>
      </c>
      <c r="G91" s="90">
        <f>D91*F91*12+((C91-D91)*F91/2*12)</f>
        <v>73440</v>
      </c>
      <c r="H91" s="90"/>
      <c r="I91" s="90"/>
      <c r="J91" s="124"/>
    </row>
    <row r="92" spans="1:11" s="91" customFormat="1" ht="15.75" customHeight="1" x14ac:dyDescent="0.25">
      <c r="A92" s="101" t="s">
        <v>156</v>
      </c>
      <c r="B92" s="88">
        <v>2</v>
      </c>
      <c r="C92" s="88">
        <v>2</v>
      </c>
      <c r="D92" s="88">
        <v>2</v>
      </c>
      <c r="E92" s="88">
        <v>2</v>
      </c>
      <c r="F92" s="90">
        <v>24480</v>
      </c>
      <c r="G92" s="90">
        <f>D92*F92*12+((C92-D92)*F92/2*12)</f>
        <v>587520</v>
      </c>
      <c r="H92" s="90"/>
      <c r="I92" s="90"/>
      <c r="J92" s="124"/>
    </row>
    <row r="93" spans="1:11" s="91" customFormat="1" ht="13.8" x14ac:dyDescent="0.25">
      <c r="A93" s="101"/>
      <c r="B93" s="88"/>
      <c r="C93" s="88"/>
      <c r="D93" s="88"/>
      <c r="E93" s="88"/>
      <c r="F93" s="90"/>
      <c r="G93" s="90"/>
      <c r="H93" s="90"/>
      <c r="I93" s="90"/>
    </row>
    <row r="94" spans="1:11" ht="13.8" x14ac:dyDescent="0.25">
      <c r="A94" s="145" t="s">
        <v>201</v>
      </c>
      <c r="B94" s="145"/>
      <c r="C94" s="145"/>
      <c r="D94" s="145"/>
      <c r="E94" s="145"/>
      <c r="F94" s="145"/>
      <c r="G94" s="145"/>
      <c r="H94" s="145"/>
      <c r="I94" s="145"/>
    </row>
    <row r="95" spans="1:11" ht="13.8" x14ac:dyDescent="0.25">
      <c r="A95" s="81" t="s">
        <v>152</v>
      </c>
      <c r="B95" s="82">
        <v>1</v>
      </c>
      <c r="C95" s="82">
        <v>1</v>
      </c>
      <c r="D95" s="82">
        <v>1</v>
      </c>
      <c r="E95" s="82">
        <v>1</v>
      </c>
      <c r="F95" s="83">
        <v>30400</v>
      </c>
      <c r="G95" s="83">
        <f>D95*F95*12+((C95-D95)*F95/2*12)</f>
        <v>364800</v>
      </c>
      <c r="H95" s="83"/>
      <c r="I95" s="83"/>
      <c r="J95" s="123"/>
    </row>
    <row r="96" spans="1:11" ht="13.8" x14ac:dyDescent="0.25">
      <c r="A96" s="81" t="s">
        <v>31</v>
      </c>
      <c r="B96" s="82">
        <v>1</v>
      </c>
      <c r="C96" s="82">
        <v>1</v>
      </c>
      <c r="D96" s="82">
        <v>1</v>
      </c>
      <c r="E96" s="82">
        <v>1</v>
      </c>
      <c r="F96" s="83">
        <v>26560</v>
      </c>
      <c r="G96" s="83">
        <f t="shared" ref="G96:G105" si="5">D96*F96*12+((C96-D96)*F96/2*12)</f>
        <v>318720</v>
      </c>
      <c r="H96" s="83"/>
      <c r="I96" s="83"/>
      <c r="J96" s="123"/>
    </row>
    <row r="97" spans="1:10" ht="26.4" x14ac:dyDescent="0.25">
      <c r="A97" s="81" t="s">
        <v>155</v>
      </c>
      <c r="B97" s="82">
        <v>1</v>
      </c>
      <c r="C97" s="82">
        <v>1</v>
      </c>
      <c r="D97" s="82">
        <v>1</v>
      </c>
      <c r="E97" s="82">
        <v>1</v>
      </c>
      <c r="F97" s="83">
        <v>25920</v>
      </c>
      <c r="G97" s="83">
        <f t="shared" si="5"/>
        <v>311040</v>
      </c>
      <c r="H97" s="83"/>
      <c r="I97" s="83"/>
      <c r="J97" s="123"/>
    </row>
    <row r="98" spans="1:10" ht="13.8" x14ac:dyDescent="0.25">
      <c r="A98" s="81" t="s">
        <v>187</v>
      </c>
      <c r="B98" s="82">
        <v>6</v>
      </c>
      <c r="C98" s="82">
        <v>6</v>
      </c>
      <c r="D98" s="82">
        <v>6</v>
      </c>
      <c r="E98" s="82">
        <v>6</v>
      </c>
      <c r="F98" s="83">
        <v>25174.82</v>
      </c>
      <c r="G98" s="83">
        <f t="shared" si="5"/>
        <v>1812587.0399999998</v>
      </c>
      <c r="H98" s="83"/>
      <c r="I98" s="83"/>
      <c r="J98" s="123"/>
    </row>
    <row r="99" spans="1:10" ht="13.8" x14ac:dyDescent="0.25">
      <c r="A99" s="81" t="s">
        <v>175</v>
      </c>
      <c r="B99" s="82">
        <v>1</v>
      </c>
      <c r="C99" s="82">
        <v>1</v>
      </c>
      <c r="D99" s="82">
        <v>0</v>
      </c>
      <c r="E99" s="82">
        <v>0</v>
      </c>
      <c r="F99" s="83">
        <v>24480</v>
      </c>
      <c r="G99" s="83">
        <f t="shared" si="5"/>
        <v>146880</v>
      </c>
      <c r="H99" s="83"/>
      <c r="I99" s="83"/>
      <c r="J99" s="123"/>
    </row>
    <row r="100" spans="1:10" ht="13.8" x14ac:dyDescent="0.25">
      <c r="A100" s="84" t="s">
        <v>176</v>
      </c>
      <c r="B100" s="82">
        <v>3</v>
      </c>
      <c r="C100" s="82">
        <v>3</v>
      </c>
      <c r="D100" s="82">
        <v>2</v>
      </c>
      <c r="E100" s="82">
        <v>2</v>
      </c>
      <c r="F100" s="83">
        <v>31680</v>
      </c>
      <c r="G100" s="83">
        <f t="shared" si="5"/>
        <v>950400</v>
      </c>
      <c r="H100" s="83"/>
      <c r="I100" s="83"/>
      <c r="J100" s="123"/>
    </row>
    <row r="101" spans="1:10" ht="13.8" x14ac:dyDescent="0.25">
      <c r="A101" s="84" t="s">
        <v>177</v>
      </c>
      <c r="B101" s="82">
        <v>3</v>
      </c>
      <c r="C101" s="82">
        <v>3</v>
      </c>
      <c r="D101" s="82">
        <v>0</v>
      </c>
      <c r="E101" s="82">
        <v>0</v>
      </c>
      <c r="F101" s="83">
        <v>29120</v>
      </c>
      <c r="G101" s="83">
        <f t="shared" si="5"/>
        <v>524160</v>
      </c>
      <c r="H101" s="83"/>
      <c r="I101" s="83"/>
      <c r="J101" s="123"/>
    </row>
    <row r="102" spans="1:10" ht="13.8" x14ac:dyDescent="0.25">
      <c r="A102" s="84" t="s">
        <v>178</v>
      </c>
      <c r="B102" s="82">
        <v>1</v>
      </c>
      <c r="C102" s="82">
        <v>1</v>
      </c>
      <c r="D102" s="82">
        <v>0</v>
      </c>
      <c r="E102" s="82">
        <v>0</v>
      </c>
      <c r="F102" s="83">
        <v>30400</v>
      </c>
      <c r="G102" s="83">
        <f t="shared" si="5"/>
        <v>182400</v>
      </c>
      <c r="H102" s="83"/>
      <c r="I102" s="83"/>
      <c r="J102" s="123"/>
    </row>
    <row r="103" spans="1:10" ht="13.8" x14ac:dyDescent="0.25">
      <c r="A103" s="84" t="s">
        <v>179</v>
      </c>
      <c r="B103" s="82">
        <v>2</v>
      </c>
      <c r="C103" s="82">
        <v>2</v>
      </c>
      <c r="D103" s="82">
        <v>0</v>
      </c>
      <c r="E103" s="82">
        <v>0</v>
      </c>
      <c r="F103" s="83">
        <v>27200</v>
      </c>
      <c r="G103" s="83">
        <f t="shared" si="5"/>
        <v>326400</v>
      </c>
      <c r="H103" s="83"/>
      <c r="I103" s="83"/>
      <c r="J103" s="123"/>
    </row>
    <row r="104" spans="1:10" ht="13.8" x14ac:dyDescent="0.25">
      <c r="A104" s="81" t="s">
        <v>27</v>
      </c>
      <c r="B104" s="82">
        <v>1</v>
      </c>
      <c r="C104" s="82">
        <v>1</v>
      </c>
      <c r="D104" s="82">
        <v>0</v>
      </c>
      <c r="E104" s="82">
        <v>0</v>
      </c>
      <c r="F104" s="83">
        <v>34240</v>
      </c>
      <c r="G104" s="83">
        <f t="shared" si="5"/>
        <v>205440</v>
      </c>
      <c r="H104" s="83"/>
      <c r="I104" s="83"/>
      <c r="J104" s="123"/>
    </row>
    <row r="105" spans="1:10" ht="13.8" x14ac:dyDescent="0.25">
      <c r="A105" s="84" t="s">
        <v>165</v>
      </c>
      <c r="B105" s="82">
        <v>1</v>
      </c>
      <c r="C105" s="82">
        <v>1</v>
      </c>
      <c r="D105" s="82">
        <v>0</v>
      </c>
      <c r="E105" s="82">
        <v>0</v>
      </c>
      <c r="F105" s="83">
        <v>25920</v>
      </c>
      <c r="G105" s="83">
        <f t="shared" si="5"/>
        <v>155520</v>
      </c>
      <c r="H105" s="83"/>
      <c r="I105" s="83"/>
      <c r="J105" s="123"/>
    </row>
    <row r="106" spans="1:10" ht="13.8" x14ac:dyDescent="0.25">
      <c r="A106" s="84"/>
      <c r="B106" s="97">
        <f>SUM(B95:B105)</f>
        <v>21</v>
      </c>
      <c r="C106" s="97">
        <f>SUM(C95:C105)</f>
        <v>21</v>
      </c>
      <c r="D106" s="97">
        <f>SUM(D95:D105)</f>
        <v>11</v>
      </c>
      <c r="E106" s="97">
        <f>SUM(E95:E105)</f>
        <v>11</v>
      </c>
      <c r="F106" s="97"/>
      <c r="G106" s="97">
        <f>SUM(G95:G105)</f>
        <v>5298347.04</v>
      </c>
      <c r="H106" s="97">
        <f>G106*30.2%</f>
        <v>1600100.80608</v>
      </c>
      <c r="I106" s="97">
        <f>G106+H106</f>
        <v>6898447.8460799996</v>
      </c>
    </row>
    <row r="107" spans="1:10" ht="13.8" x14ac:dyDescent="0.25">
      <c r="A107" s="105" t="s">
        <v>29</v>
      </c>
      <c r="B107" s="88">
        <v>1.25</v>
      </c>
      <c r="C107" s="88">
        <v>1.25</v>
      </c>
      <c r="D107" s="88">
        <v>1</v>
      </c>
      <c r="E107" s="88">
        <v>1</v>
      </c>
      <c r="F107" s="90">
        <v>24480</v>
      </c>
      <c r="G107" s="90">
        <f t="shared" ref="G107:G108" si="6">D107*F107*12+((C107-D107)*F107/2*12)</f>
        <v>330480</v>
      </c>
      <c r="H107" s="106"/>
      <c r="I107" s="107"/>
      <c r="J107" s="123"/>
    </row>
    <row r="108" spans="1:10" ht="13.8" x14ac:dyDescent="0.25">
      <c r="A108" s="105" t="s">
        <v>156</v>
      </c>
      <c r="B108" s="88">
        <v>5</v>
      </c>
      <c r="C108" s="88">
        <v>5</v>
      </c>
      <c r="D108" s="88">
        <v>2</v>
      </c>
      <c r="E108" s="88">
        <v>2</v>
      </c>
      <c r="F108" s="90">
        <v>24480</v>
      </c>
      <c r="G108" s="90">
        <f t="shared" si="6"/>
        <v>1028160</v>
      </c>
      <c r="H108" s="90"/>
      <c r="I108" s="107"/>
      <c r="J108" s="123"/>
    </row>
    <row r="109" spans="1:10" ht="13.8" x14ac:dyDescent="0.25">
      <c r="A109" s="101" t="s">
        <v>158</v>
      </c>
      <c r="B109" s="108">
        <v>1</v>
      </c>
      <c r="C109" s="108">
        <v>1</v>
      </c>
      <c r="D109" s="108">
        <v>0</v>
      </c>
      <c r="E109" s="108">
        <v>0</v>
      </c>
      <c r="F109" s="109">
        <v>24480</v>
      </c>
      <c r="G109" s="109">
        <v>146880</v>
      </c>
      <c r="H109" s="109"/>
      <c r="I109" s="107"/>
      <c r="J109" s="123"/>
    </row>
    <row r="110" spans="1:10" ht="13.8" x14ac:dyDescent="0.25">
      <c r="A110" s="101"/>
      <c r="B110" s="110">
        <f>SUM(B107:B109)</f>
        <v>7.25</v>
      </c>
      <c r="C110" s="110">
        <f t="shared" ref="C110:I110" si="7">SUM(C107:C109)</f>
        <v>7.25</v>
      </c>
      <c r="D110" s="110">
        <f t="shared" si="7"/>
        <v>3</v>
      </c>
      <c r="E110" s="110">
        <f t="shared" si="7"/>
        <v>3</v>
      </c>
      <c r="F110" s="110">
        <f t="shared" si="7"/>
        <v>73440</v>
      </c>
      <c r="G110" s="110">
        <f t="shared" si="7"/>
        <v>1505520</v>
      </c>
      <c r="H110" s="108">
        <f t="shared" si="7"/>
        <v>0</v>
      </c>
      <c r="I110" s="108">
        <f t="shared" si="7"/>
        <v>0</v>
      </c>
    </row>
    <row r="111" spans="1:10" ht="13.8" x14ac:dyDescent="0.25">
      <c r="A111" s="142" t="s">
        <v>185</v>
      </c>
      <c r="B111" s="143"/>
      <c r="C111" s="143"/>
      <c r="D111" s="143"/>
      <c r="E111" s="143"/>
      <c r="F111" s="143"/>
      <c r="G111" s="143"/>
      <c r="H111" s="143"/>
      <c r="I111" s="144"/>
    </row>
    <row r="112" spans="1:10" ht="13.8" x14ac:dyDescent="0.25">
      <c r="A112" s="84" t="s">
        <v>186</v>
      </c>
      <c r="B112" s="82">
        <v>2</v>
      </c>
      <c r="C112" s="82">
        <v>2</v>
      </c>
      <c r="D112" s="82">
        <v>2</v>
      </c>
      <c r="E112" s="82">
        <v>2</v>
      </c>
      <c r="F112" s="83">
        <v>25920</v>
      </c>
      <c r="G112" s="83">
        <f>E112*F112*12+((C112-E112)*F112/2*12)</f>
        <v>622080</v>
      </c>
      <c r="H112" s="83"/>
      <c r="I112" s="83"/>
      <c r="J112" s="123"/>
    </row>
    <row r="113" spans="1:10" ht="13.8" x14ac:dyDescent="0.25">
      <c r="A113" s="84" t="s">
        <v>33</v>
      </c>
      <c r="B113" s="82">
        <v>0.5</v>
      </c>
      <c r="C113" s="82">
        <v>0.5</v>
      </c>
      <c r="D113" s="82">
        <v>0.5</v>
      </c>
      <c r="E113" s="82">
        <v>1</v>
      </c>
      <c r="F113" s="83">
        <v>25920</v>
      </c>
      <c r="G113" s="83">
        <f>E113*F113*12+((C113-E113)*F113/2*12)</f>
        <v>233280</v>
      </c>
      <c r="H113" s="83"/>
      <c r="I113" s="83"/>
      <c r="J113" s="123"/>
    </row>
    <row r="114" spans="1:10" ht="26.4" x14ac:dyDescent="0.25">
      <c r="A114" s="103" t="s">
        <v>155</v>
      </c>
      <c r="B114" s="82">
        <v>1</v>
      </c>
      <c r="C114" s="82">
        <v>1</v>
      </c>
      <c r="D114" s="82">
        <v>1</v>
      </c>
      <c r="E114" s="82">
        <v>1</v>
      </c>
      <c r="F114" s="83">
        <v>25920</v>
      </c>
      <c r="G114" s="83">
        <f t="shared" ref="G114" si="8">E114*F114*12+((C114-E114)*F114/2*12)</f>
        <v>311040</v>
      </c>
      <c r="H114" s="83"/>
      <c r="I114" s="83"/>
      <c r="J114" s="123"/>
    </row>
    <row r="115" spans="1:10" ht="13.8" x14ac:dyDescent="0.25">
      <c r="A115" s="84"/>
      <c r="B115" s="97">
        <f>SUM(B112:B114)</f>
        <v>3.5</v>
      </c>
      <c r="C115" s="97">
        <f>SUM(C112:C114)</f>
        <v>3.5</v>
      </c>
      <c r="D115" s="97">
        <f>SUM(D112:D114)</f>
        <v>3.5</v>
      </c>
      <c r="E115" s="97">
        <f>SUM(E112:E114)</f>
        <v>4</v>
      </c>
      <c r="F115" s="97"/>
      <c r="G115" s="97">
        <f>SUM(G112:G114)</f>
        <v>1166400</v>
      </c>
      <c r="H115" s="97">
        <f>G115*30.2%</f>
        <v>352252.8</v>
      </c>
      <c r="I115" s="97">
        <f>G115+H115</f>
        <v>1518652.8</v>
      </c>
    </row>
    <row r="116" spans="1:10" ht="13.8" x14ac:dyDescent="0.25">
      <c r="A116" s="142" t="s">
        <v>191</v>
      </c>
      <c r="B116" s="143"/>
      <c r="C116" s="143"/>
      <c r="D116" s="143"/>
      <c r="E116" s="143"/>
      <c r="F116" s="143"/>
      <c r="G116" s="143"/>
      <c r="H116" s="143"/>
      <c r="I116" s="144"/>
    </row>
    <row r="117" spans="1:10" ht="13.8" x14ac:dyDescent="0.25">
      <c r="A117" s="84" t="s">
        <v>192</v>
      </c>
      <c r="B117" s="82">
        <v>0.5</v>
      </c>
      <c r="C117" s="82">
        <v>0.5</v>
      </c>
      <c r="D117" s="82">
        <v>0</v>
      </c>
      <c r="E117" s="82">
        <v>0</v>
      </c>
      <c r="F117" s="83">
        <v>29120</v>
      </c>
      <c r="G117" s="83">
        <f>D117*F117*12+((C117-D117)*F117/2*12)</f>
        <v>87360</v>
      </c>
      <c r="H117" s="83"/>
      <c r="I117" s="83"/>
      <c r="J117" s="123"/>
    </row>
    <row r="118" spans="1:10" ht="13.8" x14ac:dyDescent="0.25">
      <c r="A118" s="84" t="s">
        <v>155</v>
      </c>
      <c r="B118" s="82">
        <v>1</v>
      </c>
      <c r="C118" s="82">
        <v>1</v>
      </c>
      <c r="D118" s="82">
        <v>0</v>
      </c>
      <c r="E118" s="82">
        <v>0</v>
      </c>
      <c r="F118" s="83">
        <v>25920</v>
      </c>
      <c r="G118" s="83">
        <f t="shared" ref="G118:G125" si="9">D118*F118*12+((C118-D118)*F118/2*12)</f>
        <v>155520</v>
      </c>
      <c r="H118" s="83"/>
      <c r="I118" s="83"/>
      <c r="J118" s="123"/>
    </row>
    <row r="119" spans="1:10" s="91" customFormat="1" ht="13.8" x14ac:dyDescent="0.25">
      <c r="A119" s="104" t="s">
        <v>156</v>
      </c>
      <c r="B119" s="88">
        <v>2</v>
      </c>
      <c r="C119" s="88">
        <v>2</v>
      </c>
      <c r="D119" s="88">
        <v>1</v>
      </c>
      <c r="E119" s="88">
        <v>1</v>
      </c>
      <c r="F119" s="111">
        <v>24480</v>
      </c>
      <c r="G119" s="90"/>
      <c r="H119" s="90"/>
      <c r="I119" s="90"/>
      <c r="J119" s="124"/>
    </row>
    <row r="120" spans="1:10" ht="13.8" x14ac:dyDescent="0.25">
      <c r="A120" s="84" t="s">
        <v>54</v>
      </c>
      <c r="B120" s="82">
        <v>1</v>
      </c>
      <c r="C120" s="82">
        <v>1</v>
      </c>
      <c r="D120" s="82">
        <v>1</v>
      </c>
      <c r="E120" s="82">
        <v>1</v>
      </c>
      <c r="F120" s="83">
        <v>30400</v>
      </c>
      <c r="G120" s="83">
        <f t="shared" si="9"/>
        <v>364800</v>
      </c>
      <c r="H120" s="83"/>
      <c r="I120" s="83"/>
      <c r="J120" s="123"/>
    </row>
    <row r="121" spans="1:10" ht="13.8" x14ac:dyDescent="0.25">
      <c r="A121" s="84" t="s">
        <v>193</v>
      </c>
      <c r="B121" s="82">
        <v>0.5</v>
      </c>
      <c r="C121" s="82">
        <v>0.5</v>
      </c>
      <c r="D121" s="82">
        <v>0</v>
      </c>
      <c r="E121" s="82">
        <v>0</v>
      </c>
      <c r="F121" s="83">
        <v>30400</v>
      </c>
      <c r="G121" s="83">
        <f t="shared" si="9"/>
        <v>91200</v>
      </c>
      <c r="H121" s="83"/>
      <c r="I121" s="83"/>
      <c r="J121" s="123"/>
    </row>
    <row r="122" spans="1:10" ht="13.8" x14ac:dyDescent="0.25">
      <c r="A122" s="84" t="s">
        <v>161</v>
      </c>
      <c r="B122" s="82">
        <v>1</v>
      </c>
      <c r="C122" s="82">
        <v>1</v>
      </c>
      <c r="D122" s="82">
        <v>1</v>
      </c>
      <c r="E122" s="82">
        <v>1</v>
      </c>
      <c r="F122" s="83">
        <v>30400</v>
      </c>
      <c r="G122" s="83">
        <f t="shared" si="9"/>
        <v>364800</v>
      </c>
      <c r="H122" s="83"/>
      <c r="I122" s="83"/>
      <c r="J122" s="123"/>
    </row>
    <row r="123" spans="1:10" ht="13.8" x14ac:dyDescent="0.25">
      <c r="A123" s="84" t="s">
        <v>169</v>
      </c>
      <c r="B123" s="82">
        <v>1</v>
      </c>
      <c r="C123" s="82">
        <v>1</v>
      </c>
      <c r="D123" s="82">
        <v>1</v>
      </c>
      <c r="E123" s="82">
        <v>1</v>
      </c>
      <c r="F123" s="86">
        <v>22800</v>
      </c>
      <c r="G123" s="83">
        <f t="shared" si="9"/>
        <v>273600</v>
      </c>
      <c r="H123" s="83"/>
      <c r="I123" s="83"/>
      <c r="J123" s="123"/>
    </row>
    <row r="124" spans="1:10" ht="13.8" x14ac:dyDescent="0.25">
      <c r="A124" s="84" t="s">
        <v>14</v>
      </c>
      <c r="B124" s="82">
        <v>4</v>
      </c>
      <c r="C124" s="82">
        <v>4</v>
      </c>
      <c r="D124" s="82">
        <v>4</v>
      </c>
      <c r="E124" s="82">
        <v>4</v>
      </c>
      <c r="F124" s="83">
        <v>25920</v>
      </c>
      <c r="G124" s="83">
        <f t="shared" si="9"/>
        <v>1244160</v>
      </c>
      <c r="H124" s="83"/>
      <c r="I124" s="83"/>
      <c r="J124" s="123"/>
    </row>
    <row r="125" spans="1:10" ht="13.8" x14ac:dyDescent="0.25">
      <c r="A125" s="84" t="s">
        <v>194</v>
      </c>
      <c r="B125" s="82">
        <v>5</v>
      </c>
      <c r="C125" s="82">
        <v>5</v>
      </c>
      <c r="D125" s="82">
        <v>5</v>
      </c>
      <c r="E125" s="82">
        <v>5</v>
      </c>
      <c r="F125" s="83">
        <v>25280</v>
      </c>
      <c r="G125" s="83">
        <f t="shared" si="9"/>
        <v>1516800</v>
      </c>
      <c r="H125" s="83"/>
      <c r="I125" s="83"/>
      <c r="J125" s="123"/>
    </row>
    <row r="126" spans="1:10" ht="13.8" x14ac:dyDescent="0.25">
      <c r="A126" s="84"/>
      <c r="B126" s="96">
        <f>SUM(B117:B125)</f>
        <v>16</v>
      </c>
      <c r="C126" s="96">
        <f t="shared" ref="C126:E126" si="10">SUM(C117:C125)</f>
        <v>16</v>
      </c>
      <c r="D126" s="96">
        <f t="shared" si="10"/>
        <v>13</v>
      </c>
      <c r="E126" s="96">
        <f t="shared" si="10"/>
        <v>13</v>
      </c>
      <c r="F126" s="97">
        <f>SUM(F117:F125)</f>
        <v>244720</v>
      </c>
      <c r="G126" s="97">
        <f>SUM(G117:G125)</f>
        <v>4098240</v>
      </c>
      <c r="H126" s="97">
        <f>G126*30.2%</f>
        <v>1237668.48</v>
      </c>
      <c r="I126" s="97">
        <f>G126+H126</f>
        <v>5335908.4800000004</v>
      </c>
    </row>
    <row r="127" spans="1:10" ht="13.8" x14ac:dyDescent="0.25">
      <c r="A127" s="142" t="s">
        <v>195</v>
      </c>
      <c r="B127" s="143"/>
      <c r="C127" s="143"/>
      <c r="D127" s="143"/>
      <c r="E127" s="143"/>
      <c r="F127" s="143"/>
      <c r="G127" s="143"/>
      <c r="H127" s="143"/>
      <c r="I127" s="144"/>
    </row>
    <row r="128" spans="1:10" ht="13.8" x14ac:dyDescent="0.25">
      <c r="A128" s="84" t="s">
        <v>32</v>
      </c>
      <c r="B128" s="82">
        <v>1</v>
      </c>
      <c r="C128" s="82">
        <v>1</v>
      </c>
      <c r="D128" s="82">
        <v>1</v>
      </c>
      <c r="E128" s="82">
        <v>1</v>
      </c>
      <c r="F128" s="83">
        <v>29808</v>
      </c>
      <c r="G128" s="83">
        <f>D128*F128*12+((C128-D128)*F128/2*12)</f>
        <v>357696</v>
      </c>
      <c r="H128" s="83">
        <f>G128*30.2%</f>
        <v>108024.192</v>
      </c>
      <c r="I128" s="83">
        <f>G128+H128</f>
        <v>465720.19199999998</v>
      </c>
      <c r="J128" s="123"/>
    </row>
    <row r="129" spans="1:10" ht="13.8" x14ac:dyDescent="0.25">
      <c r="A129" s="104" t="s">
        <v>29</v>
      </c>
      <c r="B129" s="88">
        <v>1</v>
      </c>
      <c r="C129" s="88">
        <v>1</v>
      </c>
      <c r="D129" s="88">
        <v>0</v>
      </c>
      <c r="E129" s="88">
        <v>0</v>
      </c>
      <c r="F129" s="90">
        <v>24447</v>
      </c>
      <c r="G129" s="90">
        <f>D129*F129*12+((C129-D129)*F129/2*12)</f>
        <v>146682</v>
      </c>
      <c r="H129" s="90">
        <f t="shared" ref="H129:H138" si="11">G129*30.2%</f>
        <v>44297.964</v>
      </c>
      <c r="I129" s="90">
        <f t="shared" ref="I129:I138" si="12">G129+H129</f>
        <v>190979.96400000001</v>
      </c>
      <c r="J129" s="123"/>
    </row>
    <row r="130" spans="1:10" ht="13.8" x14ac:dyDescent="0.25">
      <c r="A130" s="84" t="s">
        <v>155</v>
      </c>
      <c r="B130" s="82">
        <v>1.5</v>
      </c>
      <c r="C130" s="82">
        <v>1.5</v>
      </c>
      <c r="D130" s="82">
        <v>1</v>
      </c>
      <c r="E130" s="82">
        <v>1</v>
      </c>
      <c r="F130" s="83">
        <v>29808</v>
      </c>
      <c r="G130" s="83">
        <f>D130*F130*12+((C130-D130)*F130/2*12)</f>
        <v>447120</v>
      </c>
      <c r="H130" s="83">
        <f t="shared" si="11"/>
        <v>135030.24</v>
      </c>
      <c r="I130" s="83">
        <f t="shared" si="12"/>
        <v>582150.24</v>
      </c>
      <c r="J130" s="123"/>
    </row>
    <row r="131" spans="1:10" ht="13.8" x14ac:dyDescent="0.25">
      <c r="A131" s="104" t="s">
        <v>156</v>
      </c>
      <c r="B131" s="88">
        <v>4</v>
      </c>
      <c r="C131" s="88">
        <v>4</v>
      </c>
      <c r="D131" s="88">
        <v>4</v>
      </c>
      <c r="E131" s="88">
        <v>4</v>
      </c>
      <c r="F131" s="90">
        <v>24447</v>
      </c>
      <c r="G131" s="90">
        <f t="shared" ref="G131:G138" si="13">D131*F131*12+((C131-D131)*F131/2*12)</f>
        <v>1173456</v>
      </c>
      <c r="H131" s="90">
        <f t="shared" si="11"/>
        <v>354383.712</v>
      </c>
      <c r="I131" s="90">
        <f t="shared" si="12"/>
        <v>1527839.7120000001</v>
      </c>
      <c r="J131" s="123"/>
    </row>
    <row r="132" spans="1:10" ht="13.8" x14ac:dyDescent="0.25">
      <c r="A132" s="84" t="s">
        <v>157</v>
      </c>
      <c r="B132" s="82">
        <v>4</v>
      </c>
      <c r="C132" s="82">
        <v>4</v>
      </c>
      <c r="D132" s="82">
        <v>4</v>
      </c>
      <c r="E132" s="82">
        <v>4</v>
      </c>
      <c r="F132" s="83">
        <v>26280</v>
      </c>
      <c r="G132" s="83">
        <f t="shared" si="13"/>
        <v>1261440</v>
      </c>
      <c r="H132" s="83">
        <f t="shared" si="11"/>
        <v>380954.88</v>
      </c>
      <c r="I132" s="83">
        <f t="shared" si="12"/>
        <v>1642394.88</v>
      </c>
      <c r="J132" s="123"/>
    </row>
    <row r="133" spans="1:10" ht="13.8" x14ac:dyDescent="0.25">
      <c r="A133" s="84" t="s">
        <v>27</v>
      </c>
      <c r="B133" s="82">
        <v>1</v>
      </c>
      <c r="C133" s="82">
        <v>1</v>
      </c>
      <c r="D133" s="82">
        <v>1</v>
      </c>
      <c r="E133" s="82">
        <v>0</v>
      </c>
      <c r="F133" s="83">
        <v>35320</v>
      </c>
      <c r="G133" s="83">
        <f t="shared" si="13"/>
        <v>423840</v>
      </c>
      <c r="H133" s="83">
        <f t="shared" si="11"/>
        <v>127999.67999999999</v>
      </c>
      <c r="I133" s="83">
        <f t="shared" si="12"/>
        <v>551839.67999999993</v>
      </c>
      <c r="J133" s="123"/>
    </row>
    <row r="134" spans="1:10" ht="13.8" x14ac:dyDescent="0.25">
      <c r="A134" s="84" t="s">
        <v>26</v>
      </c>
      <c r="B134" s="82">
        <v>1</v>
      </c>
      <c r="C134" s="82">
        <v>1</v>
      </c>
      <c r="D134" s="82">
        <v>1</v>
      </c>
      <c r="E134" s="82">
        <v>1</v>
      </c>
      <c r="F134" s="83">
        <v>31760</v>
      </c>
      <c r="G134" s="83">
        <f t="shared" si="13"/>
        <v>381120</v>
      </c>
      <c r="H134" s="83">
        <f t="shared" si="11"/>
        <v>115098.23999999999</v>
      </c>
      <c r="I134" s="83">
        <f t="shared" si="12"/>
        <v>496218.24</v>
      </c>
      <c r="J134" s="123"/>
    </row>
    <row r="135" spans="1:10" ht="13.8" x14ac:dyDescent="0.25">
      <c r="A135" s="84" t="s">
        <v>168</v>
      </c>
      <c r="B135" s="82">
        <v>0.5</v>
      </c>
      <c r="C135" s="82">
        <v>0</v>
      </c>
      <c r="D135" s="82">
        <v>0</v>
      </c>
      <c r="E135" s="82">
        <v>0</v>
      </c>
      <c r="F135" s="83">
        <v>12480</v>
      </c>
      <c r="G135" s="83">
        <f t="shared" si="13"/>
        <v>0</v>
      </c>
      <c r="H135" s="83">
        <f t="shared" si="11"/>
        <v>0</v>
      </c>
      <c r="I135" s="83">
        <f t="shared" si="12"/>
        <v>0</v>
      </c>
      <c r="J135" s="123"/>
    </row>
    <row r="136" spans="1:10" ht="13.8" x14ac:dyDescent="0.25">
      <c r="A136" s="84" t="s">
        <v>197</v>
      </c>
      <c r="B136" s="82">
        <v>3</v>
      </c>
      <c r="C136" s="82">
        <v>3</v>
      </c>
      <c r="D136" s="82">
        <v>3</v>
      </c>
      <c r="E136" s="82">
        <v>3</v>
      </c>
      <c r="F136" s="83">
        <v>30808</v>
      </c>
      <c r="G136" s="83">
        <f t="shared" si="13"/>
        <v>1109088</v>
      </c>
      <c r="H136" s="83">
        <f t="shared" si="11"/>
        <v>334944.576</v>
      </c>
      <c r="I136" s="83">
        <f t="shared" si="12"/>
        <v>1444032.5759999999</v>
      </c>
      <c r="J136" s="123"/>
    </row>
    <row r="137" spans="1:10" ht="13.8" x14ac:dyDescent="0.25">
      <c r="A137" s="84" t="s">
        <v>202</v>
      </c>
      <c r="B137" s="82">
        <v>1</v>
      </c>
      <c r="C137" s="82">
        <v>0</v>
      </c>
      <c r="D137" s="82">
        <v>0</v>
      </c>
      <c r="E137" s="82">
        <v>0</v>
      </c>
      <c r="F137" s="83">
        <v>29760</v>
      </c>
      <c r="G137" s="83">
        <f t="shared" si="13"/>
        <v>0</v>
      </c>
      <c r="H137" s="83">
        <f t="shared" si="11"/>
        <v>0</v>
      </c>
      <c r="I137" s="83">
        <f t="shared" si="12"/>
        <v>0</v>
      </c>
      <c r="J137" s="123"/>
    </row>
    <row r="138" spans="1:10" ht="13.8" x14ac:dyDescent="0.25">
      <c r="A138" s="84" t="s">
        <v>169</v>
      </c>
      <c r="B138" s="82">
        <v>1</v>
      </c>
      <c r="C138" s="82">
        <v>0</v>
      </c>
      <c r="D138" s="82">
        <v>0</v>
      </c>
      <c r="E138" s="82">
        <v>0</v>
      </c>
      <c r="F138" s="83">
        <v>37600</v>
      </c>
      <c r="G138" s="83">
        <f t="shared" si="13"/>
        <v>0</v>
      </c>
      <c r="H138" s="83">
        <f t="shared" si="11"/>
        <v>0</v>
      </c>
      <c r="I138" s="83">
        <f t="shared" si="12"/>
        <v>0</v>
      </c>
      <c r="J138" s="123"/>
    </row>
    <row r="139" spans="1:10" ht="13.8" x14ac:dyDescent="0.25">
      <c r="A139" s="84" t="s">
        <v>203</v>
      </c>
      <c r="B139" s="97">
        <f t="shared" ref="B139:G139" si="14">SUM(B128:B138)</f>
        <v>19</v>
      </c>
      <c r="C139" s="97">
        <f t="shared" si="14"/>
        <v>16.5</v>
      </c>
      <c r="D139" s="97">
        <f t="shared" si="14"/>
        <v>15</v>
      </c>
      <c r="E139" s="97">
        <f t="shared" si="14"/>
        <v>14</v>
      </c>
      <c r="F139" s="97">
        <f t="shared" si="14"/>
        <v>312518</v>
      </c>
      <c r="G139" s="97">
        <f t="shared" si="14"/>
        <v>5300442</v>
      </c>
      <c r="H139" s="97">
        <f>G139*30.2%</f>
        <v>1600733.4839999999</v>
      </c>
      <c r="I139" s="97">
        <f>G139+H139</f>
        <v>6901175.4840000002</v>
      </c>
    </row>
    <row r="140" spans="1:10" ht="13.8" x14ac:dyDescent="0.25">
      <c r="A140" s="91" t="s">
        <v>204</v>
      </c>
      <c r="B140" s="112">
        <f t="shared" ref="B140:F140" si="15">B129+B131</f>
        <v>5</v>
      </c>
      <c r="C140" s="112">
        <f t="shared" si="15"/>
        <v>5</v>
      </c>
      <c r="D140" s="112">
        <f t="shared" si="15"/>
        <v>4</v>
      </c>
      <c r="E140" s="112">
        <f t="shared" si="15"/>
        <v>4</v>
      </c>
      <c r="F140" s="112">
        <f t="shared" si="15"/>
        <v>48894</v>
      </c>
      <c r="G140" s="112">
        <f>G129+G131</f>
        <v>1320138</v>
      </c>
      <c r="H140" s="113">
        <f>G140*30.2%</f>
        <v>398681.67599999998</v>
      </c>
      <c r="I140" s="113">
        <f>G140+H140</f>
        <v>1718819.676</v>
      </c>
    </row>
    <row r="141" spans="1:10" ht="13.8" x14ac:dyDescent="0.25">
      <c r="A141" s="84" t="s">
        <v>205</v>
      </c>
      <c r="B141" s="97">
        <f t="shared" ref="B141:F141" si="16">B139-B140</f>
        <v>14</v>
      </c>
      <c r="C141" s="97">
        <f t="shared" si="16"/>
        <v>11.5</v>
      </c>
      <c r="D141" s="97">
        <f t="shared" si="16"/>
        <v>11</v>
      </c>
      <c r="E141" s="97">
        <f t="shared" si="16"/>
        <v>10</v>
      </c>
      <c r="F141" s="97">
        <f t="shared" si="16"/>
        <v>263624</v>
      </c>
      <c r="G141" s="97">
        <f>G139-G140</f>
        <v>3980304</v>
      </c>
      <c r="H141" s="97">
        <f t="shared" ref="H141:I141" si="17">H139-H140</f>
        <v>1202051.808</v>
      </c>
      <c r="I141" s="97">
        <f t="shared" si="17"/>
        <v>5182355.8080000002</v>
      </c>
    </row>
    <row r="142" spans="1:10" ht="13.8" x14ac:dyDescent="0.25">
      <c r="A142" s="142" t="s">
        <v>198</v>
      </c>
      <c r="B142" s="143"/>
      <c r="C142" s="143"/>
      <c r="D142" s="143"/>
      <c r="E142" s="143"/>
      <c r="F142" s="143"/>
      <c r="G142" s="143"/>
      <c r="H142" s="143"/>
      <c r="I142" s="144"/>
    </row>
    <row r="143" spans="1:10" ht="13.8" x14ac:dyDescent="0.25">
      <c r="A143" s="84" t="s">
        <v>155</v>
      </c>
      <c r="B143" s="82">
        <v>1</v>
      </c>
      <c r="C143" s="82">
        <v>1</v>
      </c>
      <c r="D143" s="82">
        <v>1</v>
      </c>
      <c r="E143" s="82">
        <v>1</v>
      </c>
      <c r="F143" s="83">
        <v>25920</v>
      </c>
      <c r="G143" s="83">
        <v>311040</v>
      </c>
      <c r="H143" s="83"/>
      <c r="I143" s="83"/>
      <c r="J143" s="123"/>
    </row>
    <row r="144" spans="1:10" ht="13.8" x14ac:dyDescent="0.25">
      <c r="A144" s="84" t="s">
        <v>187</v>
      </c>
      <c r="B144" s="82">
        <v>3.5</v>
      </c>
      <c r="C144" s="82">
        <v>3</v>
      </c>
      <c r="D144" s="82">
        <v>3</v>
      </c>
      <c r="E144" s="82">
        <v>3</v>
      </c>
      <c r="F144" s="83">
        <v>25768.02</v>
      </c>
      <c r="G144" s="83">
        <v>927648.72</v>
      </c>
      <c r="H144" s="83"/>
      <c r="I144" s="83"/>
      <c r="J144" s="123"/>
    </row>
    <row r="145" spans="1:10" ht="13.8" x14ac:dyDescent="0.25">
      <c r="A145" s="84" t="s">
        <v>54</v>
      </c>
      <c r="B145" s="82">
        <v>1</v>
      </c>
      <c r="C145" s="82">
        <v>0</v>
      </c>
      <c r="D145" s="82">
        <v>0</v>
      </c>
      <c r="E145" s="82">
        <v>0</v>
      </c>
      <c r="F145" s="83"/>
      <c r="G145" s="83">
        <v>0</v>
      </c>
      <c r="H145" s="83"/>
      <c r="I145" s="83"/>
      <c r="J145" s="123"/>
    </row>
    <row r="146" spans="1:10" ht="13.8" x14ac:dyDescent="0.25">
      <c r="A146" s="84"/>
      <c r="B146" s="97">
        <f t="shared" ref="B146:F146" si="18">SUM(B143:B145)</f>
        <v>5.5</v>
      </c>
      <c r="C146" s="97">
        <f t="shared" si="18"/>
        <v>4</v>
      </c>
      <c r="D146" s="97">
        <f t="shared" si="18"/>
        <v>4</v>
      </c>
      <c r="E146" s="97">
        <f t="shared" si="18"/>
        <v>4</v>
      </c>
      <c r="F146" s="97">
        <f t="shared" si="18"/>
        <v>51688.020000000004</v>
      </c>
      <c r="G146" s="97">
        <f>SUM(G143:G145)</f>
        <v>1238688.72</v>
      </c>
      <c r="H146" s="97">
        <v>551275.84944000002</v>
      </c>
      <c r="I146" s="97">
        <v>2376692.5694399998</v>
      </c>
    </row>
    <row r="147" spans="1:10" ht="13.8" x14ac:dyDescent="0.25">
      <c r="A147" s="104" t="s">
        <v>156</v>
      </c>
      <c r="B147" s="88">
        <v>2</v>
      </c>
      <c r="C147" s="88">
        <v>2</v>
      </c>
      <c r="D147" s="88">
        <v>2</v>
      </c>
      <c r="E147" s="88">
        <v>2</v>
      </c>
      <c r="F147" s="90">
        <v>24447</v>
      </c>
      <c r="G147" s="90">
        <v>586728</v>
      </c>
      <c r="H147" s="84"/>
      <c r="I147" s="84"/>
    </row>
    <row r="148" spans="1:10" ht="13.8" x14ac:dyDescent="0.25">
      <c r="A148" s="142" t="s">
        <v>188</v>
      </c>
      <c r="B148" s="143"/>
      <c r="C148" s="143"/>
      <c r="D148" s="143"/>
      <c r="E148" s="143"/>
      <c r="F148" s="143"/>
      <c r="G148" s="143"/>
      <c r="H148" s="143"/>
      <c r="I148" s="144"/>
    </row>
    <row r="149" spans="1:10" ht="13.8" x14ac:dyDescent="0.25">
      <c r="A149" s="85" t="s">
        <v>32</v>
      </c>
      <c r="B149" s="82">
        <v>1</v>
      </c>
      <c r="C149" s="82">
        <v>1</v>
      </c>
      <c r="D149" s="82">
        <v>1</v>
      </c>
      <c r="E149" s="82">
        <v>1</v>
      </c>
      <c r="F149" s="86">
        <f>((8100*2)+(8100*0.15))*1.6</f>
        <v>27864</v>
      </c>
      <c r="G149" s="83">
        <f t="shared" ref="G149:G174" si="19">D149*F149*12+((C149-D149)*F149/2*12)</f>
        <v>334368</v>
      </c>
      <c r="H149" s="83">
        <f>G149*0.302</f>
        <v>100979.136</v>
      </c>
      <c r="I149" s="83">
        <f>G149+H149</f>
        <v>435347.136</v>
      </c>
      <c r="J149" s="123"/>
    </row>
    <row r="150" spans="1:10" ht="13.8" x14ac:dyDescent="0.25">
      <c r="A150" s="85" t="s">
        <v>31</v>
      </c>
      <c r="B150" s="82">
        <v>2.5</v>
      </c>
      <c r="C150" s="82">
        <v>2.5</v>
      </c>
      <c r="D150" s="82">
        <v>3</v>
      </c>
      <c r="E150" s="82">
        <v>3</v>
      </c>
      <c r="F150" s="86">
        <f>((8300*2)+(8300*0.15))*1.6</f>
        <v>28552</v>
      </c>
      <c r="G150" s="83">
        <f>D150*F150*12+((C150-D150)*F150/2*12)</f>
        <v>942216</v>
      </c>
      <c r="H150" s="83">
        <f t="shared" ref="H150:H174" si="20">G150*0.302</f>
        <v>284549.23200000002</v>
      </c>
      <c r="I150" s="83">
        <f t="shared" ref="I150:I174" si="21">G150+H150</f>
        <v>1226765.2320000001</v>
      </c>
      <c r="J150" s="123"/>
    </row>
    <row r="151" spans="1:10" ht="13.8" x14ac:dyDescent="0.25">
      <c r="A151" s="85" t="s">
        <v>29</v>
      </c>
      <c r="B151" s="82">
        <v>4</v>
      </c>
      <c r="C151" s="82">
        <v>4</v>
      </c>
      <c r="D151" s="82">
        <v>3</v>
      </c>
      <c r="E151" s="82">
        <v>3</v>
      </c>
      <c r="F151" s="86">
        <f>((7650*2)+(7650*0.15))*1.6</f>
        <v>26316</v>
      </c>
      <c r="G151" s="83">
        <f t="shared" si="19"/>
        <v>1105272</v>
      </c>
      <c r="H151" s="83">
        <f t="shared" si="20"/>
        <v>333792.14399999997</v>
      </c>
      <c r="I151" s="83">
        <f t="shared" si="21"/>
        <v>1439064.1439999999</v>
      </c>
      <c r="J151" s="123"/>
    </row>
    <row r="152" spans="1:10" ht="26.4" x14ac:dyDescent="0.25">
      <c r="A152" s="85" t="s">
        <v>155</v>
      </c>
      <c r="B152" s="82">
        <v>3.25</v>
      </c>
      <c r="C152" s="82">
        <v>3.25</v>
      </c>
      <c r="D152" s="82">
        <v>4</v>
      </c>
      <c r="E152" s="82">
        <v>3</v>
      </c>
      <c r="F152" s="86">
        <f t="shared" ref="F152:F170" si="22">((8100*2)+(8100*0.15))*1.6</f>
        <v>27864</v>
      </c>
      <c r="G152" s="83">
        <f t="shared" si="19"/>
        <v>1212084</v>
      </c>
      <c r="H152" s="83">
        <f t="shared" si="20"/>
        <v>366049.36800000002</v>
      </c>
      <c r="I152" s="83">
        <f t="shared" si="21"/>
        <v>1578133.368</v>
      </c>
      <c r="J152" s="123"/>
    </row>
    <row r="153" spans="1:10" s="91" customFormat="1" ht="13.8" x14ac:dyDescent="0.25">
      <c r="A153" s="87" t="s">
        <v>156</v>
      </c>
      <c r="B153" s="88">
        <v>17</v>
      </c>
      <c r="C153" s="88">
        <v>16.25</v>
      </c>
      <c r="D153" s="88">
        <v>10.5</v>
      </c>
      <c r="E153" s="88">
        <v>11</v>
      </c>
      <c r="F153" s="89">
        <f>((7650*2))*1.6</f>
        <v>24480</v>
      </c>
      <c r="G153" s="90"/>
      <c r="H153" s="90">
        <f t="shared" si="20"/>
        <v>0</v>
      </c>
      <c r="I153" s="90">
        <f t="shared" si="21"/>
        <v>0</v>
      </c>
      <c r="J153" s="123"/>
    </row>
    <row r="154" spans="1:10" ht="13.8" x14ac:dyDescent="0.25">
      <c r="A154" s="85" t="s">
        <v>157</v>
      </c>
      <c r="B154" s="82">
        <v>3</v>
      </c>
      <c r="C154" s="82">
        <v>2.5</v>
      </c>
      <c r="D154" s="82">
        <v>2.5</v>
      </c>
      <c r="E154" s="82">
        <v>3</v>
      </c>
      <c r="F154" s="86">
        <f>(7900*2)*1.6</f>
        <v>25280</v>
      </c>
      <c r="G154" s="83">
        <f t="shared" si="19"/>
        <v>758400</v>
      </c>
      <c r="H154" s="83">
        <f t="shared" si="20"/>
        <v>229036.79999999999</v>
      </c>
      <c r="I154" s="83">
        <f t="shared" si="21"/>
        <v>987436.8</v>
      </c>
      <c r="J154" s="123"/>
    </row>
    <row r="155" spans="1:10" s="91" customFormat="1" ht="13.8" x14ac:dyDescent="0.25">
      <c r="A155" s="92" t="s">
        <v>158</v>
      </c>
      <c r="B155" s="88">
        <v>9</v>
      </c>
      <c r="C155" s="88">
        <v>9</v>
      </c>
      <c r="D155" s="88">
        <v>9</v>
      </c>
      <c r="E155" s="88">
        <v>9</v>
      </c>
      <c r="F155" s="89">
        <f>(7650*2)*1.6</f>
        <v>24480</v>
      </c>
      <c r="G155" s="90"/>
      <c r="H155" s="90">
        <f t="shared" si="20"/>
        <v>0</v>
      </c>
      <c r="I155" s="90">
        <f t="shared" si="21"/>
        <v>0</v>
      </c>
      <c r="J155" s="123" t="s">
        <v>159</v>
      </c>
    </row>
    <row r="156" spans="1:10" ht="13.8" x14ac:dyDescent="0.25">
      <c r="A156" s="84" t="s">
        <v>27</v>
      </c>
      <c r="B156" s="82">
        <v>2</v>
      </c>
      <c r="C156" s="82">
        <v>2</v>
      </c>
      <c r="D156" s="82">
        <v>2</v>
      </c>
      <c r="E156" s="82">
        <v>2</v>
      </c>
      <c r="F156" s="86">
        <f>((10700*2)+(10700*0.15))*1.6</f>
        <v>36808</v>
      </c>
      <c r="G156" s="83">
        <f t="shared" si="19"/>
        <v>883392</v>
      </c>
      <c r="H156" s="83">
        <f t="shared" si="20"/>
        <v>266784.38400000002</v>
      </c>
      <c r="I156" s="83">
        <f t="shared" si="21"/>
        <v>1150176.3840000001</v>
      </c>
      <c r="J156" s="123"/>
    </row>
    <row r="157" spans="1:10" ht="13.8" x14ac:dyDescent="0.25">
      <c r="A157" s="84" t="s">
        <v>26</v>
      </c>
      <c r="B157" s="82">
        <v>1</v>
      </c>
      <c r="C157" s="82">
        <v>1</v>
      </c>
      <c r="D157" s="82">
        <v>1</v>
      </c>
      <c r="E157" s="82">
        <v>1</v>
      </c>
      <c r="F157" s="86">
        <f>((9900*2)+(9900*0.15))*1.6</f>
        <v>34056</v>
      </c>
      <c r="G157" s="83">
        <f>D157*F157*12+((C157-D157)*F157/2*12)</f>
        <v>408672</v>
      </c>
      <c r="H157" s="83">
        <f t="shared" si="20"/>
        <v>123418.944</v>
      </c>
      <c r="I157" s="83">
        <f t="shared" si="21"/>
        <v>532090.94400000002</v>
      </c>
      <c r="J157" s="125">
        <f>510134.4</f>
        <v>510134.4</v>
      </c>
    </row>
    <row r="158" spans="1:10" ht="13.8" x14ac:dyDescent="0.25">
      <c r="A158" s="84" t="s">
        <v>160</v>
      </c>
      <c r="B158" s="82">
        <v>0.5</v>
      </c>
      <c r="C158" s="82">
        <v>0.5</v>
      </c>
      <c r="D158" s="82">
        <v>0</v>
      </c>
      <c r="E158" s="82">
        <v>0</v>
      </c>
      <c r="F158" s="86">
        <f>((9100)+(9100*0.15))*1.6</f>
        <v>16744</v>
      </c>
      <c r="G158" s="83">
        <f t="shared" si="19"/>
        <v>50232</v>
      </c>
      <c r="H158" s="83">
        <f t="shared" si="20"/>
        <v>15170.064</v>
      </c>
      <c r="I158" s="83">
        <f t="shared" si="21"/>
        <v>65402.063999999998</v>
      </c>
      <c r="J158" s="125">
        <f>45481.6*6</f>
        <v>272889.59999999998</v>
      </c>
    </row>
    <row r="159" spans="1:10" ht="13.8" x14ac:dyDescent="0.25">
      <c r="A159" s="84" t="s">
        <v>161</v>
      </c>
      <c r="B159" s="82">
        <v>1</v>
      </c>
      <c r="C159" s="82">
        <v>1</v>
      </c>
      <c r="D159" s="82">
        <v>1</v>
      </c>
      <c r="E159" s="82">
        <v>1</v>
      </c>
      <c r="F159" s="86">
        <f>((9500*2)+(9500*0.15))*1.6</f>
        <v>32680</v>
      </c>
      <c r="G159" s="83">
        <f t="shared" si="19"/>
        <v>392160</v>
      </c>
      <c r="H159" s="83">
        <f t="shared" si="20"/>
        <v>118432.31999999999</v>
      </c>
      <c r="I159" s="83">
        <f t="shared" si="21"/>
        <v>510592.32</v>
      </c>
      <c r="J159" s="125">
        <f>55156.8*6</f>
        <v>330940.80000000005</v>
      </c>
    </row>
    <row r="160" spans="1:10" ht="13.8" x14ac:dyDescent="0.25">
      <c r="A160" s="84" t="s">
        <v>162</v>
      </c>
      <c r="B160" s="82">
        <v>6</v>
      </c>
      <c r="C160" s="82">
        <v>6</v>
      </c>
      <c r="D160" s="82">
        <v>2</v>
      </c>
      <c r="E160" s="82">
        <v>2</v>
      </c>
      <c r="F160" s="86">
        <f>((9100*2)+(9100*0.15))*1.6</f>
        <v>31304</v>
      </c>
      <c r="G160" s="83">
        <f t="shared" si="19"/>
        <v>1502592</v>
      </c>
      <c r="H160" s="83">
        <f t="shared" si="20"/>
        <v>453782.78399999999</v>
      </c>
      <c r="I160" s="83">
        <f t="shared" si="21"/>
        <v>1956374.784</v>
      </c>
      <c r="J160" s="125">
        <f>SUM(J157:J159)</f>
        <v>1113964.8</v>
      </c>
    </row>
    <row r="161" spans="1:10" ht="13.8" x14ac:dyDescent="0.25">
      <c r="A161" s="84" t="s">
        <v>163</v>
      </c>
      <c r="B161" s="82">
        <v>1</v>
      </c>
      <c r="C161" s="82">
        <v>1</v>
      </c>
      <c r="D161" s="82">
        <v>0</v>
      </c>
      <c r="E161" s="82">
        <v>0</v>
      </c>
      <c r="F161" s="86"/>
      <c r="G161" s="83">
        <f t="shared" si="19"/>
        <v>0</v>
      </c>
      <c r="H161" s="83">
        <f t="shared" si="20"/>
        <v>0</v>
      </c>
      <c r="I161" s="83">
        <f t="shared" si="21"/>
        <v>0</v>
      </c>
      <c r="J161" s="125"/>
    </row>
    <row r="162" spans="1:10" ht="13.8" x14ac:dyDescent="0.25">
      <c r="A162" s="84" t="s">
        <v>164</v>
      </c>
      <c r="B162" s="82">
        <v>3</v>
      </c>
      <c r="C162" s="82">
        <v>3</v>
      </c>
      <c r="D162" s="82">
        <v>3</v>
      </c>
      <c r="E162" s="82">
        <v>3</v>
      </c>
      <c r="F162" s="86">
        <f>((7900*2)+(7900*0.15))*1.6</f>
        <v>27176</v>
      </c>
      <c r="G162" s="83">
        <f>D162*F162*12+((C162-D162)*F162/2*12)</f>
        <v>978336</v>
      </c>
      <c r="H162" s="83">
        <f t="shared" si="20"/>
        <v>295457.47200000001</v>
      </c>
      <c r="I162" s="83">
        <f t="shared" si="21"/>
        <v>1273793.4720000001</v>
      </c>
      <c r="J162" s="125">
        <f>1200000-J160</f>
        <v>86035.199999999953</v>
      </c>
    </row>
    <row r="163" spans="1:10" ht="13.8" x14ac:dyDescent="0.25">
      <c r="A163" s="84" t="s">
        <v>165</v>
      </c>
      <c r="B163" s="82">
        <v>0.5</v>
      </c>
      <c r="C163" s="82">
        <v>0.5</v>
      </c>
      <c r="D163" s="82">
        <v>0</v>
      </c>
      <c r="E163" s="82">
        <v>0</v>
      </c>
      <c r="F163" s="86"/>
      <c r="G163" s="83">
        <f t="shared" si="19"/>
        <v>0</v>
      </c>
      <c r="H163" s="83">
        <f t="shared" si="20"/>
        <v>0</v>
      </c>
      <c r="I163" s="83">
        <f t="shared" si="21"/>
        <v>0</v>
      </c>
      <c r="J163" s="123"/>
    </row>
    <row r="164" spans="1:10" ht="13.8" x14ac:dyDescent="0.25">
      <c r="A164" s="84" t="s">
        <v>166</v>
      </c>
      <c r="B164" s="82">
        <v>1</v>
      </c>
      <c r="C164" s="82">
        <v>1</v>
      </c>
      <c r="D164" s="82">
        <v>1</v>
      </c>
      <c r="E164" s="82">
        <v>1</v>
      </c>
      <c r="F164" s="86">
        <f>((8700*2)+(8700*0.15))*1.6</f>
        <v>29928</v>
      </c>
      <c r="G164" s="83">
        <f t="shared" si="19"/>
        <v>359136</v>
      </c>
      <c r="H164" s="83">
        <f t="shared" si="20"/>
        <v>108459.072</v>
      </c>
      <c r="I164" s="83">
        <f t="shared" si="21"/>
        <v>467595.07199999999</v>
      </c>
      <c r="J164" s="123"/>
    </row>
    <row r="165" spans="1:10" ht="13.8" x14ac:dyDescent="0.25">
      <c r="A165" s="84" t="s">
        <v>167</v>
      </c>
      <c r="B165" s="82">
        <v>1</v>
      </c>
      <c r="C165" s="82">
        <v>1</v>
      </c>
      <c r="D165" s="82">
        <v>1</v>
      </c>
      <c r="E165" s="82">
        <v>1</v>
      </c>
      <c r="F165" s="86">
        <f>((8300*2)+(8300*0.15))*1.6</f>
        <v>28552</v>
      </c>
      <c r="G165" s="83">
        <f t="shared" si="19"/>
        <v>342624</v>
      </c>
      <c r="H165" s="83">
        <f t="shared" si="20"/>
        <v>103472.448</v>
      </c>
      <c r="I165" s="83">
        <f t="shared" si="21"/>
        <v>446096.44799999997</v>
      </c>
      <c r="J165" s="123"/>
    </row>
    <row r="166" spans="1:10" ht="13.8" x14ac:dyDescent="0.25">
      <c r="A166" s="84" t="s">
        <v>168</v>
      </c>
      <c r="B166" s="82">
        <v>1</v>
      </c>
      <c r="C166" s="82">
        <v>1</v>
      </c>
      <c r="D166" s="82">
        <v>0</v>
      </c>
      <c r="E166" s="82">
        <v>0</v>
      </c>
      <c r="F166" s="86">
        <f>((8700*2)+(8700*0.15))*1.6</f>
        <v>29928</v>
      </c>
      <c r="G166" s="83">
        <f t="shared" si="19"/>
        <v>179568</v>
      </c>
      <c r="H166" s="83">
        <f t="shared" si="20"/>
        <v>54229.536</v>
      </c>
      <c r="I166" s="83">
        <f t="shared" si="21"/>
        <v>233797.53599999999</v>
      </c>
      <c r="J166" s="123"/>
    </row>
    <row r="167" spans="1:10" ht="13.8" x14ac:dyDescent="0.25">
      <c r="A167" s="84" t="s">
        <v>20</v>
      </c>
      <c r="B167" s="82">
        <v>1</v>
      </c>
      <c r="C167" s="82">
        <v>1</v>
      </c>
      <c r="D167" s="82">
        <v>1</v>
      </c>
      <c r="E167" s="82">
        <v>1</v>
      </c>
      <c r="F167" s="86">
        <f>((8300*2)+(8300*0.15))*1.6</f>
        <v>28552</v>
      </c>
      <c r="G167" s="83">
        <f t="shared" si="19"/>
        <v>342624</v>
      </c>
      <c r="H167" s="83">
        <f t="shared" si="20"/>
        <v>103472.448</v>
      </c>
      <c r="I167" s="83">
        <f t="shared" si="21"/>
        <v>446096.44799999997</v>
      </c>
      <c r="J167" s="123"/>
    </row>
    <row r="168" spans="1:10" ht="13.8" x14ac:dyDescent="0.25">
      <c r="A168" s="84" t="s">
        <v>169</v>
      </c>
      <c r="B168" s="82">
        <v>0.5</v>
      </c>
      <c r="C168" s="82">
        <v>0</v>
      </c>
      <c r="D168" s="82">
        <v>0</v>
      </c>
      <c r="E168" s="82">
        <v>0</v>
      </c>
      <c r="F168" s="86"/>
      <c r="G168" s="83">
        <f t="shared" si="19"/>
        <v>0</v>
      </c>
      <c r="H168" s="83">
        <f t="shared" si="20"/>
        <v>0</v>
      </c>
      <c r="I168" s="83">
        <f t="shared" si="21"/>
        <v>0</v>
      </c>
      <c r="J168" s="123"/>
    </row>
    <row r="169" spans="1:10" ht="13.8" x14ac:dyDescent="0.25">
      <c r="A169" s="84" t="s">
        <v>171</v>
      </c>
      <c r="B169" s="82">
        <v>1</v>
      </c>
      <c r="C169" s="82">
        <v>1</v>
      </c>
      <c r="D169" s="82">
        <v>1</v>
      </c>
      <c r="E169" s="82">
        <v>1</v>
      </c>
      <c r="F169" s="86">
        <f>((8300*2)+(8300*0.15))*1.6</f>
        <v>28552</v>
      </c>
      <c r="G169" s="83">
        <f t="shared" si="19"/>
        <v>342624</v>
      </c>
      <c r="H169" s="83">
        <f t="shared" si="20"/>
        <v>103472.448</v>
      </c>
      <c r="I169" s="83">
        <f t="shared" si="21"/>
        <v>446096.44799999997</v>
      </c>
      <c r="J169" s="123"/>
    </row>
    <row r="170" spans="1:10" ht="13.8" x14ac:dyDescent="0.25">
      <c r="A170" s="84" t="s">
        <v>172</v>
      </c>
      <c r="B170" s="82">
        <v>0.75</v>
      </c>
      <c r="C170" s="82">
        <v>0.75</v>
      </c>
      <c r="D170" s="82">
        <v>0</v>
      </c>
      <c r="E170" s="82">
        <v>0</v>
      </c>
      <c r="F170" s="86">
        <f t="shared" si="22"/>
        <v>27864</v>
      </c>
      <c r="G170" s="83">
        <f t="shared" si="19"/>
        <v>125388</v>
      </c>
      <c r="H170" s="83">
        <f t="shared" si="20"/>
        <v>37867.175999999999</v>
      </c>
      <c r="I170" s="83">
        <f t="shared" si="21"/>
        <v>163255.17600000001</v>
      </c>
      <c r="J170" s="123"/>
    </row>
    <row r="171" spans="1:10" ht="13.8" x14ac:dyDescent="0.25">
      <c r="A171" s="84" t="s">
        <v>173</v>
      </c>
      <c r="B171" s="82">
        <v>1</v>
      </c>
      <c r="C171" s="82">
        <v>1</v>
      </c>
      <c r="D171" s="82">
        <v>1</v>
      </c>
      <c r="E171" s="82">
        <v>1</v>
      </c>
      <c r="F171" s="86">
        <f>((10700*2)+(10700*0.15))*1.6</f>
        <v>36808</v>
      </c>
      <c r="G171" s="83">
        <f t="shared" si="19"/>
        <v>441696</v>
      </c>
      <c r="H171" s="83">
        <f t="shared" si="20"/>
        <v>133392.19200000001</v>
      </c>
      <c r="I171" s="83">
        <f t="shared" si="21"/>
        <v>575088.19200000004</v>
      </c>
      <c r="J171" s="123"/>
    </row>
    <row r="172" spans="1:10" ht="13.8" x14ac:dyDescent="0.25">
      <c r="A172" s="84" t="s">
        <v>174</v>
      </c>
      <c r="B172" s="82">
        <v>5</v>
      </c>
      <c r="C172" s="82">
        <v>5</v>
      </c>
      <c r="D172" s="82">
        <v>5</v>
      </c>
      <c r="E172" s="82">
        <v>5</v>
      </c>
      <c r="F172" s="86">
        <f>((12300*2)+(12300*0.15))*1.6</f>
        <v>42312</v>
      </c>
      <c r="G172" s="83">
        <f t="shared" si="19"/>
        <v>2538720</v>
      </c>
      <c r="H172" s="83">
        <f t="shared" si="20"/>
        <v>766693.44</v>
      </c>
      <c r="I172" s="83">
        <f t="shared" si="21"/>
        <v>3305413.44</v>
      </c>
      <c r="J172" s="123"/>
    </row>
    <row r="173" spans="1:10" ht="13.8" x14ac:dyDescent="0.25">
      <c r="A173" s="84" t="s">
        <v>189</v>
      </c>
      <c r="B173" s="82">
        <v>1</v>
      </c>
      <c r="C173" s="82">
        <v>1</v>
      </c>
      <c r="D173" s="82">
        <v>0</v>
      </c>
      <c r="E173" s="82">
        <v>0</v>
      </c>
      <c r="F173" s="86"/>
      <c r="G173" s="83">
        <f t="shared" si="19"/>
        <v>0</v>
      </c>
      <c r="H173" s="83">
        <f t="shared" si="20"/>
        <v>0</v>
      </c>
      <c r="I173" s="83">
        <f t="shared" si="21"/>
        <v>0</v>
      </c>
    </row>
    <row r="174" spans="1:10" ht="13.8" x14ac:dyDescent="0.25">
      <c r="A174" s="84" t="s">
        <v>190</v>
      </c>
      <c r="B174" s="82">
        <v>1</v>
      </c>
      <c r="C174" s="82">
        <v>1</v>
      </c>
      <c r="D174" s="82">
        <v>0</v>
      </c>
      <c r="E174" s="82">
        <v>0</v>
      </c>
      <c r="F174" s="86"/>
      <c r="G174" s="83">
        <f t="shared" si="19"/>
        <v>0</v>
      </c>
      <c r="H174" s="83">
        <f t="shared" si="20"/>
        <v>0</v>
      </c>
      <c r="I174" s="83">
        <f t="shared" si="21"/>
        <v>0</v>
      </c>
    </row>
    <row r="175" spans="1:10" ht="13.8" x14ac:dyDescent="0.25">
      <c r="A175" s="84"/>
      <c r="B175" s="97">
        <f t="shared" ref="B175:C175" si="23">SUM(B149:B174)</f>
        <v>69</v>
      </c>
      <c r="C175" s="97">
        <f t="shared" si="23"/>
        <v>67.25</v>
      </c>
      <c r="D175" s="97">
        <f>SUM(D149:D174)</f>
        <v>52</v>
      </c>
      <c r="E175" s="97">
        <f>SUM(E149:E174)</f>
        <v>52</v>
      </c>
      <c r="F175" s="114">
        <f>SUM(F149:F174)</f>
        <v>616100</v>
      </c>
      <c r="G175" s="115">
        <f>SUM(G149:G174)</f>
        <v>13240104</v>
      </c>
      <c r="H175" s="115">
        <f>G175*30.2%</f>
        <v>3998511.4079999998</v>
      </c>
      <c r="I175" s="115">
        <f>G175+H175</f>
        <v>17238615.408</v>
      </c>
      <c r="J175" s="116"/>
    </row>
    <row r="176" spans="1:10" ht="13.8" x14ac:dyDescent="0.25">
      <c r="A176" s="91" t="s">
        <v>206</v>
      </c>
      <c r="B176" s="91">
        <f>B155+B153</f>
        <v>26</v>
      </c>
      <c r="C176" s="91">
        <f t="shared" ref="C176:G176" si="24">C155+C153</f>
        <v>25.25</v>
      </c>
      <c r="D176" s="91">
        <f t="shared" si="24"/>
        <v>19.5</v>
      </c>
      <c r="E176" s="91">
        <f t="shared" si="24"/>
        <v>20</v>
      </c>
      <c r="F176" s="91">
        <f t="shared" si="24"/>
        <v>48960</v>
      </c>
      <c r="G176" s="91">
        <f t="shared" si="24"/>
        <v>0</v>
      </c>
      <c r="H176" s="91"/>
      <c r="I176" s="91"/>
    </row>
    <row r="177" spans="1:9" ht="15.75" customHeight="1" x14ac:dyDescent="0.25">
      <c r="A177" s="11" t="s">
        <v>205</v>
      </c>
      <c r="B177" s="116">
        <f>B175-B176</f>
        <v>43</v>
      </c>
      <c r="C177" s="116">
        <f t="shared" ref="C177:E177" si="25">C175-C176</f>
        <v>42</v>
      </c>
      <c r="D177" s="116">
        <f t="shared" si="25"/>
        <v>32.5</v>
      </c>
      <c r="E177" s="116">
        <f t="shared" si="25"/>
        <v>32</v>
      </c>
    </row>
    <row r="178" spans="1:9" ht="13.8" hidden="1" x14ac:dyDescent="0.25">
      <c r="A178" s="142" t="s">
        <v>207</v>
      </c>
      <c r="B178" s="143"/>
      <c r="C178" s="143"/>
      <c r="D178" s="143"/>
      <c r="E178" s="143"/>
      <c r="F178" s="143"/>
      <c r="G178" s="143"/>
      <c r="H178" s="143"/>
      <c r="I178" s="144"/>
    </row>
    <row r="179" spans="1:9" ht="13.8" hidden="1" x14ac:dyDescent="0.25">
      <c r="A179" s="117" t="s">
        <v>189</v>
      </c>
      <c r="B179" s="118">
        <v>1</v>
      </c>
      <c r="C179" s="118">
        <v>1</v>
      </c>
      <c r="D179" s="118">
        <v>1</v>
      </c>
      <c r="E179" s="118">
        <v>1</v>
      </c>
      <c r="F179" s="86">
        <f>((12300*1)+(12300*0.15))*1.6</f>
        <v>22632</v>
      </c>
      <c r="G179" s="86">
        <f t="shared" ref="G179:G185" si="26">D179*F179*12+((C179-D179)*F179/2*12)</f>
        <v>271584</v>
      </c>
      <c r="H179" s="86">
        <f>G179*0.302</f>
        <v>82018.368000000002</v>
      </c>
      <c r="I179" s="86">
        <f>G179+H179</f>
        <v>353602.36800000002</v>
      </c>
    </row>
    <row r="180" spans="1:9" ht="13.8" hidden="1" x14ac:dyDescent="0.25">
      <c r="A180" s="117" t="s">
        <v>208</v>
      </c>
      <c r="B180" s="118">
        <v>0.5</v>
      </c>
      <c r="C180" s="118">
        <v>0.5</v>
      </c>
      <c r="D180" s="118">
        <v>0.5</v>
      </c>
      <c r="E180" s="118">
        <v>0.5</v>
      </c>
      <c r="F180" s="86">
        <f>((9300+11160)+(11160*0.15))*1.6</f>
        <v>35414.400000000001</v>
      </c>
      <c r="G180" s="86">
        <f>D180*F180*12+((C180-D180)*F180/2*12)</f>
        <v>212486.40000000002</v>
      </c>
      <c r="H180" s="86">
        <f t="shared" ref="H180:H187" si="27">G180*0.302</f>
        <v>64170.892800000001</v>
      </c>
      <c r="I180" s="86">
        <f t="shared" ref="I180:I187" si="28">G180+H180</f>
        <v>276657.29280000005</v>
      </c>
    </row>
    <row r="181" spans="1:9" ht="13.8" hidden="1" x14ac:dyDescent="0.25">
      <c r="A181" s="117" t="s">
        <v>209</v>
      </c>
      <c r="B181" s="118">
        <v>1</v>
      </c>
      <c r="C181" s="118">
        <v>1</v>
      </c>
      <c r="D181" s="118">
        <v>1</v>
      </c>
      <c r="E181" s="118">
        <v>1</v>
      </c>
      <c r="F181" s="86">
        <f>((10200+425)+(10200*0.15))*1.6</f>
        <v>19448</v>
      </c>
      <c r="G181" s="86">
        <f t="shared" si="26"/>
        <v>233376</v>
      </c>
      <c r="H181" s="86">
        <f t="shared" si="27"/>
        <v>70479.551999999996</v>
      </c>
      <c r="I181" s="86">
        <f t="shared" si="28"/>
        <v>303855.55200000003</v>
      </c>
    </row>
    <row r="182" spans="1:9" ht="13.8" hidden="1" x14ac:dyDescent="0.25">
      <c r="A182" s="117" t="s">
        <v>210</v>
      </c>
      <c r="B182" s="118">
        <v>1</v>
      </c>
      <c r="C182" s="118">
        <v>1</v>
      </c>
      <c r="D182" s="118">
        <v>1</v>
      </c>
      <c r="E182" s="118">
        <v>1</v>
      </c>
      <c r="F182" s="86">
        <f>((11500+2300)+(11500*0.15))*1.6</f>
        <v>24840</v>
      </c>
      <c r="G182" s="86">
        <f t="shared" si="26"/>
        <v>298080</v>
      </c>
      <c r="H182" s="86">
        <f t="shared" si="27"/>
        <v>90020.160000000003</v>
      </c>
      <c r="I182" s="86">
        <f t="shared" si="28"/>
        <v>388100.16000000003</v>
      </c>
    </row>
    <row r="183" spans="1:9" ht="13.8" hidden="1" x14ac:dyDescent="0.25">
      <c r="A183" s="117" t="s">
        <v>190</v>
      </c>
      <c r="B183" s="118">
        <v>1</v>
      </c>
      <c r="C183" s="118">
        <v>1</v>
      </c>
      <c r="D183" s="118">
        <v>1</v>
      </c>
      <c r="E183" s="118">
        <v>1</v>
      </c>
      <c r="F183" s="86">
        <f>((9900+2300)+(9900*0.15))*1.6</f>
        <v>21896</v>
      </c>
      <c r="G183" s="86">
        <f t="shared" si="26"/>
        <v>262752</v>
      </c>
      <c r="H183" s="86">
        <f t="shared" si="27"/>
        <v>79351.103999999992</v>
      </c>
      <c r="I183" s="86">
        <f t="shared" si="28"/>
        <v>342103.10399999999</v>
      </c>
    </row>
    <row r="184" spans="1:9" ht="26.4" hidden="1" x14ac:dyDescent="0.25">
      <c r="A184" s="117" t="s">
        <v>163</v>
      </c>
      <c r="B184" s="118">
        <v>1</v>
      </c>
      <c r="C184" s="118">
        <v>1</v>
      </c>
      <c r="D184" s="118">
        <v>1</v>
      </c>
      <c r="E184" s="118">
        <v>1</v>
      </c>
      <c r="F184" s="86">
        <f>((11125*2)+(11500*0.15))*1.6</f>
        <v>38360</v>
      </c>
      <c r="G184" s="86">
        <f t="shared" si="26"/>
        <v>460320</v>
      </c>
      <c r="H184" s="86">
        <f t="shared" si="27"/>
        <v>139016.63999999998</v>
      </c>
      <c r="I184" s="86">
        <f t="shared" si="28"/>
        <v>599336.64</v>
      </c>
    </row>
    <row r="185" spans="1:9" ht="13.8" hidden="1" x14ac:dyDescent="0.25">
      <c r="A185" s="15" t="s">
        <v>211</v>
      </c>
      <c r="B185" s="118">
        <v>16.09</v>
      </c>
      <c r="C185" s="118">
        <v>16.09</v>
      </c>
      <c r="D185" s="118">
        <v>16.09</v>
      </c>
      <c r="E185" s="118">
        <v>16.09</v>
      </c>
      <c r="F185" s="86">
        <f>((11500*2)+(11500*0.15))*1.6</f>
        <v>39560</v>
      </c>
      <c r="G185" s="86">
        <f t="shared" si="26"/>
        <v>7638244.8000000007</v>
      </c>
      <c r="H185" s="86">
        <f t="shared" si="27"/>
        <v>2306749.9296000004</v>
      </c>
      <c r="I185" s="86">
        <f t="shared" si="28"/>
        <v>9944994.7296000011</v>
      </c>
    </row>
    <row r="186" spans="1:9" ht="13.8" hidden="1" x14ac:dyDescent="0.25">
      <c r="A186" s="119" t="s">
        <v>212</v>
      </c>
      <c r="B186" s="118">
        <v>3</v>
      </c>
      <c r="C186" s="118">
        <v>3</v>
      </c>
      <c r="D186" s="118">
        <v>3</v>
      </c>
      <c r="E186" s="118">
        <v>3</v>
      </c>
      <c r="F186" s="86">
        <f>((9100*2)+(9100*0.15))*1.6</f>
        <v>31304</v>
      </c>
      <c r="G186" s="86">
        <f>D186*F186*12+((C186-D186)*F186/2*12)</f>
        <v>1126944</v>
      </c>
      <c r="H186" s="86">
        <f t="shared" si="27"/>
        <v>340337.08799999999</v>
      </c>
      <c r="I186" s="86">
        <f t="shared" si="28"/>
        <v>1467281.088</v>
      </c>
    </row>
    <row r="187" spans="1:9" ht="13.8" hidden="1" x14ac:dyDescent="0.25">
      <c r="A187" s="84" t="s">
        <v>164</v>
      </c>
      <c r="B187" s="82">
        <v>1</v>
      </c>
      <c r="C187" s="82">
        <v>1</v>
      </c>
      <c r="D187" s="82">
        <v>1</v>
      </c>
      <c r="E187" s="82">
        <v>1</v>
      </c>
      <c r="F187" s="86">
        <f>((7900*2)+(7900*0.15))*1.6</f>
        <v>27176</v>
      </c>
      <c r="G187" s="86">
        <f>D187*F187*12+((C187-D187)*F187/2*12)</f>
        <v>326112</v>
      </c>
      <c r="H187" s="86">
        <f t="shared" si="27"/>
        <v>98485.823999999993</v>
      </c>
      <c r="I187" s="86">
        <f t="shared" si="28"/>
        <v>424597.82400000002</v>
      </c>
    </row>
    <row r="188" spans="1:9" ht="13.8" hidden="1" x14ac:dyDescent="0.25">
      <c r="A188" s="84"/>
      <c r="B188" s="120">
        <f>SUM(B179:B187)</f>
        <v>25.59</v>
      </c>
      <c r="C188" s="120">
        <f t="shared" ref="C188:I188" si="29">SUM(C179:C187)</f>
        <v>25.59</v>
      </c>
      <c r="D188" s="120">
        <f t="shared" si="29"/>
        <v>25.59</v>
      </c>
      <c r="E188" s="120">
        <f t="shared" si="29"/>
        <v>25.59</v>
      </c>
      <c r="F188" s="120">
        <f t="shared" si="29"/>
        <v>260630.39999999999</v>
      </c>
      <c r="G188" s="120">
        <f t="shared" si="29"/>
        <v>10829899.200000001</v>
      </c>
      <c r="H188" s="120">
        <f t="shared" si="29"/>
        <v>3270629.5584000004</v>
      </c>
      <c r="I188" s="120">
        <f t="shared" si="29"/>
        <v>14100528.758400001</v>
      </c>
    </row>
    <row r="189" spans="1:9" ht="13.8" hidden="1" x14ac:dyDescent="0.25">
      <c r="A189" s="84"/>
      <c r="B189" s="82"/>
      <c r="C189" s="82"/>
      <c r="D189" s="82"/>
      <c r="E189" s="82"/>
      <c r="F189" s="86"/>
      <c r="G189" s="83"/>
      <c r="H189" s="83"/>
      <c r="I189" s="83"/>
    </row>
    <row r="190" spans="1:9" ht="13.8" hidden="1" x14ac:dyDescent="0.25">
      <c r="A190" s="15" t="s">
        <v>213</v>
      </c>
      <c r="B190" s="118">
        <v>17.670000000000002</v>
      </c>
      <c r="C190" s="118">
        <v>17.670000000000002</v>
      </c>
      <c r="D190" s="118">
        <v>17.670000000000002</v>
      </c>
      <c r="E190" s="118">
        <v>17.670000000000002</v>
      </c>
      <c r="F190" s="86">
        <f>((11125+4450)+(11125*0.15))*1.6</f>
        <v>27590</v>
      </c>
      <c r="G190" s="86">
        <f t="shared" ref="G190" si="30">D190*F190*12+((C190-D190)*F190/2*12)</f>
        <v>5850183.6000000006</v>
      </c>
      <c r="H190" s="86">
        <f t="shared" ref="H190" si="31">G190*0.302</f>
        <v>1766755.4472000001</v>
      </c>
      <c r="I190" s="86">
        <f t="shared" ref="I190" si="32">G190+H190</f>
        <v>7616939.0472000008</v>
      </c>
    </row>
    <row r="191" spans="1:9" ht="13.8" hidden="1" x14ac:dyDescent="0.25">
      <c r="A191" s="84"/>
      <c r="B191" s="82"/>
      <c r="C191" s="82"/>
      <c r="D191" s="82"/>
      <c r="E191" s="82"/>
      <c r="F191" s="86"/>
      <c r="G191" s="83"/>
      <c r="H191" s="83"/>
      <c r="I191" s="83"/>
    </row>
    <row r="192" spans="1:9" ht="16.5" hidden="1" customHeight="1" x14ac:dyDescent="0.25">
      <c r="A192" s="84"/>
      <c r="B192" s="82"/>
      <c r="C192" s="82"/>
      <c r="D192" s="82"/>
      <c r="E192" s="121"/>
      <c r="F192" s="86"/>
      <c r="G192" s="83"/>
      <c r="H192" s="83"/>
      <c r="I192" s="83"/>
    </row>
    <row r="193" spans="1:9" ht="13.8" hidden="1" x14ac:dyDescent="0.25">
      <c r="A193" s="84"/>
      <c r="B193" s="82"/>
      <c r="C193" s="82"/>
      <c r="D193" s="82"/>
      <c r="E193" s="82"/>
      <c r="F193" s="86"/>
      <c r="G193" s="83"/>
      <c r="H193" s="83"/>
      <c r="I193" s="83"/>
    </row>
    <row r="194" spans="1:9" ht="13.8" hidden="1" x14ac:dyDescent="0.25">
      <c r="A194" s="84"/>
      <c r="B194" s="82"/>
      <c r="C194" s="82"/>
      <c r="D194" s="82"/>
      <c r="E194" s="82"/>
      <c r="F194" s="86"/>
      <c r="G194" s="83"/>
      <c r="H194" s="83"/>
      <c r="I194" s="83"/>
    </row>
    <row r="195" spans="1:9" ht="13.8" hidden="1" x14ac:dyDescent="0.25">
      <c r="A195" s="84"/>
      <c r="B195" s="82"/>
      <c r="C195" s="82"/>
      <c r="D195" s="82"/>
      <c r="E195" s="82"/>
      <c r="F195" s="86"/>
      <c r="G195" s="83"/>
      <c r="H195" s="83"/>
      <c r="I195" s="83"/>
    </row>
    <row r="196" spans="1:9" ht="13.8" hidden="1" x14ac:dyDescent="0.25">
      <c r="A196" s="84"/>
      <c r="B196" s="82"/>
      <c r="C196" s="82"/>
      <c r="D196" s="82"/>
      <c r="E196" s="82"/>
      <c r="F196" s="86"/>
      <c r="G196" s="83"/>
      <c r="H196" s="83"/>
      <c r="I196" s="83"/>
    </row>
    <row r="197" spans="1:9" ht="13.8" hidden="1" x14ac:dyDescent="0.25">
      <c r="A197" s="84"/>
      <c r="B197" s="82"/>
      <c r="C197" s="82"/>
      <c r="D197" s="82"/>
      <c r="E197" s="82"/>
      <c r="F197" s="86"/>
      <c r="G197" s="83"/>
      <c r="H197" s="83"/>
      <c r="I197" s="83"/>
    </row>
    <row r="198" spans="1:9" ht="13.8" hidden="1" x14ac:dyDescent="0.25">
      <c r="A198" s="84"/>
      <c r="B198" s="82"/>
      <c r="C198" s="82"/>
      <c r="D198" s="82"/>
      <c r="E198" s="82"/>
      <c r="F198" s="86"/>
      <c r="G198" s="83"/>
      <c r="H198" s="83"/>
      <c r="I198" s="83"/>
    </row>
    <row r="199" spans="1:9" ht="13.8" hidden="1" x14ac:dyDescent="0.25">
      <c r="A199" s="84"/>
      <c r="B199" s="82"/>
      <c r="C199" s="82"/>
      <c r="D199" s="82"/>
      <c r="E199" s="82"/>
      <c r="F199" s="86"/>
      <c r="G199" s="83"/>
      <c r="H199" s="83"/>
      <c r="I199" s="83"/>
    </row>
    <row r="200" spans="1:9" ht="13.8" hidden="1" x14ac:dyDescent="0.25">
      <c r="A200" s="84"/>
      <c r="B200" s="82"/>
      <c r="C200" s="82"/>
      <c r="D200" s="82"/>
      <c r="E200" s="82"/>
      <c r="F200" s="86"/>
      <c r="G200" s="83"/>
      <c r="H200" s="83"/>
      <c r="I200" s="83"/>
    </row>
    <row r="201" spans="1:9" ht="13.8" hidden="1" x14ac:dyDescent="0.25">
      <c r="A201" s="84"/>
      <c r="B201" s="82"/>
      <c r="C201" s="82"/>
      <c r="D201" s="82"/>
      <c r="E201" s="82"/>
      <c r="F201" s="86"/>
      <c r="G201" s="83"/>
      <c r="H201" s="83"/>
      <c r="I201" s="83"/>
    </row>
    <row r="202" spans="1:9" ht="13.8" hidden="1" x14ac:dyDescent="0.25">
      <c r="A202" s="84"/>
      <c r="B202" s="82"/>
      <c r="C202" s="82"/>
      <c r="D202" s="82"/>
      <c r="E202" s="82"/>
      <c r="F202" s="86"/>
      <c r="G202" s="83"/>
      <c r="H202" s="83"/>
      <c r="I202" s="83"/>
    </row>
    <row r="203" spans="1:9" ht="13.8" hidden="1" x14ac:dyDescent="0.25">
      <c r="A203" s="84"/>
      <c r="B203" s="82"/>
      <c r="C203" s="82"/>
      <c r="D203" s="82"/>
      <c r="E203" s="82"/>
      <c r="F203" s="86"/>
      <c r="G203" s="83"/>
      <c r="H203" s="83"/>
      <c r="I203" s="83"/>
    </row>
    <row r="204" spans="1:9" ht="13.8" hidden="1" x14ac:dyDescent="0.25">
      <c r="A204" s="84"/>
      <c r="B204" s="82"/>
      <c r="C204" s="82"/>
      <c r="D204" s="97">
        <f>SUM(D179:D203)</f>
        <v>68.849999999999994</v>
      </c>
      <c r="E204" s="97">
        <f>SUM(E179:E203)</f>
        <v>68.849999999999994</v>
      </c>
      <c r="F204" s="114">
        <f>SUM(F179:F203)</f>
        <v>548850.80000000005</v>
      </c>
      <c r="G204" s="115">
        <f>SUM(G179:G203)</f>
        <v>27509982.000000004</v>
      </c>
      <c r="H204" s="115">
        <f>G204*30.2%</f>
        <v>8308014.5640000012</v>
      </c>
      <c r="I204" s="115">
        <f>G204+H204</f>
        <v>35817996.564000003</v>
      </c>
    </row>
    <row r="205" spans="1:9" s="80" customFormat="1" ht="30" customHeight="1" x14ac:dyDescent="0.25">
      <c r="A205" s="80" t="s">
        <v>151</v>
      </c>
    </row>
    <row r="206" spans="1:9" ht="30" customHeight="1" x14ac:dyDescent="0.25">
      <c r="A206" s="81" t="s">
        <v>152</v>
      </c>
      <c r="B206" s="82">
        <v>1</v>
      </c>
      <c r="C206" s="82">
        <v>1</v>
      </c>
      <c r="D206" s="82">
        <v>1</v>
      </c>
      <c r="E206" s="82">
        <v>1</v>
      </c>
      <c r="F206" s="94">
        <f>(10000*2)*1.6</f>
        <v>32000</v>
      </c>
      <c r="G206" s="83">
        <f>D206*F206*12+((C206-D206)*F206/2*12)</f>
        <v>384000</v>
      </c>
      <c r="H206" s="83">
        <f t="shared" ref="H206:H238" si="33">G206*0.302</f>
        <v>115968</v>
      </c>
      <c r="I206" s="83">
        <f t="shared" ref="I206:I238" si="34">G206+H206</f>
        <v>499968</v>
      </c>
    </row>
    <row r="207" spans="1:9" ht="30" customHeight="1" x14ac:dyDescent="0.25">
      <c r="A207" s="84" t="s">
        <v>153</v>
      </c>
      <c r="B207" s="82">
        <f>B4+B11</f>
        <v>2</v>
      </c>
      <c r="C207" s="82">
        <f t="shared" ref="C207:E207" si="35">C4+C11</f>
        <v>2</v>
      </c>
      <c r="D207" s="82">
        <f t="shared" si="35"/>
        <v>2</v>
      </c>
      <c r="E207" s="82">
        <f t="shared" si="35"/>
        <v>2</v>
      </c>
      <c r="F207" s="94">
        <f>(12800*2)*1.6</f>
        <v>40960</v>
      </c>
      <c r="G207" s="83">
        <f t="shared" ref="G207:G212" si="36">D207*F207*12+((C207-D207)*F207/2*12)</f>
        <v>983040</v>
      </c>
      <c r="H207" s="83">
        <f t="shared" si="33"/>
        <v>296878.08000000002</v>
      </c>
      <c r="I207" s="83">
        <f t="shared" si="34"/>
        <v>1279918.0800000001</v>
      </c>
    </row>
    <row r="208" spans="1:9" ht="30" customHeight="1" x14ac:dyDescent="0.25">
      <c r="A208" s="85" t="s">
        <v>32</v>
      </c>
      <c r="B208" s="82">
        <f>B128+B149</f>
        <v>2</v>
      </c>
      <c r="C208" s="82">
        <f>C128+C149</f>
        <v>2</v>
      </c>
      <c r="D208" s="82">
        <f>D128+D149</f>
        <v>2</v>
      </c>
      <c r="E208" s="82">
        <f>E128+E149</f>
        <v>2</v>
      </c>
      <c r="F208" s="94">
        <f>(8600*2)*1.6</f>
        <v>27520</v>
      </c>
      <c r="G208" s="83">
        <f t="shared" si="36"/>
        <v>660480</v>
      </c>
      <c r="H208" s="83">
        <f t="shared" si="33"/>
        <v>199464.95999999999</v>
      </c>
      <c r="I208" s="83">
        <f t="shared" si="34"/>
        <v>859944.95999999996</v>
      </c>
    </row>
    <row r="209" spans="1:12" ht="30" customHeight="1" x14ac:dyDescent="0.25">
      <c r="A209" s="85" t="s">
        <v>31</v>
      </c>
      <c r="B209" s="82">
        <f>B12+B96+B150</f>
        <v>5.5</v>
      </c>
      <c r="C209" s="82">
        <f>C12+C96+C150</f>
        <v>5.5</v>
      </c>
      <c r="D209" s="82">
        <f>D12+D96+D150</f>
        <v>6</v>
      </c>
      <c r="E209" s="82">
        <f>E12+E96+E150</f>
        <v>6</v>
      </c>
      <c r="F209" s="94">
        <f>(8800*2)*1.6</f>
        <v>28160</v>
      </c>
      <c r="G209" s="83">
        <f t="shared" si="36"/>
        <v>1943040</v>
      </c>
      <c r="H209" s="83">
        <f t="shared" si="33"/>
        <v>586798.07999999996</v>
      </c>
      <c r="I209" s="83">
        <f t="shared" si="34"/>
        <v>2529838.0800000001</v>
      </c>
    </row>
    <row r="210" spans="1:12" ht="30" customHeight="1" x14ac:dyDescent="0.25">
      <c r="A210" s="87" t="s">
        <v>154</v>
      </c>
      <c r="B210" s="82">
        <f>B16+B91+B107+B129+B151</f>
        <v>9.25</v>
      </c>
      <c r="C210" s="82">
        <f>C16+C91+C107+C129+C151</f>
        <v>7.75</v>
      </c>
      <c r="D210" s="82">
        <f>D16+D91+D107+D129+D151</f>
        <v>4</v>
      </c>
      <c r="E210" s="82">
        <f>E16+E91+E107+E129+E151</f>
        <v>4</v>
      </c>
      <c r="F210" s="94">
        <f>(8125*2)*1.6</f>
        <v>26000</v>
      </c>
      <c r="G210" s="83">
        <f t="shared" si="36"/>
        <v>1833000</v>
      </c>
      <c r="H210" s="83">
        <f t="shared" si="33"/>
        <v>553566</v>
      </c>
      <c r="I210" s="83">
        <f t="shared" si="34"/>
        <v>2386566</v>
      </c>
    </row>
    <row r="211" spans="1:12" ht="13.8" x14ac:dyDescent="0.25">
      <c r="A211" s="85" t="s">
        <v>219</v>
      </c>
      <c r="B211" s="82">
        <f>B89+B98+B144</f>
        <v>11.5</v>
      </c>
      <c r="C211" s="82">
        <f t="shared" ref="C211:E211" si="37">C89+C98+C144</f>
        <v>11</v>
      </c>
      <c r="D211" s="82">
        <f t="shared" si="37"/>
        <v>11</v>
      </c>
      <c r="E211" s="82">
        <f t="shared" si="37"/>
        <v>11</v>
      </c>
      <c r="F211" s="94">
        <f>(8125*2)*1.6</f>
        <v>26000</v>
      </c>
      <c r="G211" s="83">
        <f t="shared" ref="G211" si="38">D211*F211*12+((C211-D211)*F211/2*12)</f>
        <v>3432000</v>
      </c>
      <c r="H211" s="83">
        <f t="shared" ref="H211" si="39">G211*0.302</f>
        <v>1036464</v>
      </c>
      <c r="I211" s="83">
        <f t="shared" ref="I211" si="40">G211+H211</f>
        <v>4468464</v>
      </c>
    </row>
    <row r="212" spans="1:12" ht="30" customHeight="1" x14ac:dyDescent="0.25">
      <c r="A212" s="85" t="s">
        <v>155</v>
      </c>
      <c r="B212" s="82">
        <f>B6+B13+B88+B97+B114+B118+B130+B143+B152</f>
        <v>13.25</v>
      </c>
      <c r="C212" s="82">
        <f>C6+C13+C88+C97+C114+C118+C130+C143+C152</f>
        <v>12.25</v>
      </c>
      <c r="D212" s="82">
        <f>D6+D13+D88+D97+D114+D118+D130+D143+D152</f>
        <v>10.5</v>
      </c>
      <c r="E212" s="82">
        <f>E6+E13+E88+E97+E114+E118+E130+E143+E152</f>
        <v>9.5</v>
      </c>
      <c r="F212" s="94">
        <f>(8600*2)*1.6</f>
        <v>27520</v>
      </c>
      <c r="G212" s="83">
        <f t="shared" si="36"/>
        <v>3756480</v>
      </c>
      <c r="H212" s="83">
        <f t="shared" si="33"/>
        <v>1134456.96</v>
      </c>
      <c r="I212" s="83">
        <f t="shared" si="34"/>
        <v>4890936.96</v>
      </c>
    </row>
    <row r="213" spans="1:12" s="91" customFormat="1" ht="30" customHeight="1" x14ac:dyDescent="0.25">
      <c r="A213" s="87" t="s">
        <v>156</v>
      </c>
      <c r="B213" s="88">
        <f>B8+B17+B92+B108+B119+B131+B147+B153</f>
        <v>34.5</v>
      </c>
      <c r="C213" s="88">
        <f>C8+C17+C92+C108+C119+C131+C147+C153</f>
        <v>33.75</v>
      </c>
      <c r="D213" s="88">
        <f>D8+D17+D92+D108+D119+D131+D147+D153</f>
        <v>21.5</v>
      </c>
      <c r="E213" s="88">
        <f>E8+E17+E92+E108+E119+E131+E147+E153</f>
        <v>22</v>
      </c>
      <c r="F213" s="94">
        <f>(8125*2)*1.6</f>
        <v>26000</v>
      </c>
      <c r="G213" s="83">
        <f t="shared" ref="G213" si="41">D213*F213*12+((C213-D213)*F213/2*12)</f>
        <v>8619000</v>
      </c>
      <c r="H213" s="83">
        <f t="shared" ref="H213" si="42">G213*0.302</f>
        <v>2602938</v>
      </c>
      <c r="I213" s="83">
        <f t="shared" ref="I213" si="43">G213+H213</f>
        <v>11221938</v>
      </c>
      <c r="J213" s="11"/>
    </row>
    <row r="214" spans="1:12" ht="30" customHeight="1" x14ac:dyDescent="0.25">
      <c r="A214" s="85" t="s">
        <v>157</v>
      </c>
      <c r="B214" s="82">
        <f>B14+B87+B132+B154</f>
        <v>12</v>
      </c>
      <c r="C214" s="82">
        <v>2.5</v>
      </c>
      <c r="D214" s="82">
        <v>2.5</v>
      </c>
      <c r="E214" s="82">
        <v>3</v>
      </c>
      <c r="F214" s="94">
        <f>(8400*2)*1.6</f>
        <v>26880</v>
      </c>
      <c r="G214" s="83">
        <f t="shared" ref="G214" si="44">D214*F214*12+((C214-D214)*F214/2*12)</f>
        <v>806400</v>
      </c>
      <c r="H214" s="83">
        <f t="shared" si="33"/>
        <v>243532.79999999999</v>
      </c>
      <c r="I214" s="83">
        <f t="shared" si="34"/>
        <v>1049932.8</v>
      </c>
    </row>
    <row r="215" spans="1:12" s="91" customFormat="1" ht="30" customHeight="1" x14ac:dyDescent="0.25">
      <c r="A215" s="92" t="s">
        <v>158</v>
      </c>
      <c r="B215" s="88">
        <f>B155+B109</f>
        <v>10</v>
      </c>
      <c r="C215" s="88">
        <f t="shared" ref="C215:E215" si="45">C155+C109</f>
        <v>10</v>
      </c>
      <c r="D215" s="88">
        <f t="shared" si="45"/>
        <v>9</v>
      </c>
      <c r="E215" s="88">
        <f t="shared" si="45"/>
        <v>9</v>
      </c>
      <c r="F215" s="94">
        <f>(8125*2)*1.6</f>
        <v>26000</v>
      </c>
      <c r="G215" s="83">
        <f>26000*1*12</f>
        <v>312000</v>
      </c>
      <c r="H215" s="83">
        <f t="shared" ref="H215" si="46">G215*0.302</f>
        <v>94224</v>
      </c>
      <c r="I215" s="83">
        <f t="shared" ref="I215" si="47">G215+H215</f>
        <v>406224</v>
      </c>
      <c r="J215" s="11" t="s">
        <v>220</v>
      </c>
      <c r="L215" s="126"/>
    </row>
    <row r="216" spans="1:12" ht="30" customHeight="1" x14ac:dyDescent="0.25">
      <c r="A216" s="84" t="s">
        <v>27</v>
      </c>
      <c r="B216" s="82">
        <f>B133+B156+B104</f>
        <v>4</v>
      </c>
      <c r="C216" s="82">
        <f t="shared" ref="C216:E216" si="48">C133+C156</f>
        <v>3</v>
      </c>
      <c r="D216" s="82">
        <f t="shared" si="48"/>
        <v>3</v>
      </c>
      <c r="E216" s="82">
        <f t="shared" si="48"/>
        <v>2</v>
      </c>
      <c r="F216" s="94">
        <f>11200*2*1.6</f>
        <v>35840</v>
      </c>
      <c r="G216" s="83">
        <f t="shared" ref="G216" si="49">D216*F216*12+((C216-D216)*F216/2*12)</f>
        <v>1290240</v>
      </c>
      <c r="H216" s="83">
        <f t="shared" si="33"/>
        <v>389652.47999999998</v>
      </c>
      <c r="I216" s="83">
        <f t="shared" si="34"/>
        <v>1679892.48</v>
      </c>
    </row>
    <row r="217" spans="1:12" ht="30" customHeight="1" x14ac:dyDescent="0.25">
      <c r="A217" s="84" t="s">
        <v>26</v>
      </c>
      <c r="B217" s="82">
        <f>B157+B134</f>
        <v>2</v>
      </c>
      <c r="C217" s="82">
        <f t="shared" ref="C217:E217" si="50">C157+C134</f>
        <v>2</v>
      </c>
      <c r="D217" s="82">
        <f t="shared" si="50"/>
        <v>2</v>
      </c>
      <c r="E217" s="82">
        <f t="shared" si="50"/>
        <v>2</v>
      </c>
      <c r="F217" s="94">
        <f>10400*2*1.6</f>
        <v>33280</v>
      </c>
      <c r="G217" s="83">
        <f>D217*F217*12+((C217-D217)*F217/2*12)</f>
        <v>798720</v>
      </c>
      <c r="H217" s="83">
        <f t="shared" si="33"/>
        <v>241213.44</v>
      </c>
      <c r="I217" s="83">
        <f t="shared" si="34"/>
        <v>1039933.4399999999</v>
      </c>
      <c r="J217" s="93"/>
    </row>
    <row r="218" spans="1:12" ht="30" customHeight="1" x14ac:dyDescent="0.25">
      <c r="A218" s="84" t="s">
        <v>25</v>
      </c>
      <c r="B218" s="82">
        <f>B145+B120</f>
        <v>2</v>
      </c>
      <c r="C218" s="82">
        <f t="shared" ref="C218:E218" si="51">C145+C120</f>
        <v>1</v>
      </c>
      <c r="D218" s="82">
        <f t="shared" si="51"/>
        <v>1</v>
      </c>
      <c r="E218" s="82">
        <f t="shared" si="51"/>
        <v>1</v>
      </c>
      <c r="F218" s="94">
        <f>9600*2*1.6</f>
        <v>30720</v>
      </c>
      <c r="G218" s="83">
        <f>D218*F218*12+((C218-D218)*F218/2*12)</f>
        <v>368640</v>
      </c>
      <c r="H218" s="83">
        <f t="shared" si="33"/>
        <v>111329.28</v>
      </c>
      <c r="I218" s="83">
        <f t="shared" si="34"/>
        <v>479969.28000000003</v>
      </c>
      <c r="J218" s="93"/>
    </row>
    <row r="219" spans="1:12" ht="30" customHeight="1" x14ac:dyDescent="0.25">
      <c r="A219" s="84" t="s">
        <v>160</v>
      </c>
      <c r="B219" s="82">
        <f>B158</f>
        <v>0.5</v>
      </c>
      <c r="C219" s="82">
        <f t="shared" ref="C219:E219" si="52">C158</f>
        <v>0.5</v>
      </c>
      <c r="D219" s="82">
        <f t="shared" si="52"/>
        <v>0</v>
      </c>
      <c r="E219" s="82">
        <f t="shared" si="52"/>
        <v>0</v>
      </c>
      <c r="F219" s="94">
        <f>9600*2*1.6</f>
        <v>30720</v>
      </c>
      <c r="G219" s="83">
        <f t="shared" ref="G219:G222" si="53">D219*F219*12+((C219-D219)*F219/2*12)</f>
        <v>92160</v>
      </c>
      <c r="H219" s="83">
        <f t="shared" si="33"/>
        <v>27832.32</v>
      </c>
      <c r="I219" s="83">
        <f t="shared" si="34"/>
        <v>119992.32000000001</v>
      </c>
      <c r="J219" s="93"/>
    </row>
    <row r="220" spans="1:12" ht="30" customHeight="1" x14ac:dyDescent="0.25">
      <c r="A220" s="84" t="s">
        <v>161</v>
      </c>
      <c r="B220" s="82">
        <f>B122+B159</f>
        <v>2</v>
      </c>
      <c r="C220" s="82">
        <f t="shared" ref="C220:E220" si="54">C122+C159</f>
        <v>2</v>
      </c>
      <c r="D220" s="82">
        <f t="shared" si="54"/>
        <v>2</v>
      </c>
      <c r="E220" s="82">
        <f t="shared" si="54"/>
        <v>2</v>
      </c>
      <c r="F220" s="94">
        <f>8600*2*1.6</f>
        <v>27520</v>
      </c>
      <c r="G220" s="83">
        <f t="shared" si="53"/>
        <v>660480</v>
      </c>
      <c r="H220" s="83">
        <f t="shared" si="33"/>
        <v>199464.95999999999</v>
      </c>
      <c r="I220" s="83">
        <f t="shared" si="34"/>
        <v>859944.95999999996</v>
      </c>
      <c r="J220" s="93"/>
    </row>
    <row r="221" spans="1:12" ht="30" customHeight="1" x14ac:dyDescent="0.25">
      <c r="A221" s="84" t="s">
        <v>162</v>
      </c>
      <c r="B221" s="82">
        <v>6</v>
      </c>
      <c r="C221" s="82">
        <v>6</v>
      </c>
      <c r="D221" s="82">
        <v>2</v>
      </c>
      <c r="E221" s="82">
        <v>2</v>
      </c>
      <c r="F221" s="94">
        <f>9600*2*1.6</f>
        <v>30720</v>
      </c>
      <c r="G221" s="83">
        <f t="shared" si="53"/>
        <v>1474560</v>
      </c>
      <c r="H221" s="83">
        <f t="shared" si="33"/>
        <v>445317.12</v>
      </c>
      <c r="I221" s="83">
        <f t="shared" si="34"/>
        <v>1919877.1200000001</v>
      </c>
      <c r="J221" s="93"/>
    </row>
    <row r="222" spans="1:12" ht="30" customHeight="1" x14ac:dyDescent="0.25">
      <c r="A222" s="84" t="s">
        <v>163</v>
      </c>
      <c r="B222" s="82">
        <v>1</v>
      </c>
      <c r="C222" s="82">
        <v>1</v>
      </c>
      <c r="D222" s="82">
        <v>0</v>
      </c>
      <c r="E222" s="82">
        <v>0</v>
      </c>
      <c r="F222" s="86"/>
      <c r="G222" s="83">
        <f t="shared" si="53"/>
        <v>0</v>
      </c>
      <c r="H222" s="83">
        <f t="shared" si="33"/>
        <v>0</v>
      </c>
      <c r="I222" s="83">
        <f t="shared" si="34"/>
        <v>0</v>
      </c>
      <c r="J222" s="93"/>
    </row>
    <row r="223" spans="1:12" ht="30" customHeight="1" x14ac:dyDescent="0.25">
      <c r="A223" s="84" t="s">
        <v>164</v>
      </c>
      <c r="B223" s="82">
        <v>3</v>
      </c>
      <c r="C223" s="82">
        <v>3</v>
      </c>
      <c r="D223" s="82">
        <v>3</v>
      </c>
      <c r="E223" s="82">
        <v>3</v>
      </c>
      <c r="F223" s="94">
        <f>8400*2*1.6</f>
        <v>26880</v>
      </c>
      <c r="G223" s="83">
        <f>D223*F223*12+((C223-D223)*F223/2*12)</f>
        <v>967680</v>
      </c>
      <c r="H223" s="83">
        <f t="shared" si="33"/>
        <v>292239.35999999999</v>
      </c>
      <c r="I223" s="83">
        <f t="shared" si="34"/>
        <v>1259919.3599999999</v>
      </c>
      <c r="J223" s="93"/>
    </row>
    <row r="224" spans="1:12" ht="30" customHeight="1" x14ac:dyDescent="0.25">
      <c r="A224" s="84" t="s">
        <v>165</v>
      </c>
      <c r="B224" s="82">
        <f>B163+B105</f>
        <v>1.5</v>
      </c>
      <c r="C224" s="82">
        <f t="shared" ref="C224:E224" si="55">C163+C105</f>
        <v>1.5</v>
      </c>
      <c r="D224" s="82">
        <f t="shared" si="55"/>
        <v>0</v>
      </c>
      <c r="E224" s="82">
        <f t="shared" si="55"/>
        <v>0</v>
      </c>
      <c r="F224" s="94">
        <f>(8600*2)*1.6</f>
        <v>27520</v>
      </c>
      <c r="G224" s="83">
        <f t="shared" ref="G224:G246" si="56">D224*F224*12+((C224-D224)*F224/2*12)</f>
        <v>247680</v>
      </c>
      <c r="H224" s="83">
        <f t="shared" si="33"/>
        <v>74799.360000000001</v>
      </c>
      <c r="I224" s="83">
        <f t="shared" si="34"/>
        <v>322479.35999999999</v>
      </c>
    </row>
    <row r="225" spans="1:9" ht="30" customHeight="1" x14ac:dyDescent="0.25">
      <c r="A225" s="84" t="s">
        <v>166</v>
      </c>
      <c r="B225" s="82">
        <v>1</v>
      </c>
      <c r="C225" s="82">
        <v>1</v>
      </c>
      <c r="D225" s="82">
        <v>1</v>
      </c>
      <c r="E225" s="82">
        <v>1</v>
      </c>
      <c r="F225" s="94">
        <f>9200*2*1.6</f>
        <v>29440</v>
      </c>
      <c r="G225" s="83">
        <f t="shared" si="56"/>
        <v>353280</v>
      </c>
      <c r="H225" s="83">
        <f t="shared" si="33"/>
        <v>106690.56</v>
      </c>
      <c r="I225" s="83">
        <f t="shared" si="34"/>
        <v>459970.56</v>
      </c>
    </row>
    <row r="226" spans="1:9" ht="30" customHeight="1" x14ac:dyDescent="0.25">
      <c r="A226" s="84" t="s">
        <v>167</v>
      </c>
      <c r="B226" s="82">
        <v>1</v>
      </c>
      <c r="C226" s="82">
        <v>1</v>
      </c>
      <c r="D226" s="82">
        <v>1</v>
      </c>
      <c r="E226" s="82">
        <v>1</v>
      </c>
      <c r="F226" s="94">
        <f>8800*2*1.6</f>
        <v>28160</v>
      </c>
      <c r="G226" s="83">
        <f t="shared" si="56"/>
        <v>337920</v>
      </c>
      <c r="H226" s="83">
        <f t="shared" si="33"/>
        <v>102051.84</v>
      </c>
      <c r="I226" s="83">
        <f t="shared" si="34"/>
        <v>439971.83999999997</v>
      </c>
    </row>
    <row r="227" spans="1:9" ht="30" customHeight="1" x14ac:dyDescent="0.25">
      <c r="A227" s="84" t="s">
        <v>168</v>
      </c>
      <c r="B227" s="82">
        <f>B166+B135</f>
        <v>1.5</v>
      </c>
      <c r="C227" s="82">
        <v>1</v>
      </c>
      <c r="D227" s="82">
        <v>0</v>
      </c>
      <c r="E227" s="82">
        <v>0</v>
      </c>
      <c r="F227" s="94">
        <f>9200*2*1.6</f>
        <v>29440</v>
      </c>
      <c r="G227" s="83">
        <f t="shared" si="56"/>
        <v>176640</v>
      </c>
      <c r="H227" s="83">
        <f t="shared" si="33"/>
        <v>53345.279999999999</v>
      </c>
      <c r="I227" s="83">
        <f t="shared" si="34"/>
        <v>229985.28</v>
      </c>
    </row>
    <row r="228" spans="1:9" ht="30" customHeight="1" x14ac:dyDescent="0.25">
      <c r="A228" s="84" t="s">
        <v>20</v>
      </c>
      <c r="B228" s="82">
        <f>B167</f>
        <v>1</v>
      </c>
      <c r="C228" s="82">
        <v>1</v>
      </c>
      <c r="D228" s="82">
        <v>1</v>
      </c>
      <c r="E228" s="82">
        <v>1</v>
      </c>
      <c r="F228" s="94">
        <f>8800*2*1.6</f>
        <v>28160</v>
      </c>
      <c r="G228" s="83">
        <f t="shared" si="56"/>
        <v>337920</v>
      </c>
      <c r="H228" s="83">
        <f t="shared" si="33"/>
        <v>102051.84</v>
      </c>
      <c r="I228" s="83">
        <f t="shared" si="34"/>
        <v>439971.83999999997</v>
      </c>
    </row>
    <row r="229" spans="1:9" ht="30" customHeight="1" x14ac:dyDescent="0.25">
      <c r="A229" s="84" t="s">
        <v>169</v>
      </c>
      <c r="B229" s="82">
        <f>B168+B138+B123</f>
        <v>2.5</v>
      </c>
      <c r="C229" s="82">
        <f t="shared" ref="C229:E229" si="57">C168+C138+C123</f>
        <v>1</v>
      </c>
      <c r="D229" s="82">
        <f t="shared" si="57"/>
        <v>1</v>
      </c>
      <c r="E229" s="82">
        <f t="shared" si="57"/>
        <v>1</v>
      </c>
      <c r="F229" s="94">
        <f>11600*2*1.6</f>
        <v>37120</v>
      </c>
      <c r="G229" s="83">
        <f t="shared" si="56"/>
        <v>445440</v>
      </c>
      <c r="H229" s="83">
        <f t="shared" si="33"/>
        <v>134522.88</v>
      </c>
      <c r="I229" s="83">
        <f t="shared" si="34"/>
        <v>579962.88</v>
      </c>
    </row>
    <row r="230" spans="1:9" ht="30" customHeight="1" x14ac:dyDescent="0.25">
      <c r="A230" s="84" t="s">
        <v>170</v>
      </c>
      <c r="B230" s="82">
        <f>B137</f>
        <v>1</v>
      </c>
      <c r="C230" s="82">
        <f t="shared" ref="C230:E230" si="58">C137</f>
        <v>0</v>
      </c>
      <c r="D230" s="82">
        <f t="shared" si="58"/>
        <v>0</v>
      </c>
      <c r="E230" s="82">
        <f t="shared" si="58"/>
        <v>0</v>
      </c>
      <c r="F230" s="94">
        <f>10400*2*1.6</f>
        <v>33280</v>
      </c>
      <c r="G230" s="83">
        <f t="shared" si="56"/>
        <v>0</v>
      </c>
      <c r="H230" s="83">
        <f t="shared" si="33"/>
        <v>0</v>
      </c>
      <c r="I230" s="83">
        <f>G230+H230</f>
        <v>0</v>
      </c>
    </row>
    <row r="231" spans="1:9" ht="30" customHeight="1" x14ac:dyDescent="0.25">
      <c r="A231" s="84" t="s">
        <v>171</v>
      </c>
      <c r="B231" s="82">
        <v>1</v>
      </c>
      <c r="C231" s="82">
        <v>1</v>
      </c>
      <c r="D231" s="82">
        <v>1</v>
      </c>
      <c r="E231" s="82">
        <v>1</v>
      </c>
      <c r="F231" s="94">
        <f>8800*2*1.6</f>
        <v>28160</v>
      </c>
      <c r="G231" s="83">
        <f t="shared" si="56"/>
        <v>337920</v>
      </c>
      <c r="H231" s="83">
        <f t="shared" si="33"/>
        <v>102051.84</v>
      </c>
      <c r="I231" s="83">
        <f t="shared" si="34"/>
        <v>439971.83999999997</v>
      </c>
    </row>
    <row r="232" spans="1:9" ht="30" customHeight="1" x14ac:dyDescent="0.25">
      <c r="A232" s="84" t="s">
        <v>172</v>
      </c>
      <c r="B232" s="82">
        <v>0.75</v>
      </c>
      <c r="C232" s="82">
        <v>0.75</v>
      </c>
      <c r="D232" s="82">
        <v>0</v>
      </c>
      <c r="E232" s="82">
        <v>0</v>
      </c>
      <c r="F232" s="94">
        <f>8600*2*1.6</f>
        <v>27520</v>
      </c>
      <c r="G232" s="83">
        <f t="shared" si="56"/>
        <v>123840</v>
      </c>
      <c r="H232" s="83">
        <f t="shared" si="33"/>
        <v>37399.68</v>
      </c>
      <c r="I232" s="83">
        <f t="shared" si="34"/>
        <v>161239.67999999999</v>
      </c>
    </row>
    <row r="233" spans="1:9" ht="30" customHeight="1" x14ac:dyDescent="0.25">
      <c r="A233" s="84" t="s">
        <v>173</v>
      </c>
      <c r="B233" s="82">
        <f>B171</f>
        <v>1</v>
      </c>
      <c r="C233" s="82">
        <v>1</v>
      </c>
      <c r="D233" s="82">
        <v>1</v>
      </c>
      <c r="E233" s="82">
        <v>1</v>
      </c>
      <c r="F233" s="94">
        <f>11200*2*1.6</f>
        <v>35840</v>
      </c>
      <c r="G233" s="83">
        <f t="shared" si="56"/>
        <v>430080</v>
      </c>
      <c r="H233" s="83">
        <f>G233*0.302</f>
        <v>129884.15999999999</v>
      </c>
      <c r="I233" s="83">
        <f t="shared" si="34"/>
        <v>559964.16000000003</v>
      </c>
    </row>
    <row r="234" spans="1:9" ht="30" customHeight="1" x14ac:dyDescent="0.25">
      <c r="A234" s="84" t="s">
        <v>174</v>
      </c>
      <c r="B234" s="82">
        <v>5</v>
      </c>
      <c r="C234" s="82">
        <v>5</v>
      </c>
      <c r="D234" s="82">
        <v>5</v>
      </c>
      <c r="E234" s="82">
        <v>5</v>
      </c>
      <c r="F234" s="94">
        <f>12800*2*1.6</f>
        <v>40960</v>
      </c>
      <c r="G234" s="83">
        <f t="shared" si="56"/>
        <v>2457600</v>
      </c>
      <c r="H234" s="83">
        <f t="shared" si="33"/>
        <v>742195.19999999995</v>
      </c>
      <c r="I234" s="83">
        <f t="shared" si="34"/>
        <v>3199795.2000000002</v>
      </c>
    </row>
    <row r="235" spans="1:9" ht="30" customHeight="1" x14ac:dyDescent="0.25">
      <c r="A235" s="122" t="s">
        <v>215</v>
      </c>
      <c r="B235" s="82">
        <v>1</v>
      </c>
      <c r="C235" s="82">
        <v>1</v>
      </c>
      <c r="D235" s="82">
        <v>0</v>
      </c>
      <c r="E235" s="82">
        <v>0</v>
      </c>
      <c r="F235" s="94">
        <f>8125*2*1.6</f>
        <v>26000</v>
      </c>
      <c r="G235" s="83">
        <f t="shared" si="56"/>
        <v>156000</v>
      </c>
      <c r="H235" s="83">
        <f t="shared" si="33"/>
        <v>47112</v>
      </c>
      <c r="I235" s="83">
        <f t="shared" si="34"/>
        <v>203112</v>
      </c>
    </row>
    <row r="236" spans="1:9" ht="30" customHeight="1" x14ac:dyDescent="0.25">
      <c r="A236" s="84" t="s">
        <v>176</v>
      </c>
      <c r="B236" s="82">
        <v>3</v>
      </c>
      <c r="C236" s="82">
        <v>3</v>
      </c>
      <c r="D236" s="82">
        <v>2</v>
      </c>
      <c r="E236" s="82">
        <v>2</v>
      </c>
      <c r="F236" s="83">
        <v>31680</v>
      </c>
      <c r="G236" s="83">
        <f t="shared" si="56"/>
        <v>950400</v>
      </c>
      <c r="H236" s="83">
        <f t="shared" si="33"/>
        <v>287020.79999999999</v>
      </c>
      <c r="I236" s="83">
        <f t="shared" si="34"/>
        <v>1237420.8</v>
      </c>
    </row>
    <row r="237" spans="1:9" ht="30" customHeight="1" x14ac:dyDescent="0.25">
      <c r="A237" s="84" t="s">
        <v>177</v>
      </c>
      <c r="B237" s="82">
        <v>3</v>
      </c>
      <c r="C237" s="82">
        <v>3</v>
      </c>
      <c r="D237" s="82">
        <v>0</v>
      </c>
      <c r="E237" s="82">
        <v>0</v>
      </c>
      <c r="F237" s="94">
        <f>9600*2*1.6</f>
        <v>30720</v>
      </c>
      <c r="G237" s="83">
        <f t="shared" si="56"/>
        <v>552960</v>
      </c>
      <c r="H237" s="83">
        <f t="shared" si="33"/>
        <v>166993.91999999998</v>
      </c>
      <c r="I237" s="83">
        <f t="shared" si="34"/>
        <v>719953.91999999993</v>
      </c>
    </row>
    <row r="238" spans="1:9" ht="30" customHeight="1" x14ac:dyDescent="0.25">
      <c r="A238" s="84" t="s">
        <v>178</v>
      </c>
      <c r="B238" s="82">
        <v>1</v>
      </c>
      <c r="C238" s="82">
        <v>1</v>
      </c>
      <c r="D238" s="82">
        <v>0</v>
      </c>
      <c r="E238" s="82">
        <v>0</v>
      </c>
      <c r="F238" s="83">
        <v>30400</v>
      </c>
      <c r="G238" s="83">
        <f t="shared" si="56"/>
        <v>182400</v>
      </c>
      <c r="H238" s="83">
        <f t="shared" si="33"/>
        <v>55084.799999999996</v>
      </c>
      <c r="I238" s="83">
        <f t="shared" si="34"/>
        <v>237484.79999999999</v>
      </c>
    </row>
    <row r="239" spans="1:9" ht="13.8" x14ac:dyDescent="0.25">
      <c r="A239" s="84" t="s">
        <v>14</v>
      </c>
      <c r="B239" s="82">
        <v>4</v>
      </c>
      <c r="C239" s="82">
        <v>4</v>
      </c>
      <c r="D239" s="82">
        <v>4</v>
      </c>
      <c r="E239" s="82">
        <v>4</v>
      </c>
      <c r="F239" s="94">
        <f>8600*2*1.6</f>
        <v>27520</v>
      </c>
      <c r="G239" s="83">
        <f t="shared" si="56"/>
        <v>1320960</v>
      </c>
      <c r="H239" s="83">
        <f t="shared" ref="H239:H246" si="59">G239*0.302</f>
        <v>398929.91999999998</v>
      </c>
      <c r="I239" s="83">
        <f t="shared" ref="I239:I246" si="60">G239+H239</f>
        <v>1719889.9199999999</v>
      </c>
    </row>
    <row r="240" spans="1:9" ht="13.8" x14ac:dyDescent="0.25">
      <c r="A240" s="84" t="s">
        <v>194</v>
      </c>
      <c r="B240" s="82">
        <f>B125</f>
        <v>5</v>
      </c>
      <c r="C240" s="82">
        <v>5</v>
      </c>
      <c r="D240" s="82">
        <v>5</v>
      </c>
      <c r="E240" s="82">
        <v>5</v>
      </c>
      <c r="F240" s="94">
        <f>8400*2*1.6</f>
        <v>26880</v>
      </c>
      <c r="G240" s="83">
        <f t="shared" si="56"/>
        <v>1612800</v>
      </c>
      <c r="H240" s="83">
        <f t="shared" si="59"/>
        <v>487065.59999999998</v>
      </c>
      <c r="I240" s="83">
        <f t="shared" si="60"/>
        <v>2099865.6000000001</v>
      </c>
    </row>
    <row r="241" spans="1:10" ht="13.8" x14ac:dyDescent="0.25">
      <c r="A241" s="84" t="s">
        <v>186</v>
      </c>
      <c r="B241" s="82">
        <v>2</v>
      </c>
      <c r="C241" s="82">
        <v>2</v>
      </c>
      <c r="D241" s="82">
        <v>2</v>
      </c>
      <c r="E241" s="82">
        <v>2</v>
      </c>
      <c r="F241" s="94">
        <f>8600*2*1.6</f>
        <v>27520</v>
      </c>
      <c r="G241" s="83">
        <f>E241*F241*12+((C241-E241)*F241/2*12)</f>
        <v>660480</v>
      </c>
      <c r="H241" s="83">
        <f t="shared" ref="H241:H242" si="61">G241*0.302</f>
        <v>199464.95999999999</v>
      </c>
      <c r="I241" s="83">
        <f t="shared" ref="I241:I242" si="62">G241+H241</f>
        <v>859944.95999999996</v>
      </c>
    </row>
    <row r="242" spans="1:10" ht="13.8" x14ac:dyDescent="0.25">
      <c r="A242" s="84" t="s">
        <v>33</v>
      </c>
      <c r="B242" s="82">
        <f>B5+B113</f>
        <v>1</v>
      </c>
      <c r="C242" s="82">
        <f t="shared" ref="C242:E242" si="63">C5+C113</f>
        <v>1</v>
      </c>
      <c r="D242" s="82">
        <f t="shared" si="63"/>
        <v>0.5</v>
      </c>
      <c r="E242" s="82">
        <f t="shared" si="63"/>
        <v>1</v>
      </c>
      <c r="F242" s="94">
        <f>8600*2*1.6</f>
        <v>27520</v>
      </c>
      <c r="G242" s="83">
        <f>E242*F242*12+((C242-E242)*F242/2*12)</f>
        <v>330240</v>
      </c>
      <c r="H242" s="83">
        <f t="shared" si="61"/>
        <v>99732.479999999996</v>
      </c>
      <c r="I242" s="83">
        <f t="shared" si="62"/>
        <v>429972.47999999998</v>
      </c>
    </row>
    <row r="243" spans="1:10" ht="13.8" x14ac:dyDescent="0.25">
      <c r="A243" s="84" t="s">
        <v>192</v>
      </c>
      <c r="B243" s="82">
        <v>0.5</v>
      </c>
      <c r="C243" s="82">
        <v>0.5</v>
      </c>
      <c r="D243" s="82">
        <v>0</v>
      </c>
      <c r="E243" s="82">
        <v>0</v>
      </c>
      <c r="F243" s="94">
        <f>9600*2*1.6</f>
        <v>30720</v>
      </c>
      <c r="G243" s="83">
        <f>D243*F243*12+((C243-D243)*F243/2*12)</f>
        <v>92160</v>
      </c>
      <c r="H243" s="83">
        <f t="shared" ref="H243" si="64">G243*0.302</f>
        <v>27832.32</v>
      </c>
      <c r="I243" s="83">
        <f t="shared" ref="I243:I244" si="65">G243+H243</f>
        <v>119992.32000000001</v>
      </c>
    </row>
    <row r="244" spans="1:10" ht="26.4" x14ac:dyDescent="0.25">
      <c r="A244" s="103" t="s">
        <v>197</v>
      </c>
      <c r="B244" s="82">
        <v>3</v>
      </c>
      <c r="C244" s="82">
        <v>3</v>
      </c>
      <c r="D244" s="82">
        <v>3</v>
      </c>
      <c r="E244" s="82">
        <v>3</v>
      </c>
      <c r="F244" s="94">
        <f>10000*2*1.6</f>
        <v>32000</v>
      </c>
      <c r="G244" s="83">
        <f t="shared" ref="G244" si="66">D244*F244*12+((C244-D244)*F244/2*12)</f>
        <v>1152000</v>
      </c>
      <c r="H244" s="83">
        <f t="shared" ref="H244" si="67">G244*30.2%</f>
        <v>347904</v>
      </c>
      <c r="I244" s="83">
        <f t="shared" si="65"/>
        <v>1499904</v>
      </c>
    </row>
    <row r="245" spans="1:10" ht="30" customHeight="1" x14ac:dyDescent="0.25">
      <c r="A245" s="84" t="s">
        <v>179</v>
      </c>
      <c r="B245" s="82">
        <v>2</v>
      </c>
      <c r="C245" s="82">
        <v>2</v>
      </c>
      <c r="D245" s="82">
        <v>0</v>
      </c>
      <c r="E245" s="82">
        <v>0</v>
      </c>
      <c r="F245" s="94">
        <f>9000*2*1.6</f>
        <v>28800</v>
      </c>
      <c r="G245" s="83">
        <f t="shared" si="56"/>
        <v>345600</v>
      </c>
      <c r="H245" s="83">
        <f t="shared" si="59"/>
        <v>104371.2</v>
      </c>
      <c r="I245" s="83">
        <f t="shared" si="60"/>
        <v>449971.20000000001</v>
      </c>
    </row>
    <row r="246" spans="1:10" ht="13.8" x14ac:dyDescent="0.25">
      <c r="A246" s="84" t="s">
        <v>193</v>
      </c>
      <c r="B246" s="82">
        <v>0.5</v>
      </c>
      <c r="C246" s="82">
        <v>0.5</v>
      </c>
      <c r="D246" s="82">
        <v>0</v>
      </c>
      <c r="E246" s="82">
        <v>0</v>
      </c>
      <c r="F246" s="94">
        <f>10000*2*1.6</f>
        <v>32000</v>
      </c>
      <c r="G246" s="83">
        <f t="shared" si="56"/>
        <v>96000</v>
      </c>
      <c r="H246" s="83">
        <f t="shared" si="59"/>
        <v>28992</v>
      </c>
      <c r="I246" s="83">
        <f t="shared" si="60"/>
        <v>124992</v>
      </c>
    </row>
    <row r="247" spans="1:10" ht="13.8" x14ac:dyDescent="0.25">
      <c r="A247" s="84"/>
      <c r="B247" s="97">
        <f>SUM(B206:B246)</f>
        <v>164.75</v>
      </c>
      <c r="C247" s="97">
        <f>SUM(C206:C246)</f>
        <v>146.5</v>
      </c>
      <c r="D247" s="97">
        <f>SUM(D206:D246)</f>
        <v>110</v>
      </c>
      <c r="E247" s="97">
        <f>SUM(E206:E246)</f>
        <v>109.5</v>
      </c>
      <c r="F247" s="121"/>
      <c r="G247" s="115">
        <f>SUM(G206:G246)</f>
        <v>41082240</v>
      </c>
      <c r="H247" s="115">
        <f t="shared" ref="H247:I247" si="68">SUM(H206:H246)</f>
        <v>12406836.48</v>
      </c>
      <c r="I247" s="115">
        <f t="shared" si="68"/>
        <v>53489076.480000019</v>
      </c>
      <c r="J247" s="116"/>
    </row>
    <row r="249" spans="1:10" x14ac:dyDescent="0.25">
      <c r="A249" s="11" t="s">
        <v>217</v>
      </c>
      <c r="B249" s="11">
        <f>B210+B213+B215+B235</f>
        <v>54.75</v>
      </c>
      <c r="C249" s="11">
        <f t="shared" ref="C249:E249" si="69">C210+C213+C215+C235</f>
        <v>52.5</v>
      </c>
      <c r="D249" s="11">
        <f t="shared" si="69"/>
        <v>34.5</v>
      </c>
      <c r="E249" s="11">
        <f t="shared" si="69"/>
        <v>35</v>
      </c>
      <c r="F249" s="11" t="s">
        <v>216</v>
      </c>
      <c r="G249" s="116">
        <f>G247-G235-G215-G213-G210</f>
        <v>30162240</v>
      </c>
    </row>
    <row r="250" spans="1:10" x14ac:dyDescent="0.25">
      <c r="A250" s="11" t="s">
        <v>218</v>
      </c>
      <c r="B250" s="116">
        <f>B247-B249</f>
        <v>110</v>
      </c>
      <c r="C250" s="116">
        <f t="shared" ref="C250:E250" si="70">C247-C249</f>
        <v>94</v>
      </c>
      <c r="D250" s="116">
        <f t="shared" si="70"/>
        <v>75.5</v>
      </c>
      <c r="E250" s="116">
        <f t="shared" si="70"/>
        <v>74.5</v>
      </c>
    </row>
  </sheetData>
  <mergeCells count="15">
    <mergeCell ref="A142:I142"/>
    <mergeCell ref="A148:I148"/>
    <mergeCell ref="A178:I178"/>
    <mergeCell ref="A80:I80"/>
    <mergeCell ref="A86:I86"/>
    <mergeCell ref="A94:I94"/>
    <mergeCell ref="A111:I111"/>
    <mergeCell ref="A116:I116"/>
    <mergeCell ref="A127:I127"/>
    <mergeCell ref="A68:I68"/>
    <mergeCell ref="A3:I3"/>
    <mergeCell ref="A10:I10"/>
    <mergeCell ref="A20:I20"/>
    <mergeCell ref="A29:I29"/>
    <mergeCell ref="A57:I57"/>
  </mergeCells>
  <pageMargins left="0" right="0" top="0" bottom="0" header="0.31496062992125984" footer="0.31496062992125984"/>
  <pageSetup paperSize="9" scale="8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3"/>
  <sheetViews>
    <sheetView workbookViewId="0">
      <selection activeCell="A4" sqref="A4"/>
    </sheetView>
  </sheetViews>
  <sheetFormatPr defaultRowHeight="14.4" x14ac:dyDescent="0.3"/>
  <cols>
    <col min="1" max="1" width="23.109375" customWidth="1"/>
    <col min="2" max="2" width="18.6640625" customWidth="1"/>
    <col min="3" max="3" width="21.33203125" customWidth="1"/>
    <col min="4" max="4" width="15.33203125" customWidth="1"/>
  </cols>
  <sheetData>
    <row r="1" spans="1:4" ht="18" x14ac:dyDescent="0.35">
      <c r="A1" s="50" t="s">
        <v>99</v>
      </c>
    </row>
    <row r="3" spans="1:4" ht="39" customHeight="1" x14ac:dyDescent="0.3">
      <c r="A3" s="46" t="s">
        <v>95</v>
      </c>
      <c r="B3" s="47" t="s">
        <v>96</v>
      </c>
      <c r="C3" s="47" t="s">
        <v>97</v>
      </c>
      <c r="D3" s="47" t="s">
        <v>98</v>
      </c>
    </row>
    <row r="4" spans="1:4" ht="15.6" x14ac:dyDescent="0.3">
      <c r="A4" s="48">
        <v>458283000</v>
      </c>
      <c r="B4" s="49">
        <f>A4*9.89%</f>
        <v>45324188.700000003</v>
      </c>
      <c r="C4" s="49">
        <f>'по учр'!H630</f>
        <v>44886970.799999997</v>
      </c>
      <c r="D4" s="49">
        <f>C4-B4</f>
        <v>-437217.90000000596</v>
      </c>
    </row>
    <row r="5" spans="1:4" ht="15.6" x14ac:dyDescent="0.3">
      <c r="A5" s="45"/>
      <c r="B5" s="45"/>
      <c r="C5" s="45"/>
      <c r="D5" s="45"/>
    </row>
    <row r="6" spans="1:4" ht="15.6" x14ac:dyDescent="0.3">
      <c r="A6" s="45"/>
      <c r="B6" s="45"/>
      <c r="C6" s="45"/>
      <c r="D6" s="45"/>
    </row>
    <row r="7" spans="1:4" ht="15.6" x14ac:dyDescent="0.3">
      <c r="A7" s="45"/>
      <c r="B7" s="45"/>
      <c r="C7" s="45"/>
      <c r="D7" s="45"/>
    </row>
    <row r="8" spans="1:4" ht="15.6" x14ac:dyDescent="0.3">
      <c r="A8" s="45"/>
      <c r="B8" s="45"/>
      <c r="C8" s="45"/>
      <c r="D8" s="45"/>
    </row>
    <row r="9" spans="1:4" ht="15.6" x14ac:dyDescent="0.3">
      <c r="A9" s="45"/>
      <c r="B9" s="45"/>
      <c r="C9" s="45"/>
      <c r="D9" s="45"/>
    </row>
    <row r="10" spans="1:4" ht="15.6" x14ac:dyDescent="0.3">
      <c r="A10" s="45"/>
      <c r="B10" s="45"/>
      <c r="C10" s="45"/>
      <c r="D10" s="45"/>
    </row>
    <row r="11" spans="1:4" x14ac:dyDescent="0.3">
      <c r="A11" s="44"/>
      <c r="B11" s="44"/>
      <c r="C11" s="44"/>
      <c r="D11" s="44"/>
    </row>
    <row r="12" spans="1:4" x14ac:dyDescent="0.3">
      <c r="A12" s="44"/>
      <c r="B12" s="44"/>
      <c r="C12" s="44"/>
      <c r="D12" s="44"/>
    </row>
    <row r="13" spans="1:4" x14ac:dyDescent="0.3">
      <c r="A13" s="44"/>
      <c r="B13" s="44"/>
      <c r="C13" s="44"/>
      <c r="D13" s="44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4"/>
  <sheetViews>
    <sheetView zoomScale="110" zoomScaleNormal="110" workbookViewId="0">
      <pane xSplit="1" ySplit="8" topLeftCell="B9" activePane="bottomRight" state="frozen"/>
      <selection pane="topRight" activeCell="B1" sqref="B1"/>
      <selection pane="bottomLeft" activeCell="A9" sqref="A9"/>
      <selection pane="bottomRight" activeCell="F6" sqref="F6:I6"/>
    </sheetView>
  </sheetViews>
  <sheetFormatPr defaultColWidth="9.109375" defaultRowHeight="13.2" x14ac:dyDescent="0.25"/>
  <cols>
    <col min="1" max="1" width="22.6640625" style="51" customWidth="1"/>
    <col min="2" max="2" width="10.109375" style="51" hidden="1" customWidth="1"/>
    <col min="3" max="4" width="14.33203125" style="51" hidden="1" customWidth="1"/>
    <col min="5" max="5" width="14.33203125" style="51" customWidth="1"/>
    <col min="6" max="6" width="14.109375" style="51" customWidth="1"/>
    <col min="7" max="7" width="8.109375" style="51" customWidth="1"/>
    <col min="8" max="8" width="13.33203125" style="51" hidden="1" customWidth="1"/>
    <col min="9" max="9" width="8.33203125" style="51" hidden="1" customWidth="1"/>
    <col min="10" max="10" width="14.5546875" style="51" hidden="1" customWidth="1"/>
    <col min="11" max="11" width="12.33203125" style="51" hidden="1" customWidth="1"/>
    <col min="12" max="12" width="13.88671875" style="51" customWidth="1"/>
    <col min="13" max="13" width="14.5546875" style="51" customWidth="1"/>
    <col min="14" max="14" width="15.109375" style="51" customWidth="1"/>
    <col min="15" max="15" width="15.33203125" style="51" customWidth="1"/>
    <col min="16" max="256" width="9.109375" style="51"/>
    <col min="257" max="257" width="22.6640625" style="51" customWidth="1"/>
    <col min="258" max="260" width="0" style="51" hidden="1" customWidth="1"/>
    <col min="261" max="261" width="14.33203125" style="51" customWidth="1"/>
    <col min="262" max="262" width="14.109375" style="51" customWidth="1"/>
    <col min="263" max="263" width="8.109375" style="51" customWidth="1"/>
    <col min="264" max="264" width="13.33203125" style="51" customWidth="1"/>
    <col min="265" max="265" width="8.33203125" style="51" customWidth="1"/>
    <col min="266" max="267" width="0" style="51" hidden="1" customWidth="1"/>
    <col min="268" max="268" width="13.88671875" style="51" customWidth="1"/>
    <col min="269" max="269" width="14.5546875" style="51" customWidth="1"/>
    <col min="270" max="270" width="15.109375" style="51" customWidth="1"/>
    <col min="271" max="271" width="15.33203125" style="51" customWidth="1"/>
    <col min="272" max="512" width="9.109375" style="51"/>
    <col min="513" max="513" width="22.6640625" style="51" customWidth="1"/>
    <col min="514" max="516" width="0" style="51" hidden="1" customWidth="1"/>
    <col min="517" max="517" width="14.33203125" style="51" customWidth="1"/>
    <col min="518" max="518" width="14.109375" style="51" customWidth="1"/>
    <col min="519" max="519" width="8.109375" style="51" customWidth="1"/>
    <col min="520" max="520" width="13.33203125" style="51" customWidth="1"/>
    <col min="521" max="521" width="8.33203125" style="51" customWidth="1"/>
    <col min="522" max="523" width="0" style="51" hidden="1" customWidth="1"/>
    <col min="524" max="524" width="13.88671875" style="51" customWidth="1"/>
    <col min="525" max="525" width="14.5546875" style="51" customWidth="1"/>
    <col min="526" max="526" width="15.109375" style="51" customWidth="1"/>
    <col min="527" max="527" width="15.33203125" style="51" customWidth="1"/>
    <col min="528" max="768" width="9.109375" style="51"/>
    <col min="769" max="769" width="22.6640625" style="51" customWidth="1"/>
    <col min="770" max="772" width="0" style="51" hidden="1" customWidth="1"/>
    <col min="773" max="773" width="14.33203125" style="51" customWidth="1"/>
    <col min="774" max="774" width="14.109375" style="51" customWidth="1"/>
    <col min="775" max="775" width="8.109375" style="51" customWidth="1"/>
    <col min="776" max="776" width="13.33203125" style="51" customWidth="1"/>
    <col min="777" max="777" width="8.33203125" style="51" customWidth="1"/>
    <col min="778" max="779" width="0" style="51" hidden="1" customWidth="1"/>
    <col min="780" max="780" width="13.88671875" style="51" customWidth="1"/>
    <col min="781" max="781" width="14.5546875" style="51" customWidth="1"/>
    <col min="782" max="782" width="15.109375" style="51" customWidth="1"/>
    <col min="783" max="783" width="15.33203125" style="51" customWidth="1"/>
    <col min="784" max="1024" width="9.109375" style="51"/>
    <col min="1025" max="1025" width="22.6640625" style="51" customWidth="1"/>
    <col min="1026" max="1028" width="0" style="51" hidden="1" customWidth="1"/>
    <col min="1029" max="1029" width="14.33203125" style="51" customWidth="1"/>
    <col min="1030" max="1030" width="14.109375" style="51" customWidth="1"/>
    <col min="1031" max="1031" width="8.109375" style="51" customWidth="1"/>
    <col min="1032" max="1032" width="13.33203125" style="51" customWidth="1"/>
    <col min="1033" max="1033" width="8.33203125" style="51" customWidth="1"/>
    <col min="1034" max="1035" width="0" style="51" hidden="1" customWidth="1"/>
    <col min="1036" max="1036" width="13.88671875" style="51" customWidth="1"/>
    <col min="1037" max="1037" width="14.5546875" style="51" customWidth="1"/>
    <col min="1038" max="1038" width="15.109375" style="51" customWidth="1"/>
    <col min="1039" max="1039" width="15.33203125" style="51" customWidth="1"/>
    <col min="1040" max="1280" width="9.109375" style="51"/>
    <col min="1281" max="1281" width="22.6640625" style="51" customWidth="1"/>
    <col min="1282" max="1284" width="0" style="51" hidden="1" customWidth="1"/>
    <col min="1285" max="1285" width="14.33203125" style="51" customWidth="1"/>
    <col min="1286" max="1286" width="14.109375" style="51" customWidth="1"/>
    <col min="1287" max="1287" width="8.109375" style="51" customWidth="1"/>
    <col min="1288" max="1288" width="13.33203125" style="51" customWidth="1"/>
    <col min="1289" max="1289" width="8.33203125" style="51" customWidth="1"/>
    <col min="1290" max="1291" width="0" style="51" hidden="1" customWidth="1"/>
    <col min="1292" max="1292" width="13.88671875" style="51" customWidth="1"/>
    <col min="1293" max="1293" width="14.5546875" style="51" customWidth="1"/>
    <col min="1294" max="1294" width="15.109375" style="51" customWidth="1"/>
    <col min="1295" max="1295" width="15.33203125" style="51" customWidth="1"/>
    <col min="1296" max="1536" width="9.109375" style="51"/>
    <col min="1537" max="1537" width="22.6640625" style="51" customWidth="1"/>
    <col min="1538" max="1540" width="0" style="51" hidden="1" customWidth="1"/>
    <col min="1541" max="1541" width="14.33203125" style="51" customWidth="1"/>
    <col min="1542" max="1542" width="14.109375" style="51" customWidth="1"/>
    <col min="1543" max="1543" width="8.109375" style="51" customWidth="1"/>
    <col min="1544" max="1544" width="13.33203125" style="51" customWidth="1"/>
    <col min="1545" max="1545" width="8.33203125" style="51" customWidth="1"/>
    <col min="1546" max="1547" width="0" style="51" hidden="1" customWidth="1"/>
    <col min="1548" max="1548" width="13.88671875" style="51" customWidth="1"/>
    <col min="1549" max="1549" width="14.5546875" style="51" customWidth="1"/>
    <col min="1550" max="1550" width="15.109375" style="51" customWidth="1"/>
    <col min="1551" max="1551" width="15.33203125" style="51" customWidth="1"/>
    <col min="1552" max="1792" width="9.109375" style="51"/>
    <col min="1793" max="1793" width="22.6640625" style="51" customWidth="1"/>
    <col min="1794" max="1796" width="0" style="51" hidden="1" customWidth="1"/>
    <col min="1797" max="1797" width="14.33203125" style="51" customWidth="1"/>
    <col min="1798" max="1798" width="14.109375" style="51" customWidth="1"/>
    <col min="1799" max="1799" width="8.109375" style="51" customWidth="1"/>
    <col min="1800" max="1800" width="13.33203125" style="51" customWidth="1"/>
    <col min="1801" max="1801" width="8.33203125" style="51" customWidth="1"/>
    <col min="1802" max="1803" width="0" style="51" hidden="1" customWidth="1"/>
    <col min="1804" max="1804" width="13.88671875" style="51" customWidth="1"/>
    <col min="1805" max="1805" width="14.5546875" style="51" customWidth="1"/>
    <col min="1806" max="1806" width="15.109375" style="51" customWidth="1"/>
    <col min="1807" max="1807" width="15.33203125" style="51" customWidth="1"/>
    <col min="1808" max="2048" width="9.109375" style="51"/>
    <col min="2049" max="2049" width="22.6640625" style="51" customWidth="1"/>
    <col min="2050" max="2052" width="0" style="51" hidden="1" customWidth="1"/>
    <col min="2053" max="2053" width="14.33203125" style="51" customWidth="1"/>
    <col min="2054" max="2054" width="14.109375" style="51" customWidth="1"/>
    <col min="2055" max="2055" width="8.109375" style="51" customWidth="1"/>
    <col min="2056" max="2056" width="13.33203125" style="51" customWidth="1"/>
    <col min="2057" max="2057" width="8.33203125" style="51" customWidth="1"/>
    <col min="2058" max="2059" width="0" style="51" hidden="1" customWidth="1"/>
    <col min="2060" max="2060" width="13.88671875" style="51" customWidth="1"/>
    <col min="2061" max="2061" width="14.5546875" style="51" customWidth="1"/>
    <col min="2062" max="2062" width="15.109375" style="51" customWidth="1"/>
    <col min="2063" max="2063" width="15.33203125" style="51" customWidth="1"/>
    <col min="2064" max="2304" width="9.109375" style="51"/>
    <col min="2305" max="2305" width="22.6640625" style="51" customWidth="1"/>
    <col min="2306" max="2308" width="0" style="51" hidden="1" customWidth="1"/>
    <col min="2309" max="2309" width="14.33203125" style="51" customWidth="1"/>
    <col min="2310" max="2310" width="14.109375" style="51" customWidth="1"/>
    <col min="2311" max="2311" width="8.109375" style="51" customWidth="1"/>
    <col min="2312" max="2312" width="13.33203125" style="51" customWidth="1"/>
    <col min="2313" max="2313" width="8.33203125" style="51" customWidth="1"/>
    <col min="2314" max="2315" width="0" style="51" hidden="1" customWidth="1"/>
    <col min="2316" max="2316" width="13.88671875" style="51" customWidth="1"/>
    <col min="2317" max="2317" width="14.5546875" style="51" customWidth="1"/>
    <col min="2318" max="2318" width="15.109375" style="51" customWidth="1"/>
    <col min="2319" max="2319" width="15.33203125" style="51" customWidth="1"/>
    <col min="2320" max="2560" width="9.109375" style="51"/>
    <col min="2561" max="2561" width="22.6640625" style="51" customWidth="1"/>
    <col min="2562" max="2564" width="0" style="51" hidden="1" customWidth="1"/>
    <col min="2565" max="2565" width="14.33203125" style="51" customWidth="1"/>
    <col min="2566" max="2566" width="14.109375" style="51" customWidth="1"/>
    <col min="2567" max="2567" width="8.109375" style="51" customWidth="1"/>
    <col min="2568" max="2568" width="13.33203125" style="51" customWidth="1"/>
    <col min="2569" max="2569" width="8.33203125" style="51" customWidth="1"/>
    <col min="2570" max="2571" width="0" style="51" hidden="1" customWidth="1"/>
    <col min="2572" max="2572" width="13.88671875" style="51" customWidth="1"/>
    <col min="2573" max="2573" width="14.5546875" style="51" customWidth="1"/>
    <col min="2574" max="2574" width="15.109375" style="51" customWidth="1"/>
    <col min="2575" max="2575" width="15.33203125" style="51" customWidth="1"/>
    <col min="2576" max="2816" width="9.109375" style="51"/>
    <col min="2817" max="2817" width="22.6640625" style="51" customWidth="1"/>
    <col min="2818" max="2820" width="0" style="51" hidden="1" customWidth="1"/>
    <col min="2821" max="2821" width="14.33203125" style="51" customWidth="1"/>
    <col min="2822" max="2822" width="14.109375" style="51" customWidth="1"/>
    <col min="2823" max="2823" width="8.109375" style="51" customWidth="1"/>
    <col min="2824" max="2824" width="13.33203125" style="51" customWidth="1"/>
    <col min="2825" max="2825" width="8.33203125" style="51" customWidth="1"/>
    <col min="2826" max="2827" width="0" style="51" hidden="1" customWidth="1"/>
    <col min="2828" max="2828" width="13.88671875" style="51" customWidth="1"/>
    <col min="2829" max="2829" width="14.5546875" style="51" customWidth="1"/>
    <col min="2830" max="2830" width="15.109375" style="51" customWidth="1"/>
    <col min="2831" max="2831" width="15.33203125" style="51" customWidth="1"/>
    <col min="2832" max="3072" width="9.109375" style="51"/>
    <col min="3073" max="3073" width="22.6640625" style="51" customWidth="1"/>
    <col min="3074" max="3076" width="0" style="51" hidden="1" customWidth="1"/>
    <col min="3077" max="3077" width="14.33203125" style="51" customWidth="1"/>
    <col min="3078" max="3078" width="14.109375" style="51" customWidth="1"/>
    <col min="3079" max="3079" width="8.109375" style="51" customWidth="1"/>
    <col min="3080" max="3080" width="13.33203125" style="51" customWidth="1"/>
    <col min="3081" max="3081" width="8.33203125" style="51" customWidth="1"/>
    <col min="3082" max="3083" width="0" style="51" hidden="1" customWidth="1"/>
    <col min="3084" max="3084" width="13.88671875" style="51" customWidth="1"/>
    <col min="3085" max="3085" width="14.5546875" style="51" customWidth="1"/>
    <col min="3086" max="3086" width="15.109375" style="51" customWidth="1"/>
    <col min="3087" max="3087" width="15.33203125" style="51" customWidth="1"/>
    <col min="3088" max="3328" width="9.109375" style="51"/>
    <col min="3329" max="3329" width="22.6640625" style="51" customWidth="1"/>
    <col min="3330" max="3332" width="0" style="51" hidden="1" customWidth="1"/>
    <col min="3333" max="3333" width="14.33203125" style="51" customWidth="1"/>
    <col min="3334" max="3334" width="14.109375" style="51" customWidth="1"/>
    <col min="3335" max="3335" width="8.109375" style="51" customWidth="1"/>
    <col min="3336" max="3336" width="13.33203125" style="51" customWidth="1"/>
    <col min="3337" max="3337" width="8.33203125" style="51" customWidth="1"/>
    <col min="3338" max="3339" width="0" style="51" hidden="1" customWidth="1"/>
    <col min="3340" max="3340" width="13.88671875" style="51" customWidth="1"/>
    <col min="3341" max="3341" width="14.5546875" style="51" customWidth="1"/>
    <col min="3342" max="3342" width="15.109375" style="51" customWidth="1"/>
    <col min="3343" max="3343" width="15.33203125" style="51" customWidth="1"/>
    <col min="3344" max="3584" width="9.109375" style="51"/>
    <col min="3585" max="3585" width="22.6640625" style="51" customWidth="1"/>
    <col min="3586" max="3588" width="0" style="51" hidden="1" customWidth="1"/>
    <col min="3589" max="3589" width="14.33203125" style="51" customWidth="1"/>
    <col min="3590" max="3590" width="14.109375" style="51" customWidth="1"/>
    <col min="3591" max="3591" width="8.109375" style="51" customWidth="1"/>
    <col min="3592" max="3592" width="13.33203125" style="51" customWidth="1"/>
    <col min="3593" max="3593" width="8.33203125" style="51" customWidth="1"/>
    <col min="3594" max="3595" width="0" style="51" hidden="1" customWidth="1"/>
    <col min="3596" max="3596" width="13.88671875" style="51" customWidth="1"/>
    <col min="3597" max="3597" width="14.5546875" style="51" customWidth="1"/>
    <col min="3598" max="3598" width="15.109375" style="51" customWidth="1"/>
    <col min="3599" max="3599" width="15.33203125" style="51" customWidth="1"/>
    <col min="3600" max="3840" width="9.109375" style="51"/>
    <col min="3841" max="3841" width="22.6640625" style="51" customWidth="1"/>
    <col min="3842" max="3844" width="0" style="51" hidden="1" customWidth="1"/>
    <col min="3845" max="3845" width="14.33203125" style="51" customWidth="1"/>
    <col min="3846" max="3846" width="14.109375" style="51" customWidth="1"/>
    <col min="3847" max="3847" width="8.109375" style="51" customWidth="1"/>
    <col min="3848" max="3848" width="13.33203125" style="51" customWidth="1"/>
    <col min="3849" max="3849" width="8.33203125" style="51" customWidth="1"/>
    <col min="3850" max="3851" width="0" style="51" hidden="1" customWidth="1"/>
    <col min="3852" max="3852" width="13.88671875" style="51" customWidth="1"/>
    <col min="3853" max="3853" width="14.5546875" style="51" customWidth="1"/>
    <col min="3854" max="3854" width="15.109375" style="51" customWidth="1"/>
    <col min="3855" max="3855" width="15.33203125" style="51" customWidth="1"/>
    <col min="3856" max="4096" width="9.109375" style="51"/>
    <col min="4097" max="4097" width="22.6640625" style="51" customWidth="1"/>
    <col min="4098" max="4100" width="0" style="51" hidden="1" customWidth="1"/>
    <col min="4101" max="4101" width="14.33203125" style="51" customWidth="1"/>
    <col min="4102" max="4102" width="14.109375" style="51" customWidth="1"/>
    <col min="4103" max="4103" width="8.109375" style="51" customWidth="1"/>
    <col min="4104" max="4104" width="13.33203125" style="51" customWidth="1"/>
    <col min="4105" max="4105" width="8.33203125" style="51" customWidth="1"/>
    <col min="4106" max="4107" width="0" style="51" hidden="1" customWidth="1"/>
    <col min="4108" max="4108" width="13.88671875" style="51" customWidth="1"/>
    <col min="4109" max="4109" width="14.5546875" style="51" customWidth="1"/>
    <col min="4110" max="4110" width="15.109375" style="51" customWidth="1"/>
    <col min="4111" max="4111" width="15.33203125" style="51" customWidth="1"/>
    <col min="4112" max="4352" width="9.109375" style="51"/>
    <col min="4353" max="4353" width="22.6640625" style="51" customWidth="1"/>
    <col min="4354" max="4356" width="0" style="51" hidden="1" customWidth="1"/>
    <col min="4357" max="4357" width="14.33203125" style="51" customWidth="1"/>
    <col min="4358" max="4358" width="14.109375" style="51" customWidth="1"/>
    <col min="4359" max="4359" width="8.109375" style="51" customWidth="1"/>
    <col min="4360" max="4360" width="13.33203125" style="51" customWidth="1"/>
    <col min="4361" max="4361" width="8.33203125" style="51" customWidth="1"/>
    <col min="4362" max="4363" width="0" style="51" hidden="1" customWidth="1"/>
    <col min="4364" max="4364" width="13.88671875" style="51" customWidth="1"/>
    <col min="4365" max="4365" width="14.5546875" style="51" customWidth="1"/>
    <col min="4366" max="4366" width="15.109375" style="51" customWidth="1"/>
    <col min="4367" max="4367" width="15.33203125" style="51" customWidth="1"/>
    <col min="4368" max="4608" width="9.109375" style="51"/>
    <col min="4609" max="4609" width="22.6640625" style="51" customWidth="1"/>
    <col min="4610" max="4612" width="0" style="51" hidden="1" customWidth="1"/>
    <col min="4613" max="4613" width="14.33203125" style="51" customWidth="1"/>
    <col min="4614" max="4614" width="14.109375" style="51" customWidth="1"/>
    <col min="4615" max="4615" width="8.109375" style="51" customWidth="1"/>
    <col min="4616" max="4616" width="13.33203125" style="51" customWidth="1"/>
    <col min="4617" max="4617" width="8.33203125" style="51" customWidth="1"/>
    <col min="4618" max="4619" width="0" style="51" hidden="1" customWidth="1"/>
    <col min="4620" max="4620" width="13.88671875" style="51" customWidth="1"/>
    <col min="4621" max="4621" width="14.5546875" style="51" customWidth="1"/>
    <col min="4622" max="4622" width="15.109375" style="51" customWidth="1"/>
    <col min="4623" max="4623" width="15.33203125" style="51" customWidth="1"/>
    <col min="4624" max="4864" width="9.109375" style="51"/>
    <col min="4865" max="4865" width="22.6640625" style="51" customWidth="1"/>
    <col min="4866" max="4868" width="0" style="51" hidden="1" customWidth="1"/>
    <col min="4869" max="4869" width="14.33203125" style="51" customWidth="1"/>
    <col min="4870" max="4870" width="14.109375" style="51" customWidth="1"/>
    <col min="4871" max="4871" width="8.109375" style="51" customWidth="1"/>
    <col min="4872" max="4872" width="13.33203125" style="51" customWidth="1"/>
    <col min="4873" max="4873" width="8.33203125" style="51" customWidth="1"/>
    <col min="4874" max="4875" width="0" style="51" hidden="1" customWidth="1"/>
    <col min="4876" max="4876" width="13.88671875" style="51" customWidth="1"/>
    <col min="4877" max="4877" width="14.5546875" style="51" customWidth="1"/>
    <col min="4878" max="4878" width="15.109375" style="51" customWidth="1"/>
    <col min="4879" max="4879" width="15.33203125" style="51" customWidth="1"/>
    <col min="4880" max="5120" width="9.109375" style="51"/>
    <col min="5121" max="5121" width="22.6640625" style="51" customWidth="1"/>
    <col min="5122" max="5124" width="0" style="51" hidden="1" customWidth="1"/>
    <col min="5125" max="5125" width="14.33203125" style="51" customWidth="1"/>
    <col min="5126" max="5126" width="14.109375" style="51" customWidth="1"/>
    <col min="5127" max="5127" width="8.109375" style="51" customWidth="1"/>
    <col min="5128" max="5128" width="13.33203125" style="51" customWidth="1"/>
    <col min="5129" max="5129" width="8.33203125" style="51" customWidth="1"/>
    <col min="5130" max="5131" width="0" style="51" hidden="1" customWidth="1"/>
    <col min="5132" max="5132" width="13.88671875" style="51" customWidth="1"/>
    <col min="5133" max="5133" width="14.5546875" style="51" customWidth="1"/>
    <col min="5134" max="5134" width="15.109375" style="51" customWidth="1"/>
    <col min="5135" max="5135" width="15.33203125" style="51" customWidth="1"/>
    <col min="5136" max="5376" width="9.109375" style="51"/>
    <col min="5377" max="5377" width="22.6640625" style="51" customWidth="1"/>
    <col min="5378" max="5380" width="0" style="51" hidden="1" customWidth="1"/>
    <col min="5381" max="5381" width="14.33203125" style="51" customWidth="1"/>
    <col min="5382" max="5382" width="14.109375" style="51" customWidth="1"/>
    <col min="5383" max="5383" width="8.109375" style="51" customWidth="1"/>
    <col min="5384" max="5384" width="13.33203125" style="51" customWidth="1"/>
    <col min="5385" max="5385" width="8.33203125" style="51" customWidth="1"/>
    <col min="5386" max="5387" width="0" style="51" hidden="1" customWidth="1"/>
    <col min="5388" max="5388" width="13.88671875" style="51" customWidth="1"/>
    <col min="5389" max="5389" width="14.5546875" style="51" customWidth="1"/>
    <col min="5390" max="5390" width="15.109375" style="51" customWidth="1"/>
    <col min="5391" max="5391" width="15.33203125" style="51" customWidth="1"/>
    <col min="5392" max="5632" width="9.109375" style="51"/>
    <col min="5633" max="5633" width="22.6640625" style="51" customWidth="1"/>
    <col min="5634" max="5636" width="0" style="51" hidden="1" customWidth="1"/>
    <col min="5637" max="5637" width="14.33203125" style="51" customWidth="1"/>
    <col min="5638" max="5638" width="14.109375" style="51" customWidth="1"/>
    <col min="5639" max="5639" width="8.109375" style="51" customWidth="1"/>
    <col min="5640" max="5640" width="13.33203125" style="51" customWidth="1"/>
    <col min="5641" max="5641" width="8.33203125" style="51" customWidth="1"/>
    <col min="5642" max="5643" width="0" style="51" hidden="1" customWidth="1"/>
    <col min="5644" max="5644" width="13.88671875" style="51" customWidth="1"/>
    <col min="5645" max="5645" width="14.5546875" style="51" customWidth="1"/>
    <col min="5646" max="5646" width="15.109375" style="51" customWidth="1"/>
    <col min="5647" max="5647" width="15.33203125" style="51" customWidth="1"/>
    <col min="5648" max="5888" width="9.109375" style="51"/>
    <col min="5889" max="5889" width="22.6640625" style="51" customWidth="1"/>
    <col min="5890" max="5892" width="0" style="51" hidden="1" customWidth="1"/>
    <col min="5893" max="5893" width="14.33203125" style="51" customWidth="1"/>
    <col min="5894" max="5894" width="14.109375" style="51" customWidth="1"/>
    <col min="5895" max="5895" width="8.109375" style="51" customWidth="1"/>
    <col min="5896" max="5896" width="13.33203125" style="51" customWidth="1"/>
    <col min="5897" max="5897" width="8.33203125" style="51" customWidth="1"/>
    <col min="5898" max="5899" width="0" style="51" hidden="1" customWidth="1"/>
    <col min="5900" max="5900" width="13.88671875" style="51" customWidth="1"/>
    <col min="5901" max="5901" width="14.5546875" style="51" customWidth="1"/>
    <col min="5902" max="5902" width="15.109375" style="51" customWidth="1"/>
    <col min="5903" max="5903" width="15.33203125" style="51" customWidth="1"/>
    <col min="5904" max="6144" width="9.109375" style="51"/>
    <col min="6145" max="6145" width="22.6640625" style="51" customWidth="1"/>
    <col min="6146" max="6148" width="0" style="51" hidden="1" customWidth="1"/>
    <col min="6149" max="6149" width="14.33203125" style="51" customWidth="1"/>
    <col min="6150" max="6150" width="14.109375" style="51" customWidth="1"/>
    <col min="6151" max="6151" width="8.109375" style="51" customWidth="1"/>
    <col min="6152" max="6152" width="13.33203125" style="51" customWidth="1"/>
    <col min="6153" max="6153" width="8.33203125" style="51" customWidth="1"/>
    <col min="6154" max="6155" width="0" style="51" hidden="1" customWidth="1"/>
    <col min="6156" max="6156" width="13.88671875" style="51" customWidth="1"/>
    <col min="6157" max="6157" width="14.5546875" style="51" customWidth="1"/>
    <col min="6158" max="6158" width="15.109375" style="51" customWidth="1"/>
    <col min="6159" max="6159" width="15.33203125" style="51" customWidth="1"/>
    <col min="6160" max="6400" width="9.109375" style="51"/>
    <col min="6401" max="6401" width="22.6640625" style="51" customWidth="1"/>
    <col min="6402" max="6404" width="0" style="51" hidden="1" customWidth="1"/>
    <col min="6405" max="6405" width="14.33203125" style="51" customWidth="1"/>
    <col min="6406" max="6406" width="14.109375" style="51" customWidth="1"/>
    <col min="6407" max="6407" width="8.109375" style="51" customWidth="1"/>
    <col min="6408" max="6408" width="13.33203125" style="51" customWidth="1"/>
    <col min="6409" max="6409" width="8.33203125" style="51" customWidth="1"/>
    <col min="6410" max="6411" width="0" style="51" hidden="1" customWidth="1"/>
    <col min="6412" max="6412" width="13.88671875" style="51" customWidth="1"/>
    <col min="6413" max="6413" width="14.5546875" style="51" customWidth="1"/>
    <col min="6414" max="6414" width="15.109375" style="51" customWidth="1"/>
    <col min="6415" max="6415" width="15.33203125" style="51" customWidth="1"/>
    <col min="6416" max="6656" width="9.109375" style="51"/>
    <col min="6657" max="6657" width="22.6640625" style="51" customWidth="1"/>
    <col min="6658" max="6660" width="0" style="51" hidden="1" customWidth="1"/>
    <col min="6661" max="6661" width="14.33203125" style="51" customWidth="1"/>
    <col min="6662" max="6662" width="14.109375" style="51" customWidth="1"/>
    <col min="6663" max="6663" width="8.109375" style="51" customWidth="1"/>
    <col min="6664" max="6664" width="13.33203125" style="51" customWidth="1"/>
    <col min="6665" max="6665" width="8.33203125" style="51" customWidth="1"/>
    <col min="6666" max="6667" width="0" style="51" hidden="1" customWidth="1"/>
    <col min="6668" max="6668" width="13.88671875" style="51" customWidth="1"/>
    <col min="6669" max="6669" width="14.5546875" style="51" customWidth="1"/>
    <col min="6670" max="6670" width="15.109375" style="51" customWidth="1"/>
    <col min="6671" max="6671" width="15.33203125" style="51" customWidth="1"/>
    <col min="6672" max="6912" width="9.109375" style="51"/>
    <col min="6913" max="6913" width="22.6640625" style="51" customWidth="1"/>
    <col min="6914" max="6916" width="0" style="51" hidden="1" customWidth="1"/>
    <col min="6917" max="6917" width="14.33203125" style="51" customWidth="1"/>
    <col min="6918" max="6918" width="14.109375" style="51" customWidth="1"/>
    <col min="6919" max="6919" width="8.109375" style="51" customWidth="1"/>
    <col min="6920" max="6920" width="13.33203125" style="51" customWidth="1"/>
    <col min="6921" max="6921" width="8.33203125" style="51" customWidth="1"/>
    <col min="6922" max="6923" width="0" style="51" hidden="1" customWidth="1"/>
    <col min="6924" max="6924" width="13.88671875" style="51" customWidth="1"/>
    <col min="6925" max="6925" width="14.5546875" style="51" customWidth="1"/>
    <col min="6926" max="6926" width="15.109375" style="51" customWidth="1"/>
    <col min="6927" max="6927" width="15.33203125" style="51" customWidth="1"/>
    <col min="6928" max="7168" width="9.109375" style="51"/>
    <col min="7169" max="7169" width="22.6640625" style="51" customWidth="1"/>
    <col min="7170" max="7172" width="0" style="51" hidden="1" customWidth="1"/>
    <col min="7173" max="7173" width="14.33203125" style="51" customWidth="1"/>
    <col min="7174" max="7174" width="14.109375" style="51" customWidth="1"/>
    <col min="7175" max="7175" width="8.109375" style="51" customWidth="1"/>
    <col min="7176" max="7176" width="13.33203125" style="51" customWidth="1"/>
    <col min="7177" max="7177" width="8.33203125" style="51" customWidth="1"/>
    <col min="7178" max="7179" width="0" style="51" hidden="1" customWidth="1"/>
    <col min="7180" max="7180" width="13.88671875" style="51" customWidth="1"/>
    <col min="7181" max="7181" width="14.5546875" style="51" customWidth="1"/>
    <col min="7182" max="7182" width="15.109375" style="51" customWidth="1"/>
    <col min="7183" max="7183" width="15.33203125" style="51" customWidth="1"/>
    <col min="7184" max="7424" width="9.109375" style="51"/>
    <col min="7425" max="7425" width="22.6640625" style="51" customWidth="1"/>
    <col min="7426" max="7428" width="0" style="51" hidden="1" customWidth="1"/>
    <col min="7429" max="7429" width="14.33203125" style="51" customWidth="1"/>
    <col min="7430" max="7430" width="14.109375" style="51" customWidth="1"/>
    <col min="7431" max="7431" width="8.109375" style="51" customWidth="1"/>
    <col min="7432" max="7432" width="13.33203125" style="51" customWidth="1"/>
    <col min="7433" max="7433" width="8.33203125" style="51" customWidth="1"/>
    <col min="7434" max="7435" width="0" style="51" hidden="1" customWidth="1"/>
    <col min="7436" max="7436" width="13.88671875" style="51" customWidth="1"/>
    <col min="7437" max="7437" width="14.5546875" style="51" customWidth="1"/>
    <col min="7438" max="7438" width="15.109375" style="51" customWidth="1"/>
    <col min="7439" max="7439" width="15.33203125" style="51" customWidth="1"/>
    <col min="7440" max="7680" width="9.109375" style="51"/>
    <col min="7681" max="7681" width="22.6640625" style="51" customWidth="1"/>
    <col min="7682" max="7684" width="0" style="51" hidden="1" customWidth="1"/>
    <col min="7685" max="7685" width="14.33203125" style="51" customWidth="1"/>
    <col min="7686" max="7686" width="14.109375" style="51" customWidth="1"/>
    <col min="7687" max="7687" width="8.109375" style="51" customWidth="1"/>
    <col min="7688" max="7688" width="13.33203125" style="51" customWidth="1"/>
    <col min="7689" max="7689" width="8.33203125" style="51" customWidth="1"/>
    <col min="7690" max="7691" width="0" style="51" hidden="1" customWidth="1"/>
    <col min="7692" max="7692" width="13.88671875" style="51" customWidth="1"/>
    <col min="7693" max="7693" width="14.5546875" style="51" customWidth="1"/>
    <col min="7694" max="7694" width="15.109375" style="51" customWidth="1"/>
    <col min="7695" max="7695" width="15.33203125" style="51" customWidth="1"/>
    <col min="7696" max="7936" width="9.109375" style="51"/>
    <col min="7937" max="7937" width="22.6640625" style="51" customWidth="1"/>
    <col min="7938" max="7940" width="0" style="51" hidden="1" customWidth="1"/>
    <col min="7941" max="7941" width="14.33203125" style="51" customWidth="1"/>
    <col min="7942" max="7942" width="14.109375" style="51" customWidth="1"/>
    <col min="7943" max="7943" width="8.109375" style="51" customWidth="1"/>
    <col min="7944" max="7944" width="13.33203125" style="51" customWidth="1"/>
    <col min="7945" max="7945" width="8.33203125" style="51" customWidth="1"/>
    <col min="7946" max="7947" width="0" style="51" hidden="1" customWidth="1"/>
    <col min="7948" max="7948" width="13.88671875" style="51" customWidth="1"/>
    <col min="7949" max="7949" width="14.5546875" style="51" customWidth="1"/>
    <col min="7950" max="7950" width="15.109375" style="51" customWidth="1"/>
    <col min="7951" max="7951" width="15.33203125" style="51" customWidth="1"/>
    <col min="7952" max="8192" width="9.109375" style="51"/>
    <col min="8193" max="8193" width="22.6640625" style="51" customWidth="1"/>
    <col min="8194" max="8196" width="0" style="51" hidden="1" customWidth="1"/>
    <col min="8197" max="8197" width="14.33203125" style="51" customWidth="1"/>
    <col min="8198" max="8198" width="14.109375" style="51" customWidth="1"/>
    <col min="8199" max="8199" width="8.109375" style="51" customWidth="1"/>
    <col min="8200" max="8200" width="13.33203125" style="51" customWidth="1"/>
    <col min="8201" max="8201" width="8.33203125" style="51" customWidth="1"/>
    <col min="8202" max="8203" width="0" style="51" hidden="1" customWidth="1"/>
    <col min="8204" max="8204" width="13.88671875" style="51" customWidth="1"/>
    <col min="8205" max="8205" width="14.5546875" style="51" customWidth="1"/>
    <col min="8206" max="8206" width="15.109375" style="51" customWidth="1"/>
    <col min="8207" max="8207" width="15.33203125" style="51" customWidth="1"/>
    <col min="8208" max="8448" width="9.109375" style="51"/>
    <col min="8449" max="8449" width="22.6640625" style="51" customWidth="1"/>
    <col min="8450" max="8452" width="0" style="51" hidden="1" customWidth="1"/>
    <col min="8453" max="8453" width="14.33203125" style="51" customWidth="1"/>
    <col min="8454" max="8454" width="14.109375" style="51" customWidth="1"/>
    <col min="8455" max="8455" width="8.109375" style="51" customWidth="1"/>
    <col min="8456" max="8456" width="13.33203125" style="51" customWidth="1"/>
    <col min="8457" max="8457" width="8.33203125" style="51" customWidth="1"/>
    <col min="8458" max="8459" width="0" style="51" hidden="1" customWidth="1"/>
    <col min="8460" max="8460" width="13.88671875" style="51" customWidth="1"/>
    <col min="8461" max="8461" width="14.5546875" style="51" customWidth="1"/>
    <col min="8462" max="8462" width="15.109375" style="51" customWidth="1"/>
    <col min="8463" max="8463" width="15.33203125" style="51" customWidth="1"/>
    <col min="8464" max="8704" width="9.109375" style="51"/>
    <col min="8705" max="8705" width="22.6640625" style="51" customWidth="1"/>
    <col min="8706" max="8708" width="0" style="51" hidden="1" customWidth="1"/>
    <col min="8709" max="8709" width="14.33203125" style="51" customWidth="1"/>
    <col min="8710" max="8710" width="14.109375" style="51" customWidth="1"/>
    <col min="8711" max="8711" width="8.109375" style="51" customWidth="1"/>
    <col min="8712" max="8712" width="13.33203125" style="51" customWidth="1"/>
    <col min="8713" max="8713" width="8.33203125" style="51" customWidth="1"/>
    <col min="8714" max="8715" width="0" style="51" hidden="1" customWidth="1"/>
    <col min="8716" max="8716" width="13.88671875" style="51" customWidth="1"/>
    <col min="8717" max="8717" width="14.5546875" style="51" customWidth="1"/>
    <col min="8718" max="8718" width="15.109375" style="51" customWidth="1"/>
    <col min="8719" max="8719" width="15.33203125" style="51" customWidth="1"/>
    <col min="8720" max="8960" width="9.109375" style="51"/>
    <col min="8961" max="8961" width="22.6640625" style="51" customWidth="1"/>
    <col min="8962" max="8964" width="0" style="51" hidden="1" customWidth="1"/>
    <col min="8965" max="8965" width="14.33203125" style="51" customWidth="1"/>
    <col min="8966" max="8966" width="14.109375" style="51" customWidth="1"/>
    <col min="8967" max="8967" width="8.109375" style="51" customWidth="1"/>
    <col min="8968" max="8968" width="13.33203125" style="51" customWidth="1"/>
    <col min="8969" max="8969" width="8.33203125" style="51" customWidth="1"/>
    <col min="8970" max="8971" width="0" style="51" hidden="1" customWidth="1"/>
    <col min="8972" max="8972" width="13.88671875" style="51" customWidth="1"/>
    <col min="8973" max="8973" width="14.5546875" style="51" customWidth="1"/>
    <col min="8974" max="8974" width="15.109375" style="51" customWidth="1"/>
    <col min="8975" max="8975" width="15.33203125" style="51" customWidth="1"/>
    <col min="8976" max="9216" width="9.109375" style="51"/>
    <col min="9217" max="9217" width="22.6640625" style="51" customWidth="1"/>
    <col min="9218" max="9220" width="0" style="51" hidden="1" customWidth="1"/>
    <col min="9221" max="9221" width="14.33203125" style="51" customWidth="1"/>
    <col min="9222" max="9222" width="14.109375" style="51" customWidth="1"/>
    <col min="9223" max="9223" width="8.109375" style="51" customWidth="1"/>
    <col min="9224" max="9224" width="13.33203125" style="51" customWidth="1"/>
    <col min="9225" max="9225" width="8.33203125" style="51" customWidth="1"/>
    <col min="9226" max="9227" width="0" style="51" hidden="1" customWidth="1"/>
    <col min="9228" max="9228" width="13.88671875" style="51" customWidth="1"/>
    <col min="9229" max="9229" width="14.5546875" style="51" customWidth="1"/>
    <col min="9230" max="9230" width="15.109375" style="51" customWidth="1"/>
    <col min="9231" max="9231" width="15.33203125" style="51" customWidth="1"/>
    <col min="9232" max="9472" width="9.109375" style="51"/>
    <col min="9473" max="9473" width="22.6640625" style="51" customWidth="1"/>
    <col min="9474" max="9476" width="0" style="51" hidden="1" customWidth="1"/>
    <col min="9477" max="9477" width="14.33203125" style="51" customWidth="1"/>
    <col min="9478" max="9478" width="14.109375" style="51" customWidth="1"/>
    <col min="9479" max="9479" width="8.109375" style="51" customWidth="1"/>
    <col min="9480" max="9480" width="13.33203125" style="51" customWidth="1"/>
    <col min="9481" max="9481" width="8.33203125" style="51" customWidth="1"/>
    <col min="9482" max="9483" width="0" style="51" hidden="1" customWidth="1"/>
    <col min="9484" max="9484" width="13.88671875" style="51" customWidth="1"/>
    <col min="9485" max="9485" width="14.5546875" style="51" customWidth="1"/>
    <col min="9486" max="9486" width="15.109375" style="51" customWidth="1"/>
    <col min="9487" max="9487" width="15.33203125" style="51" customWidth="1"/>
    <col min="9488" max="9728" width="9.109375" style="51"/>
    <col min="9729" max="9729" width="22.6640625" style="51" customWidth="1"/>
    <col min="9730" max="9732" width="0" style="51" hidden="1" customWidth="1"/>
    <col min="9733" max="9733" width="14.33203125" style="51" customWidth="1"/>
    <col min="9734" max="9734" width="14.109375" style="51" customWidth="1"/>
    <col min="9735" max="9735" width="8.109375" style="51" customWidth="1"/>
    <col min="9736" max="9736" width="13.33203125" style="51" customWidth="1"/>
    <col min="9737" max="9737" width="8.33203125" style="51" customWidth="1"/>
    <col min="9738" max="9739" width="0" style="51" hidden="1" customWidth="1"/>
    <col min="9740" max="9740" width="13.88671875" style="51" customWidth="1"/>
    <col min="9741" max="9741" width="14.5546875" style="51" customWidth="1"/>
    <col min="9742" max="9742" width="15.109375" style="51" customWidth="1"/>
    <col min="9743" max="9743" width="15.33203125" style="51" customWidth="1"/>
    <col min="9744" max="9984" width="9.109375" style="51"/>
    <col min="9985" max="9985" width="22.6640625" style="51" customWidth="1"/>
    <col min="9986" max="9988" width="0" style="51" hidden="1" customWidth="1"/>
    <col min="9989" max="9989" width="14.33203125" style="51" customWidth="1"/>
    <col min="9990" max="9990" width="14.109375" style="51" customWidth="1"/>
    <col min="9991" max="9991" width="8.109375" style="51" customWidth="1"/>
    <col min="9992" max="9992" width="13.33203125" style="51" customWidth="1"/>
    <col min="9993" max="9993" width="8.33203125" style="51" customWidth="1"/>
    <col min="9994" max="9995" width="0" style="51" hidden="1" customWidth="1"/>
    <col min="9996" max="9996" width="13.88671875" style="51" customWidth="1"/>
    <col min="9997" max="9997" width="14.5546875" style="51" customWidth="1"/>
    <col min="9998" max="9998" width="15.109375" style="51" customWidth="1"/>
    <col min="9999" max="9999" width="15.33203125" style="51" customWidth="1"/>
    <col min="10000" max="10240" width="9.109375" style="51"/>
    <col min="10241" max="10241" width="22.6640625" style="51" customWidth="1"/>
    <col min="10242" max="10244" width="0" style="51" hidden="1" customWidth="1"/>
    <col min="10245" max="10245" width="14.33203125" style="51" customWidth="1"/>
    <col min="10246" max="10246" width="14.109375" style="51" customWidth="1"/>
    <col min="10247" max="10247" width="8.109375" style="51" customWidth="1"/>
    <col min="10248" max="10248" width="13.33203125" style="51" customWidth="1"/>
    <col min="10249" max="10249" width="8.33203125" style="51" customWidth="1"/>
    <col min="10250" max="10251" width="0" style="51" hidden="1" customWidth="1"/>
    <col min="10252" max="10252" width="13.88671875" style="51" customWidth="1"/>
    <col min="10253" max="10253" width="14.5546875" style="51" customWidth="1"/>
    <col min="10254" max="10254" width="15.109375" style="51" customWidth="1"/>
    <col min="10255" max="10255" width="15.33203125" style="51" customWidth="1"/>
    <col min="10256" max="10496" width="9.109375" style="51"/>
    <col min="10497" max="10497" width="22.6640625" style="51" customWidth="1"/>
    <col min="10498" max="10500" width="0" style="51" hidden="1" customWidth="1"/>
    <col min="10501" max="10501" width="14.33203125" style="51" customWidth="1"/>
    <col min="10502" max="10502" width="14.109375" style="51" customWidth="1"/>
    <col min="10503" max="10503" width="8.109375" style="51" customWidth="1"/>
    <col min="10504" max="10504" width="13.33203125" style="51" customWidth="1"/>
    <col min="10505" max="10505" width="8.33203125" style="51" customWidth="1"/>
    <col min="10506" max="10507" width="0" style="51" hidden="1" customWidth="1"/>
    <col min="10508" max="10508" width="13.88671875" style="51" customWidth="1"/>
    <col min="10509" max="10509" width="14.5546875" style="51" customWidth="1"/>
    <col min="10510" max="10510" width="15.109375" style="51" customWidth="1"/>
    <col min="10511" max="10511" width="15.33203125" style="51" customWidth="1"/>
    <col min="10512" max="10752" width="9.109375" style="51"/>
    <col min="10753" max="10753" width="22.6640625" style="51" customWidth="1"/>
    <col min="10754" max="10756" width="0" style="51" hidden="1" customWidth="1"/>
    <col min="10757" max="10757" width="14.33203125" style="51" customWidth="1"/>
    <col min="10758" max="10758" width="14.109375" style="51" customWidth="1"/>
    <col min="10759" max="10759" width="8.109375" style="51" customWidth="1"/>
    <col min="10760" max="10760" width="13.33203125" style="51" customWidth="1"/>
    <col min="10761" max="10761" width="8.33203125" style="51" customWidth="1"/>
    <col min="10762" max="10763" width="0" style="51" hidden="1" customWidth="1"/>
    <col min="10764" max="10764" width="13.88671875" style="51" customWidth="1"/>
    <col min="10765" max="10765" width="14.5546875" style="51" customWidth="1"/>
    <col min="10766" max="10766" width="15.109375" style="51" customWidth="1"/>
    <col min="10767" max="10767" width="15.33203125" style="51" customWidth="1"/>
    <col min="10768" max="11008" width="9.109375" style="51"/>
    <col min="11009" max="11009" width="22.6640625" style="51" customWidth="1"/>
    <col min="11010" max="11012" width="0" style="51" hidden="1" customWidth="1"/>
    <col min="11013" max="11013" width="14.33203125" style="51" customWidth="1"/>
    <col min="11014" max="11014" width="14.109375" style="51" customWidth="1"/>
    <col min="11015" max="11015" width="8.109375" style="51" customWidth="1"/>
    <col min="11016" max="11016" width="13.33203125" style="51" customWidth="1"/>
    <col min="11017" max="11017" width="8.33203125" style="51" customWidth="1"/>
    <col min="11018" max="11019" width="0" style="51" hidden="1" customWidth="1"/>
    <col min="11020" max="11020" width="13.88671875" style="51" customWidth="1"/>
    <col min="11021" max="11021" width="14.5546875" style="51" customWidth="1"/>
    <col min="11022" max="11022" width="15.109375" style="51" customWidth="1"/>
    <col min="11023" max="11023" width="15.33203125" style="51" customWidth="1"/>
    <col min="11024" max="11264" width="9.109375" style="51"/>
    <col min="11265" max="11265" width="22.6640625" style="51" customWidth="1"/>
    <col min="11266" max="11268" width="0" style="51" hidden="1" customWidth="1"/>
    <col min="11269" max="11269" width="14.33203125" style="51" customWidth="1"/>
    <col min="11270" max="11270" width="14.109375" style="51" customWidth="1"/>
    <col min="11271" max="11271" width="8.109375" style="51" customWidth="1"/>
    <col min="11272" max="11272" width="13.33203125" style="51" customWidth="1"/>
    <col min="11273" max="11273" width="8.33203125" style="51" customWidth="1"/>
    <col min="11274" max="11275" width="0" style="51" hidden="1" customWidth="1"/>
    <col min="11276" max="11276" width="13.88671875" style="51" customWidth="1"/>
    <col min="11277" max="11277" width="14.5546875" style="51" customWidth="1"/>
    <col min="11278" max="11278" width="15.109375" style="51" customWidth="1"/>
    <col min="11279" max="11279" width="15.33203125" style="51" customWidth="1"/>
    <col min="11280" max="11520" width="9.109375" style="51"/>
    <col min="11521" max="11521" width="22.6640625" style="51" customWidth="1"/>
    <col min="11522" max="11524" width="0" style="51" hidden="1" customWidth="1"/>
    <col min="11525" max="11525" width="14.33203125" style="51" customWidth="1"/>
    <col min="11526" max="11526" width="14.109375" style="51" customWidth="1"/>
    <col min="11527" max="11527" width="8.109375" style="51" customWidth="1"/>
    <col min="11528" max="11528" width="13.33203125" style="51" customWidth="1"/>
    <col min="11529" max="11529" width="8.33203125" style="51" customWidth="1"/>
    <col min="11530" max="11531" width="0" style="51" hidden="1" customWidth="1"/>
    <col min="11532" max="11532" width="13.88671875" style="51" customWidth="1"/>
    <col min="11533" max="11533" width="14.5546875" style="51" customWidth="1"/>
    <col min="11534" max="11534" width="15.109375" style="51" customWidth="1"/>
    <col min="11535" max="11535" width="15.33203125" style="51" customWidth="1"/>
    <col min="11536" max="11776" width="9.109375" style="51"/>
    <col min="11777" max="11777" width="22.6640625" style="51" customWidth="1"/>
    <col min="11778" max="11780" width="0" style="51" hidden="1" customWidth="1"/>
    <col min="11781" max="11781" width="14.33203125" style="51" customWidth="1"/>
    <col min="11782" max="11782" width="14.109375" style="51" customWidth="1"/>
    <col min="11783" max="11783" width="8.109375" style="51" customWidth="1"/>
    <col min="11784" max="11784" width="13.33203125" style="51" customWidth="1"/>
    <col min="11785" max="11785" width="8.33203125" style="51" customWidth="1"/>
    <col min="11786" max="11787" width="0" style="51" hidden="1" customWidth="1"/>
    <col min="11788" max="11788" width="13.88671875" style="51" customWidth="1"/>
    <col min="11789" max="11789" width="14.5546875" style="51" customWidth="1"/>
    <col min="11790" max="11790" width="15.109375" style="51" customWidth="1"/>
    <col min="11791" max="11791" width="15.33203125" style="51" customWidth="1"/>
    <col min="11792" max="12032" width="9.109375" style="51"/>
    <col min="12033" max="12033" width="22.6640625" style="51" customWidth="1"/>
    <col min="12034" max="12036" width="0" style="51" hidden="1" customWidth="1"/>
    <col min="12037" max="12037" width="14.33203125" style="51" customWidth="1"/>
    <col min="12038" max="12038" width="14.109375" style="51" customWidth="1"/>
    <col min="12039" max="12039" width="8.109375" style="51" customWidth="1"/>
    <col min="12040" max="12040" width="13.33203125" style="51" customWidth="1"/>
    <col min="12041" max="12041" width="8.33203125" style="51" customWidth="1"/>
    <col min="12042" max="12043" width="0" style="51" hidden="1" customWidth="1"/>
    <col min="12044" max="12044" width="13.88671875" style="51" customWidth="1"/>
    <col min="12045" max="12045" width="14.5546875" style="51" customWidth="1"/>
    <col min="12046" max="12046" width="15.109375" style="51" customWidth="1"/>
    <col min="12047" max="12047" width="15.33203125" style="51" customWidth="1"/>
    <col min="12048" max="12288" width="9.109375" style="51"/>
    <col min="12289" max="12289" width="22.6640625" style="51" customWidth="1"/>
    <col min="12290" max="12292" width="0" style="51" hidden="1" customWidth="1"/>
    <col min="12293" max="12293" width="14.33203125" style="51" customWidth="1"/>
    <col min="12294" max="12294" width="14.109375" style="51" customWidth="1"/>
    <col min="12295" max="12295" width="8.109375" style="51" customWidth="1"/>
    <col min="12296" max="12296" width="13.33203125" style="51" customWidth="1"/>
    <col min="12297" max="12297" width="8.33203125" style="51" customWidth="1"/>
    <col min="12298" max="12299" width="0" style="51" hidden="1" customWidth="1"/>
    <col min="12300" max="12300" width="13.88671875" style="51" customWidth="1"/>
    <col min="12301" max="12301" width="14.5546875" style="51" customWidth="1"/>
    <col min="12302" max="12302" width="15.109375" style="51" customWidth="1"/>
    <col min="12303" max="12303" width="15.33203125" style="51" customWidth="1"/>
    <col min="12304" max="12544" width="9.109375" style="51"/>
    <col min="12545" max="12545" width="22.6640625" style="51" customWidth="1"/>
    <col min="12546" max="12548" width="0" style="51" hidden="1" customWidth="1"/>
    <col min="12549" max="12549" width="14.33203125" style="51" customWidth="1"/>
    <col min="12550" max="12550" width="14.109375" style="51" customWidth="1"/>
    <col min="12551" max="12551" width="8.109375" style="51" customWidth="1"/>
    <col min="12552" max="12552" width="13.33203125" style="51" customWidth="1"/>
    <col min="12553" max="12553" width="8.33203125" style="51" customWidth="1"/>
    <col min="12554" max="12555" width="0" style="51" hidden="1" customWidth="1"/>
    <col min="12556" max="12556" width="13.88671875" style="51" customWidth="1"/>
    <col min="12557" max="12557" width="14.5546875" style="51" customWidth="1"/>
    <col min="12558" max="12558" width="15.109375" style="51" customWidth="1"/>
    <col min="12559" max="12559" width="15.33203125" style="51" customWidth="1"/>
    <col min="12560" max="12800" width="9.109375" style="51"/>
    <col min="12801" max="12801" width="22.6640625" style="51" customWidth="1"/>
    <col min="12802" max="12804" width="0" style="51" hidden="1" customWidth="1"/>
    <col min="12805" max="12805" width="14.33203125" style="51" customWidth="1"/>
    <col min="12806" max="12806" width="14.109375" style="51" customWidth="1"/>
    <col min="12807" max="12807" width="8.109375" style="51" customWidth="1"/>
    <col min="12808" max="12808" width="13.33203125" style="51" customWidth="1"/>
    <col min="12809" max="12809" width="8.33203125" style="51" customWidth="1"/>
    <col min="12810" max="12811" width="0" style="51" hidden="1" customWidth="1"/>
    <col min="12812" max="12812" width="13.88671875" style="51" customWidth="1"/>
    <col min="12813" max="12813" width="14.5546875" style="51" customWidth="1"/>
    <col min="12814" max="12814" width="15.109375" style="51" customWidth="1"/>
    <col min="12815" max="12815" width="15.33203125" style="51" customWidth="1"/>
    <col min="12816" max="13056" width="9.109375" style="51"/>
    <col min="13057" max="13057" width="22.6640625" style="51" customWidth="1"/>
    <col min="13058" max="13060" width="0" style="51" hidden="1" customWidth="1"/>
    <col min="13061" max="13061" width="14.33203125" style="51" customWidth="1"/>
    <col min="13062" max="13062" width="14.109375" style="51" customWidth="1"/>
    <col min="13063" max="13063" width="8.109375" style="51" customWidth="1"/>
    <col min="13064" max="13064" width="13.33203125" style="51" customWidth="1"/>
    <col min="13065" max="13065" width="8.33203125" style="51" customWidth="1"/>
    <col min="13066" max="13067" width="0" style="51" hidden="1" customWidth="1"/>
    <col min="13068" max="13068" width="13.88671875" style="51" customWidth="1"/>
    <col min="13069" max="13069" width="14.5546875" style="51" customWidth="1"/>
    <col min="13070" max="13070" width="15.109375" style="51" customWidth="1"/>
    <col min="13071" max="13071" width="15.33203125" style="51" customWidth="1"/>
    <col min="13072" max="13312" width="9.109375" style="51"/>
    <col min="13313" max="13313" width="22.6640625" style="51" customWidth="1"/>
    <col min="13314" max="13316" width="0" style="51" hidden="1" customWidth="1"/>
    <col min="13317" max="13317" width="14.33203125" style="51" customWidth="1"/>
    <col min="13318" max="13318" width="14.109375" style="51" customWidth="1"/>
    <col min="13319" max="13319" width="8.109375" style="51" customWidth="1"/>
    <col min="13320" max="13320" width="13.33203125" style="51" customWidth="1"/>
    <col min="13321" max="13321" width="8.33203125" style="51" customWidth="1"/>
    <col min="13322" max="13323" width="0" style="51" hidden="1" customWidth="1"/>
    <col min="13324" max="13324" width="13.88671875" style="51" customWidth="1"/>
    <col min="13325" max="13325" width="14.5546875" style="51" customWidth="1"/>
    <col min="13326" max="13326" width="15.109375" style="51" customWidth="1"/>
    <col min="13327" max="13327" width="15.33203125" style="51" customWidth="1"/>
    <col min="13328" max="13568" width="9.109375" style="51"/>
    <col min="13569" max="13569" width="22.6640625" style="51" customWidth="1"/>
    <col min="13570" max="13572" width="0" style="51" hidden="1" customWidth="1"/>
    <col min="13573" max="13573" width="14.33203125" style="51" customWidth="1"/>
    <col min="13574" max="13574" width="14.109375" style="51" customWidth="1"/>
    <col min="13575" max="13575" width="8.109375" style="51" customWidth="1"/>
    <col min="13576" max="13576" width="13.33203125" style="51" customWidth="1"/>
    <col min="13577" max="13577" width="8.33203125" style="51" customWidth="1"/>
    <col min="13578" max="13579" width="0" style="51" hidden="1" customWidth="1"/>
    <col min="13580" max="13580" width="13.88671875" style="51" customWidth="1"/>
    <col min="13581" max="13581" width="14.5546875" style="51" customWidth="1"/>
    <col min="13582" max="13582" width="15.109375" style="51" customWidth="1"/>
    <col min="13583" max="13583" width="15.33203125" style="51" customWidth="1"/>
    <col min="13584" max="13824" width="9.109375" style="51"/>
    <col min="13825" max="13825" width="22.6640625" style="51" customWidth="1"/>
    <col min="13826" max="13828" width="0" style="51" hidden="1" customWidth="1"/>
    <col min="13829" max="13829" width="14.33203125" style="51" customWidth="1"/>
    <col min="13830" max="13830" width="14.109375" style="51" customWidth="1"/>
    <col min="13831" max="13831" width="8.109375" style="51" customWidth="1"/>
    <col min="13832" max="13832" width="13.33203125" style="51" customWidth="1"/>
    <col min="13833" max="13833" width="8.33203125" style="51" customWidth="1"/>
    <col min="13834" max="13835" width="0" style="51" hidden="1" customWidth="1"/>
    <col min="13836" max="13836" width="13.88671875" style="51" customWidth="1"/>
    <col min="13837" max="13837" width="14.5546875" style="51" customWidth="1"/>
    <col min="13838" max="13838" width="15.109375" style="51" customWidth="1"/>
    <col min="13839" max="13839" width="15.33203125" style="51" customWidth="1"/>
    <col min="13840" max="14080" width="9.109375" style="51"/>
    <col min="14081" max="14081" width="22.6640625" style="51" customWidth="1"/>
    <col min="14082" max="14084" width="0" style="51" hidden="1" customWidth="1"/>
    <col min="14085" max="14085" width="14.33203125" style="51" customWidth="1"/>
    <col min="14086" max="14086" width="14.109375" style="51" customWidth="1"/>
    <col min="14087" max="14087" width="8.109375" style="51" customWidth="1"/>
    <col min="14088" max="14088" width="13.33203125" style="51" customWidth="1"/>
    <col min="14089" max="14089" width="8.33203125" style="51" customWidth="1"/>
    <col min="14090" max="14091" width="0" style="51" hidden="1" customWidth="1"/>
    <col min="14092" max="14092" width="13.88671875" style="51" customWidth="1"/>
    <col min="14093" max="14093" width="14.5546875" style="51" customWidth="1"/>
    <col min="14094" max="14094" width="15.109375" style="51" customWidth="1"/>
    <col min="14095" max="14095" width="15.33203125" style="51" customWidth="1"/>
    <col min="14096" max="14336" width="9.109375" style="51"/>
    <col min="14337" max="14337" width="22.6640625" style="51" customWidth="1"/>
    <col min="14338" max="14340" width="0" style="51" hidden="1" customWidth="1"/>
    <col min="14341" max="14341" width="14.33203125" style="51" customWidth="1"/>
    <col min="14342" max="14342" width="14.109375" style="51" customWidth="1"/>
    <col min="14343" max="14343" width="8.109375" style="51" customWidth="1"/>
    <col min="14344" max="14344" width="13.33203125" style="51" customWidth="1"/>
    <col min="14345" max="14345" width="8.33203125" style="51" customWidth="1"/>
    <col min="14346" max="14347" width="0" style="51" hidden="1" customWidth="1"/>
    <col min="14348" max="14348" width="13.88671875" style="51" customWidth="1"/>
    <col min="14349" max="14349" width="14.5546875" style="51" customWidth="1"/>
    <col min="14350" max="14350" width="15.109375" style="51" customWidth="1"/>
    <col min="14351" max="14351" width="15.33203125" style="51" customWidth="1"/>
    <col min="14352" max="14592" width="9.109375" style="51"/>
    <col min="14593" max="14593" width="22.6640625" style="51" customWidth="1"/>
    <col min="14594" max="14596" width="0" style="51" hidden="1" customWidth="1"/>
    <col min="14597" max="14597" width="14.33203125" style="51" customWidth="1"/>
    <col min="14598" max="14598" width="14.109375" style="51" customWidth="1"/>
    <col min="14599" max="14599" width="8.109375" style="51" customWidth="1"/>
    <col min="14600" max="14600" width="13.33203125" style="51" customWidth="1"/>
    <col min="14601" max="14601" width="8.33203125" style="51" customWidth="1"/>
    <col min="14602" max="14603" width="0" style="51" hidden="1" customWidth="1"/>
    <col min="14604" max="14604" width="13.88671875" style="51" customWidth="1"/>
    <col min="14605" max="14605" width="14.5546875" style="51" customWidth="1"/>
    <col min="14606" max="14606" width="15.109375" style="51" customWidth="1"/>
    <col min="14607" max="14607" width="15.33203125" style="51" customWidth="1"/>
    <col min="14608" max="14848" width="9.109375" style="51"/>
    <col min="14849" max="14849" width="22.6640625" style="51" customWidth="1"/>
    <col min="14850" max="14852" width="0" style="51" hidden="1" customWidth="1"/>
    <col min="14853" max="14853" width="14.33203125" style="51" customWidth="1"/>
    <col min="14854" max="14854" width="14.109375" style="51" customWidth="1"/>
    <col min="14855" max="14855" width="8.109375" style="51" customWidth="1"/>
    <col min="14856" max="14856" width="13.33203125" style="51" customWidth="1"/>
    <col min="14857" max="14857" width="8.33203125" style="51" customWidth="1"/>
    <col min="14858" max="14859" width="0" style="51" hidden="1" customWidth="1"/>
    <col min="14860" max="14860" width="13.88671875" style="51" customWidth="1"/>
    <col min="14861" max="14861" width="14.5546875" style="51" customWidth="1"/>
    <col min="14862" max="14862" width="15.109375" style="51" customWidth="1"/>
    <col min="14863" max="14863" width="15.33203125" style="51" customWidth="1"/>
    <col min="14864" max="15104" width="9.109375" style="51"/>
    <col min="15105" max="15105" width="22.6640625" style="51" customWidth="1"/>
    <col min="15106" max="15108" width="0" style="51" hidden="1" customWidth="1"/>
    <col min="15109" max="15109" width="14.33203125" style="51" customWidth="1"/>
    <col min="15110" max="15110" width="14.109375" style="51" customWidth="1"/>
    <col min="15111" max="15111" width="8.109375" style="51" customWidth="1"/>
    <col min="15112" max="15112" width="13.33203125" style="51" customWidth="1"/>
    <col min="15113" max="15113" width="8.33203125" style="51" customWidth="1"/>
    <col min="15114" max="15115" width="0" style="51" hidden="1" customWidth="1"/>
    <col min="15116" max="15116" width="13.88671875" style="51" customWidth="1"/>
    <col min="15117" max="15117" width="14.5546875" style="51" customWidth="1"/>
    <col min="15118" max="15118" width="15.109375" style="51" customWidth="1"/>
    <col min="15119" max="15119" width="15.33203125" style="51" customWidth="1"/>
    <col min="15120" max="15360" width="9.109375" style="51"/>
    <col min="15361" max="15361" width="22.6640625" style="51" customWidth="1"/>
    <col min="15362" max="15364" width="0" style="51" hidden="1" customWidth="1"/>
    <col min="15365" max="15365" width="14.33203125" style="51" customWidth="1"/>
    <col min="15366" max="15366" width="14.109375" style="51" customWidth="1"/>
    <col min="15367" max="15367" width="8.109375" style="51" customWidth="1"/>
    <col min="15368" max="15368" width="13.33203125" style="51" customWidth="1"/>
    <col min="15369" max="15369" width="8.33203125" style="51" customWidth="1"/>
    <col min="15370" max="15371" width="0" style="51" hidden="1" customWidth="1"/>
    <col min="15372" max="15372" width="13.88671875" style="51" customWidth="1"/>
    <col min="15373" max="15373" width="14.5546875" style="51" customWidth="1"/>
    <col min="15374" max="15374" width="15.109375" style="51" customWidth="1"/>
    <col min="15375" max="15375" width="15.33203125" style="51" customWidth="1"/>
    <col min="15376" max="15616" width="9.109375" style="51"/>
    <col min="15617" max="15617" width="22.6640625" style="51" customWidth="1"/>
    <col min="15618" max="15620" width="0" style="51" hidden="1" customWidth="1"/>
    <col min="15621" max="15621" width="14.33203125" style="51" customWidth="1"/>
    <col min="15622" max="15622" width="14.109375" style="51" customWidth="1"/>
    <col min="15623" max="15623" width="8.109375" style="51" customWidth="1"/>
    <col min="15624" max="15624" width="13.33203125" style="51" customWidth="1"/>
    <col min="15625" max="15625" width="8.33203125" style="51" customWidth="1"/>
    <col min="15626" max="15627" width="0" style="51" hidden="1" customWidth="1"/>
    <col min="15628" max="15628" width="13.88671875" style="51" customWidth="1"/>
    <col min="15629" max="15629" width="14.5546875" style="51" customWidth="1"/>
    <col min="15630" max="15630" width="15.109375" style="51" customWidth="1"/>
    <col min="15631" max="15631" width="15.33203125" style="51" customWidth="1"/>
    <col min="15632" max="15872" width="9.109375" style="51"/>
    <col min="15873" max="15873" width="22.6640625" style="51" customWidth="1"/>
    <col min="15874" max="15876" width="0" style="51" hidden="1" customWidth="1"/>
    <col min="15877" max="15877" width="14.33203125" style="51" customWidth="1"/>
    <col min="15878" max="15878" width="14.109375" style="51" customWidth="1"/>
    <col min="15879" max="15879" width="8.109375" style="51" customWidth="1"/>
    <col min="15880" max="15880" width="13.33203125" style="51" customWidth="1"/>
    <col min="15881" max="15881" width="8.33203125" style="51" customWidth="1"/>
    <col min="15882" max="15883" width="0" style="51" hidden="1" customWidth="1"/>
    <col min="15884" max="15884" width="13.88671875" style="51" customWidth="1"/>
    <col min="15885" max="15885" width="14.5546875" style="51" customWidth="1"/>
    <col min="15886" max="15886" width="15.109375" style="51" customWidth="1"/>
    <col min="15887" max="15887" width="15.33203125" style="51" customWidth="1"/>
    <col min="15888" max="16128" width="9.109375" style="51"/>
    <col min="16129" max="16129" width="22.6640625" style="51" customWidth="1"/>
    <col min="16130" max="16132" width="0" style="51" hidden="1" customWidth="1"/>
    <col min="16133" max="16133" width="14.33203125" style="51" customWidth="1"/>
    <col min="16134" max="16134" width="14.109375" style="51" customWidth="1"/>
    <col min="16135" max="16135" width="8.109375" style="51" customWidth="1"/>
    <col min="16136" max="16136" width="13.33203125" style="51" customWidth="1"/>
    <col min="16137" max="16137" width="8.33203125" style="51" customWidth="1"/>
    <col min="16138" max="16139" width="0" style="51" hidden="1" customWidth="1"/>
    <col min="16140" max="16140" width="13.88671875" style="51" customWidth="1"/>
    <col min="16141" max="16141" width="14.5546875" style="51" customWidth="1"/>
    <col min="16142" max="16142" width="15.109375" style="51" customWidth="1"/>
    <col min="16143" max="16143" width="15.33203125" style="51" customWidth="1"/>
    <col min="16144" max="16384" width="9.109375" style="51"/>
  </cols>
  <sheetData>
    <row r="1" spans="1:14" ht="7.5" customHeight="1" x14ac:dyDescent="0.25"/>
    <row r="2" spans="1:14" ht="26.25" hidden="1" customHeight="1" x14ac:dyDescent="0.25"/>
    <row r="3" spans="1:14" ht="7.5" customHeight="1" x14ac:dyDescent="0.25"/>
    <row r="4" spans="1:14" ht="54" customHeight="1" x14ac:dyDescent="0.25">
      <c r="A4" s="146" t="s">
        <v>100</v>
      </c>
      <c r="B4" s="146"/>
      <c r="C4" s="146"/>
      <c r="D4" s="146"/>
      <c r="E4" s="146"/>
      <c r="F4" s="146"/>
      <c r="G4" s="146"/>
      <c r="H4" s="146"/>
      <c r="I4" s="146"/>
      <c r="J4" s="146"/>
      <c r="K4" s="146"/>
      <c r="L4" s="146"/>
      <c r="M4" s="146"/>
      <c r="N4" s="146"/>
    </row>
    <row r="5" spans="1:14" ht="4.95" customHeight="1" x14ac:dyDescent="0.25">
      <c r="F5" s="52"/>
      <c r="G5" s="52"/>
      <c r="H5" s="52"/>
      <c r="I5" s="52"/>
    </row>
    <row r="6" spans="1:14" ht="22.65" customHeight="1" x14ac:dyDescent="0.25">
      <c r="A6" s="147" t="s">
        <v>101</v>
      </c>
      <c r="B6" s="147" t="s">
        <v>102</v>
      </c>
      <c r="C6" s="150" t="s">
        <v>103</v>
      </c>
      <c r="D6" s="150" t="s">
        <v>104</v>
      </c>
      <c r="E6" s="150" t="s">
        <v>95</v>
      </c>
      <c r="F6" s="152" t="s">
        <v>105</v>
      </c>
      <c r="G6" s="153"/>
      <c r="H6" s="153"/>
      <c r="I6" s="153"/>
      <c r="L6" s="154" t="s">
        <v>106</v>
      </c>
      <c r="M6" s="155" t="s">
        <v>107</v>
      </c>
      <c r="N6" s="156" t="s">
        <v>98</v>
      </c>
    </row>
    <row r="7" spans="1:14" ht="58.2" customHeight="1" x14ac:dyDescent="0.25">
      <c r="A7" s="148"/>
      <c r="B7" s="149"/>
      <c r="C7" s="151"/>
      <c r="D7" s="151"/>
      <c r="E7" s="151"/>
      <c r="F7" s="53" t="s">
        <v>108</v>
      </c>
      <c r="G7" s="54" t="s">
        <v>109</v>
      </c>
      <c r="H7" s="53" t="s">
        <v>110</v>
      </c>
      <c r="I7" s="54" t="s">
        <v>109</v>
      </c>
      <c r="L7" s="154"/>
      <c r="M7" s="155"/>
      <c r="N7" s="157"/>
    </row>
    <row r="8" spans="1:14" ht="11.7" customHeight="1" x14ac:dyDescent="0.25">
      <c r="A8" s="55">
        <v>1</v>
      </c>
      <c r="B8" s="55"/>
      <c r="C8" s="55"/>
      <c r="D8" s="55"/>
      <c r="E8" s="55">
        <v>2</v>
      </c>
      <c r="F8" s="55">
        <v>3</v>
      </c>
      <c r="G8" s="55">
        <v>4</v>
      </c>
      <c r="H8" s="55">
        <v>5</v>
      </c>
      <c r="I8" s="55">
        <v>6</v>
      </c>
      <c r="L8" s="56"/>
      <c r="M8" s="56"/>
      <c r="N8" s="56"/>
    </row>
    <row r="9" spans="1:14" x14ac:dyDescent="0.25">
      <c r="A9" s="57" t="s">
        <v>111</v>
      </c>
      <c r="B9" s="58">
        <f>783+22</f>
        <v>805</v>
      </c>
      <c r="C9" s="59">
        <v>29123366.399999999</v>
      </c>
      <c r="D9" s="59">
        <v>200000</v>
      </c>
      <c r="E9" s="59">
        <f>C9+D9</f>
        <v>29323366.399999999</v>
      </c>
      <c r="F9" s="60">
        <v>3798240</v>
      </c>
      <c r="G9" s="59">
        <f t="shared" ref="G9:G30" si="0">F9/C9*100</f>
        <v>13.041898892567586</v>
      </c>
      <c r="H9" s="59">
        <v>1147068.48</v>
      </c>
      <c r="I9" s="59">
        <f t="shared" ref="I9:I30" si="1">H9/C9*100</f>
        <v>3.9386534655554106</v>
      </c>
      <c r="J9" s="61" t="e">
        <f>#REF!+#REF!</f>
        <v>#REF!</v>
      </c>
      <c r="L9" s="62">
        <v>4237884</v>
      </c>
      <c r="M9" s="62">
        <v>204036.5</v>
      </c>
      <c r="N9" s="63">
        <f>F9+M9-L9</f>
        <v>-235607.5</v>
      </c>
    </row>
    <row r="10" spans="1:14" x14ac:dyDescent="0.25">
      <c r="A10" s="57" t="s">
        <v>112</v>
      </c>
      <c r="B10" s="58">
        <f>736+2</f>
        <v>738</v>
      </c>
      <c r="C10" s="59">
        <v>27652608</v>
      </c>
      <c r="D10" s="59">
        <v>200000</v>
      </c>
      <c r="E10" s="59">
        <f t="shared" ref="E10:E26" si="2">C10+D10</f>
        <v>27852608</v>
      </c>
      <c r="F10" s="60">
        <v>2236800</v>
      </c>
      <c r="G10" s="59">
        <f t="shared" si="0"/>
        <v>8.088929622840638</v>
      </c>
      <c r="H10" s="59">
        <v>675513.6</v>
      </c>
      <c r="I10" s="59">
        <f t="shared" si="1"/>
        <v>2.4428567460978727</v>
      </c>
      <c r="J10" s="61" t="e">
        <f>#REF!+#REF!</f>
        <v>#REF!</v>
      </c>
      <c r="L10" s="62">
        <v>2495808</v>
      </c>
      <c r="M10" s="62">
        <v>74297.799999999988</v>
      </c>
      <c r="N10" s="63">
        <f t="shared" ref="N10:N26" si="3">F10+M10-L10</f>
        <v>-184710.20000000019</v>
      </c>
    </row>
    <row r="11" spans="1:14" x14ac:dyDescent="0.25">
      <c r="A11" s="57" t="s">
        <v>113</v>
      </c>
      <c r="B11" s="58">
        <f>337+4</f>
        <v>341</v>
      </c>
      <c r="C11" s="59">
        <v>13042944</v>
      </c>
      <c r="D11" s="59">
        <v>0</v>
      </c>
      <c r="E11" s="59">
        <f t="shared" si="2"/>
        <v>13042944</v>
      </c>
      <c r="F11" s="60">
        <v>1156320</v>
      </c>
      <c r="G11" s="59">
        <f t="shared" si="0"/>
        <v>8.8654831301890127</v>
      </c>
      <c r="H11" s="59">
        <v>349208.64</v>
      </c>
      <c r="I11" s="59">
        <f t="shared" si="1"/>
        <v>2.6773759053170818</v>
      </c>
      <c r="J11" s="61" t="e">
        <f>#REF!+#REF!</f>
        <v>#REF!</v>
      </c>
      <c r="L11" s="62">
        <v>1290240</v>
      </c>
      <c r="M11" s="62">
        <v>53557.899999999994</v>
      </c>
      <c r="N11" s="63">
        <f t="shared" si="3"/>
        <v>-80362.100000000093</v>
      </c>
    </row>
    <row r="12" spans="1:14" x14ac:dyDescent="0.25">
      <c r="A12" s="57" t="s">
        <v>114</v>
      </c>
      <c r="B12" s="58">
        <f>514+1</f>
        <v>515</v>
      </c>
      <c r="C12" s="59">
        <v>19936512</v>
      </c>
      <c r="D12" s="59">
        <v>180000</v>
      </c>
      <c r="E12" s="59">
        <f t="shared" si="2"/>
        <v>20116512</v>
      </c>
      <c r="F12" s="60">
        <v>1336320</v>
      </c>
      <c r="G12" s="59">
        <f t="shared" si="0"/>
        <v>6.7028776147001032</v>
      </c>
      <c r="H12" s="59">
        <v>403568.64000000001</v>
      </c>
      <c r="I12" s="59">
        <f t="shared" si="1"/>
        <v>2.0242690396394316</v>
      </c>
      <c r="J12" s="61" t="e">
        <f>#REF!+#REF!</f>
        <v>#REF!</v>
      </c>
      <c r="L12" s="62">
        <v>1490832</v>
      </c>
      <c r="M12" s="62">
        <v>42838.25</v>
      </c>
      <c r="N12" s="63">
        <f t="shared" si="3"/>
        <v>-111673.75</v>
      </c>
    </row>
    <row r="13" spans="1:14" x14ac:dyDescent="0.25">
      <c r="A13" s="57" t="s">
        <v>115</v>
      </c>
      <c r="B13" s="58">
        <f>674+5</f>
        <v>679</v>
      </c>
      <c r="C13" s="59">
        <v>25185024</v>
      </c>
      <c r="D13" s="59">
        <v>250000</v>
      </c>
      <c r="E13" s="59">
        <f t="shared" si="2"/>
        <v>25435024</v>
      </c>
      <c r="F13" s="60">
        <v>1931040</v>
      </c>
      <c r="G13" s="59">
        <f t="shared" si="0"/>
        <v>7.6674137773305286</v>
      </c>
      <c r="H13" s="59">
        <v>583174.07999999996</v>
      </c>
      <c r="I13" s="59">
        <f t="shared" si="1"/>
        <v>2.3155589607538194</v>
      </c>
      <c r="J13" s="61" t="e">
        <f>#REF!+#REF!</f>
        <v>#REF!</v>
      </c>
      <c r="L13" s="62">
        <v>1990548</v>
      </c>
      <c r="M13" s="62">
        <v>82273.649999999994</v>
      </c>
      <c r="N13" s="63">
        <f t="shared" si="3"/>
        <v>22765.649999999907</v>
      </c>
    </row>
    <row r="14" spans="1:14" x14ac:dyDescent="0.25">
      <c r="A14" s="57" t="s">
        <v>116</v>
      </c>
      <c r="B14" s="58">
        <f>845+5</f>
        <v>850</v>
      </c>
      <c r="C14" s="59">
        <v>32168678.399999999</v>
      </c>
      <c r="D14" s="59">
        <v>260000</v>
      </c>
      <c r="E14" s="59">
        <f t="shared" si="2"/>
        <v>32428678.399999999</v>
      </c>
      <c r="F14" s="60">
        <v>2009280</v>
      </c>
      <c r="G14" s="59">
        <f t="shared" si="0"/>
        <v>6.2460756858447759</v>
      </c>
      <c r="H14" s="59">
        <v>606802.56000000006</v>
      </c>
      <c r="I14" s="59">
        <f t="shared" si="1"/>
        <v>1.8863148571251223</v>
      </c>
      <c r="J14" s="61" t="e">
        <f>#REF!+#REF!</f>
        <v>#REF!</v>
      </c>
      <c r="L14" s="62">
        <v>2241792</v>
      </c>
      <c r="M14" s="62">
        <v>112926.19999999998</v>
      </c>
      <c r="N14" s="63">
        <f t="shared" si="3"/>
        <v>-119585.79999999981</v>
      </c>
    </row>
    <row r="15" spans="1:14" x14ac:dyDescent="0.25">
      <c r="A15" s="57" t="s">
        <v>117</v>
      </c>
      <c r="B15" s="58">
        <f>354+4</f>
        <v>358</v>
      </c>
      <c r="C15" s="59">
        <v>13512960</v>
      </c>
      <c r="D15" s="59">
        <v>200000</v>
      </c>
      <c r="E15" s="59">
        <f t="shared" si="2"/>
        <v>13712960</v>
      </c>
      <c r="F15" s="60">
        <v>1416960</v>
      </c>
      <c r="G15" s="59">
        <f t="shared" si="0"/>
        <v>10.485933503836318</v>
      </c>
      <c r="H15" s="59">
        <v>427921.91999999998</v>
      </c>
      <c r="I15" s="59">
        <f t="shared" si="1"/>
        <v>3.1667519181585675</v>
      </c>
      <c r="J15" s="61" t="e">
        <f>#REF!+#REF!</f>
        <v>#REF!</v>
      </c>
      <c r="L15" s="62">
        <v>1581048</v>
      </c>
      <c r="M15" s="62">
        <v>48971.45</v>
      </c>
      <c r="N15" s="63">
        <f t="shared" si="3"/>
        <v>-115116.55000000005</v>
      </c>
    </row>
    <row r="16" spans="1:14" x14ac:dyDescent="0.25">
      <c r="A16" s="57" t="s">
        <v>118</v>
      </c>
      <c r="B16" s="58">
        <f>774+51</f>
        <v>825</v>
      </c>
      <c r="C16" s="59">
        <v>25185024</v>
      </c>
      <c r="D16" s="59">
        <v>0</v>
      </c>
      <c r="E16" s="59">
        <f t="shared" si="2"/>
        <v>25185024</v>
      </c>
      <c r="F16" s="59">
        <v>3279360</v>
      </c>
      <c r="G16" s="59">
        <f t="shared" si="0"/>
        <v>13.021071570152168</v>
      </c>
      <c r="H16" s="59">
        <v>990366.71999999997</v>
      </c>
      <c r="I16" s="59">
        <f t="shared" si="1"/>
        <v>3.9323636141859541</v>
      </c>
      <c r="J16" s="61" t="e">
        <f>#REF!+#REF!</f>
        <v>#REF!</v>
      </c>
      <c r="L16" s="62">
        <v>3659040</v>
      </c>
      <c r="M16" s="62">
        <v>804538.65</v>
      </c>
      <c r="N16" s="63">
        <f t="shared" si="3"/>
        <v>424858.64999999991</v>
      </c>
    </row>
    <row r="17" spans="1:14" x14ac:dyDescent="0.25">
      <c r="A17" s="57" t="s">
        <v>119</v>
      </c>
      <c r="B17" s="58">
        <f>462+3</f>
        <v>465</v>
      </c>
      <c r="C17" s="59">
        <v>16967577.600000001</v>
      </c>
      <c r="D17" s="59">
        <v>0</v>
      </c>
      <c r="E17" s="59">
        <f t="shared" si="2"/>
        <v>16967577.600000001</v>
      </c>
      <c r="F17" s="59">
        <v>1796160</v>
      </c>
      <c r="G17" s="59">
        <f t="shared" si="0"/>
        <v>10.585836365940651</v>
      </c>
      <c r="H17" s="59">
        <v>542440.31999999995</v>
      </c>
      <c r="I17" s="59">
        <f t="shared" si="1"/>
        <v>3.1969225825140759</v>
      </c>
      <c r="J17" s="61" t="e">
        <f>#REF!+#REF!</f>
        <v>#REF!</v>
      </c>
      <c r="L17" s="62">
        <v>1922508</v>
      </c>
      <c r="M17" s="62">
        <v>94203.800000000017</v>
      </c>
      <c r="N17" s="63">
        <f t="shared" si="3"/>
        <v>-32144.199999999953</v>
      </c>
    </row>
    <row r="18" spans="1:14" x14ac:dyDescent="0.25">
      <c r="A18" s="57" t="s">
        <v>120</v>
      </c>
      <c r="B18" s="58">
        <f>301+3</f>
        <v>304</v>
      </c>
      <c r="C18" s="59">
        <v>11358720</v>
      </c>
      <c r="D18" s="59">
        <v>180000</v>
      </c>
      <c r="E18" s="59">
        <f t="shared" si="2"/>
        <v>11538720</v>
      </c>
      <c r="F18" s="59">
        <v>744000</v>
      </c>
      <c r="G18" s="59">
        <f t="shared" si="0"/>
        <v>6.5500338066260984</v>
      </c>
      <c r="H18" s="59">
        <v>224688</v>
      </c>
      <c r="I18" s="59">
        <f t="shared" si="1"/>
        <v>1.9781102096010819</v>
      </c>
      <c r="J18" s="61" t="e">
        <f>#REF!+#REF!</f>
        <v>#REF!</v>
      </c>
      <c r="L18" s="62">
        <v>830088</v>
      </c>
      <c r="M18" s="62">
        <v>39018.449999999997</v>
      </c>
      <c r="N18" s="63">
        <f t="shared" si="3"/>
        <v>-47069.550000000047</v>
      </c>
    </row>
    <row r="19" spans="1:14" x14ac:dyDescent="0.25">
      <c r="A19" s="57" t="s">
        <v>121</v>
      </c>
      <c r="B19" s="58">
        <f>95+1</f>
        <v>96</v>
      </c>
      <c r="C19" s="59">
        <v>3564288</v>
      </c>
      <c r="D19" s="59">
        <v>0</v>
      </c>
      <c r="E19" s="59">
        <f t="shared" si="2"/>
        <v>3564288</v>
      </c>
      <c r="F19" s="59">
        <v>597120</v>
      </c>
      <c r="G19" s="59">
        <f t="shared" si="0"/>
        <v>16.752854988149103</v>
      </c>
      <c r="H19" s="59">
        <v>180330.23999999999</v>
      </c>
      <c r="I19" s="59">
        <f t="shared" si="1"/>
        <v>5.0593622064210297</v>
      </c>
      <c r="J19" s="61" t="e">
        <f>#REF!+#REF!</f>
        <v>#REF!</v>
      </c>
      <c r="L19" s="62">
        <v>666288</v>
      </c>
      <c r="M19" s="62">
        <v>23860.299999999996</v>
      </c>
      <c r="N19" s="63">
        <f t="shared" si="3"/>
        <v>-45307.699999999953</v>
      </c>
    </row>
    <row r="20" spans="1:14" x14ac:dyDescent="0.25">
      <c r="A20" s="57" t="s">
        <v>122</v>
      </c>
      <c r="B20" s="58">
        <f>480+5</f>
        <v>485</v>
      </c>
      <c r="C20" s="59">
        <v>18115200</v>
      </c>
      <c r="D20" s="59">
        <v>200000</v>
      </c>
      <c r="E20" s="59">
        <f t="shared" si="2"/>
        <v>18315200</v>
      </c>
      <c r="F20" s="59">
        <v>1485600</v>
      </c>
      <c r="G20" s="59">
        <f t="shared" si="0"/>
        <v>8.2008479067302602</v>
      </c>
      <c r="H20" s="59">
        <v>448651.2</v>
      </c>
      <c r="I20" s="59">
        <f t="shared" si="1"/>
        <v>2.4766560678325384</v>
      </c>
      <c r="J20" s="61" t="e">
        <f>#REF!+#REF!</f>
        <v>#REF!</v>
      </c>
      <c r="L20" s="62">
        <v>1657404</v>
      </c>
      <c r="M20" s="62">
        <v>88958.3</v>
      </c>
      <c r="N20" s="63">
        <f t="shared" si="3"/>
        <v>-82845.699999999953</v>
      </c>
    </row>
    <row r="21" spans="1:14" x14ac:dyDescent="0.25">
      <c r="A21" s="57" t="s">
        <v>123</v>
      </c>
      <c r="B21" s="58">
        <f>380+2</f>
        <v>382</v>
      </c>
      <c r="C21" s="59">
        <v>13865472</v>
      </c>
      <c r="D21" s="59">
        <v>170000</v>
      </c>
      <c r="E21" s="59">
        <f t="shared" si="2"/>
        <v>14035472</v>
      </c>
      <c r="F21" s="59">
        <v>1717920</v>
      </c>
      <c r="G21" s="59">
        <f t="shared" si="0"/>
        <v>12.389913592555667</v>
      </c>
      <c r="H21" s="59">
        <v>518811.84</v>
      </c>
      <c r="I21" s="59">
        <f t="shared" si="1"/>
        <v>3.7417539049518114</v>
      </c>
      <c r="J21" s="61" t="e">
        <f>#REF!+#REF!</f>
        <v>#REF!</v>
      </c>
      <c r="L21" s="62">
        <v>1753164</v>
      </c>
      <c r="M21" s="62">
        <v>65878.099999999991</v>
      </c>
      <c r="N21" s="63">
        <f t="shared" si="3"/>
        <v>30634.100000000093</v>
      </c>
    </row>
    <row r="22" spans="1:14" x14ac:dyDescent="0.25">
      <c r="A22" s="57" t="s">
        <v>124</v>
      </c>
      <c r="B22" s="58">
        <f>652+14</f>
        <v>666</v>
      </c>
      <c r="C22" s="59">
        <v>24184281.600000001</v>
      </c>
      <c r="D22" s="59">
        <v>200000</v>
      </c>
      <c r="E22" s="59">
        <f t="shared" si="2"/>
        <v>24384281.600000001</v>
      </c>
      <c r="F22" s="59">
        <v>2475456</v>
      </c>
      <c r="G22" s="59">
        <f t="shared" si="0"/>
        <v>10.235805391878996</v>
      </c>
      <c r="H22" s="59">
        <v>747587.71</v>
      </c>
      <c r="I22" s="59">
        <f t="shared" si="1"/>
        <v>3.0912132200776226</v>
      </c>
      <c r="J22" s="61" t="e">
        <f>#REF!+#REF!</f>
        <v>#REF!</v>
      </c>
      <c r="L22" s="62">
        <v>2761516.8</v>
      </c>
      <c r="M22" s="62">
        <v>142583.44999999998</v>
      </c>
      <c r="N22" s="63">
        <f t="shared" si="3"/>
        <v>-143477.34999999963</v>
      </c>
    </row>
    <row r="23" spans="1:14" x14ac:dyDescent="0.25">
      <c r="A23" s="57" t="s">
        <v>125</v>
      </c>
      <c r="B23" s="58">
        <f>428+20</f>
        <v>448</v>
      </c>
      <c r="C23" s="59">
        <v>15894374.4</v>
      </c>
      <c r="D23" s="59">
        <v>165000</v>
      </c>
      <c r="E23" s="59">
        <f t="shared" si="2"/>
        <v>16059374.4</v>
      </c>
      <c r="F23" s="59">
        <v>2160960</v>
      </c>
      <c r="G23" s="59">
        <f t="shared" si="0"/>
        <v>13.595753727809507</v>
      </c>
      <c r="H23" s="59">
        <v>652609.92000000004</v>
      </c>
      <c r="I23" s="59">
        <f t="shared" si="1"/>
        <v>4.1059176257984715</v>
      </c>
      <c r="J23" s="61" t="e">
        <f>#REF!+#REF!</f>
        <v>#REF!</v>
      </c>
      <c r="L23" s="62">
        <v>2411136</v>
      </c>
      <c r="M23" s="62">
        <v>140458.35</v>
      </c>
      <c r="N23" s="63">
        <f t="shared" si="3"/>
        <v>-109717.64999999991</v>
      </c>
    </row>
    <row r="24" spans="1:14" x14ac:dyDescent="0.25">
      <c r="A24" s="57" t="s">
        <v>126</v>
      </c>
      <c r="B24" s="58">
        <f>1617+31</f>
        <v>1648</v>
      </c>
      <c r="C24" s="59">
        <v>61621056</v>
      </c>
      <c r="D24" s="59">
        <v>0</v>
      </c>
      <c r="E24" s="59">
        <f t="shared" si="2"/>
        <v>61621056</v>
      </c>
      <c r="F24" s="59">
        <v>4708320</v>
      </c>
      <c r="G24" s="59">
        <f t="shared" si="0"/>
        <v>7.6407648710207106</v>
      </c>
      <c r="H24" s="59">
        <v>1421912.64</v>
      </c>
      <c r="I24" s="59">
        <f t="shared" si="1"/>
        <v>2.3075109910482543</v>
      </c>
      <c r="J24" s="61" t="e">
        <f>#REF!+#REF!</f>
        <v>#REF!</v>
      </c>
      <c r="L24" s="62">
        <v>4516848</v>
      </c>
      <c r="M24" s="62">
        <v>313909.54999999993</v>
      </c>
      <c r="N24" s="63">
        <f t="shared" si="3"/>
        <v>505381.54999999981</v>
      </c>
    </row>
    <row r="25" spans="1:14" x14ac:dyDescent="0.25">
      <c r="A25" s="57" t="s">
        <v>127</v>
      </c>
      <c r="B25" s="58">
        <f>252</f>
        <v>252</v>
      </c>
      <c r="C25" s="59">
        <v>9674496</v>
      </c>
      <c r="D25" s="59">
        <v>0</v>
      </c>
      <c r="E25" s="59">
        <f t="shared" si="2"/>
        <v>9674496</v>
      </c>
      <c r="F25" s="59">
        <v>1497600</v>
      </c>
      <c r="G25" s="59">
        <f t="shared" si="0"/>
        <v>15.479876160990713</v>
      </c>
      <c r="H25" s="59">
        <v>452275.20000000001</v>
      </c>
      <c r="I25" s="59">
        <f t="shared" si="1"/>
        <v>4.6749226006191957</v>
      </c>
      <c r="J25" s="61" t="e">
        <f>#REF!+#REF!</f>
        <v>#REF!</v>
      </c>
      <c r="L25" s="62">
        <v>1671264</v>
      </c>
      <c r="M25" s="62">
        <v>18144.049999999996</v>
      </c>
      <c r="N25" s="63">
        <f t="shared" si="3"/>
        <v>-155519.94999999995</v>
      </c>
    </row>
    <row r="26" spans="1:14" x14ac:dyDescent="0.25">
      <c r="A26" s="57" t="s">
        <v>128</v>
      </c>
      <c r="B26" s="58">
        <f>121+1</f>
        <v>122</v>
      </c>
      <c r="C26" s="59">
        <v>4641408</v>
      </c>
      <c r="D26" s="59">
        <v>0</v>
      </c>
      <c r="E26" s="59">
        <f t="shared" si="2"/>
        <v>4641408</v>
      </c>
      <c r="F26" s="59">
        <v>376800</v>
      </c>
      <c r="G26" s="59">
        <f t="shared" si="0"/>
        <v>8.1182261934309601</v>
      </c>
      <c r="H26" s="59">
        <v>113793.60000000001</v>
      </c>
      <c r="I26" s="59">
        <f t="shared" si="1"/>
        <v>2.4517043104161496</v>
      </c>
      <c r="J26" s="61" t="e">
        <f>#REF!+#REF!</f>
        <v>#REF!</v>
      </c>
      <c r="L26" s="62">
        <v>420588</v>
      </c>
      <c r="M26" s="62">
        <v>21883.15</v>
      </c>
      <c r="N26" s="63">
        <f t="shared" si="3"/>
        <v>-21904.849999999977</v>
      </c>
    </row>
    <row r="27" spans="1:14" s="69" customFormat="1" x14ac:dyDescent="0.25">
      <c r="A27" s="64" t="s">
        <v>129</v>
      </c>
      <c r="B27" s="65">
        <f>SUM(B9:B26)</f>
        <v>9979</v>
      </c>
      <c r="C27" s="66">
        <f>SUM(C9:C26)</f>
        <v>365693990.39999998</v>
      </c>
      <c r="D27" s="66">
        <f>SUM(D9:D26)</f>
        <v>2205000</v>
      </c>
      <c r="E27" s="66">
        <f>SUM(E9:E26)</f>
        <v>367898990.39999998</v>
      </c>
      <c r="F27" s="66">
        <f>SUM(F9:F26)</f>
        <v>34724256</v>
      </c>
      <c r="G27" s="59">
        <f t="shared" si="0"/>
        <v>9.4954406994816178</v>
      </c>
      <c r="H27" s="66">
        <f>SUM(H9:H26)</f>
        <v>10486725.310000001</v>
      </c>
      <c r="I27" s="59">
        <f t="shared" si="1"/>
        <v>2.8676230906965432</v>
      </c>
      <c r="J27" s="61" t="e">
        <f>#REF!+#REF!</f>
        <v>#REF!</v>
      </c>
      <c r="K27" s="67">
        <f>F27+H27</f>
        <v>45210981.310000002</v>
      </c>
      <c r="L27" s="68"/>
      <c r="M27" s="68"/>
      <c r="N27" s="68"/>
    </row>
    <row r="28" spans="1:14" ht="25.5" customHeight="1" x14ac:dyDescent="0.25">
      <c r="A28" s="70" t="s">
        <v>130</v>
      </c>
      <c r="B28" s="71">
        <f>806+4</f>
        <v>810</v>
      </c>
      <c r="C28" s="72">
        <v>29416800</v>
      </c>
      <c r="D28" s="72">
        <v>1125000</v>
      </c>
      <c r="E28" s="72">
        <f>C28+D28</f>
        <v>30541800</v>
      </c>
      <c r="F28" s="72">
        <v>2220500</v>
      </c>
      <c r="G28" s="59">
        <f t="shared" si="0"/>
        <v>7.5484077125996034</v>
      </c>
      <c r="H28" s="72">
        <v>670440</v>
      </c>
      <c r="I28" s="59">
        <f t="shared" si="1"/>
        <v>2.2791058170841154</v>
      </c>
      <c r="J28" s="61" t="e">
        <f>#REF!+#REF!</f>
        <v>#REF!</v>
      </c>
      <c r="L28" s="62">
        <v>1991934</v>
      </c>
      <c r="M28" s="62">
        <f>62233.15+472.02</f>
        <v>62705.17</v>
      </c>
      <c r="N28" s="63">
        <f>F28-L28</f>
        <v>228566</v>
      </c>
    </row>
    <row r="29" spans="1:14" ht="27" customHeight="1" x14ac:dyDescent="0.25">
      <c r="A29" s="70" t="s">
        <v>131</v>
      </c>
      <c r="B29" s="71">
        <f>1679+9</f>
        <v>1688</v>
      </c>
      <c r="C29" s="72">
        <v>57842740.780000001</v>
      </c>
      <c r="D29" s="72">
        <v>2000000</v>
      </c>
      <c r="E29" s="72">
        <f>C29+D29</f>
        <v>59842740.780000001</v>
      </c>
      <c r="F29" s="72">
        <v>7000000</v>
      </c>
      <c r="G29" s="59">
        <f t="shared" si="0"/>
        <v>12.101777864613835</v>
      </c>
      <c r="H29" s="72">
        <v>2114000</v>
      </c>
      <c r="I29" s="59">
        <f t="shared" si="1"/>
        <v>3.6547369151133782</v>
      </c>
      <c r="J29" s="61" t="e">
        <f>#REF!+#REF!</f>
        <v>#REF!</v>
      </c>
      <c r="L29" s="62">
        <v>5297040</v>
      </c>
      <c r="M29" s="62">
        <v>231891.44999999995</v>
      </c>
      <c r="N29" s="63">
        <f>F29-L29</f>
        <v>1702960</v>
      </c>
    </row>
    <row r="30" spans="1:14" s="75" customFormat="1" ht="27.9" customHeight="1" x14ac:dyDescent="0.25">
      <c r="A30" s="73" t="s">
        <v>132</v>
      </c>
      <c r="B30" s="74">
        <f>B27+B28+B29</f>
        <v>12477</v>
      </c>
      <c r="C30" s="73">
        <f>C27+C28+C29</f>
        <v>452953531.17999995</v>
      </c>
      <c r="D30" s="73">
        <f>D27+D28+D29</f>
        <v>5330000</v>
      </c>
      <c r="E30" s="73">
        <f>E27+E28+E29</f>
        <v>458283531.17999995</v>
      </c>
      <c r="F30" s="73">
        <f>F27+F28+F29</f>
        <v>43944756</v>
      </c>
      <c r="G30" s="59">
        <f t="shared" si="0"/>
        <v>9.701824353928421</v>
      </c>
      <c r="H30" s="73">
        <f>H27+H28+H29</f>
        <v>13271165.310000001</v>
      </c>
      <c r="I30" s="59">
        <f t="shared" si="1"/>
        <v>2.9299176176918138</v>
      </c>
      <c r="L30" s="73">
        <f>SUM(L9:L29)</f>
        <v>44886970.799999997</v>
      </c>
      <c r="M30" s="73">
        <f>SUM(M9:M29)</f>
        <v>2666934.5199999996</v>
      </c>
      <c r="N30" s="73">
        <f>SUM(N9:N29)</f>
        <v>1430123.1</v>
      </c>
    </row>
    <row r="31" spans="1:14" x14ac:dyDescent="0.25">
      <c r="F31" s="61"/>
      <c r="H31" s="61"/>
    </row>
    <row r="32" spans="1:14" ht="7.95" customHeight="1" x14ac:dyDescent="0.25">
      <c r="F32" s="61"/>
      <c r="G32" s="61"/>
      <c r="H32" s="61"/>
    </row>
    <row r="33" spans="2:8" ht="7.95" customHeight="1" x14ac:dyDescent="0.25"/>
    <row r="34" spans="2:8" ht="7.95" customHeight="1" x14ac:dyDescent="0.25"/>
    <row r="35" spans="2:8" x14ac:dyDescent="0.25">
      <c r="F35" s="61"/>
      <c r="G35" s="61"/>
    </row>
    <row r="36" spans="2:8" ht="13.8" x14ac:dyDescent="0.25">
      <c r="B36" s="76"/>
      <c r="C36" s="76"/>
      <c r="D36" s="76"/>
      <c r="E36" s="76"/>
      <c r="F36" s="61"/>
      <c r="H36" s="61"/>
    </row>
    <row r="40" spans="2:8" ht="89.25" customHeight="1" x14ac:dyDescent="0.25"/>
    <row r="41" spans="2:8" x14ac:dyDescent="0.25">
      <c r="B41" s="77"/>
    </row>
    <row r="42" spans="2:8" x14ac:dyDescent="0.25">
      <c r="B42" s="77"/>
    </row>
    <row r="43" spans="2:8" x14ac:dyDescent="0.25">
      <c r="B43" s="77"/>
    </row>
    <row r="44" spans="2:8" x14ac:dyDescent="0.25">
      <c r="B44" s="77"/>
    </row>
  </sheetData>
  <mergeCells count="10">
    <mergeCell ref="A4:N4"/>
    <mergeCell ref="A6:A7"/>
    <mergeCell ref="B6:B7"/>
    <mergeCell ref="C6:C7"/>
    <mergeCell ref="D6:D7"/>
    <mergeCell ref="E6:E7"/>
    <mergeCell ref="F6:I6"/>
    <mergeCell ref="L6:L7"/>
    <mergeCell ref="M6:M7"/>
    <mergeCell ref="N6:N7"/>
  </mergeCells>
  <pageMargins left="0.70866141732283472" right="0.11811023622047245" top="0.15748031496062992" bottom="0.15748031496062992" header="0.31496062992125984" footer="0.31496062992125984"/>
  <pageSetup paperSize="9" scale="85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4</vt:i4>
      </vt:variant>
    </vt:vector>
  </HeadingPairs>
  <TitlesOfParts>
    <vt:vector size="12" baseType="lpstr">
      <vt:lpstr>расчёт зарплаты</vt:lpstr>
      <vt:lpstr>по учр</vt:lpstr>
      <vt:lpstr>Расчет ФУ (сады)</vt:lpstr>
      <vt:lpstr>Расчет Фу школы</vt:lpstr>
      <vt:lpstr>Расчет ФУ доп.обр</vt:lpstr>
      <vt:lpstr>расчет по доп.обр (неуказ)</vt:lpstr>
      <vt:lpstr>ожид по зарплате от родплаты</vt:lpstr>
      <vt:lpstr>2023</vt:lpstr>
      <vt:lpstr>'2023'!Заголовки_для_печати</vt:lpstr>
      <vt:lpstr>'по учр'!Заголовки_для_печати</vt:lpstr>
      <vt:lpstr>'расчет по доп.обр (неуказ)'!Заголовки_для_печати</vt:lpstr>
      <vt:lpstr>'Расчет ФУ (сады)'!Заголовки_для_печати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Avdeeva</dc:creator>
  <cp:lastModifiedBy>admin</cp:lastModifiedBy>
  <cp:lastPrinted>2023-01-26T01:01:05Z</cp:lastPrinted>
  <dcterms:created xsi:type="dcterms:W3CDTF">2020-11-18T03:01:02Z</dcterms:created>
  <dcterms:modified xsi:type="dcterms:W3CDTF">2023-02-01T03:51:25Z</dcterms:modified>
</cp:coreProperties>
</file>