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Бюджет 2023\"/>
    </mc:Choice>
  </mc:AlternateContent>
  <bookViews>
    <workbookView xWindow="0" yWindow="0" windowWidth="23040" windowHeight="9384" tabRatio="745" activeTab="3"/>
  </bookViews>
  <sheets>
    <sheet name="расчёт зарплаты" sheetId="2" r:id="rId1"/>
    <sheet name="по учр" sheetId="1" r:id="rId2"/>
    <sheet name="ожид по зарплате от родплаты" sheetId="10" r:id="rId3"/>
    <sheet name="2023" sheetId="11" r:id="rId4"/>
  </sheets>
  <definedNames>
    <definedName name="_xlnm.Print_Titles" localSheetId="3">'2023'!$A:$A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11" l="1"/>
  <c r="N29" i="11"/>
  <c r="J29" i="11"/>
  <c r="I29" i="11"/>
  <c r="G29" i="11"/>
  <c r="E29" i="11"/>
  <c r="B29" i="11"/>
  <c r="N28" i="11"/>
  <c r="M28" i="11"/>
  <c r="M30" i="11" s="1"/>
  <c r="J28" i="11"/>
  <c r="I28" i="11"/>
  <c r="G28" i="11"/>
  <c r="E28" i="11"/>
  <c r="B28" i="11"/>
  <c r="K27" i="11"/>
  <c r="J27" i="11"/>
  <c r="H27" i="11"/>
  <c r="H30" i="11" s="1"/>
  <c r="F27" i="11"/>
  <c r="F30" i="11" s="1"/>
  <c r="D27" i="11"/>
  <c r="D30" i="11" s="1"/>
  <c r="C27" i="11"/>
  <c r="G27" i="11" s="1"/>
  <c r="N26" i="11"/>
  <c r="J26" i="11"/>
  <c r="I26" i="11"/>
  <c r="G26" i="11"/>
  <c r="E26" i="11"/>
  <c r="B26" i="11"/>
  <c r="N25" i="11"/>
  <c r="J25" i="11"/>
  <c r="I25" i="11"/>
  <c r="G25" i="11"/>
  <c r="E25" i="11"/>
  <c r="B25" i="11"/>
  <c r="N24" i="11"/>
  <c r="J24" i="11"/>
  <c r="I24" i="11"/>
  <c r="G24" i="11"/>
  <c r="E24" i="11"/>
  <c r="B24" i="11"/>
  <c r="N23" i="11"/>
  <c r="J23" i="11"/>
  <c r="I23" i="11"/>
  <c r="G23" i="11"/>
  <c r="E23" i="11"/>
  <c r="B23" i="11"/>
  <c r="N22" i="11"/>
  <c r="J22" i="11"/>
  <c r="I22" i="11"/>
  <c r="G22" i="11"/>
  <c r="E22" i="11"/>
  <c r="B22" i="11"/>
  <c r="N21" i="11"/>
  <c r="J21" i="11"/>
  <c r="I21" i="11"/>
  <c r="G21" i="11"/>
  <c r="E21" i="11"/>
  <c r="B21" i="11"/>
  <c r="N20" i="11"/>
  <c r="J20" i="11"/>
  <c r="I20" i="11"/>
  <c r="G20" i="11"/>
  <c r="E20" i="11"/>
  <c r="B20" i="11"/>
  <c r="N19" i="11"/>
  <c r="J19" i="11"/>
  <c r="I19" i="11"/>
  <c r="G19" i="11"/>
  <c r="E19" i="11"/>
  <c r="B19" i="11"/>
  <c r="N18" i="11"/>
  <c r="J18" i="11"/>
  <c r="I18" i="11"/>
  <c r="G18" i="11"/>
  <c r="E18" i="11"/>
  <c r="B18" i="11"/>
  <c r="N17" i="11"/>
  <c r="J17" i="11"/>
  <c r="I17" i="11"/>
  <c r="G17" i="11"/>
  <c r="E17" i="11"/>
  <c r="B17" i="11"/>
  <c r="N16" i="11"/>
  <c r="J16" i="11"/>
  <c r="I16" i="11"/>
  <c r="G16" i="11"/>
  <c r="E16" i="11"/>
  <c r="B16" i="11"/>
  <c r="N15" i="11"/>
  <c r="J15" i="11"/>
  <c r="I15" i="11"/>
  <c r="G15" i="11"/>
  <c r="E15" i="11"/>
  <c r="B15" i="11"/>
  <c r="N14" i="11"/>
  <c r="J14" i="11"/>
  <c r="I14" i="11"/>
  <c r="G14" i="11"/>
  <c r="E14" i="11"/>
  <c r="B14" i="11"/>
  <c r="N13" i="11"/>
  <c r="J13" i="11"/>
  <c r="I13" i="11"/>
  <c r="G13" i="11"/>
  <c r="E13" i="11"/>
  <c r="B13" i="11"/>
  <c r="N12" i="11"/>
  <c r="J12" i="11"/>
  <c r="I12" i="11"/>
  <c r="G12" i="11"/>
  <c r="E12" i="11"/>
  <c r="B12" i="11"/>
  <c r="N11" i="11"/>
  <c r="J11" i="11"/>
  <c r="I11" i="11"/>
  <c r="G11" i="11"/>
  <c r="E11" i="11"/>
  <c r="B11" i="11"/>
  <c r="N10" i="11"/>
  <c r="J10" i="11"/>
  <c r="I10" i="11"/>
  <c r="G10" i="11"/>
  <c r="E10" i="11"/>
  <c r="B10" i="11"/>
  <c r="N9" i="11"/>
  <c r="N30" i="11" s="1"/>
  <c r="J9" i="11"/>
  <c r="I9" i="11"/>
  <c r="G9" i="11"/>
  <c r="E9" i="11"/>
  <c r="E27" i="11" s="1"/>
  <c r="E30" i="11" s="1"/>
  <c r="B9" i="11"/>
  <c r="B27" i="11" s="1"/>
  <c r="B30" i="11" s="1"/>
  <c r="G30" i="11" l="1"/>
  <c r="I30" i="11"/>
  <c r="I27" i="11"/>
  <c r="C30" i="11"/>
  <c r="D4" i="10" l="1"/>
  <c r="C4" i="10"/>
  <c r="B4" i="10"/>
  <c r="C7" i="1" l="1"/>
  <c r="D7" i="1"/>
  <c r="E7" i="1"/>
  <c r="F7" i="1"/>
  <c r="G7" i="1"/>
  <c r="H7" i="1"/>
  <c r="C38" i="1"/>
  <c r="D38" i="1"/>
  <c r="E38" i="1"/>
  <c r="F38" i="1"/>
  <c r="G38" i="1"/>
  <c r="H38" i="1"/>
  <c r="H68" i="1"/>
  <c r="C100" i="1"/>
  <c r="D100" i="1"/>
  <c r="E100" i="1"/>
  <c r="F100" i="1"/>
  <c r="G100" i="1"/>
  <c r="H100" i="1"/>
  <c r="C130" i="1"/>
  <c r="D130" i="1"/>
  <c r="E130" i="1"/>
  <c r="F130" i="1"/>
  <c r="G130" i="1"/>
  <c r="H130" i="1"/>
  <c r="C160" i="1"/>
  <c r="D160" i="1"/>
  <c r="E160" i="1"/>
  <c r="F160" i="1"/>
  <c r="G160" i="1"/>
  <c r="H160" i="1"/>
  <c r="C190" i="1"/>
  <c r="D190" i="1"/>
  <c r="E190" i="1"/>
  <c r="F190" i="1"/>
  <c r="G190" i="1"/>
  <c r="H190" i="1"/>
  <c r="C220" i="1"/>
  <c r="D220" i="1"/>
  <c r="E220" i="1"/>
  <c r="F220" i="1"/>
  <c r="G220" i="1"/>
  <c r="H220" i="1"/>
  <c r="H250" i="1"/>
  <c r="C280" i="1"/>
  <c r="D280" i="1"/>
  <c r="E280" i="1"/>
  <c r="F280" i="1"/>
  <c r="G280" i="1"/>
  <c r="H280" i="1"/>
  <c r="C311" i="1"/>
  <c r="D311" i="1"/>
  <c r="E311" i="1"/>
  <c r="F311" i="1"/>
  <c r="G311" i="1"/>
  <c r="H311" i="1"/>
  <c r="C341" i="1"/>
  <c r="D341" i="1"/>
  <c r="E341" i="1"/>
  <c r="F341" i="1"/>
  <c r="G341" i="1"/>
  <c r="H341" i="1"/>
  <c r="C371" i="1"/>
  <c r="D371" i="1"/>
  <c r="E371" i="1"/>
  <c r="F371" i="1"/>
  <c r="G371" i="1"/>
  <c r="H371" i="1"/>
  <c r="C401" i="1"/>
  <c r="D401" i="1"/>
  <c r="E401" i="1"/>
  <c r="F401" i="1"/>
  <c r="G401" i="1"/>
  <c r="H401" i="1"/>
  <c r="C431" i="1"/>
  <c r="D431" i="1"/>
  <c r="E431" i="1"/>
  <c r="F431" i="1"/>
  <c r="G431" i="1"/>
  <c r="H431" i="1"/>
  <c r="C461" i="1"/>
  <c r="D461" i="1"/>
  <c r="E461" i="1"/>
  <c r="F461" i="1"/>
  <c r="G461" i="1"/>
  <c r="H461" i="1"/>
  <c r="C492" i="1"/>
  <c r="D492" i="1"/>
  <c r="E492" i="1"/>
  <c r="F492" i="1"/>
  <c r="H492" i="1"/>
  <c r="C523" i="1"/>
  <c r="D523" i="1"/>
  <c r="E523" i="1"/>
  <c r="F523" i="1"/>
  <c r="G523" i="1"/>
  <c r="H523" i="1"/>
  <c r="D554" i="1"/>
  <c r="E554" i="1"/>
  <c r="F554" i="1"/>
  <c r="H554" i="1"/>
  <c r="C554" i="1"/>
  <c r="H584" i="1"/>
  <c r="C584" i="1"/>
  <c r="D584" i="1"/>
  <c r="F584" i="1"/>
  <c r="E584" i="1"/>
  <c r="F614" i="1"/>
  <c r="C614" i="1"/>
  <c r="D614" i="1"/>
  <c r="E614" i="1"/>
  <c r="J633" i="1" l="1"/>
  <c r="G644" i="1"/>
  <c r="G643" i="1"/>
  <c r="G642" i="1"/>
  <c r="G640" i="1"/>
  <c r="H639" i="1"/>
  <c r="G639" i="1"/>
  <c r="G638" i="1"/>
  <c r="G637" i="1"/>
  <c r="G636" i="1"/>
  <c r="G635" i="1"/>
  <c r="G627" i="1"/>
  <c r="G626" i="1"/>
  <c r="G625" i="1"/>
  <c r="G624" i="1"/>
  <c r="G623" i="1"/>
  <c r="G622" i="1"/>
  <c r="G621" i="1"/>
  <c r="H621" i="1" s="1"/>
  <c r="G620" i="1"/>
  <c r="H620" i="1" s="1"/>
  <c r="G619" i="1"/>
  <c r="H619" i="1" s="1"/>
  <c r="G618" i="1"/>
  <c r="H616" i="1"/>
  <c r="H617" i="1"/>
  <c r="H618" i="1"/>
  <c r="H622" i="1"/>
  <c r="H623" i="1"/>
  <c r="G616" i="1"/>
  <c r="G615" i="1"/>
  <c r="H56" i="1" l="1"/>
  <c r="G53" i="1" l="1"/>
  <c r="G52" i="1"/>
  <c r="G85" i="1"/>
  <c r="G84" i="1"/>
  <c r="G115" i="1"/>
  <c r="G114" i="1"/>
  <c r="G145" i="1"/>
  <c r="G144" i="1"/>
  <c r="G155" i="1"/>
  <c r="G175" i="1"/>
  <c r="G174" i="1"/>
  <c r="G205" i="1"/>
  <c r="G204" i="1"/>
  <c r="G235" i="1"/>
  <c r="G234" i="1"/>
  <c r="G261" i="1"/>
  <c r="G265" i="1"/>
  <c r="G264" i="1"/>
  <c r="G296" i="1"/>
  <c r="G295" i="1"/>
  <c r="G326" i="1"/>
  <c r="G325" i="1"/>
  <c r="G356" i="1"/>
  <c r="G355" i="1"/>
  <c r="G386" i="1"/>
  <c r="G385" i="1"/>
  <c r="G416" i="1"/>
  <c r="G415" i="1"/>
  <c r="G535" i="1"/>
  <c r="G445" i="1"/>
  <c r="G446" i="1"/>
  <c r="G477" i="1"/>
  <c r="G476" i="1"/>
  <c r="G508" i="1"/>
  <c r="G507" i="1"/>
  <c r="G538" i="1"/>
  <c r="G539" i="1"/>
  <c r="G568" i="1"/>
  <c r="G569" i="1"/>
  <c r="G598" i="1"/>
  <c r="H53" i="1" l="1"/>
  <c r="H55" i="1"/>
  <c r="H85" i="1"/>
  <c r="H87" i="1"/>
  <c r="H115" i="1"/>
  <c r="H117" i="1"/>
  <c r="H145" i="1"/>
  <c r="H147" i="1"/>
  <c r="H175" i="1"/>
  <c r="H177" i="1"/>
  <c r="H205" i="1"/>
  <c r="H207" i="1"/>
  <c r="H235" i="1"/>
  <c r="H237" i="1"/>
  <c r="H265" i="1"/>
  <c r="H267" i="1"/>
  <c r="H296" i="1"/>
  <c r="H298" i="1"/>
  <c r="H326" i="1"/>
  <c r="H328" i="1"/>
  <c r="H356" i="1"/>
  <c r="H358" i="1"/>
  <c r="H386" i="1"/>
  <c r="H388" i="1"/>
  <c r="H416" i="1"/>
  <c r="H418" i="1"/>
  <c r="H446" i="1"/>
  <c r="H448" i="1"/>
  <c r="H477" i="1"/>
  <c r="H479" i="1"/>
  <c r="H508" i="1"/>
  <c r="H510" i="1"/>
  <c r="H539" i="1"/>
  <c r="H541" i="1"/>
  <c r="H569" i="1"/>
  <c r="H571" i="1"/>
  <c r="H599" i="1"/>
  <c r="H601" i="1"/>
  <c r="H633" i="1"/>
  <c r="H598" i="1"/>
  <c r="H568" i="1"/>
  <c r="H538" i="1"/>
  <c r="H507" i="1"/>
  <c r="H476" i="1"/>
  <c r="H445" i="1"/>
  <c r="H415" i="1"/>
  <c r="H385" i="1"/>
  <c r="H355" i="1"/>
  <c r="H325" i="1"/>
  <c r="H295" i="1"/>
  <c r="H264" i="1"/>
  <c r="H234" i="1"/>
  <c r="H204" i="1"/>
  <c r="H174" i="1"/>
  <c r="H144" i="1"/>
  <c r="H114" i="1"/>
  <c r="H84" i="1"/>
  <c r="H52" i="1"/>
  <c r="H40" i="1"/>
  <c r="H42" i="1"/>
  <c r="H47" i="1"/>
  <c r="H49" i="1"/>
  <c r="H50" i="1"/>
  <c r="H24" i="1"/>
  <c r="H9" i="1"/>
  <c r="H11" i="1"/>
  <c r="H16" i="1"/>
  <c r="H17" i="1"/>
  <c r="H18" i="1"/>
  <c r="H19" i="1"/>
  <c r="D642" i="1"/>
  <c r="E642" i="1"/>
  <c r="F642" i="1"/>
  <c r="D643" i="1"/>
  <c r="E643" i="1"/>
  <c r="F643" i="1"/>
  <c r="D644" i="1"/>
  <c r="E644" i="1"/>
  <c r="F644" i="1"/>
  <c r="C643" i="1"/>
  <c r="C644" i="1"/>
  <c r="C642" i="1"/>
  <c r="D638" i="1"/>
  <c r="E638" i="1"/>
  <c r="F638" i="1"/>
  <c r="C638" i="1"/>
  <c r="D639" i="1"/>
  <c r="E639" i="1"/>
  <c r="F639" i="1"/>
  <c r="C639" i="1"/>
  <c r="D640" i="1"/>
  <c r="E640" i="1"/>
  <c r="F640" i="1"/>
  <c r="C640" i="1"/>
  <c r="C631" i="1"/>
  <c r="D631" i="1"/>
  <c r="E631" i="1"/>
  <c r="F631" i="1"/>
  <c r="C632" i="1"/>
  <c r="D632" i="1"/>
  <c r="E632" i="1"/>
  <c r="F632" i="1"/>
  <c r="C636" i="1"/>
  <c r="D636" i="1"/>
  <c r="E636" i="1"/>
  <c r="F636" i="1"/>
  <c r="C637" i="1"/>
  <c r="D637" i="1"/>
  <c r="E637" i="1"/>
  <c r="F637" i="1"/>
  <c r="F635" i="1"/>
  <c r="E635" i="1"/>
  <c r="D635" i="1"/>
  <c r="C635" i="1"/>
  <c r="F630" i="1"/>
  <c r="E630" i="1"/>
  <c r="D630" i="1"/>
  <c r="C630" i="1"/>
  <c r="C621" i="1"/>
  <c r="D621" i="1"/>
  <c r="E621" i="1"/>
  <c r="F621" i="1"/>
  <c r="C622" i="1"/>
  <c r="D622" i="1"/>
  <c r="E622" i="1"/>
  <c r="F622" i="1"/>
  <c r="C623" i="1"/>
  <c r="D623" i="1"/>
  <c r="E623" i="1"/>
  <c r="F623" i="1"/>
  <c r="C624" i="1"/>
  <c r="D624" i="1"/>
  <c r="E624" i="1"/>
  <c r="F624" i="1"/>
  <c r="C625" i="1"/>
  <c r="D625" i="1"/>
  <c r="E625" i="1"/>
  <c r="F625" i="1"/>
  <c r="C626" i="1"/>
  <c r="D626" i="1"/>
  <c r="E626" i="1"/>
  <c r="F626" i="1"/>
  <c r="C627" i="1"/>
  <c r="D627" i="1"/>
  <c r="E627" i="1"/>
  <c r="F627" i="1"/>
  <c r="C628" i="1"/>
  <c r="D628" i="1"/>
  <c r="E628" i="1"/>
  <c r="F628" i="1"/>
  <c r="C620" i="1"/>
  <c r="D620" i="1"/>
  <c r="E620" i="1"/>
  <c r="F620" i="1"/>
  <c r="D619" i="1"/>
  <c r="E619" i="1"/>
  <c r="F619" i="1"/>
  <c r="C619" i="1"/>
  <c r="D618" i="1"/>
  <c r="E618" i="1"/>
  <c r="F618" i="1"/>
  <c r="C618" i="1"/>
  <c r="D617" i="1"/>
  <c r="E617" i="1"/>
  <c r="F617" i="1"/>
  <c r="C617" i="1"/>
  <c r="C616" i="1"/>
  <c r="D616" i="1"/>
  <c r="E616" i="1"/>
  <c r="F616" i="1"/>
  <c r="D615" i="1"/>
  <c r="E615" i="1"/>
  <c r="F615" i="1"/>
  <c r="C615" i="1"/>
  <c r="C251" i="1" l="1"/>
  <c r="D251" i="1"/>
  <c r="F250" i="1" l="1"/>
  <c r="F249" i="1" s="1"/>
  <c r="E250" i="1"/>
  <c r="E249" i="1" s="1"/>
  <c r="D250" i="1"/>
  <c r="D249" i="1" s="1"/>
  <c r="C250" i="1"/>
  <c r="C249" i="1" s="1"/>
  <c r="D68" i="1"/>
  <c r="D67" i="1" s="1"/>
  <c r="E68" i="1"/>
  <c r="E67" i="1" s="1"/>
  <c r="F68" i="1"/>
  <c r="F67" i="1" s="1"/>
  <c r="C68" i="1"/>
  <c r="C67" i="1"/>
  <c r="L629" i="1"/>
  <c r="K629" i="1"/>
  <c r="J629" i="1"/>
  <c r="I629" i="1"/>
  <c r="F629" i="1"/>
  <c r="E629" i="1"/>
  <c r="D629" i="1"/>
  <c r="C629" i="1"/>
  <c r="L597" i="1"/>
  <c r="K597" i="1"/>
  <c r="J597" i="1"/>
  <c r="I597" i="1"/>
  <c r="F597" i="1"/>
  <c r="E597" i="1"/>
  <c r="D597" i="1"/>
  <c r="C597" i="1"/>
  <c r="L567" i="1"/>
  <c r="K567" i="1"/>
  <c r="J567" i="1"/>
  <c r="I567" i="1"/>
  <c r="F567" i="1"/>
  <c r="E567" i="1"/>
  <c r="D567" i="1"/>
  <c r="C567" i="1"/>
  <c r="L537" i="1"/>
  <c r="K537" i="1"/>
  <c r="J537" i="1"/>
  <c r="I537" i="1"/>
  <c r="F537" i="1"/>
  <c r="F522" i="1" s="1"/>
  <c r="E537" i="1"/>
  <c r="E522" i="1" s="1"/>
  <c r="D537" i="1"/>
  <c r="D522" i="1" s="1"/>
  <c r="C537" i="1"/>
  <c r="C522" i="1" s="1"/>
  <c r="L506" i="1"/>
  <c r="K506" i="1"/>
  <c r="J506" i="1"/>
  <c r="I506" i="1"/>
  <c r="F506" i="1"/>
  <c r="F491" i="1" s="1"/>
  <c r="E506" i="1"/>
  <c r="E491" i="1" s="1"/>
  <c r="D506" i="1"/>
  <c r="D491" i="1" s="1"/>
  <c r="C506" i="1"/>
  <c r="C491" i="1" s="1"/>
  <c r="L475" i="1"/>
  <c r="K475" i="1"/>
  <c r="J475" i="1"/>
  <c r="I475" i="1"/>
  <c r="F475" i="1"/>
  <c r="F460" i="1" s="1"/>
  <c r="E475" i="1"/>
  <c r="E460" i="1" s="1"/>
  <c r="D475" i="1"/>
  <c r="D460" i="1" s="1"/>
  <c r="C475" i="1"/>
  <c r="C460" i="1" s="1"/>
  <c r="L444" i="1"/>
  <c r="K444" i="1"/>
  <c r="J444" i="1"/>
  <c r="I444" i="1"/>
  <c r="F444" i="1"/>
  <c r="E444" i="1"/>
  <c r="D444" i="1"/>
  <c r="C444" i="1"/>
  <c r="L414" i="1"/>
  <c r="K414" i="1"/>
  <c r="J414" i="1"/>
  <c r="I414" i="1"/>
  <c r="F414" i="1"/>
  <c r="E414" i="1"/>
  <c r="D414" i="1"/>
  <c r="C414" i="1"/>
  <c r="L384" i="1"/>
  <c r="K384" i="1"/>
  <c r="J384" i="1"/>
  <c r="I384" i="1"/>
  <c r="F384" i="1"/>
  <c r="E384" i="1"/>
  <c r="D384" i="1"/>
  <c r="C384" i="1"/>
  <c r="L354" i="1"/>
  <c r="K354" i="1"/>
  <c r="J354" i="1"/>
  <c r="I354" i="1"/>
  <c r="F354" i="1"/>
  <c r="E354" i="1"/>
  <c r="D354" i="1"/>
  <c r="C354" i="1"/>
  <c r="L324" i="1"/>
  <c r="K324" i="1"/>
  <c r="J324" i="1"/>
  <c r="I324" i="1"/>
  <c r="F324" i="1"/>
  <c r="E324" i="1"/>
  <c r="D324" i="1"/>
  <c r="C324" i="1"/>
  <c r="L294" i="1"/>
  <c r="K294" i="1"/>
  <c r="J294" i="1"/>
  <c r="I294" i="1"/>
  <c r="F294" i="1"/>
  <c r="F279" i="1" s="1"/>
  <c r="E294" i="1"/>
  <c r="E279" i="1" s="1"/>
  <c r="D294" i="1"/>
  <c r="D279" i="1" s="1"/>
  <c r="C294" i="1"/>
  <c r="C279" i="1" s="1"/>
  <c r="L263" i="1"/>
  <c r="K263" i="1"/>
  <c r="J263" i="1"/>
  <c r="I263" i="1"/>
  <c r="F263" i="1"/>
  <c r="E263" i="1"/>
  <c r="D263" i="1"/>
  <c r="C263" i="1"/>
  <c r="L233" i="1"/>
  <c r="K233" i="1"/>
  <c r="J233" i="1"/>
  <c r="I233" i="1"/>
  <c r="F233" i="1"/>
  <c r="E233" i="1"/>
  <c r="D233" i="1"/>
  <c r="C233" i="1"/>
  <c r="L203" i="1"/>
  <c r="K203" i="1"/>
  <c r="J203" i="1"/>
  <c r="I203" i="1"/>
  <c r="F203" i="1"/>
  <c r="E203" i="1"/>
  <c r="D203" i="1"/>
  <c r="C203" i="1"/>
  <c r="L173" i="1"/>
  <c r="K173" i="1"/>
  <c r="J173" i="1"/>
  <c r="I173" i="1"/>
  <c r="F173" i="1"/>
  <c r="E173" i="1"/>
  <c r="D173" i="1"/>
  <c r="C173" i="1"/>
  <c r="L143" i="1"/>
  <c r="K143" i="1"/>
  <c r="J143" i="1"/>
  <c r="I143" i="1"/>
  <c r="F143" i="1"/>
  <c r="E143" i="1"/>
  <c r="D143" i="1"/>
  <c r="C143" i="1"/>
  <c r="L113" i="1"/>
  <c r="K113" i="1"/>
  <c r="J113" i="1"/>
  <c r="I113" i="1"/>
  <c r="F113" i="1"/>
  <c r="E113" i="1"/>
  <c r="D113" i="1"/>
  <c r="C113" i="1"/>
  <c r="L83" i="1"/>
  <c r="K83" i="1"/>
  <c r="J83" i="1"/>
  <c r="I83" i="1"/>
  <c r="F83" i="1"/>
  <c r="E83" i="1"/>
  <c r="D83" i="1"/>
  <c r="C83" i="1"/>
  <c r="I51" i="1"/>
  <c r="J51" i="1"/>
  <c r="K51" i="1"/>
  <c r="L51" i="1"/>
  <c r="F51" i="1"/>
  <c r="E51" i="1"/>
  <c r="D51" i="1"/>
  <c r="C51" i="1"/>
  <c r="D20" i="1"/>
  <c r="E20" i="1"/>
  <c r="F20" i="1"/>
  <c r="I20" i="1"/>
  <c r="J20" i="1"/>
  <c r="K20" i="1"/>
  <c r="L20" i="1"/>
  <c r="C20" i="1"/>
  <c r="H119" i="1" l="1"/>
  <c r="H120" i="1"/>
  <c r="H121" i="1"/>
  <c r="H151" i="1" l="1"/>
  <c r="H150" i="1"/>
  <c r="H149" i="1"/>
  <c r="H181" i="1"/>
  <c r="H180" i="1"/>
  <c r="H179" i="1"/>
  <c r="H211" i="1"/>
  <c r="H210" i="1"/>
  <c r="H209" i="1"/>
  <c r="H241" i="1"/>
  <c r="H240" i="1"/>
  <c r="H239" i="1"/>
  <c r="H271" i="1"/>
  <c r="H270" i="1"/>
  <c r="H269" i="1"/>
  <c r="H302" i="1"/>
  <c r="H301" i="1"/>
  <c r="H300" i="1"/>
  <c r="H332" i="1"/>
  <c r="H331" i="1"/>
  <c r="H330" i="1"/>
  <c r="H362" i="1"/>
  <c r="H361" i="1"/>
  <c r="H360" i="1"/>
  <c r="H392" i="1"/>
  <c r="H391" i="1"/>
  <c r="H390" i="1"/>
  <c r="H422" i="1"/>
  <c r="H421" i="1"/>
  <c r="H420" i="1"/>
  <c r="H452" i="1"/>
  <c r="H451" i="1"/>
  <c r="H450" i="1"/>
  <c r="H483" i="1"/>
  <c r="H482" i="1"/>
  <c r="H481" i="1"/>
  <c r="H514" i="1"/>
  <c r="H513" i="1"/>
  <c r="H512" i="1"/>
  <c r="H545" i="1"/>
  <c r="H544" i="1"/>
  <c r="H543" i="1"/>
  <c r="H575" i="1"/>
  <c r="H574" i="1"/>
  <c r="H573" i="1"/>
  <c r="H604" i="1"/>
  <c r="H605" i="1"/>
  <c r="H603" i="1"/>
  <c r="H610" i="1"/>
  <c r="H580" i="1"/>
  <c r="H550" i="1"/>
  <c r="H519" i="1"/>
  <c r="H457" i="1"/>
  <c r="H427" i="1"/>
  <c r="H397" i="1"/>
  <c r="H367" i="1"/>
  <c r="H366" i="1"/>
  <c r="H337" i="1" l="1"/>
  <c r="H276" i="1"/>
  <c r="H246" i="1"/>
  <c r="H216" i="1"/>
  <c r="H186" i="1"/>
  <c r="H156" i="1"/>
  <c r="H155" i="1"/>
  <c r="H126" i="1"/>
  <c r="H90" i="1" l="1"/>
  <c r="H91" i="1"/>
  <c r="H89" i="1"/>
  <c r="H96" i="1"/>
  <c r="H64" i="1"/>
  <c r="H58" i="1"/>
  <c r="H61" i="1"/>
  <c r="H285" i="1" l="1"/>
  <c r="H291" i="1"/>
  <c r="H293" i="1"/>
  <c r="H22" i="2"/>
  <c r="F22" i="2"/>
  <c r="D22" i="2"/>
  <c r="J22" i="2" s="1"/>
  <c r="I22" i="2" l="1"/>
  <c r="K22" i="2" s="1"/>
  <c r="G72" i="1" s="1"/>
  <c r="H12" i="2" l="1"/>
  <c r="F12" i="2"/>
  <c r="D12" i="2"/>
  <c r="F94" i="1"/>
  <c r="F88" i="1"/>
  <c r="H72" i="1"/>
  <c r="H73" i="1"/>
  <c r="I12" i="2" l="1"/>
  <c r="J12" i="2"/>
  <c r="K12" i="2" s="1"/>
  <c r="G494" i="1" l="1"/>
  <c r="H494" i="1" s="1"/>
  <c r="G463" i="1"/>
  <c r="H463" i="1" s="1"/>
  <c r="G70" i="1"/>
  <c r="H70" i="1" s="1"/>
  <c r="G263" i="2"/>
  <c r="G282" i="1"/>
  <c r="H282" i="1" s="1"/>
  <c r="H627" i="1" l="1"/>
  <c r="H626" i="1"/>
  <c r="H625" i="1"/>
  <c r="H624" i="1"/>
  <c r="H615" i="1"/>
  <c r="H595" i="1"/>
  <c r="H592" i="1"/>
  <c r="H588" i="1"/>
  <c r="H586" i="1"/>
  <c r="H565" i="1"/>
  <c r="H564" i="1"/>
  <c r="H562" i="1"/>
  <c r="H558" i="1"/>
  <c r="H556" i="1"/>
  <c r="H535" i="1"/>
  <c r="H534" i="1"/>
  <c r="H528" i="1"/>
  <c r="H526" i="1"/>
  <c r="H503" i="1"/>
  <c r="H497" i="1"/>
  <c r="H495" i="1"/>
  <c r="H472" i="1"/>
  <c r="H466" i="1"/>
  <c r="H464" i="1"/>
  <c r="H442" i="1"/>
  <c r="H441" i="1"/>
  <c r="H435" i="1"/>
  <c r="H433" i="1"/>
  <c r="H412" i="1"/>
  <c r="H411" i="1"/>
  <c r="H408" i="1"/>
  <c r="H405" i="1"/>
  <c r="H403" i="1"/>
  <c r="H382" i="1"/>
  <c r="H381" i="1"/>
  <c r="H379" i="1"/>
  <c r="H378" i="1"/>
  <c r="H375" i="1"/>
  <c r="H373" i="1"/>
  <c r="H352" i="1"/>
  <c r="H351" i="1"/>
  <c r="H345" i="1"/>
  <c r="H343" i="1"/>
  <c r="H321" i="1"/>
  <c r="H315" i="1"/>
  <c r="H313" i="1"/>
  <c r="H261" i="1"/>
  <c r="H260" i="1"/>
  <c r="H254" i="1"/>
  <c r="H230" i="1"/>
  <c r="H224" i="1"/>
  <c r="H222" i="1"/>
  <c r="H201" i="1"/>
  <c r="H200" i="1"/>
  <c r="H194" i="1"/>
  <c r="H192" i="1"/>
  <c r="H171" i="1"/>
  <c r="H170" i="1"/>
  <c r="H164" i="1"/>
  <c r="H162" i="1"/>
  <c r="H141" i="1"/>
  <c r="H140" i="1"/>
  <c r="H138" i="1"/>
  <c r="H132" i="1"/>
  <c r="H111" i="1"/>
  <c r="H110" i="1"/>
  <c r="H104" i="1"/>
  <c r="H102" i="1"/>
  <c r="H80" i="1"/>
  <c r="H78" i="1"/>
  <c r="H74" i="1"/>
  <c r="H614" i="1" l="1"/>
  <c r="F608" i="1" l="1"/>
  <c r="E608" i="1"/>
  <c r="D608" i="1"/>
  <c r="C608" i="1"/>
  <c r="F602" i="1"/>
  <c r="F601" i="1" s="1"/>
  <c r="F583" i="1" s="1"/>
  <c r="E602" i="1"/>
  <c r="E601" i="1" s="1"/>
  <c r="E583" i="1" s="1"/>
  <c r="D602" i="1"/>
  <c r="C602" i="1"/>
  <c r="F578" i="1"/>
  <c r="E578" i="1"/>
  <c r="D578" i="1"/>
  <c r="C578" i="1"/>
  <c r="F572" i="1"/>
  <c r="F571" i="1" s="1"/>
  <c r="F553" i="1" s="1"/>
  <c r="E572" i="1"/>
  <c r="E571" i="1" s="1"/>
  <c r="E553" i="1" s="1"/>
  <c r="D572" i="1"/>
  <c r="D571" i="1" s="1"/>
  <c r="D553" i="1" s="1"/>
  <c r="C572" i="1"/>
  <c r="F548" i="1"/>
  <c r="E548" i="1"/>
  <c r="D548" i="1"/>
  <c r="C548" i="1"/>
  <c r="F542" i="1"/>
  <c r="F541" i="1" s="1"/>
  <c r="E542" i="1"/>
  <c r="E541" i="1" s="1"/>
  <c r="D542" i="1"/>
  <c r="D541" i="1" s="1"/>
  <c r="C542" i="1"/>
  <c r="F517" i="1"/>
  <c r="E517" i="1"/>
  <c r="D517" i="1"/>
  <c r="C517" i="1"/>
  <c r="F511" i="1"/>
  <c r="F510" i="1" s="1"/>
  <c r="E511" i="1"/>
  <c r="D511" i="1"/>
  <c r="D510" i="1" s="1"/>
  <c r="C511" i="1"/>
  <c r="F486" i="1"/>
  <c r="E486" i="1"/>
  <c r="D486" i="1"/>
  <c r="C486" i="1"/>
  <c r="F480" i="1"/>
  <c r="F479" i="1" s="1"/>
  <c r="E480" i="1"/>
  <c r="E479" i="1" s="1"/>
  <c r="D480" i="1"/>
  <c r="C480" i="1"/>
  <c r="C479" i="1" s="1"/>
  <c r="F425" i="1"/>
  <c r="E425" i="1"/>
  <c r="D425" i="1"/>
  <c r="C425" i="1"/>
  <c r="F419" i="1"/>
  <c r="E419" i="1"/>
  <c r="D419" i="1"/>
  <c r="C419" i="1"/>
  <c r="C418" i="1" s="1"/>
  <c r="C400" i="1" s="1"/>
  <c r="I425" i="1"/>
  <c r="I419" i="1"/>
  <c r="H413" i="1"/>
  <c r="F455" i="1"/>
  <c r="E455" i="1"/>
  <c r="D455" i="1"/>
  <c r="C455" i="1"/>
  <c r="F449" i="1"/>
  <c r="F448" i="1" s="1"/>
  <c r="F430" i="1" s="1"/>
  <c r="E449" i="1"/>
  <c r="D449" i="1"/>
  <c r="D448" i="1" s="1"/>
  <c r="D430" i="1" s="1"/>
  <c r="C449" i="1"/>
  <c r="F395" i="1"/>
  <c r="E395" i="1"/>
  <c r="D395" i="1"/>
  <c r="C395" i="1"/>
  <c r="F389" i="1"/>
  <c r="F388" i="1" s="1"/>
  <c r="F370" i="1" s="1"/>
  <c r="E389" i="1"/>
  <c r="E388" i="1" s="1"/>
  <c r="E370" i="1" s="1"/>
  <c r="D389" i="1"/>
  <c r="C389" i="1"/>
  <c r="F365" i="1"/>
  <c r="E365" i="1"/>
  <c r="D365" i="1"/>
  <c r="C365" i="1"/>
  <c r="F359" i="1"/>
  <c r="F358" i="1" s="1"/>
  <c r="F340" i="1" s="1"/>
  <c r="E359" i="1"/>
  <c r="D359" i="1"/>
  <c r="C359" i="1"/>
  <c r="E358" i="1"/>
  <c r="E340" i="1" s="1"/>
  <c r="F335" i="1"/>
  <c r="E335" i="1"/>
  <c r="D335" i="1"/>
  <c r="C335" i="1"/>
  <c r="F329" i="1"/>
  <c r="E329" i="1"/>
  <c r="D329" i="1"/>
  <c r="C329" i="1"/>
  <c r="F328" i="1"/>
  <c r="F310" i="1" s="1"/>
  <c r="F305" i="1"/>
  <c r="E305" i="1"/>
  <c r="D305" i="1"/>
  <c r="C305" i="1"/>
  <c r="F299" i="1"/>
  <c r="F298" i="1" s="1"/>
  <c r="E299" i="1"/>
  <c r="D299" i="1"/>
  <c r="C299" i="1"/>
  <c r="C298" i="1" s="1"/>
  <c r="F274" i="1"/>
  <c r="E274" i="1"/>
  <c r="D274" i="1"/>
  <c r="C274" i="1"/>
  <c r="F268" i="1"/>
  <c r="E268" i="1"/>
  <c r="D268" i="1"/>
  <c r="C268" i="1"/>
  <c r="C267" i="1" s="1"/>
  <c r="F214" i="1"/>
  <c r="E214" i="1"/>
  <c r="D214" i="1"/>
  <c r="C214" i="1"/>
  <c r="F208" i="1"/>
  <c r="F207" i="1" s="1"/>
  <c r="F189" i="1" s="1"/>
  <c r="E208" i="1"/>
  <c r="E207" i="1" s="1"/>
  <c r="E189" i="1" s="1"/>
  <c r="D208" i="1"/>
  <c r="D207" i="1" s="1"/>
  <c r="D189" i="1" s="1"/>
  <c r="C208" i="1"/>
  <c r="F244" i="1"/>
  <c r="E244" i="1"/>
  <c r="D244" i="1"/>
  <c r="C244" i="1"/>
  <c r="F238" i="1"/>
  <c r="E238" i="1"/>
  <c r="E237" i="1" s="1"/>
  <c r="E219" i="1" s="1"/>
  <c r="D238" i="1"/>
  <c r="C238" i="1"/>
  <c r="F184" i="1"/>
  <c r="E184" i="1"/>
  <c r="D184" i="1"/>
  <c r="C184" i="1"/>
  <c r="F178" i="1"/>
  <c r="F177" i="1" s="1"/>
  <c r="F159" i="1" s="1"/>
  <c r="E178" i="1"/>
  <c r="E177" i="1" s="1"/>
  <c r="E159" i="1" s="1"/>
  <c r="D178" i="1"/>
  <c r="C178" i="1"/>
  <c r="F154" i="1"/>
  <c r="E154" i="1"/>
  <c r="D154" i="1"/>
  <c r="C154" i="1"/>
  <c r="F148" i="1"/>
  <c r="F147" i="1" s="1"/>
  <c r="F129" i="1" s="1"/>
  <c r="E148" i="1"/>
  <c r="D148" i="1"/>
  <c r="C148" i="1"/>
  <c r="F124" i="1"/>
  <c r="E124" i="1"/>
  <c r="D124" i="1"/>
  <c r="C124" i="1"/>
  <c r="F118" i="1"/>
  <c r="E118" i="1"/>
  <c r="D118" i="1"/>
  <c r="C118" i="1"/>
  <c r="E94" i="1"/>
  <c r="D94" i="1"/>
  <c r="C94" i="1"/>
  <c r="F87" i="1"/>
  <c r="E88" i="1"/>
  <c r="D88" i="1"/>
  <c r="C88" i="1"/>
  <c r="F62" i="1"/>
  <c r="E62" i="1"/>
  <c r="D62" i="1"/>
  <c r="C62" i="1"/>
  <c r="F56" i="1"/>
  <c r="E56" i="1"/>
  <c r="D56" i="1"/>
  <c r="C56" i="1"/>
  <c r="F267" i="1" l="1"/>
  <c r="D267" i="1"/>
  <c r="C601" i="1"/>
  <c r="C583" i="1" s="1"/>
  <c r="E267" i="1"/>
  <c r="C571" i="1"/>
  <c r="C553" i="1" s="1"/>
  <c r="C177" i="1"/>
  <c r="C159" i="1" s="1"/>
  <c r="C147" i="1"/>
  <c r="C129" i="1" s="1"/>
  <c r="C388" i="1"/>
  <c r="C370" i="1" s="1"/>
  <c r="D601" i="1"/>
  <c r="D583" i="1" s="1"/>
  <c r="D298" i="1"/>
  <c r="C87" i="1"/>
  <c r="D117" i="1"/>
  <c r="D99" i="1" s="1"/>
  <c r="F237" i="1"/>
  <c r="F219" i="1" s="1"/>
  <c r="E298" i="1"/>
  <c r="D328" i="1"/>
  <c r="D310" i="1" s="1"/>
  <c r="D418" i="1"/>
  <c r="D400" i="1" s="1"/>
  <c r="C328" i="1"/>
  <c r="C310" i="1" s="1"/>
  <c r="C55" i="1"/>
  <c r="C37" i="1" s="1"/>
  <c r="D55" i="1"/>
  <c r="D37" i="1" s="1"/>
  <c r="D87" i="1"/>
  <c r="E117" i="1"/>
  <c r="E99" i="1" s="1"/>
  <c r="D147" i="1"/>
  <c r="D129" i="1" s="1"/>
  <c r="E328" i="1"/>
  <c r="E310" i="1" s="1"/>
  <c r="D358" i="1"/>
  <c r="D340" i="1" s="1"/>
  <c r="E418" i="1"/>
  <c r="E400" i="1" s="1"/>
  <c r="E55" i="1"/>
  <c r="E37" i="1" s="1"/>
  <c r="E87" i="1"/>
  <c r="D237" i="1"/>
  <c r="D219" i="1" s="1"/>
  <c r="C448" i="1"/>
  <c r="C430" i="1" s="1"/>
  <c r="C541" i="1"/>
  <c r="E510" i="1"/>
  <c r="D479" i="1"/>
  <c r="E448" i="1"/>
  <c r="E430" i="1" s="1"/>
  <c r="F418" i="1"/>
  <c r="F400" i="1" s="1"/>
  <c r="C358" i="1"/>
  <c r="C340" i="1" s="1"/>
  <c r="C237" i="1"/>
  <c r="C219" i="1" s="1"/>
  <c r="E147" i="1"/>
  <c r="E129" i="1" s="1"/>
  <c r="C117" i="1"/>
  <c r="C99" i="1" s="1"/>
  <c r="F117" i="1"/>
  <c r="F99" i="1" s="1"/>
  <c r="F55" i="1"/>
  <c r="F37" i="1" s="1"/>
  <c r="C510" i="1"/>
  <c r="D177" i="1"/>
  <c r="D159" i="1" s="1"/>
  <c r="C207" i="1"/>
  <c r="C189" i="1" s="1"/>
  <c r="D388" i="1"/>
  <c r="D370" i="1" s="1"/>
  <c r="H644" i="1"/>
  <c r="H643" i="1"/>
  <c r="H642" i="1"/>
  <c r="L641" i="1"/>
  <c r="K641" i="1"/>
  <c r="J641" i="1"/>
  <c r="I641" i="1"/>
  <c r="F641" i="1"/>
  <c r="E641" i="1"/>
  <c r="D641" i="1"/>
  <c r="C641" i="1"/>
  <c r="H640" i="1"/>
  <c r="H638" i="1"/>
  <c r="H637" i="1"/>
  <c r="H636" i="1"/>
  <c r="H635" i="1"/>
  <c r="L634" i="1"/>
  <c r="K634" i="1"/>
  <c r="J634" i="1"/>
  <c r="I634" i="1"/>
  <c r="F634" i="1"/>
  <c r="E634" i="1"/>
  <c r="D634" i="1"/>
  <c r="C634" i="1"/>
  <c r="H628" i="1"/>
  <c r="L615" i="1"/>
  <c r="I608" i="1"/>
  <c r="I602" i="1"/>
  <c r="H596" i="1"/>
  <c r="I578" i="1"/>
  <c r="I572" i="1"/>
  <c r="H566" i="1"/>
  <c r="I548" i="1"/>
  <c r="I542" i="1"/>
  <c r="H536" i="1"/>
  <c r="I517" i="1"/>
  <c r="I511" i="1"/>
  <c r="H505" i="1"/>
  <c r="I486" i="1"/>
  <c r="I480" i="1"/>
  <c r="H474" i="1"/>
  <c r="I455" i="1"/>
  <c r="I449" i="1"/>
  <c r="H443" i="1"/>
  <c r="I395" i="1"/>
  <c r="I389" i="1"/>
  <c r="H383" i="1"/>
  <c r="I365" i="1"/>
  <c r="I359" i="1"/>
  <c r="H353" i="1"/>
  <c r="I335" i="1"/>
  <c r="I329" i="1"/>
  <c r="H323" i="1"/>
  <c r="I305" i="1"/>
  <c r="I299" i="1"/>
  <c r="I274" i="1"/>
  <c r="I268" i="1"/>
  <c r="H262" i="1"/>
  <c r="I244" i="1"/>
  <c r="I238" i="1"/>
  <c r="H232" i="1"/>
  <c r="I214" i="1"/>
  <c r="I208" i="1"/>
  <c r="H202" i="1"/>
  <c r="I184" i="1"/>
  <c r="I178" i="1"/>
  <c r="H172" i="1"/>
  <c r="I154" i="1"/>
  <c r="I148" i="1"/>
  <c r="H142" i="1"/>
  <c r="I124" i="1"/>
  <c r="I118" i="1"/>
  <c r="H112" i="1"/>
  <c r="I94" i="1"/>
  <c r="I88" i="1"/>
  <c r="H82" i="1"/>
  <c r="I62" i="1"/>
  <c r="I56" i="1"/>
  <c r="F32" i="1"/>
  <c r="E32" i="1"/>
  <c r="D32" i="1"/>
  <c r="C32" i="1"/>
  <c r="F25" i="1"/>
  <c r="E25" i="1"/>
  <c r="D25" i="1"/>
  <c r="C25" i="1"/>
  <c r="I25" i="1"/>
  <c r="I32" i="1"/>
  <c r="D6" i="2"/>
  <c r="H16" i="2"/>
  <c r="F16" i="2"/>
  <c r="D16" i="2"/>
  <c r="F46" i="2"/>
  <c r="I46" i="2" s="1"/>
  <c r="D46" i="2"/>
  <c r="H46" i="2" s="1"/>
  <c r="H44" i="2"/>
  <c r="F44" i="2"/>
  <c r="D44" i="2"/>
  <c r="H42" i="2"/>
  <c r="F42" i="2"/>
  <c r="D42" i="2"/>
  <c r="H40" i="2"/>
  <c r="F40" i="2"/>
  <c r="D40" i="2"/>
  <c r="H38" i="2"/>
  <c r="F38" i="2"/>
  <c r="D38" i="2"/>
  <c r="H36" i="2"/>
  <c r="F36" i="2"/>
  <c r="D36" i="2"/>
  <c r="H34" i="2"/>
  <c r="F34" i="2"/>
  <c r="D34" i="2"/>
  <c r="H32" i="2"/>
  <c r="F32" i="2"/>
  <c r="D32" i="2"/>
  <c r="H30" i="2"/>
  <c r="F30" i="2"/>
  <c r="D30" i="2"/>
  <c r="H28" i="2"/>
  <c r="F28" i="2"/>
  <c r="D28" i="2"/>
  <c r="H26" i="2"/>
  <c r="F26" i="2"/>
  <c r="D26" i="2"/>
  <c r="H24" i="2"/>
  <c r="F24" i="2"/>
  <c r="D24" i="2"/>
  <c r="H20" i="2"/>
  <c r="F20" i="2"/>
  <c r="D20" i="2"/>
  <c r="H18" i="2"/>
  <c r="F18" i="2"/>
  <c r="D18" i="2"/>
  <c r="H14" i="2"/>
  <c r="F14" i="2"/>
  <c r="D14" i="2"/>
  <c r="H10" i="2"/>
  <c r="F10" i="2"/>
  <c r="D10" i="2"/>
  <c r="H8" i="2"/>
  <c r="F8" i="2"/>
  <c r="D8" i="2"/>
  <c r="H6" i="2"/>
  <c r="F6" i="2"/>
  <c r="J36" i="2" l="1"/>
  <c r="D24" i="1"/>
  <c r="D6" i="1" s="1"/>
  <c r="E24" i="1"/>
  <c r="E6" i="1" s="1"/>
  <c r="I28" i="2"/>
  <c r="K28" i="2" s="1"/>
  <c r="F24" i="1"/>
  <c r="F6" i="1" s="1"/>
  <c r="C633" i="1"/>
  <c r="C613" i="1" s="1"/>
  <c r="F633" i="1"/>
  <c r="F613" i="1" s="1"/>
  <c r="I42" i="2"/>
  <c r="I26" i="2"/>
  <c r="I6" i="2"/>
  <c r="J40" i="2"/>
  <c r="I32" i="2"/>
  <c r="I14" i="2"/>
  <c r="I38" i="2"/>
  <c r="I18" i="2"/>
  <c r="J10" i="2"/>
  <c r="J28" i="2"/>
  <c r="I40" i="2"/>
  <c r="K40" i="2" s="1"/>
  <c r="C24" i="1"/>
  <c r="C6" i="1" s="1"/>
  <c r="I10" i="2"/>
  <c r="K10" i="2" s="1"/>
  <c r="G471" i="1" s="1"/>
  <c r="J18" i="2"/>
  <c r="I30" i="2"/>
  <c r="I36" i="2"/>
  <c r="K36" i="2" s="1"/>
  <c r="G29" i="1" s="1"/>
  <c r="H29" i="1" s="1"/>
  <c r="H641" i="1"/>
  <c r="I8" i="2"/>
  <c r="I34" i="2"/>
  <c r="J6" i="2"/>
  <c r="J32" i="2"/>
  <c r="H634" i="1"/>
  <c r="D633" i="1"/>
  <c r="D613" i="1" s="1"/>
  <c r="E633" i="1"/>
  <c r="E613" i="1" s="1"/>
  <c r="J24" i="2"/>
  <c r="I24" i="2"/>
  <c r="I20" i="2"/>
  <c r="J44" i="2"/>
  <c r="I44" i="2"/>
  <c r="J16" i="2"/>
  <c r="I16" i="2"/>
  <c r="J8" i="2"/>
  <c r="J14" i="2"/>
  <c r="J20" i="2"/>
  <c r="J26" i="2"/>
  <c r="J30" i="2"/>
  <c r="J34" i="2"/>
  <c r="J38" i="2"/>
  <c r="K38" i="2" s="1"/>
  <c r="J42" i="2"/>
  <c r="J46" i="2"/>
  <c r="K46" i="2" s="1"/>
  <c r="G223" i="1" l="1"/>
  <c r="G35" i="1"/>
  <c r="H35" i="1" s="1"/>
  <c r="G116" i="1"/>
  <c r="H116" i="1" s="1"/>
  <c r="H113" i="1" s="1"/>
  <c r="G297" i="1"/>
  <c r="H297" i="1" s="1"/>
  <c r="H294" i="1" s="1"/>
  <c r="G417" i="1"/>
  <c r="H417" i="1" s="1"/>
  <c r="H414" i="1" s="1"/>
  <c r="G478" i="1"/>
  <c r="H478" i="1" s="1"/>
  <c r="H475" i="1" s="1"/>
  <c r="G540" i="1"/>
  <c r="H540" i="1" s="1"/>
  <c r="H537" i="1" s="1"/>
  <c r="G54" i="1"/>
  <c r="H54" i="1" s="1"/>
  <c r="H51" i="1" s="1"/>
  <c r="G357" i="1"/>
  <c r="H357" i="1" s="1"/>
  <c r="H354" i="1" s="1"/>
  <c r="G327" i="1"/>
  <c r="H327" i="1" s="1"/>
  <c r="H324" i="1" s="1"/>
  <c r="G570" i="1"/>
  <c r="H570" i="1" s="1"/>
  <c r="H567" i="1" s="1"/>
  <c r="G86" i="1"/>
  <c r="H86" i="1" s="1"/>
  <c r="H83" i="1" s="1"/>
  <c r="G176" i="1"/>
  <c r="H176" i="1" s="1"/>
  <c r="H173" i="1" s="1"/>
  <c r="G236" i="1"/>
  <c r="H236" i="1" s="1"/>
  <c r="H233" i="1" s="1"/>
  <c r="G266" i="1"/>
  <c r="H266" i="1" s="1"/>
  <c r="H263" i="1" s="1"/>
  <c r="G387" i="1"/>
  <c r="H387" i="1" s="1"/>
  <c r="H384" i="1" s="1"/>
  <c r="G509" i="1"/>
  <c r="H509" i="1" s="1"/>
  <c r="H506" i="1" s="1"/>
  <c r="G600" i="1"/>
  <c r="H600" i="1" s="1"/>
  <c r="H597" i="1" s="1"/>
  <c r="G206" i="1"/>
  <c r="H206" i="1" s="1"/>
  <c r="H203" i="1" s="1"/>
  <c r="G146" i="1"/>
  <c r="H146" i="1" s="1"/>
  <c r="H143" i="1" s="1"/>
  <c r="G447" i="1"/>
  <c r="H447" i="1" s="1"/>
  <c r="H444" i="1" s="1"/>
  <c r="G632" i="1"/>
  <c r="H632" i="1" s="1"/>
  <c r="G23" i="1"/>
  <c r="H23" i="1" s="1"/>
  <c r="K6" i="2"/>
  <c r="H410" i="1"/>
  <c r="H440" i="1"/>
  <c r="H533" i="1"/>
  <c r="H593" i="1"/>
  <c r="H502" i="1"/>
  <c r="H471" i="1"/>
  <c r="H563" i="1"/>
  <c r="H139" i="1"/>
  <c r="H380" i="1"/>
  <c r="H259" i="1"/>
  <c r="H169" i="1"/>
  <c r="H109" i="1"/>
  <c r="H229" i="1"/>
  <c r="H290" i="1"/>
  <c r="H79" i="1"/>
  <c r="H199" i="1"/>
  <c r="H350" i="1"/>
  <c r="H320" i="1"/>
  <c r="G561" i="1"/>
  <c r="H561" i="1" s="1"/>
  <c r="G524" i="1"/>
  <c r="G500" i="1"/>
  <c r="H500" i="1" s="1"/>
  <c r="G585" i="1"/>
  <c r="G462" i="1"/>
  <c r="G432" i="1"/>
  <c r="G525" i="1"/>
  <c r="H525" i="1" s="1"/>
  <c r="G555" i="1"/>
  <c r="G438" i="1"/>
  <c r="H438" i="1" s="1"/>
  <c r="G469" i="1"/>
  <c r="H469" i="1" s="1"/>
  <c r="G531" i="1"/>
  <c r="H531" i="1" s="1"/>
  <c r="G591" i="1"/>
  <c r="H591" i="1" s="1"/>
  <c r="G493" i="1"/>
  <c r="G281" i="1"/>
  <c r="G227" i="1"/>
  <c r="H227" i="1" s="1"/>
  <c r="G191" i="1"/>
  <c r="G137" i="1"/>
  <c r="H137" i="1" s="1"/>
  <c r="G101" i="1"/>
  <c r="G39" i="1"/>
  <c r="G161" i="1"/>
  <c r="G107" i="1"/>
  <c r="H107" i="1" s="1"/>
  <c r="G348" i="1"/>
  <c r="H348" i="1" s="1"/>
  <c r="G402" i="1"/>
  <c r="G342" i="1"/>
  <c r="G69" i="1"/>
  <c r="G167" i="1"/>
  <c r="H167" i="1" s="1"/>
  <c r="G318" i="1"/>
  <c r="H318" i="1" s="1"/>
  <c r="G251" i="1"/>
  <c r="G221" i="1"/>
  <c r="G131" i="1"/>
  <c r="G257" i="1"/>
  <c r="H257" i="1" s="1"/>
  <c r="G77" i="1"/>
  <c r="H77" i="1" s="1"/>
  <c r="G197" i="1"/>
  <c r="H197" i="1" s="1"/>
  <c r="G45" i="1"/>
  <c r="H45" i="1" s="1"/>
  <c r="G312" i="1"/>
  <c r="G372" i="1"/>
  <c r="G288" i="1"/>
  <c r="H288" i="1" s="1"/>
  <c r="G14" i="1"/>
  <c r="H14" i="1" s="1"/>
  <c r="G8" i="1"/>
  <c r="H8" i="1" s="1"/>
  <c r="K42" i="2"/>
  <c r="G489" i="1"/>
  <c r="H489" i="1" s="1"/>
  <c r="G458" i="1"/>
  <c r="H458" i="1" s="1"/>
  <c r="G581" i="1"/>
  <c r="H581" i="1" s="1"/>
  <c r="G611" i="1"/>
  <c r="H611" i="1" s="1"/>
  <c r="G557" i="1"/>
  <c r="H557" i="1" s="1"/>
  <c r="G520" i="1"/>
  <c r="H520" i="1" s="1"/>
  <c r="G488" i="1"/>
  <c r="H488" i="1" s="1"/>
  <c r="G428" i="1"/>
  <c r="H428" i="1" s="1"/>
  <c r="G527" i="1"/>
  <c r="H527" i="1" s="1"/>
  <c r="G551" i="1"/>
  <c r="H551" i="1" s="1"/>
  <c r="G434" i="1"/>
  <c r="H434" i="1" s="1"/>
  <c r="G587" i="1"/>
  <c r="H587" i="1" s="1"/>
  <c r="G496" i="1"/>
  <c r="H496" i="1" s="1"/>
  <c r="G465" i="1"/>
  <c r="H465" i="1" s="1"/>
  <c r="G404" i="1"/>
  <c r="H404" i="1" s="1"/>
  <c r="G344" i="1"/>
  <c r="H344" i="1" s="1"/>
  <c r="G308" i="1"/>
  <c r="H308" i="1" s="1"/>
  <c r="G247" i="1"/>
  <c r="H247" i="1" s="1"/>
  <c r="G253" i="1"/>
  <c r="H253" i="1" s="1"/>
  <c r="G163" i="1"/>
  <c r="H163" i="1" s="1"/>
  <c r="G284" i="1"/>
  <c r="H284" i="1" s="1"/>
  <c r="G193" i="1"/>
  <c r="H193" i="1" s="1"/>
  <c r="G41" i="1"/>
  <c r="H41" i="1" s="1"/>
  <c r="G307" i="1"/>
  <c r="H307" i="1" s="1"/>
  <c r="G277" i="1"/>
  <c r="H277" i="1" s="1"/>
  <c r="G187" i="1"/>
  <c r="H187" i="1" s="1"/>
  <c r="G134" i="1"/>
  <c r="H134" i="1" s="1"/>
  <c r="G97" i="1"/>
  <c r="H97" i="1" s="1"/>
  <c r="G34" i="1"/>
  <c r="H34" i="1" s="1"/>
  <c r="G127" i="1"/>
  <c r="H127" i="1" s="1"/>
  <c r="G338" i="1"/>
  <c r="H338" i="1" s="1"/>
  <c r="G133" i="1"/>
  <c r="H133" i="1" s="1"/>
  <c r="G65" i="1"/>
  <c r="H65" i="1" s="1"/>
  <c r="G217" i="1"/>
  <c r="H217" i="1" s="1"/>
  <c r="G314" i="1"/>
  <c r="H314" i="1" s="1"/>
  <c r="G157" i="1"/>
  <c r="H157" i="1" s="1"/>
  <c r="H154" i="1" s="1"/>
  <c r="J154" i="1" s="1"/>
  <c r="K154" i="1" s="1"/>
  <c r="L154" i="1" s="1"/>
  <c r="G374" i="1"/>
  <c r="H374" i="1" s="1"/>
  <c r="G368" i="1"/>
  <c r="H368" i="1" s="1"/>
  <c r="H365" i="1" s="1"/>
  <c r="J365" i="1" s="1"/>
  <c r="K365" i="1" s="1"/>
  <c r="L365" i="1" s="1"/>
  <c r="G103" i="1"/>
  <c r="H103" i="1" s="1"/>
  <c r="G10" i="1"/>
  <c r="H10" i="1" s="1"/>
  <c r="K26" i="2"/>
  <c r="K34" i="2"/>
  <c r="K32" i="2"/>
  <c r="H223" i="1"/>
  <c r="G213" i="1"/>
  <c r="H213" i="1" s="1"/>
  <c r="K8" i="2"/>
  <c r="G560" i="1" s="1"/>
  <c r="H560" i="1" s="1"/>
  <c r="K44" i="2"/>
  <c r="K30" i="2"/>
  <c r="K18" i="2"/>
  <c r="K14" i="2"/>
  <c r="K16" i="2"/>
  <c r="G27" i="1" s="1"/>
  <c r="H27" i="1" s="1"/>
  <c r="K24" i="2"/>
  <c r="K20" i="2"/>
  <c r="G22" i="1" l="1"/>
  <c r="H22" i="1" s="1"/>
  <c r="G631" i="1"/>
  <c r="H631" i="1" s="1"/>
  <c r="G21" i="1"/>
  <c r="H21" i="1" s="1"/>
  <c r="H20" i="1" s="1"/>
  <c r="G630" i="1"/>
  <c r="H630" i="1" s="1"/>
  <c r="H629" i="1" s="1"/>
  <c r="J614" i="1" s="1"/>
  <c r="K614" i="1" s="1"/>
  <c r="L614" i="1" s="1"/>
  <c r="G60" i="1"/>
  <c r="G454" i="1"/>
  <c r="H454" i="1" s="1"/>
  <c r="G122" i="1"/>
  <c r="G212" i="1"/>
  <c r="H212" i="1" s="1"/>
  <c r="G484" i="1"/>
  <c r="G398" i="1"/>
  <c r="H398" i="1" s="1"/>
  <c r="G273" i="1"/>
  <c r="H273" i="1" s="1"/>
  <c r="G546" i="1"/>
  <c r="H546" i="1" s="1"/>
  <c r="G30" i="1"/>
  <c r="H30" i="1" s="1"/>
  <c r="G577" i="1"/>
  <c r="H577" i="1" s="1"/>
  <c r="G31" i="1"/>
  <c r="H31" i="1" s="1"/>
  <c r="G152" i="1"/>
  <c r="H152" i="1" s="1"/>
  <c r="G485" i="1"/>
  <c r="H485" i="1" s="1"/>
  <c r="G136" i="1"/>
  <c r="H136" i="1" s="1"/>
  <c r="G196" i="1"/>
  <c r="H196" i="1" s="1"/>
  <c r="G437" i="1"/>
  <c r="H437" i="1" s="1"/>
  <c r="H372" i="1"/>
  <c r="L372" i="1"/>
  <c r="H161" i="1"/>
  <c r="L161" i="1"/>
  <c r="H585" i="1"/>
  <c r="L585" i="1"/>
  <c r="H312" i="1"/>
  <c r="L312" i="1"/>
  <c r="H101" i="1"/>
  <c r="L101" i="1"/>
  <c r="G57" i="1"/>
  <c r="H57" i="1" s="1"/>
  <c r="G26" i="1"/>
  <c r="H26" i="1" s="1"/>
  <c r="G334" i="1"/>
  <c r="H334" i="1" s="1"/>
  <c r="G92" i="1"/>
  <c r="H92" i="1" s="1"/>
  <c r="G576" i="1"/>
  <c r="H576" i="1" s="1"/>
  <c r="H572" i="1" s="1"/>
  <c r="J572" i="1" s="1"/>
  <c r="G453" i="1"/>
  <c r="H453" i="1" s="1"/>
  <c r="H449" i="1" s="1"/>
  <c r="J449" i="1" s="1"/>
  <c r="H69" i="1"/>
  <c r="L69" i="1"/>
  <c r="H122" i="1"/>
  <c r="H484" i="1"/>
  <c r="H480" i="1" s="1"/>
  <c r="J480" i="1" s="1"/>
  <c r="H524" i="1"/>
  <c r="L524" i="1"/>
  <c r="G407" i="1"/>
  <c r="H407" i="1" s="1"/>
  <c r="G28" i="1"/>
  <c r="H28" i="1" s="1"/>
  <c r="G59" i="1"/>
  <c r="H59" i="1" s="1"/>
  <c r="G76" i="1"/>
  <c r="H76" i="1" s="1"/>
  <c r="G93" i="1"/>
  <c r="H93" i="1" s="1"/>
  <c r="G304" i="1"/>
  <c r="H304" i="1" s="1"/>
  <c r="G242" i="1"/>
  <c r="G123" i="1"/>
  <c r="H123" i="1" s="1"/>
  <c r="G363" i="1"/>
  <c r="G607" i="1"/>
  <c r="H607" i="1" s="1"/>
  <c r="H342" i="1"/>
  <c r="L342" i="1"/>
  <c r="H191" i="1"/>
  <c r="L191" i="1"/>
  <c r="H555" i="1"/>
  <c r="L555" i="1"/>
  <c r="G317" i="1"/>
  <c r="H317" i="1" s="1"/>
  <c r="L8" i="1"/>
  <c r="H402" i="1"/>
  <c r="L402" i="1"/>
  <c r="H251" i="1"/>
  <c r="L251" i="1"/>
  <c r="G590" i="1"/>
  <c r="H590" i="1" s="1"/>
  <c r="G393" i="1"/>
  <c r="G547" i="1"/>
  <c r="H547" i="1" s="1"/>
  <c r="H131" i="1"/>
  <c r="L131" i="1"/>
  <c r="H281" i="1"/>
  <c r="L281" i="1"/>
  <c r="H432" i="1"/>
  <c r="L432" i="1"/>
  <c r="H39" i="1"/>
  <c r="L39" i="1"/>
  <c r="H60" i="1"/>
  <c r="G303" i="1"/>
  <c r="H303" i="1" s="1"/>
  <c r="G287" i="1"/>
  <c r="H287" i="1" s="1"/>
  <c r="G333" i="1"/>
  <c r="G183" i="1"/>
  <c r="H183" i="1" s="1"/>
  <c r="G272" i="1"/>
  <c r="G606" i="1"/>
  <c r="H606" i="1" s="1"/>
  <c r="G516" i="1"/>
  <c r="H516" i="1" s="1"/>
  <c r="G504" i="1"/>
  <c r="H504" i="1" s="1"/>
  <c r="G473" i="1"/>
  <c r="H473" i="1" s="1"/>
  <c r="G292" i="1"/>
  <c r="H292" i="1" s="1"/>
  <c r="G81" i="1"/>
  <c r="H81" i="1" s="1"/>
  <c r="G231" i="1"/>
  <c r="H231" i="1" s="1"/>
  <c r="G322" i="1"/>
  <c r="H322" i="1" s="1"/>
  <c r="G364" i="1"/>
  <c r="H364" i="1" s="1"/>
  <c r="G153" i="1"/>
  <c r="H153" i="1" s="1"/>
  <c r="G424" i="1"/>
  <c r="H424" i="1" s="1"/>
  <c r="G106" i="1"/>
  <c r="H106" i="1" s="1"/>
  <c r="G468" i="1"/>
  <c r="H468" i="1" s="1"/>
  <c r="G182" i="1"/>
  <c r="H182" i="1" s="1"/>
  <c r="G394" i="1"/>
  <c r="H394" i="1" s="1"/>
  <c r="G243" i="1"/>
  <c r="H243" i="1" s="1"/>
  <c r="G423" i="1"/>
  <c r="H423" i="1" s="1"/>
  <c r="G515" i="1"/>
  <c r="H515" i="1" s="1"/>
  <c r="H221" i="1"/>
  <c r="L221" i="1"/>
  <c r="H493" i="1"/>
  <c r="L493" i="1"/>
  <c r="H462" i="1"/>
  <c r="L462" i="1"/>
  <c r="G559" i="1"/>
  <c r="H559" i="1" s="1"/>
  <c r="G487" i="1"/>
  <c r="G426" i="1"/>
  <c r="G529" i="1"/>
  <c r="H529" i="1" s="1"/>
  <c r="G456" i="1"/>
  <c r="G549" i="1"/>
  <c r="G518" i="1"/>
  <c r="G498" i="1"/>
  <c r="H498" i="1" s="1"/>
  <c r="G609" i="1"/>
  <c r="G589" i="1"/>
  <c r="H589" i="1" s="1"/>
  <c r="G579" i="1"/>
  <c r="G594" i="1"/>
  <c r="H594" i="1" s="1"/>
  <c r="G467" i="1"/>
  <c r="H467" i="1" s="1"/>
  <c r="G436" i="1"/>
  <c r="H436" i="1" s="1"/>
  <c r="G406" i="1"/>
  <c r="H406" i="1" s="1"/>
  <c r="G306" i="1"/>
  <c r="G286" i="1"/>
  <c r="H286" i="1" s="1"/>
  <c r="G225" i="1"/>
  <c r="H225" i="1" s="1"/>
  <c r="G165" i="1"/>
  <c r="H165" i="1" s="1"/>
  <c r="G48" i="1"/>
  <c r="H48" i="1" s="1"/>
  <c r="G376" i="1"/>
  <c r="H376" i="1" s="1"/>
  <c r="G195" i="1"/>
  <c r="H195" i="1" s="1"/>
  <c r="G185" i="1"/>
  <c r="G63" i="1"/>
  <c r="G12" i="1"/>
  <c r="H12" i="1" s="1"/>
  <c r="G43" i="1"/>
  <c r="H43" i="1" s="1"/>
  <c r="G255" i="1"/>
  <c r="H255" i="1" s="1"/>
  <c r="G215" i="1"/>
  <c r="G135" i="1"/>
  <c r="H135" i="1" s="1"/>
  <c r="G105" i="1"/>
  <c r="H105" i="1" s="1"/>
  <c r="G95" i="1"/>
  <c r="G75" i="1"/>
  <c r="H75" i="1" s="1"/>
  <c r="G396" i="1"/>
  <c r="H396" i="1" s="1"/>
  <c r="H395" i="1" s="1"/>
  <c r="J395" i="1" s="1"/>
  <c r="G346" i="1"/>
  <c r="H346" i="1" s="1"/>
  <c r="G336" i="1"/>
  <c r="G316" i="1"/>
  <c r="H316" i="1" s="1"/>
  <c r="G275" i="1"/>
  <c r="G245" i="1"/>
  <c r="G125" i="1"/>
  <c r="G33" i="1"/>
  <c r="H33" i="1" s="1"/>
  <c r="H208" i="1"/>
  <c r="J208" i="1" s="1"/>
  <c r="G470" i="1"/>
  <c r="H470" i="1" s="1"/>
  <c r="G501" i="1"/>
  <c r="H501" i="1" s="1"/>
  <c r="G439" i="1"/>
  <c r="H439" i="1" s="1"/>
  <c r="G532" i="1"/>
  <c r="H532" i="1" s="1"/>
  <c r="G409" i="1"/>
  <c r="H409" i="1" s="1"/>
  <c r="G319" i="1"/>
  <c r="H319" i="1" s="1"/>
  <c r="G283" i="1"/>
  <c r="H283" i="1" s="1"/>
  <c r="G252" i="1"/>
  <c r="H252" i="1" s="1"/>
  <c r="G198" i="1"/>
  <c r="H198" i="1" s="1"/>
  <c r="G168" i="1"/>
  <c r="H168" i="1" s="1"/>
  <c r="G71" i="1"/>
  <c r="H71" i="1" s="1"/>
  <c r="G228" i="1"/>
  <c r="H228" i="1" s="1"/>
  <c r="G15" i="1"/>
  <c r="H15" i="1" s="1"/>
  <c r="G289" i="1"/>
  <c r="H289" i="1" s="1"/>
  <c r="G258" i="1"/>
  <c r="H258" i="1" s="1"/>
  <c r="G46" i="1"/>
  <c r="H46" i="1" s="1"/>
  <c r="G349" i="1"/>
  <c r="H349" i="1" s="1"/>
  <c r="G108" i="1"/>
  <c r="H108" i="1" s="1"/>
  <c r="G347" i="1"/>
  <c r="H347" i="1" s="1"/>
  <c r="G226" i="1"/>
  <c r="H226" i="1" s="1"/>
  <c r="G13" i="1"/>
  <c r="G377" i="1"/>
  <c r="H377" i="1" s="1"/>
  <c r="G499" i="1"/>
  <c r="H499" i="1" s="1"/>
  <c r="G166" i="1"/>
  <c r="H166" i="1" s="1"/>
  <c r="G256" i="1"/>
  <c r="H256" i="1" s="1"/>
  <c r="G44" i="1"/>
  <c r="H44" i="1" s="1"/>
  <c r="G530" i="1"/>
  <c r="H530" i="1" s="1"/>
  <c r="H25" i="1" l="1"/>
  <c r="H13" i="1"/>
  <c r="J7" i="1" s="1"/>
  <c r="H299" i="1"/>
  <c r="J299" i="1" s="1"/>
  <c r="K299" i="1" s="1"/>
  <c r="J190" i="1"/>
  <c r="J250" i="1"/>
  <c r="J492" i="1"/>
  <c r="J280" i="1"/>
  <c r="J311" i="1"/>
  <c r="J160" i="1"/>
  <c r="J401" i="1"/>
  <c r="J554" i="1"/>
  <c r="J341" i="1"/>
  <c r="J523" i="1"/>
  <c r="J461" i="1"/>
  <c r="J431" i="1"/>
  <c r="J130" i="1"/>
  <c r="J584" i="1"/>
  <c r="J371" i="1"/>
  <c r="J220" i="1"/>
  <c r="J100" i="1"/>
  <c r="J68" i="1"/>
  <c r="J38" i="1"/>
  <c r="H419" i="1"/>
  <c r="J419" i="1" s="1"/>
  <c r="K419" i="1" s="1"/>
  <c r="H88" i="1"/>
  <c r="J88" i="1" s="1"/>
  <c r="K88" i="1" s="1"/>
  <c r="H118" i="1"/>
  <c r="J118" i="1" s="1"/>
  <c r="K118" i="1" s="1"/>
  <c r="H602" i="1"/>
  <c r="J602" i="1" s="1"/>
  <c r="K602" i="1" s="1"/>
  <c r="H511" i="1"/>
  <c r="J511" i="1" s="1"/>
  <c r="K511" i="1" s="1"/>
  <c r="H178" i="1"/>
  <c r="J178" i="1" s="1"/>
  <c r="K178" i="1" s="1"/>
  <c r="J25" i="1"/>
  <c r="K25" i="1" s="1"/>
  <c r="H148" i="1"/>
  <c r="J148" i="1" s="1"/>
  <c r="J147" i="1" s="1"/>
  <c r="J56" i="1"/>
  <c r="H542" i="1"/>
  <c r="J542" i="1" s="1"/>
  <c r="K542" i="1" s="1"/>
  <c r="L542" i="1" s="1"/>
  <c r="K480" i="1"/>
  <c r="L480" i="1" s="1"/>
  <c r="H32" i="1"/>
  <c r="J32" i="1" s="1"/>
  <c r="H306" i="1"/>
  <c r="H305" i="1" s="1"/>
  <c r="J305" i="1" s="1"/>
  <c r="H245" i="1"/>
  <c r="H244" i="1" s="1"/>
  <c r="J244" i="1" s="1"/>
  <c r="K244" i="1" s="1"/>
  <c r="L244" i="1" s="1"/>
  <c r="H456" i="1"/>
  <c r="H455" i="1" s="1"/>
  <c r="J455" i="1" s="1"/>
  <c r="H272" i="1"/>
  <c r="H268" i="1" s="1"/>
  <c r="J268" i="1" s="1"/>
  <c r="H125" i="1"/>
  <c r="H124" i="1" s="1"/>
  <c r="J124" i="1" s="1"/>
  <c r="H549" i="1"/>
  <c r="H548" i="1" s="1"/>
  <c r="J548" i="1" s="1"/>
  <c r="H275" i="1"/>
  <c r="H274" i="1" s="1"/>
  <c r="J274" i="1" s="1"/>
  <c r="K274" i="1" s="1"/>
  <c r="L274" i="1" s="1"/>
  <c r="H215" i="1"/>
  <c r="H214" i="1" s="1"/>
  <c r="J214" i="1" s="1"/>
  <c r="H63" i="1"/>
  <c r="H62" i="1" s="1"/>
  <c r="J62" i="1" s="1"/>
  <c r="H95" i="1"/>
  <c r="H94" i="1" s="1"/>
  <c r="J94" i="1" s="1"/>
  <c r="H336" i="1"/>
  <c r="H335" i="1" s="1"/>
  <c r="J335" i="1" s="1"/>
  <c r="H579" i="1"/>
  <c r="H578" i="1" s="1"/>
  <c r="J578" i="1" s="1"/>
  <c r="H426" i="1"/>
  <c r="H425" i="1" s="1"/>
  <c r="J425" i="1" s="1"/>
  <c r="H333" i="1"/>
  <c r="H329" i="1" s="1"/>
  <c r="J329" i="1" s="1"/>
  <c r="H363" i="1"/>
  <c r="H359" i="1" s="1"/>
  <c r="J359" i="1" s="1"/>
  <c r="H185" i="1"/>
  <c r="H184" i="1" s="1"/>
  <c r="J184" i="1" s="1"/>
  <c r="H487" i="1"/>
  <c r="H486" i="1" s="1"/>
  <c r="J486" i="1" s="1"/>
  <c r="H518" i="1"/>
  <c r="H517" i="1" s="1"/>
  <c r="J517" i="1" s="1"/>
  <c r="H609" i="1"/>
  <c r="H608" i="1" s="1"/>
  <c r="J608" i="1" s="1"/>
  <c r="H393" i="1"/>
  <c r="H389" i="1" s="1"/>
  <c r="J389" i="1" s="1"/>
  <c r="H242" i="1"/>
  <c r="H238" i="1" s="1"/>
  <c r="J238" i="1" s="1"/>
  <c r="K395" i="1"/>
  <c r="K449" i="1"/>
  <c r="K572" i="1"/>
  <c r="K208" i="1"/>
  <c r="M614" i="1" l="1"/>
  <c r="K311" i="1"/>
  <c r="L311" i="1" s="1"/>
  <c r="K431" i="1"/>
  <c r="L431" i="1" s="1"/>
  <c r="K280" i="1"/>
  <c r="L280" i="1" s="1"/>
  <c r="K401" i="1"/>
  <c r="L401" i="1" s="1"/>
  <c r="K492" i="1"/>
  <c r="L492" i="1" s="1"/>
  <c r="K148" i="1"/>
  <c r="K147" i="1" s="1"/>
  <c r="K38" i="1"/>
  <c r="L38" i="1" s="1"/>
  <c r="L118" i="1"/>
  <c r="J541" i="1"/>
  <c r="K584" i="1"/>
  <c r="L584" i="1" s="1"/>
  <c r="K56" i="1"/>
  <c r="L56" i="1" s="1"/>
  <c r="K371" i="1"/>
  <c r="L371" i="1" s="1"/>
  <c r="K461" i="1"/>
  <c r="L461" i="1" s="1"/>
  <c r="K100" i="1"/>
  <c r="L100" i="1" s="1"/>
  <c r="J479" i="1"/>
  <c r="K486" i="1"/>
  <c r="L486" i="1" s="1"/>
  <c r="L479" i="1" s="1"/>
  <c r="K554" i="1"/>
  <c r="L554" i="1" s="1"/>
  <c r="K190" i="1"/>
  <c r="L190" i="1" s="1"/>
  <c r="K160" i="1"/>
  <c r="L160" i="1" s="1"/>
  <c r="K523" i="1"/>
  <c r="L523" i="1" s="1"/>
  <c r="K130" i="1"/>
  <c r="L130" i="1" s="1"/>
  <c r="K608" i="1"/>
  <c r="L608" i="1" s="1"/>
  <c r="J601" i="1"/>
  <c r="L148" i="1"/>
  <c r="L147" i="1" s="1"/>
  <c r="K220" i="1"/>
  <c r="L220" i="1" s="1"/>
  <c r="K32" i="1"/>
  <c r="L32" i="1" s="1"/>
  <c r="J24" i="1"/>
  <c r="J55" i="1"/>
  <c r="K62" i="1"/>
  <c r="L62" i="1" s="1"/>
  <c r="K124" i="1"/>
  <c r="J117" i="1"/>
  <c r="J358" i="1"/>
  <c r="K359" i="1"/>
  <c r="K358" i="1" s="1"/>
  <c r="K238" i="1"/>
  <c r="K237" i="1" s="1"/>
  <c r="J237" i="1"/>
  <c r="K214" i="1"/>
  <c r="L214" i="1" s="1"/>
  <c r="J207" i="1"/>
  <c r="K425" i="1"/>
  <c r="L425" i="1" s="1"/>
  <c r="J418" i="1"/>
  <c r="K184" i="1"/>
  <c r="L184" i="1" s="1"/>
  <c r="J177" i="1"/>
  <c r="K268" i="1"/>
  <c r="K267" i="1" s="1"/>
  <c r="J267" i="1"/>
  <c r="K517" i="1"/>
  <c r="L517" i="1" s="1"/>
  <c r="J510" i="1"/>
  <c r="K94" i="1"/>
  <c r="L94" i="1" s="1"/>
  <c r="J87" i="1"/>
  <c r="K455" i="1"/>
  <c r="L455" i="1" s="1"/>
  <c r="J448" i="1"/>
  <c r="K389" i="1"/>
  <c r="L389" i="1" s="1"/>
  <c r="J388" i="1"/>
  <c r="K578" i="1"/>
  <c r="L578" i="1" s="1"/>
  <c r="J571" i="1"/>
  <c r="K335" i="1"/>
  <c r="L335" i="1" s="1"/>
  <c r="J328" i="1"/>
  <c r="K305" i="1"/>
  <c r="L305" i="1" s="1"/>
  <c r="J298" i="1"/>
  <c r="K548" i="1"/>
  <c r="L548" i="1" s="1"/>
  <c r="L541" i="1" s="1"/>
  <c r="K329" i="1"/>
  <c r="L329" i="1" s="1"/>
  <c r="K68" i="1"/>
  <c r="L68" i="1" s="1"/>
  <c r="L572" i="1"/>
  <c r="K341" i="1"/>
  <c r="L341" i="1" s="1"/>
  <c r="L602" i="1"/>
  <c r="L395" i="1"/>
  <c r="K250" i="1"/>
  <c r="L250" i="1" s="1"/>
  <c r="L511" i="1"/>
  <c r="L25" i="1"/>
  <c r="L449" i="1"/>
  <c r="L208" i="1"/>
  <c r="L419" i="1"/>
  <c r="L88" i="1"/>
  <c r="L178" i="1"/>
  <c r="L299" i="1"/>
  <c r="K7" i="1"/>
  <c r="L7" i="1" s="1"/>
  <c r="K479" i="1" l="1"/>
  <c r="K328" i="1"/>
  <c r="K87" i="1"/>
  <c r="K388" i="1"/>
  <c r="L55" i="1"/>
  <c r="L510" i="1"/>
  <c r="L298" i="1"/>
  <c r="K448" i="1"/>
  <c r="K55" i="1"/>
  <c r="K177" i="1"/>
  <c r="K24" i="1"/>
  <c r="K601" i="1"/>
  <c r="L571" i="1"/>
  <c r="L87" i="1"/>
  <c r="L448" i="1"/>
  <c r="L601" i="1"/>
  <c r="L24" i="1"/>
  <c r="K571" i="1"/>
  <c r="K298" i="1"/>
  <c r="L328" i="1"/>
  <c r="L268" i="1"/>
  <c r="L267" i="1" s="1"/>
  <c r="L124" i="1"/>
  <c r="L117" i="1" s="1"/>
  <c r="K117" i="1"/>
  <c r="K418" i="1"/>
  <c r="L388" i="1"/>
  <c r="L238" i="1"/>
  <c r="L237" i="1" s="1"/>
  <c r="L418" i="1"/>
  <c r="K207" i="1"/>
  <c r="K541" i="1"/>
  <c r="L177" i="1"/>
  <c r="L207" i="1"/>
  <c r="K510" i="1"/>
  <c r="L359" i="1"/>
  <c r="L358" i="1" s="1"/>
</calcChain>
</file>

<file path=xl/sharedStrings.xml><?xml version="1.0" encoding="utf-8"?>
<sst xmlns="http://schemas.openxmlformats.org/spreadsheetml/2006/main" count="751" uniqueCount="133">
  <si>
    <t>Наименование должности</t>
  </si>
  <si>
    <t xml:space="preserve">количество штатных единиц </t>
  </si>
  <si>
    <t xml:space="preserve">занятые штатные единицы </t>
  </si>
  <si>
    <t>численность работников, чел.</t>
  </si>
  <si>
    <t>Потребность на 211</t>
  </si>
  <si>
    <t>Итого</t>
  </si>
  <si>
    <t>МАОУ "Прогимназия г.Благовещенска"</t>
  </si>
  <si>
    <t xml:space="preserve">Вспомогательный персонал </t>
  </si>
  <si>
    <t>городской бюджет +родительская плата</t>
  </si>
  <si>
    <t>Помощник воспитателя</t>
  </si>
  <si>
    <t>Младший воспитатель</t>
  </si>
  <si>
    <t>Кастелянша</t>
  </si>
  <si>
    <t>Кладовщик</t>
  </si>
  <si>
    <t>Кухонный рабочий</t>
  </si>
  <si>
    <t>Оператор хлораторной установки</t>
  </si>
  <si>
    <t>Повар</t>
  </si>
  <si>
    <t xml:space="preserve">Сторож </t>
  </si>
  <si>
    <t>Рабочий по комплексному обслуживанию и ремонту зданий</t>
  </si>
  <si>
    <t>Заведующий производством (шеф-повар)</t>
  </si>
  <si>
    <t>Машинист по стирке и ремонту спецодежды</t>
  </si>
  <si>
    <t>Водитель автомобиля</t>
  </si>
  <si>
    <t>Администратор административно-хозяйственной части</t>
  </si>
  <si>
    <t>Юрисконсульт</t>
  </si>
  <si>
    <t>областной бюджет</t>
  </si>
  <si>
    <t>Персонал, численность которого зависит от количества зданий и помещений</t>
  </si>
  <si>
    <t xml:space="preserve">Бухгалтер </t>
  </si>
  <si>
    <t>Бухгалтер 1 категории</t>
  </si>
  <si>
    <t>Ведущий бухгалтер</t>
  </si>
  <si>
    <t xml:space="preserve">Уборщик  служебных помещений </t>
  </si>
  <si>
    <t xml:space="preserve">Дворник </t>
  </si>
  <si>
    <t>Персонал, численность которого не зависит от количества зданий и помещений</t>
  </si>
  <si>
    <t xml:space="preserve">Заведующий хозяйством </t>
  </si>
  <si>
    <t>Секретарь</t>
  </si>
  <si>
    <t xml:space="preserve">Делопроизводитель </t>
  </si>
  <si>
    <t>Должностной оклад</t>
  </si>
  <si>
    <t>Доплата по учреждению</t>
  </si>
  <si>
    <t>Компенсационные выплаты</t>
  </si>
  <si>
    <t>Стимулирующие выплаты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</si>
  <si>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</si>
  <si>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</si>
  <si>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</si>
  <si>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</si>
  <si>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</si>
  <si>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 xml:space="preserve">Гардеробщик </t>
  </si>
  <si>
    <t>Инженер (электроник, програмист)</t>
  </si>
  <si>
    <t>Экономист</t>
  </si>
  <si>
    <t>Секретарь машинистка</t>
  </si>
  <si>
    <t>Бухгалтер 1 кат</t>
  </si>
  <si>
    <t>Заведующий хозяйством, водитель, повар</t>
  </si>
  <si>
    <t>Машинист по стирке и ремонту спецодежды, мойщик посуды</t>
  </si>
  <si>
    <t xml:space="preserve">Машинист по стирке и ремонту спецодежды, </t>
  </si>
  <si>
    <t>Заведующий производством (шеф-повар), младший воспитатель</t>
  </si>
  <si>
    <t xml:space="preserve">Администратор административно-хозяйственной части, </t>
  </si>
  <si>
    <t>Заместитель главного бухгалтера</t>
  </si>
  <si>
    <t>Бухгалтер</t>
  </si>
  <si>
    <t xml:space="preserve">Сторож, </t>
  </si>
  <si>
    <t>Вахтер дворник, уборщик, кастелянша, кладовщик</t>
  </si>
  <si>
    <t>Родительская плата</t>
  </si>
  <si>
    <t>Потребность город 211</t>
  </si>
  <si>
    <t>Потребность город на 213</t>
  </si>
  <si>
    <t>МАДОУ "ЦРР-ДС № 4 г.Благовещенска"</t>
  </si>
  <si>
    <t>МАДОУ "ДС № 3 г.Благовещенска"</t>
  </si>
  <si>
    <t>МАДОУ "ДС № 5 г.Благовещенска"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</si>
  <si>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</si>
  <si>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</si>
  <si>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</si>
  <si>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</si>
  <si>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</si>
  <si>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</si>
  <si>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</si>
  <si>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</si>
  <si>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</si>
  <si>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</si>
  <si>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</si>
  <si>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</si>
  <si>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</si>
  <si>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</si>
  <si>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МАОУ "Школа № 23 г.Благовещенска"</t>
  </si>
  <si>
    <t>МАОУ "Школа № 24 г.Благовещенска"</t>
  </si>
  <si>
    <t>Помощник воспитателя спецгр</t>
  </si>
  <si>
    <t>Младший воспитатель спец</t>
  </si>
  <si>
    <t>Помощник воспитателя спецгрупп</t>
  </si>
  <si>
    <t>Помощник воспитателя спецгруппы</t>
  </si>
  <si>
    <t xml:space="preserve"> младший воспитатель спецгруппы</t>
  </si>
  <si>
    <t>Заведующий учебной частью</t>
  </si>
  <si>
    <t xml:space="preserve">среднесписочная численность работников за январь-сентябрь </t>
  </si>
  <si>
    <t>Размер заработной платы в 2023</t>
  </si>
  <si>
    <t>Рабочий по комплексному обслуживанию и ремонту зданий, помощник воспитателя, Ассистент (помощник) по оказанию технической помощи инвалидам и лицам с ограниченными возможностями здоровья</t>
  </si>
  <si>
    <t>Секретарь, делопроизводитель, кухонный рабочий, оператор хлораторной установки</t>
  </si>
  <si>
    <t xml:space="preserve">городской бюджет </t>
  </si>
  <si>
    <t>Сравнительная таблица по начислению заработной платы в дошкольных учреждениях при установлении новых должностных окладов и процентов с 01.01.2023</t>
  </si>
  <si>
    <t xml:space="preserve">Ассистент (помощник) по оказанию технической помощи инвалидам </t>
  </si>
  <si>
    <t>Помощник воспитателя спец гр</t>
  </si>
  <si>
    <t>Младший воспитатель спецгр</t>
  </si>
  <si>
    <t>Заведующий по учебной части</t>
  </si>
  <si>
    <t>Плановые поступления на 2023  год, всего</t>
  </si>
  <si>
    <t>Заработная плата (9,89%)</t>
  </si>
  <si>
    <t>Потребность на зарплату</t>
  </si>
  <si>
    <t>Отклонение</t>
  </si>
  <si>
    <t>Расчёт обеспеченности заработной платой за счёт родительской платы</t>
  </si>
  <si>
    <t>Плановые поступления родительской платы на 2023 год, из них оплата труда вспомогательного персонала</t>
  </si>
  <si>
    <t>Наименование учреждения</t>
  </si>
  <si>
    <t>плановое число детей в ДОУ (согласно муниц. заданию)</t>
  </si>
  <si>
    <t>Плановые поступления на 2023  год (271)</t>
  </si>
  <si>
    <t>Плановые поступления на 2023  год (271н)</t>
  </si>
  <si>
    <t>Из них:</t>
  </si>
  <si>
    <t>Потребность на оплаты труда</t>
  </si>
  <si>
    <t>211 ФОТ обсл перс (возмещение с города на льготников), рублей в год</t>
  </si>
  <si>
    <r>
      <t xml:space="preserve">Заработная плата </t>
    </r>
    <r>
      <rPr>
        <b/>
        <u/>
        <sz val="8"/>
        <rFont val="Times New Roman"/>
        <family val="1"/>
        <charset val="204"/>
      </rPr>
      <t>(9,89%)</t>
    </r>
  </si>
  <si>
    <t xml:space="preserve">% </t>
  </si>
  <si>
    <r>
      <t>Начисления на выплаты по оплате труда</t>
    </r>
    <r>
      <rPr>
        <b/>
        <u/>
        <sz val="8"/>
        <rFont val="Times New Roman"/>
        <family val="1"/>
        <charset val="204"/>
      </rPr>
      <t xml:space="preserve"> (2,99%)</t>
    </r>
  </si>
  <si>
    <t>МАДОУ ДС № 3</t>
  </si>
  <si>
    <t>МАДОУ ДС № 5</t>
  </si>
  <si>
    <t>МАДОУ ДС № 14</t>
  </si>
  <si>
    <t>МАДОУ ДС № 15</t>
  </si>
  <si>
    <t>МАДОУ ДС № 19</t>
  </si>
  <si>
    <t>МАДОУ ДС № 28</t>
  </si>
  <si>
    <t>МАДОУ ДС № 32</t>
  </si>
  <si>
    <t>МАДОУ ДС № 35</t>
  </si>
  <si>
    <t>МАДОУ ДС № 40</t>
  </si>
  <si>
    <t>МАДОУ ДС № 47</t>
  </si>
  <si>
    <t>МАДОУ ДС № 49</t>
  </si>
  <si>
    <t>МАДОУ ДС № 50</t>
  </si>
  <si>
    <t>МАДОУ ДС № 55</t>
  </si>
  <si>
    <t>МАДОУ ДС № 60</t>
  </si>
  <si>
    <t>МАДОУ ДС № 67</t>
  </si>
  <si>
    <t>МАДОУ ЦРР-ДС № 68</t>
  </si>
  <si>
    <t>МАОУ Школа № 23</t>
  </si>
  <si>
    <t>МАОУ Школа № 24</t>
  </si>
  <si>
    <t>ИТОГО:</t>
  </si>
  <si>
    <t>МАДОУ "ЦРР-ДС № 4"</t>
  </si>
  <si>
    <t>МАОУ Прогимназия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</si>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</sst>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.00&quot;р.&quot;_-;\-* #,##0.00&quot;р.&quot;_-;_-* &quot;-&quot;??&quot;р.&quot;_-;_-@_-"/>
    <numFmt numFmtId="167" formatCode="_(* #,##0.00_);_(* \(#,##0.00\);_(* &quot;-&quot;??_);_(@_)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8"/>
      <name val="Times New Roman"/>
      <family val="1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1" fillId="0" borderId="0" applyFont="0" applyFill="0" applyBorder="0" applyAlignment="0" applyProtection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167" fontId="12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7" fillId="0" borderId="0" xfId="2"/>
    <xf numFmtId="0" fontId="7" fillId="0" borderId="1" xfId="2" applyBorder="1" applyAlignment="1">
      <alignment horizontal="center" vertical="center" wrapText="1"/>
    </xf>
    <xf numFmtId="0" fontId="7" fillId="0" borderId="0" xfId="2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7" fillId="4" borderId="1" xfId="2" applyFill="1" applyBorder="1"/>
    <xf numFmtId="164" fontId="0" fillId="4" borderId="1" xfId="3" applyFont="1" applyFill="1" applyBorder="1"/>
    <xf numFmtId="9" fontId="7" fillId="4" borderId="1" xfId="2" applyNumberFormat="1" applyFill="1" applyBorder="1"/>
    <xf numFmtId="0" fontId="5" fillId="5" borderId="1" xfId="0" applyFont="1" applyFill="1" applyBorder="1" applyAlignment="1">
      <alignment horizontal="justify" vertical="center"/>
    </xf>
    <xf numFmtId="164" fontId="0" fillId="0" borderId="1" xfId="1" applyFont="1" applyBorder="1"/>
    <xf numFmtId="164" fontId="2" fillId="0" borderId="1" xfId="1" applyFont="1" applyBorder="1"/>
    <xf numFmtId="0" fontId="3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0" fillId="0" borderId="0" xfId="0" applyNumberFormat="1"/>
    <xf numFmtId="164" fontId="7" fillId="0" borderId="0" xfId="2" applyNumberFormat="1"/>
    <xf numFmtId="164" fontId="0" fillId="4" borderId="1" xfId="1" applyFont="1" applyFill="1" applyBorder="1"/>
    <xf numFmtId="0" fontId="0" fillId="4" borderId="0" xfId="0" applyFill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64" fontId="3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wrapText="1"/>
    </xf>
    <xf numFmtId="0" fontId="14" fillId="0" borderId="0" xfId="0" applyFont="1" applyAlignment="1"/>
    <xf numFmtId="0" fontId="17" fillId="0" borderId="0" xfId="0" applyFont="1" applyAlignment="1"/>
    <xf numFmtId="49" fontId="1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164" fontId="18" fillId="0" borderId="1" xfId="1" applyFont="1" applyFill="1" applyBorder="1" applyAlignment="1">
      <alignment horizontal="center" vertical="center"/>
    </xf>
    <xf numFmtId="164" fontId="17" fillId="0" borderId="1" xfId="1" applyFont="1" applyBorder="1" applyAlignment="1">
      <alignment horizontal="center"/>
    </xf>
    <xf numFmtId="0" fontId="19" fillId="0" borderId="0" xfId="0" applyFont="1"/>
    <xf numFmtId="0" fontId="5" fillId="0" borderId="0" xfId="25" applyFont="1" applyFill="1"/>
    <xf numFmtId="0" fontId="5" fillId="0" borderId="5" xfId="25" applyFont="1" applyFill="1" applyBorder="1" applyAlignment="1">
      <alignment vertical="top" wrapText="1"/>
    </xf>
    <xf numFmtId="49" fontId="13" fillId="0" borderId="1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top" wrapText="1"/>
    </xf>
    <xf numFmtId="0" fontId="5" fillId="0" borderId="1" xfId="25" applyFont="1" applyFill="1" applyBorder="1" applyAlignment="1">
      <alignment horizontal="center"/>
    </xf>
    <xf numFmtId="0" fontId="5" fillId="0" borderId="1" xfId="25" applyFont="1" applyFill="1" applyBorder="1"/>
    <xf numFmtId="0" fontId="15" fillId="0" borderId="1" xfId="25" applyFont="1" applyFill="1" applyBorder="1"/>
    <xf numFmtId="0" fontId="15" fillId="0" borderId="1" xfId="25" applyFont="1" applyFill="1" applyBorder="1" applyAlignment="1">
      <alignment horizontal="center"/>
    </xf>
    <xf numFmtId="4" fontId="5" fillId="0" borderId="1" xfId="25" applyNumberFormat="1" applyFont="1" applyFill="1" applyBorder="1" applyAlignment="1">
      <alignment horizontal="center"/>
    </xf>
    <xf numFmtId="4" fontId="5" fillId="4" borderId="1" xfId="25" applyNumberFormat="1" applyFont="1" applyFill="1" applyBorder="1" applyAlignment="1">
      <alignment horizontal="center"/>
    </xf>
    <xf numFmtId="4" fontId="5" fillId="0" borderId="0" xfId="25" applyNumberFormat="1" applyFont="1" applyFill="1"/>
    <xf numFmtId="167" fontId="5" fillId="0" borderId="1" xfId="26" applyFont="1" applyFill="1" applyBorder="1"/>
    <xf numFmtId="43" fontId="5" fillId="0" borderId="1" xfId="25" applyNumberFormat="1" applyFont="1" applyFill="1" applyBorder="1"/>
    <xf numFmtId="0" fontId="15" fillId="0" borderId="1" xfId="25" applyFont="1" applyFill="1" applyBorder="1" applyAlignment="1">
      <alignment horizontal="center" vertical="center" wrapText="1"/>
    </xf>
    <xf numFmtId="3" fontId="15" fillId="0" borderId="1" xfId="25" applyNumberFormat="1" applyFont="1" applyFill="1" applyBorder="1" applyAlignment="1">
      <alignment horizontal="center" vertical="center" wrapText="1"/>
    </xf>
    <xf numFmtId="4" fontId="15" fillId="0" borderId="1" xfId="25" applyNumberFormat="1" applyFont="1" applyFill="1" applyBorder="1" applyAlignment="1">
      <alignment horizontal="center" vertical="center" wrapText="1"/>
    </xf>
    <xf numFmtId="4" fontId="5" fillId="0" borderId="0" xfId="25" applyNumberFormat="1" applyFont="1" applyFill="1" applyAlignment="1">
      <alignment horizontal="center" vertical="center" wrapText="1"/>
    </xf>
    <xf numFmtId="167" fontId="5" fillId="0" borderId="1" xfId="26" applyFont="1" applyFill="1" applyBorder="1" applyAlignment="1">
      <alignment horizontal="center" vertical="center" wrapText="1"/>
    </xf>
    <xf numFmtId="0" fontId="5" fillId="0" borderId="0" xfId="25" applyFont="1" applyFill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top" wrapText="1"/>
    </xf>
    <xf numFmtId="0" fontId="15" fillId="0" borderId="1" xfId="25" applyFont="1" applyFill="1" applyBorder="1" applyAlignment="1">
      <alignment horizontal="center" wrapText="1"/>
    </xf>
    <xf numFmtId="4" fontId="5" fillId="0" borderId="1" xfId="25" applyNumberFormat="1" applyFont="1" applyFill="1" applyBorder="1"/>
    <xf numFmtId="4" fontId="15" fillId="0" borderId="1" xfId="25" applyNumberFormat="1" applyFont="1" applyFill="1" applyBorder="1" applyAlignment="1">
      <alignment horizontal="center" vertical="center"/>
    </xf>
    <xf numFmtId="3" fontId="15" fillId="0" borderId="1" xfId="25" applyNumberFormat="1" applyFont="1" applyFill="1" applyBorder="1" applyAlignment="1">
      <alignment horizontal="center" vertical="center"/>
    </xf>
    <xf numFmtId="4" fontId="5" fillId="0" borderId="0" xfId="25" applyNumberFormat="1" applyFont="1" applyFill="1" applyAlignment="1">
      <alignment horizontal="center" vertical="center"/>
    </xf>
    <xf numFmtId="0" fontId="4" fillId="0" borderId="0" xfId="25" applyFont="1" applyFill="1"/>
    <xf numFmtId="0" fontId="21" fillId="0" borderId="0" xfId="25" applyFont="1" applyFill="1"/>
    <xf numFmtId="0" fontId="8" fillId="4" borderId="2" xfId="2" applyFont="1" applyFill="1" applyBorder="1" applyAlignment="1">
      <alignment horizontal="center"/>
    </xf>
    <xf numFmtId="0" fontId="8" fillId="4" borderId="3" xfId="2" applyFont="1" applyFill="1" applyBorder="1" applyAlignment="1">
      <alignment horizontal="center"/>
    </xf>
    <xf numFmtId="0" fontId="8" fillId="4" borderId="4" xfId="2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0" fillId="0" borderId="1" xfId="0" applyBorder="1" applyAlignment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8" fillId="4" borderId="1" xfId="3" applyFont="1" applyFill="1" applyBorder="1" applyAlignment="1">
      <alignment horizontal="center"/>
    </xf>
    <xf numFmtId="165" fontId="8" fillId="4" borderId="1" xfId="3" applyNumberFormat="1" applyFont="1" applyFill="1" applyBorder="1" applyAlignment="1">
      <alignment horizontal="center" wrapText="1"/>
    </xf>
    <xf numFmtId="0" fontId="8" fillId="0" borderId="0" xfId="2" applyFont="1" applyAlignment="1">
      <alignment horizontal="center" wrapText="1"/>
    </xf>
    <xf numFmtId="0" fontId="7" fillId="0" borderId="1" xfId="2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6" fillId="0" borderId="0" xfId="25" applyFont="1" applyFill="1" applyAlignment="1">
      <alignment horizontal="center" vertical="top" wrapText="1"/>
    </xf>
    <xf numFmtId="49" fontId="13" fillId="0" borderId="6" xfId="25" applyNumberFormat="1" applyFont="1" applyFill="1" applyBorder="1" applyAlignment="1">
      <alignment horizontal="center" vertical="center" wrapText="1"/>
    </xf>
    <xf numFmtId="49" fontId="13" fillId="0" borderId="7" xfId="25" applyNumberFormat="1" applyFont="1" applyFill="1" applyBorder="1" applyAlignment="1">
      <alignment horizontal="center" vertical="center"/>
    </xf>
    <xf numFmtId="49" fontId="13" fillId="0" borderId="7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center" wrapText="1"/>
    </xf>
    <xf numFmtId="49" fontId="13" fillId="0" borderId="1" xfId="25" applyNumberFormat="1" applyFont="1" applyFill="1" applyBorder="1" applyAlignment="1">
      <alignment horizontal="center" vertical="center"/>
    </xf>
    <xf numFmtId="49" fontId="13" fillId="0" borderId="2" xfId="25" applyNumberFormat="1" applyFont="1" applyFill="1" applyBorder="1" applyAlignment="1">
      <alignment horizontal="center" vertical="center"/>
    </xf>
    <xf numFmtId="49" fontId="13" fillId="0" borderId="3" xfId="25" applyNumberFormat="1" applyFont="1" applyFill="1" applyBorder="1" applyAlignment="1">
      <alignment horizontal="center" vertical="center"/>
    </xf>
    <xf numFmtId="0" fontId="5" fillId="0" borderId="1" xfId="25" applyFont="1" applyFill="1" applyBorder="1" applyAlignment="1">
      <alignment horizontal="center" wrapText="1"/>
    </xf>
    <xf numFmtId="0" fontId="5" fillId="0" borderId="1" xfId="25" applyFont="1" applyFill="1" applyBorder="1" applyAlignment="1">
      <alignment horizontal="center" vertical="top" wrapText="1"/>
    </xf>
    <xf numFmtId="0" fontId="5" fillId="0" borderId="6" xfId="25" applyFont="1" applyFill="1" applyBorder="1" applyAlignment="1">
      <alignment horizontal="center"/>
    </xf>
    <xf numFmtId="0" fontId="5" fillId="0" borderId="7" xfId="25" applyFont="1" applyFill="1" applyBorder="1" applyAlignment="1">
      <alignment horizontal="center"/>
    </xf>
  </cellXfs>
  <cellStyles count="27">
    <cellStyle name="Excel Built-in Normal" xfId="12"/>
    <cellStyle name="Normal" xfId="24"/>
    <cellStyle name="Денежный 2" xfId="19"/>
    <cellStyle name="Обычный" xfId="0" builtinId="0"/>
    <cellStyle name="Обычный 2" xfId="2"/>
    <cellStyle name="Обычный 2 2" xfId="4"/>
    <cellStyle name="Обычный 2 2 2" xfId="17"/>
    <cellStyle name="Обычный 2 2 2 2" xfId="21"/>
    <cellStyle name="Обычный 2 2 3" xfId="20"/>
    <cellStyle name="Обычный 2 3" xfId="6"/>
    <cellStyle name="Обычный 3" xfId="13"/>
    <cellStyle name="Обычный 3 2" xfId="14"/>
    <cellStyle name="Обычный 3 2 2" xfId="15"/>
    <cellStyle name="Обычный 3 2 2 2" xfId="16"/>
    <cellStyle name="Обычный 4" xfId="18"/>
    <cellStyle name="Обычный 4 2" xfId="23"/>
    <cellStyle name="Обычный 5" xfId="25"/>
    <cellStyle name="Финансовый" xfId="1" builtinId="3"/>
    <cellStyle name="Финансовый 2" xfId="3"/>
    <cellStyle name="Финансовый 2 2" xfId="7"/>
    <cellStyle name="Финансовый 2 3" xfId="22"/>
    <cellStyle name="Финансовый 3" xfId="9"/>
    <cellStyle name="Финансовый 4" xfId="8"/>
    <cellStyle name="Финансовый 5" xfId="10"/>
    <cellStyle name="Финансовый 6" xfId="11"/>
    <cellStyle name="Финансовый 7" xfId="5"/>
    <cellStyle name="Финансовый 8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3"/>
  <sheetViews>
    <sheetView workbookViewId="0">
      <selection activeCell="G32" sqref="G32"/>
    </sheetView>
  </sheetViews>
  <sheetFormatPr defaultColWidth="8.88671875" defaultRowHeight="13.2" x14ac:dyDescent="0.25"/>
  <cols>
    <col min="1" max="1" width="7.88671875" style="11" customWidth="1"/>
    <col min="2" max="4" width="14.33203125" style="11" customWidth="1"/>
    <col min="5" max="5" width="12.33203125" style="11" customWidth="1"/>
    <col min="6" max="6" width="11.109375" style="11" customWidth="1"/>
    <col min="7" max="7" width="9" style="11" customWidth="1"/>
    <col min="8" max="8" width="13.6640625" style="11" customWidth="1"/>
    <col min="9" max="9" width="15.6640625" style="11" customWidth="1"/>
    <col min="10" max="10" width="14.44140625" style="11" customWidth="1"/>
    <col min="11" max="11" width="13.6640625" style="11" customWidth="1"/>
    <col min="12" max="12" width="8.88671875" style="11"/>
    <col min="13" max="13" width="12.6640625" style="11" customWidth="1"/>
    <col min="14" max="14" width="30.6640625" style="11" customWidth="1"/>
    <col min="15" max="16384" width="8.88671875" style="11"/>
  </cols>
  <sheetData>
    <row r="1" spans="1:21" ht="27.6" customHeight="1" x14ac:dyDescent="0.25">
      <c r="A1" s="87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3" spans="1:21" ht="39.6" x14ac:dyDescent="0.25">
      <c r="A3" s="12"/>
      <c r="B3" s="12" t="s">
        <v>34</v>
      </c>
      <c r="C3" s="88" t="s">
        <v>35</v>
      </c>
      <c r="D3" s="88"/>
      <c r="E3" s="88" t="s">
        <v>36</v>
      </c>
      <c r="F3" s="88"/>
      <c r="G3" s="88" t="s">
        <v>37</v>
      </c>
      <c r="H3" s="88"/>
      <c r="I3" s="12" t="s">
        <v>38</v>
      </c>
      <c r="J3" s="12" t="s">
        <v>39</v>
      </c>
      <c r="K3" s="12" t="s">
        <v>40</v>
      </c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x14ac:dyDescent="0.25">
      <c r="A4" s="12"/>
      <c r="B4" s="12"/>
      <c r="C4" s="12" t="s">
        <v>41</v>
      </c>
      <c r="D4" s="12" t="s">
        <v>42</v>
      </c>
      <c r="E4" s="12" t="s">
        <v>41</v>
      </c>
      <c r="F4" s="12" t="s">
        <v>42</v>
      </c>
      <c r="G4" s="12" t="s">
        <v>41</v>
      </c>
      <c r="H4" s="12" t="s">
        <v>42</v>
      </c>
      <c r="I4" s="12"/>
      <c r="J4" s="12"/>
      <c r="K4" s="12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4.4" customHeight="1" x14ac:dyDescent="0.3">
      <c r="A5" s="85" t="s">
        <v>53</v>
      </c>
      <c r="B5" s="85"/>
      <c r="C5" s="85"/>
      <c r="D5" s="85"/>
      <c r="E5" s="85"/>
      <c r="F5" s="85"/>
      <c r="G5" s="85"/>
      <c r="H5" s="85"/>
      <c r="I5" s="85"/>
      <c r="J5" s="85"/>
      <c r="K5" s="85"/>
      <c r="M5" s="81" t="s">
        <v>8</v>
      </c>
      <c r="N5" s="82"/>
    </row>
    <row r="6" spans="1:21" ht="14.4" x14ac:dyDescent="0.3">
      <c r="A6" s="15"/>
      <c r="B6" s="16">
        <v>12800</v>
      </c>
      <c r="C6" s="17">
        <v>1</v>
      </c>
      <c r="D6" s="16">
        <f>B6*C6</f>
        <v>12800</v>
      </c>
      <c r="E6" s="17"/>
      <c r="F6" s="16">
        <f>B6*E6</f>
        <v>0</v>
      </c>
      <c r="G6" s="17">
        <v>0.3</v>
      </c>
      <c r="H6" s="16">
        <f>B6*G6</f>
        <v>3840</v>
      </c>
      <c r="I6" s="16">
        <f>(B6+F6+D6+H6)*30%</f>
        <v>8832</v>
      </c>
      <c r="J6" s="16">
        <f>(B6+F6+D6+H6)*30%</f>
        <v>8832</v>
      </c>
      <c r="K6" s="16">
        <f>B6+F6+I6+J6+H6+D6</f>
        <v>47104</v>
      </c>
      <c r="M6" s="4"/>
      <c r="N6" s="14" t="s">
        <v>9</v>
      </c>
    </row>
    <row r="7" spans="1:21" ht="21.6" customHeight="1" x14ac:dyDescent="0.25">
      <c r="A7" s="78" t="s">
        <v>55</v>
      </c>
      <c r="B7" s="79"/>
      <c r="C7" s="79"/>
      <c r="D7" s="79"/>
      <c r="E7" s="79"/>
      <c r="F7" s="79"/>
      <c r="G7" s="79"/>
      <c r="H7" s="79"/>
      <c r="I7" s="79"/>
      <c r="J7" s="79"/>
      <c r="K7" s="80"/>
      <c r="M7" s="4"/>
      <c r="N7" s="14" t="s">
        <v>10</v>
      </c>
    </row>
    <row r="8" spans="1:21" ht="14.4" x14ac:dyDescent="0.3">
      <c r="A8" s="15"/>
      <c r="B8" s="16">
        <v>8125</v>
      </c>
      <c r="C8" s="17">
        <v>1</v>
      </c>
      <c r="D8" s="16">
        <f>B8*C8</f>
        <v>8125</v>
      </c>
      <c r="E8" s="17">
        <v>0.15</v>
      </c>
      <c r="F8" s="16">
        <f>B8*E8</f>
        <v>1218.75</v>
      </c>
      <c r="G8" s="17">
        <v>0.05</v>
      </c>
      <c r="H8" s="16">
        <f>B8*G8</f>
        <v>406.25</v>
      </c>
      <c r="I8" s="16">
        <f>(B8+F8+D8+H8)*30%</f>
        <v>5362.5</v>
      </c>
      <c r="J8" s="16">
        <f>(B8+F8+D8+H8)*30%</f>
        <v>5362.5</v>
      </c>
      <c r="K8" s="16">
        <f>B8+F8+I8+J8+H8+D8</f>
        <v>28600</v>
      </c>
      <c r="M8" s="4"/>
      <c r="N8" s="14" t="s">
        <v>11</v>
      </c>
    </row>
    <row r="9" spans="1:21" ht="29.4" customHeight="1" x14ac:dyDescent="0.25">
      <c r="A9" s="86" t="s">
        <v>87</v>
      </c>
      <c r="B9" s="86"/>
      <c r="C9" s="86"/>
      <c r="D9" s="86"/>
      <c r="E9" s="86"/>
      <c r="F9" s="86"/>
      <c r="G9" s="86"/>
      <c r="H9" s="86"/>
      <c r="I9" s="86"/>
      <c r="J9" s="86"/>
      <c r="K9" s="86"/>
      <c r="M9" s="4"/>
      <c r="N9" s="14" t="s">
        <v>12</v>
      </c>
    </row>
    <row r="10" spans="1:21" ht="14.4" x14ac:dyDescent="0.3">
      <c r="A10" s="15"/>
      <c r="B10" s="16">
        <v>8600</v>
      </c>
      <c r="C10" s="17">
        <v>1</v>
      </c>
      <c r="D10" s="16">
        <f>B10*C10</f>
        <v>8600</v>
      </c>
      <c r="E10" s="17"/>
      <c r="F10" s="16">
        <f>B10*E10</f>
        <v>0</v>
      </c>
      <c r="G10" s="17">
        <v>0.05</v>
      </c>
      <c r="H10" s="16">
        <f>B10*G10</f>
        <v>430</v>
      </c>
      <c r="I10" s="16">
        <f>(B10+F10+D10+H10)*30%</f>
        <v>5289</v>
      </c>
      <c r="J10" s="16">
        <f>(B10+F10+D10+H10)*30%</f>
        <v>5289</v>
      </c>
      <c r="K10" s="16">
        <f>B10+F10+I10+J10+H10+D10</f>
        <v>28208</v>
      </c>
      <c r="M10" s="4"/>
      <c r="N10" s="14" t="s">
        <v>13</v>
      </c>
    </row>
    <row r="11" spans="1:21" ht="13.8" x14ac:dyDescent="0.25">
      <c r="A11" s="85" t="s">
        <v>82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M11" s="4"/>
      <c r="N11" s="14"/>
    </row>
    <row r="12" spans="1:21" ht="14.4" x14ac:dyDescent="0.3">
      <c r="A12" s="15"/>
      <c r="B12" s="16">
        <v>8600</v>
      </c>
      <c r="C12" s="17">
        <v>1</v>
      </c>
      <c r="D12" s="16">
        <f>B12*C12</f>
        <v>8600</v>
      </c>
      <c r="E12" s="17">
        <v>0.15</v>
      </c>
      <c r="F12" s="16">
        <f>B12*E12</f>
        <v>1290</v>
      </c>
      <c r="G12" s="17">
        <v>0.1</v>
      </c>
      <c r="H12" s="16">
        <f>B12*G12</f>
        <v>860</v>
      </c>
      <c r="I12" s="16">
        <f>(B12+F12+D12+H12)*30%</f>
        <v>5805</v>
      </c>
      <c r="J12" s="16">
        <f>(B12+F12+D12+H12)*30%</f>
        <v>5805</v>
      </c>
      <c r="K12" s="16">
        <f>B12+F12+I12+J12+H12+D12</f>
        <v>30960</v>
      </c>
      <c r="M12" s="4"/>
      <c r="N12" s="14"/>
    </row>
    <row r="13" spans="1:21" ht="13.8" x14ac:dyDescent="0.25">
      <c r="A13" s="78" t="s">
        <v>54</v>
      </c>
      <c r="B13" s="79"/>
      <c r="C13" s="79"/>
      <c r="D13" s="79"/>
      <c r="E13" s="79"/>
      <c r="F13" s="79"/>
      <c r="G13" s="79"/>
      <c r="H13" s="79"/>
      <c r="I13" s="79"/>
      <c r="J13" s="79"/>
      <c r="K13" s="80"/>
      <c r="M13" s="4"/>
      <c r="N13" s="14" t="s">
        <v>14</v>
      </c>
    </row>
    <row r="14" spans="1:21" ht="14.4" x14ac:dyDescent="0.3">
      <c r="A14" s="15"/>
      <c r="B14" s="16">
        <v>9600</v>
      </c>
      <c r="C14" s="17">
        <v>1</v>
      </c>
      <c r="D14" s="16">
        <f>B14*C14</f>
        <v>9600</v>
      </c>
      <c r="E14" s="17"/>
      <c r="F14" s="16">
        <f>B14*E14</f>
        <v>0</v>
      </c>
      <c r="G14" s="17">
        <v>0.2</v>
      </c>
      <c r="H14" s="16">
        <f>B14*G14</f>
        <v>1920</v>
      </c>
      <c r="I14" s="16">
        <f>(B14+F14+D14+H14)*30%</f>
        <v>6336</v>
      </c>
      <c r="J14" s="16">
        <f>(B14+F14+D14+H14)*30%</f>
        <v>6336</v>
      </c>
      <c r="K14" s="16">
        <f>B14+F14+I14+J14+H14+D14</f>
        <v>33792</v>
      </c>
      <c r="M14" s="4"/>
      <c r="N14" s="14" t="s">
        <v>15</v>
      </c>
    </row>
    <row r="15" spans="1:21" ht="13.8" x14ac:dyDescent="0.25">
      <c r="A15" s="78" t="s">
        <v>47</v>
      </c>
      <c r="B15" s="79"/>
      <c r="C15" s="79"/>
      <c r="D15" s="79"/>
      <c r="E15" s="79"/>
      <c r="F15" s="79"/>
      <c r="G15" s="79"/>
      <c r="H15" s="79"/>
      <c r="I15" s="79"/>
      <c r="J15" s="79"/>
      <c r="K15" s="80"/>
      <c r="M15" s="4"/>
      <c r="N15" s="5"/>
    </row>
    <row r="16" spans="1:21" ht="14.4" x14ac:dyDescent="0.3">
      <c r="A16" s="15"/>
      <c r="B16" s="16">
        <v>10400</v>
      </c>
      <c r="C16" s="17">
        <v>1</v>
      </c>
      <c r="D16" s="16">
        <f>B16*C16</f>
        <v>10400</v>
      </c>
      <c r="E16" s="17"/>
      <c r="F16" s="16">
        <f>B16*E16</f>
        <v>0</v>
      </c>
      <c r="G16" s="17">
        <v>0.2</v>
      </c>
      <c r="H16" s="16">
        <f>B16*G16</f>
        <v>2080</v>
      </c>
      <c r="I16" s="16">
        <f>(B16+F16+D16+H16)*30%</f>
        <v>6864</v>
      </c>
      <c r="J16" s="16">
        <f>(B16+F16+D16+H16)*30%</f>
        <v>6864</v>
      </c>
      <c r="K16" s="16">
        <f>B16+F16+I16+J16+H16+D16</f>
        <v>36608</v>
      </c>
      <c r="M16" s="4"/>
      <c r="N16" s="5"/>
    </row>
    <row r="17" spans="1:14" ht="13.8" x14ac:dyDescent="0.25">
      <c r="A17" s="85" t="s">
        <v>27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M17" s="4"/>
      <c r="N17" s="14" t="s">
        <v>16</v>
      </c>
    </row>
    <row r="18" spans="1:14" ht="15.6" customHeight="1" x14ac:dyDescent="0.3">
      <c r="A18" s="15"/>
      <c r="B18" s="16">
        <v>11200</v>
      </c>
      <c r="C18" s="17">
        <v>1</v>
      </c>
      <c r="D18" s="16">
        <f>B18*C18</f>
        <v>11200</v>
      </c>
      <c r="E18" s="17"/>
      <c r="F18" s="16">
        <f>B18*E18</f>
        <v>0</v>
      </c>
      <c r="G18" s="17">
        <v>0.2</v>
      </c>
      <c r="H18" s="16">
        <f>B18*G18</f>
        <v>2240</v>
      </c>
      <c r="I18" s="16">
        <f>(B18+F18+D18+H18)*30%</f>
        <v>7392</v>
      </c>
      <c r="J18" s="16">
        <f>(B18+F18+D18+H18)*30%</f>
        <v>7392</v>
      </c>
      <c r="K18" s="16">
        <f>B18+F18+I18+J18+H18+D18</f>
        <v>39424</v>
      </c>
      <c r="M18" s="4"/>
      <c r="N18" s="14" t="s">
        <v>17</v>
      </c>
    </row>
    <row r="19" spans="1:14" ht="27" customHeight="1" x14ac:dyDescent="0.25">
      <c r="A19" s="78" t="s">
        <v>51</v>
      </c>
      <c r="B19" s="79"/>
      <c r="C19" s="79"/>
      <c r="D19" s="79"/>
      <c r="E19" s="79"/>
      <c r="F19" s="79"/>
      <c r="G19" s="79"/>
      <c r="H19" s="79"/>
      <c r="I19" s="79"/>
      <c r="J19" s="79"/>
      <c r="K19" s="80"/>
      <c r="M19" s="4"/>
      <c r="N19" s="14" t="s">
        <v>18</v>
      </c>
    </row>
    <row r="20" spans="1:14" ht="28.2" customHeight="1" x14ac:dyDescent="0.3">
      <c r="A20" s="15"/>
      <c r="B20" s="16">
        <v>9200</v>
      </c>
      <c r="C20" s="17">
        <v>1</v>
      </c>
      <c r="D20" s="16">
        <f>B20*C20</f>
        <v>9200</v>
      </c>
      <c r="E20" s="17">
        <v>0.05</v>
      </c>
      <c r="F20" s="16">
        <f>B20*E20</f>
        <v>460</v>
      </c>
      <c r="G20" s="17">
        <v>0.1</v>
      </c>
      <c r="H20" s="16">
        <f>B20*G20</f>
        <v>920</v>
      </c>
      <c r="I20" s="16">
        <f>(B20+F20+D20+H20)*30%</f>
        <v>5934</v>
      </c>
      <c r="J20" s="16">
        <f>(B20+F20+D20+H20)*30%</f>
        <v>5934</v>
      </c>
      <c r="K20" s="16">
        <f>B20+F20+I20+J20+H20+D20</f>
        <v>31648</v>
      </c>
      <c r="M20" s="4"/>
      <c r="N20" s="14" t="s">
        <v>50</v>
      </c>
    </row>
    <row r="21" spans="1:14" ht="28.2" customHeight="1" x14ac:dyDescent="0.25">
      <c r="A21" s="78" t="s">
        <v>83</v>
      </c>
      <c r="B21" s="79"/>
      <c r="C21" s="79"/>
      <c r="D21" s="79"/>
      <c r="E21" s="79"/>
      <c r="F21" s="79"/>
      <c r="G21" s="79"/>
      <c r="H21" s="79"/>
      <c r="I21" s="79"/>
      <c r="J21" s="79"/>
      <c r="K21" s="80"/>
      <c r="M21" s="4"/>
      <c r="N21" s="14"/>
    </row>
    <row r="22" spans="1:14" ht="28.2" customHeight="1" x14ac:dyDescent="0.3">
      <c r="A22" s="15"/>
      <c r="B22" s="16">
        <v>9200</v>
      </c>
      <c r="C22" s="17">
        <v>1</v>
      </c>
      <c r="D22" s="16">
        <f>B22*C22</f>
        <v>9200</v>
      </c>
      <c r="E22" s="17">
        <v>0.1</v>
      </c>
      <c r="F22" s="16">
        <f>B22*E22</f>
        <v>920</v>
      </c>
      <c r="G22" s="17">
        <v>0.1</v>
      </c>
      <c r="H22" s="16">
        <f>B22*G22</f>
        <v>920</v>
      </c>
      <c r="I22" s="16">
        <f>(B22+F22+D22+H22)*30%</f>
        <v>6072</v>
      </c>
      <c r="J22" s="16">
        <f>(B22+F22+D22+H22)*30%</f>
        <v>6072</v>
      </c>
      <c r="K22" s="16">
        <f>B22+F22+I22+J22+H22+D22</f>
        <v>32384</v>
      </c>
      <c r="M22" s="4"/>
      <c r="N22" s="14"/>
    </row>
    <row r="23" spans="1:14" ht="13.8" x14ac:dyDescent="0.25">
      <c r="A23" s="85" t="s">
        <v>22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M23" s="4"/>
      <c r="N23" s="14" t="s">
        <v>20</v>
      </c>
    </row>
    <row r="24" spans="1:14" ht="28.2" customHeight="1" x14ac:dyDescent="0.3">
      <c r="A24" s="15"/>
      <c r="B24" s="16">
        <v>9600</v>
      </c>
      <c r="C24" s="17">
        <v>1</v>
      </c>
      <c r="D24" s="16">
        <f>B24*C24</f>
        <v>9600</v>
      </c>
      <c r="E24" s="17"/>
      <c r="F24" s="16">
        <f>B24*E24</f>
        <v>0</v>
      </c>
      <c r="G24" s="17">
        <v>0.4</v>
      </c>
      <c r="H24" s="16">
        <f>B24*G24</f>
        <v>3840</v>
      </c>
      <c r="I24" s="16">
        <f>(B24+F24+D24+H24)*30%</f>
        <v>6912</v>
      </c>
      <c r="J24" s="16">
        <f>(B24+F24+D24+H24)*30%</f>
        <v>6912</v>
      </c>
      <c r="K24" s="16">
        <f>B24+F24+I24+J24+H24+D24</f>
        <v>36864</v>
      </c>
      <c r="M24" s="4"/>
      <c r="N24" s="18" t="s">
        <v>21</v>
      </c>
    </row>
    <row r="25" spans="1:14" ht="13.8" x14ac:dyDescent="0.25">
      <c r="A25" s="78" t="s">
        <v>56</v>
      </c>
      <c r="B25" s="79"/>
      <c r="C25" s="79"/>
      <c r="D25" s="79"/>
      <c r="E25" s="79"/>
      <c r="F25" s="79"/>
      <c r="G25" s="79"/>
      <c r="H25" s="79"/>
      <c r="I25" s="79"/>
      <c r="J25" s="79"/>
      <c r="K25" s="80"/>
      <c r="M25" s="4"/>
      <c r="N25" s="14" t="s">
        <v>22</v>
      </c>
    </row>
    <row r="26" spans="1:14" ht="14.4" customHeight="1" x14ac:dyDescent="0.3">
      <c r="A26" s="15"/>
      <c r="B26" s="16">
        <v>8125</v>
      </c>
      <c r="C26" s="17">
        <v>1</v>
      </c>
      <c r="D26" s="16">
        <f>B26*C26</f>
        <v>8125</v>
      </c>
      <c r="E26" s="17"/>
      <c r="F26" s="16">
        <f>B26*E26</f>
        <v>0</v>
      </c>
      <c r="G26" s="17">
        <v>0.1</v>
      </c>
      <c r="H26" s="16">
        <f>B26*G26</f>
        <v>812.5</v>
      </c>
      <c r="I26" s="16">
        <f>(B26+F26+D26+H26)*30%</f>
        <v>5118.75</v>
      </c>
      <c r="J26" s="16">
        <f>(B26+F26+D26+H26)*30%</f>
        <v>5118.75</v>
      </c>
      <c r="K26" s="16">
        <f>B26+F26+I26+J26+H26+D26</f>
        <v>27300</v>
      </c>
      <c r="M26" s="83" t="s">
        <v>23</v>
      </c>
      <c r="N26" s="83"/>
    </row>
    <row r="27" spans="1:14" ht="14.4" customHeight="1" x14ac:dyDescent="0.3">
      <c r="A27" s="85" t="s">
        <v>43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M27" s="84" t="s">
        <v>24</v>
      </c>
      <c r="N27" s="84"/>
    </row>
    <row r="28" spans="1:14" ht="14.4" x14ac:dyDescent="0.3">
      <c r="A28" s="15"/>
      <c r="B28" s="16"/>
      <c r="C28" s="17">
        <v>1</v>
      </c>
      <c r="D28" s="16">
        <f>B28*C28</f>
        <v>0</v>
      </c>
      <c r="E28" s="17">
        <v>0.15</v>
      </c>
      <c r="F28" s="16">
        <f>B28*E28</f>
        <v>0</v>
      </c>
      <c r="G28" s="17">
        <v>0.1</v>
      </c>
      <c r="H28" s="16">
        <f>B28*G28</f>
        <v>0</v>
      </c>
      <c r="I28" s="16">
        <f>(B28+F28+D28+H28)*30%</f>
        <v>0</v>
      </c>
      <c r="J28" s="16">
        <f>(B28+F28+D28+H28)*30%</f>
        <v>0</v>
      </c>
      <c r="K28" s="16">
        <f>B28+F28+I28+J28+H28+D28</f>
        <v>0</v>
      </c>
      <c r="M28" s="4"/>
      <c r="N28" s="14" t="s">
        <v>25</v>
      </c>
    </row>
    <row r="29" spans="1:14" ht="13.8" x14ac:dyDescent="0.25">
      <c r="A29" s="78" t="s">
        <v>44</v>
      </c>
      <c r="B29" s="79"/>
      <c r="C29" s="79"/>
      <c r="D29" s="79"/>
      <c r="E29" s="79"/>
      <c r="F29" s="79"/>
      <c r="G29" s="79"/>
      <c r="H29" s="79"/>
      <c r="I29" s="79"/>
      <c r="J29" s="79"/>
      <c r="K29" s="80"/>
      <c r="M29" s="4"/>
      <c r="N29" s="14" t="s">
        <v>26</v>
      </c>
    </row>
    <row r="30" spans="1:14" ht="14.4" x14ac:dyDescent="0.3">
      <c r="A30" s="15"/>
      <c r="B30" s="16"/>
      <c r="C30" s="17">
        <v>1</v>
      </c>
      <c r="D30" s="16">
        <f>B30*C30</f>
        <v>0</v>
      </c>
      <c r="E30" s="17"/>
      <c r="F30" s="16">
        <f>B30*E30</f>
        <v>0</v>
      </c>
      <c r="G30" s="17">
        <v>0.2</v>
      </c>
      <c r="H30" s="16">
        <f>B30*G30</f>
        <v>0</v>
      </c>
      <c r="I30" s="16">
        <f>(B30+F30+D30+H30)*30%</f>
        <v>0</v>
      </c>
      <c r="J30" s="16">
        <f>(B30+F30+D30+H30)*30%</f>
        <v>0</v>
      </c>
      <c r="K30" s="16">
        <f>B30+F30+I30+J30+H30+D30</f>
        <v>0</v>
      </c>
      <c r="M30" s="4"/>
      <c r="N30" s="14" t="s">
        <v>27</v>
      </c>
    </row>
    <row r="31" spans="1:14" ht="27.6" x14ac:dyDescent="0.25">
      <c r="A31" s="85" t="s">
        <v>45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M31" s="4"/>
      <c r="N31" s="14" t="s">
        <v>28</v>
      </c>
    </row>
    <row r="32" spans="1:14" ht="14.4" x14ac:dyDescent="0.3">
      <c r="A32" s="15"/>
      <c r="B32" s="16">
        <v>9600</v>
      </c>
      <c r="C32" s="17">
        <v>1</v>
      </c>
      <c r="D32" s="16">
        <f>B32*C32</f>
        <v>9600</v>
      </c>
      <c r="E32" s="17"/>
      <c r="F32" s="16">
        <f>B32*E32</f>
        <v>0</v>
      </c>
      <c r="G32" s="17">
        <v>0.5</v>
      </c>
      <c r="H32" s="16">
        <f>B32*G32</f>
        <v>4800</v>
      </c>
      <c r="I32" s="16">
        <f>(B32+F32+D32+H32)*30%</f>
        <v>7200</v>
      </c>
      <c r="J32" s="16">
        <f>(B32+F32+D32+H32)*30%</f>
        <v>7200</v>
      </c>
      <c r="K32" s="16">
        <f>B32+F32+I32+J32+H32+D32</f>
        <v>38400</v>
      </c>
      <c r="M32" s="4"/>
      <c r="N32" s="14" t="s">
        <v>29</v>
      </c>
    </row>
    <row r="33" spans="1:14" ht="14.4" customHeight="1" x14ac:dyDescent="0.3">
      <c r="A33" s="78" t="s">
        <v>48</v>
      </c>
      <c r="B33" s="79"/>
      <c r="C33" s="79"/>
      <c r="D33" s="79"/>
      <c r="E33" s="79"/>
      <c r="F33" s="79"/>
      <c r="G33" s="79"/>
      <c r="H33" s="79"/>
      <c r="I33" s="79"/>
      <c r="J33" s="79"/>
      <c r="K33" s="80"/>
      <c r="M33" s="84" t="s">
        <v>30</v>
      </c>
      <c r="N33" s="84"/>
    </row>
    <row r="34" spans="1:14" ht="14.4" x14ac:dyDescent="0.3">
      <c r="A34" s="15"/>
      <c r="B34" s="16">
        <v>8800</v>
      </c>
      <c r="C34" s="17">
        <v>1</v>
      </c>
      <c r="D34" s="16">
        <f>B34*C34</f>
        <v>8800</v>
      </c>
      <c r="E34" s="17">
        <v>0.1</v>
      </c>
      <c r="F34" s="16">
        <f>B34*E34</f>
        <v>880</v>
      </c>
      <c r="G34" s="17">
        <v>0.1</v>
      </c>
      <c r="H34" s="16">
        <f>B34*G34</f>
        <v>880</v>
      </c>
      <c r="I34" s="16">
        <f>(B34+F34+D34+H34)*30%</f>
        <v>5808</v>
      </c>
      <c r="J34" s="16">
        <f>(B34+F34+D34+H34)*30%</f>
        <v>5808</v>
      </c>
      <c r="K34" s="16">
        <f>B34+F34+I34+J34+H34+D34</f>
        <v>30976</v>
      </c>
      <c r="M34" s="4"/>
      <c r="N34" s="14" t="s">
        <v>31</v>
      </c>
    </row>
    <row r="35" spans="1:14" ht="27.6" customHeight="1" x14ac:dyDescent="0.25">
      <c r="A35" s="85" t="s">
        <v>94</v>
      </c>
      <c r="B35" s="85"/>
      <c r="C35" s="85"/>
      <c r="D35" s="85"/>
      <c r="E35" s="85"/>
      <c r="F35" s="85"/>
      <c r="G35" s="85"/>
      <c r="H35" s="85"/>
      <c r="I35" s="85"/>
      <c r="J35" s="85"/>
      <c r="K35" s="85"/>
      <c r="M35" s="4"/>
      <c r="N35" s="5" t="s">
        <v>32</v>
      </c>
    </row>
    <row r="36" spans="1:14" ht="42" customHeight="1" x14ac:dyDescent="0.3">
      <c r="A36" s="15"/>
      <c r="B36" s="16">
        <v>12800</v>
      </c>
      <c r="C36" s="17">
        <v>1</v>
      </c>
      <c r="D36" s="16">
        <f>B36*C36</f>
        <v>12800</v>
      </c>
      <c r="E36" s="17"/>
      <c r="F36" s="16">
        <f>B36*E36</f>
        <v>0</v>
      </c>
      <c r="G36" s="17">
        <v>0.2</v>
      </c>
      <c r="H36" s="16">
        <f>B36*G36</f>
        <v>2560</v>
      </c>
      <c r="I36" s="16">
        <f>(B36+F36+D36+H36)*30%</f>
        <v>8448</v>
      </c>
      <c r="J36" s="16">
        <f>(B36+F36+D36+H36)*30%</f>
        <v>8448</v>
      </c>
      <c r="K36" s="16">
        <f>B36+F36+I36+J36+H36+D36</f>
        <v>45056</v>
      </c>
      <c r="M36" s="4"/>
      <c r="N36" s="5" t="s">
        <v>33</v>
      </c>
    </row>
    <row r="37" spans="1:14" x14ac:dyDescent="0.25">
      <c r="A37" s="78" t="s">
        <v>88</v>
      </c>
      <c r="B37" s="79"/>
      <c r="C37" s="79"/>
      <c r="D37" s="79"/>
      <c r="E37" s="79"/>
      <c r="F37" s="79"/>
      <c r="G37" s="79"/>
      <c r="H37" s="79"/>
      <c r="I37" s="79"/>
      <c r="J37" s="79"/>
      <c r="K37" s="80"/>
    </row>
    <row r="38" spans="1:14" ht="14.4" x14ac:dyDescent="0.3">
      <c r="A38" s="15"/>
      <c r="B38" s="16">
        <v>8600</v>
      </c>
      <c r="C38" s="17">
        <v>1</v>
      </c>
      <c r="D38" s="16">
        <f>B38*C38</f>
        <v>8600</v>
      </c>
      <c r="E38" s="17"/>
      <c r="F38" s="16">
        <f>B38*E38</f>
        <v>0</v>
      </c>
      <c r="G38" s="17">
        <v>0.1</v>
      </c>
      <c r="H38" s="16">
        <f>B38*G38</f>
        <v>860</v>
      </c>
      <c r="I38" s="16">
        <f>(B38+F38+D38+H38)*30%</f>
        <v>5418</v>
      </c>
      <c r="J38" s="16">
        <f>(B38+F38+D38+H38)*30%</f>
        <v>5418</v>
      </c>
      <c r="K38" s="16">
        <f>B38+F38+I38+J38+H38+D38</f>
        <v>28896</v>
      </c>
    </row>
    <row r="39" spans="1:14" x14ac:dyDescent="0.25">
      <c r="A39" s="85" t="s">
        <v>49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</row>
    <row r="40" spans="1:14" ht="14.4" x14ac:dyDescent="0.3">
      <c r="A40" s="15"/>
      <c r="B40" s="16">
        <v>8400</v>
      </c>
      <c r="C40" s="17">
        <v>1</v>
      </c>
      <c r="D40" s="16">
        <f>B40*C40</f>
        <v>8400</v>
      </c>
      <c r="E40" s="17"/>
      <c r="F40" s="16">
        <f>B40*E40</f>
        <v>0</v>
      </c>
      <c r="G40" s="17">
        <v>0.1</v>
      </c>
      <c r="H40" s="16">
        <f>B40*G40</f>
        <v>840</v>
      </c>
      <c r="I40" s="16">
        <f>(B40+F40+D40+H40)*30%</f>
        <v>5292</v>
      </c>
      <c r="J40" s="16">
        <f>(B40+F40+D40+H40)*30%</f>
        <v>5292</v>
      </c>
      <c r="K40" s="16">
        <f>B40+F40+I40+J40+H40+D40</f>
        <v>28224</v>
      </c>
    </row>
    <row r="41" spans="1:14" hidden="1" x14ac:dyDescent="0.25">
      <c r="A41" s="78" t="s">
        <v>46</v>
      </c>
      <c r="B41" s="79"/>
      <c r="C41" s="79"/>
      <c r="D41" s="79"/>
      <c r="E41" s="79"/>
      <c r="F41" s="79"/>
      <c r="G41" s="79"/>
      <c r="H41" s="79"/>
      <c r="I41" s="79"/>
      <c r="J41" s="79"/>
      <c r="K41" s="80"/>
    </row>
    <row r="42" spans="1:14" ht="14.4" hidden="1" x14ac:dyDescent="0.3">
      <c r="A42" s="15"/>
      <c r="B42" s="16"/>
      <c r="C42" s="17">
        <v>1</v>
      </c>
      <c r="D42" s="16">
        <f>B42*C42</f>
        <v>0</v>
      </c>
      <c r="E42" s="17"/>
      <c r="F42" s="16">
        <f>B42*E42</f>
        <v>0</v>
      </c>
      <c r="G42" s="17"/>
      <c r="H42" s="16">
        <f>B42*G42</f>
        <v>0</v>
      </c>
      <c r="I42" s="16">
        <f>(B42+F42+D42+H42)*30%</f>
        <v>0</v>
      </c>
      <c r="J42" s="16">
        <f>(B42+F42+D42+H42)*30%</f>
        <v>0</v>
      </c>
      <c r="K42" s="16">
        <f>B42+F42+I42+J42+H42+D42</f>
        <v>0</v>
      </c>
    </row>
    <row r="43" spans="1:14" x14ac:dyDescent="0.25">
      <c r="A43" s="85" t="s">
        <v>52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</row>
    <row r="44" spans="1:14" ht="14.4" x14ac:dyDescent="0.3">
      <c r="A44" s="15"/>
      <c r="B44" s="16">
        <v>12800</v>
      </c>
      <c r="C44" s="17">
        <v>1</v>
      </c>
      <c r="D44" s="16">
        <f>B44*C44</f>
        <v>12800</v>
      </c>
      <c r="E44" s="17"/>
      <c r="F44" s="16">
        <f>B44*E44</f>
        <v>0</v>
      </c>
      <c r="G44" s="17">
        <v>0.2</v>
      </c>
      <c r="H44" s="16">
        <f>B44*G44</f>
        <v>2560</v>
      </c>
      <c r="I44" s="16">
        <f>(B44+F44+D44+H44)*30%</f>
        <v>8448</v>
      </c>
      <c r="J44" s="16">
        <f>(B44+F44+D44+H44)*30%</f>
        <v>8448</v>
      </c>
      <c r="K44" s="16">
        <f>B44+F44+I44+J44+H44+D44</f>
        <v>45056</v>
      </c>
    </row>
    <row r="45" spans="1:14" x14ac:dyDescent="0.25">
      <c r="A45" s="78"/>
      <c r="B45" s="79"/>
      <c r="C45" s="79"/>
      <c r="D45" s="79"/>
      <c r="E45" s="79"/>
      <c r="F45" s="79"/>
      <c r="G45" s="79"/>
      <c r="H45" s="79"/>
      <c r="I45" s="79"/>
      <c r="J45" s="79"/>
      <c r="K45" s="80"/>
    </row>
    <row r="46" spans="1:14" ht="14.4" x14ac:dyDescent="0.3">
      <c r="A46" s="15"/>
      <c r="B46" s="16"/>
      <c r="C46" s="15"/>
      <c r="D46" s="16">
        <f>B46*C46</f>
        <v>0</v>
      </c>
      <c r="E46" s="17"/>
      <c r="F46" s="16">
        <f>B46*E46</f>
        <v>0</v>
      </c>
      <c r="G46" s="17"/>
      <c r="H46" s="16">
        <f>D46*G46</f>
        <v>0</v>
      </c>
      <c r="I46" s="16">
        <f>(B46+F46)*30%</f>
        <v>0</v>
      </c>
      <c r="J46" s="16">
        <f>(B46+F46)*30%</f>
        <v>0</v>
      </c>
      <c r="K46" s="16">
        <f>B46+F46+I46+J46</f>
        <v>0</v>
      </c>
    </row>
    <row r="263" spans="7:7" x14ac:dyDescent="0.25">
      <c r="G263" s="35">
        <f>'расчёт зарплаты'!K12</f>
        <v>30960</v>
      </c>
    </row>
  </sheetData>
  <mergeCells count="29">
    <mergeCell ref="A1:K1"/>
    <mergeCell ref="C3:D3"/>
    <mergeCell ref="E3:F3"/>
    <mergeCell ref="G3:H3"/>
    <mergeCell ref="A5:K5"/>
    <mergeCell ref="A41:K41"/>
    <mergeCell ref="A43:K43"/>
    <mergeCell ref="A11:K11"/>
    <mergeCell ref="A21:K21"/>
    <mergeCell ref="A7:K7"/>
    <mergeCell ref="A13:K13"/>
    <mergeCell ref="A17:K17"/>
    <mergeCell ref="A19:K19"/>
    <mergeCell ref="A45:K45"/>
    <mergeCell ref="M5:N5"/>
    <mergeCell ref="M26:N26"/>
    <mergeCell ref="M27:N27"/>
    <mergeCell ref="M33:N33"/>
    <mergeCell ref="A15:K15"/>
    <mergeCell ref="A27:K27"/>
    <mergeCell ref="A29:K29"/>
    <mergeCell ref="A31:K31"/>
    <mergeCell ref="A33:K33"/>
    <mergeCell ref="A35:K35"/>
    <mergeCell ref="A37:K37"/>
    <mergeCell ref="A9:K9"/>
    <mergeCell ref="A23:K23"/>
    <mergeCell ref="A25:K25"/>
    <mergeCell ref="A39:K39"/>
  </mergeCells>
  <pageMargins left="0.31496062992125984" right="0.31496062992125984" top="0.55118110236220474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781"/>
  <sheetViews>
    <sheetView workbookViewId="0">
      <pane xSplit="2" ySplit="5" topLeftCell="C625" activePane="bottomRight" state="frozen"/>
      <selection pane="topRight" activeCell="C1" sqref="C1"/>
      <selection pane="bottomLeft" activeCell="A6" sqref="A6"/>
      <selection pane="bottomRight" activeCell="M629" sqref="M629"/>
    </sheetView>
  </sheetViews>
  <sheetFormatPr defaultRowHeight="14.4" x14ac:dyDescent="0.3"/>
  <cols>
    <col min="1" max="1" width="4.109375" customWidth="1"/>
    <col min="2" max="2" width="27.109375" customWidth="1"/>
    <col min="3" max="3" width="10.6640625" customWidth="1"/>
    <col min="4" max="4" width="10.109375" customWidth="1"/>
    <col min="5" max="5" width="18.5546875" customWidth="1"/>
    <col min="6" max="6" width="13" customWidth="1"/>
    <col min="7" max="7" width="14.44140625" customWidth="1"/>
    <col min="8" max="8" width="17.44140625" customWidth="1"/>
    <col min="9" max="9" width="17.33203125" customWidth="1"/>
    <col min="10" max="11" width="18.5546875" customWidth="1"/>
    <col min="12" max="12" width="20" customWidth="1"/>
    <col min="13" max="13" width="16.5546875" customWidth="1"/>
  </cols>
  <sheetData>
    <row r="4" spans="1:12" ht="76.2" customHeight="1" x14ac:dyDescent="0.3">
      <c r="A4" s="1"/>
      <c r="B4" s="3" t="s">
        <v>0</v>
      </c>
      <c r="C4" s="2" t="s">
        <v>1</v>
      </c>
      <c r="D4" s="2" t="s">
        <v>2</v>
      </c>
      <c r="E4" s="2" t="s">
        <v>85</v>
      </c>
      <c r="F4" s="2" t="s">
        <v>3</v>
      </c>
      <c r="G4" s="2" t="s">
        <v>86</v>
      </c>
      <c r="H4" s="2" t="s">
        <v>4</v>
      </c>
      <c r="I4" s="2" t="s">
        <v>57</v>
      </c>
      <c r="J4" s="2" t="s">
        <v>58</v>
      </c>
      <c r="K4" s="2" t="s">
        <v>59</v>
      </c>
      <c r="L4" s="2" t="s">
        <v>5</v>
      </c>
    </row>
    <row r="5" spans="1:12" x14ac:dyDescent="0.3">
      <c r="A5" s="89" t="s">
        <v>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</row>
    <row r="6" spans="1:12" ht="14.4" customHeight="1" x14ac:dyDescent="0.3">
      <c r="A6" s="81" t="s">
        <v>7</v>
      </c>
      <c r="B6" s="82"/>
      <c r="C6" s="8">
        <f>C7+C24+C20</f>
        <v>214.25</v>
      </c>
      <c r="D6" s="8">
        <f>D7+D24+D20</f>
        <v>185</v>
      </c>
      <c r="E6" s="8">
        <f>E7+E24+E20</f>
        <v>152</v>
      </c>
      <c r="F6" s="8">
        <f>F7+F24+F20</f>
        <v>185</v>
      </c>
      <c r="G6" s="19"/>
      <c r="H6" s="19"/>
      <c r="I6" s="19"/>
      <c r="J6" s="19"/>
      <c r="K6" s="19"/>
      <c r="L6" s="19"/>
    </row>
    <row r="7" spans="1:12" ht="27.6" customHeight="1" x14ac:dyDescent="0.3">
      <c r="A7" s="81" t="s">
        <v>89</v>
      </c>
      <c r="B7" s="82"/>
      <c r="C7" s="40">
        <f t="shared" ref="C7:G7" si="0">SUM(C8:C19)</f>
        <v>149.25</v>
      </c>
      <c r="D7" s="40">
        <f t="shared" si="0"/>
        <v>139</v>
      </c>
      <c r="E7" s="40">
        <f t="shared" si="0"/>
        <v>113</v>
      </c>
      <c r="F7" s="40">
        <f t="shared" si="0"/>
        <v>139</v>
      </c>
      <c r="G7" s="40">
        <f t="shared" si="0"/>
        <v>202398.4</v>
      </c>
      <c r="H7" s="40">
        <f>SUM(H8:H19)</f>
        <v>43473840</v>
      </c>
      <c r="I7" s="20"/>
      <c r="J7" s="20">
        <f>H7-I7</f>
        <v>43473840</v>
      </c>
      <c r="K7" s="20">
        <f>J7*30.2%</f>
        <v>13129099.68</v>
      </c>
      <c r="L7" s="20">
        <f>J7+K7</f>
        <v>56602939.68</v>
      </c>
    </row>
    <row r="8" spans="1:12" x14ac:dyDescent="0.3">
      <c r="A8" s="4"/>
      <c r="B8" s="5" t="s">
        <v>9</v>
      </c>
      <c r="C8" s="9">
        <v>77.75</v>
      </c>
      <c r="D8" s="9">
        <v>76</v>
      </c>
      <c r="E8" s="9">
        <v>67</v>
      </c>
      <c r="F8" s="9">
        <v>76</v>
      </c>
      <c r="G8" s="19">
        <f>'расчёт зарплаты'!K10</f>
        <v>28208</v>
      </c>
      <c r="H8" s="19">
        <f>E8*G8*12+ ((D8-E8)*G8/2*12)</f>
        <v>24202464</v>
      </c>
      <c r="I8" s="19"/>
      <c r="J8" s="19"/>
      <c r="K8" s="19"/>
      <c r="L8" s="19">
        <f>G8*K8*12</f>
        <v>0</v>
      </c>
    </row>
    <row r="9" spans="1:12" x14ac:dyDescent="0.3">
      <c r="A9" s="4"/>
      <c r="B9" s="5" t="s">
        <v>10</v>
      </c>
      <c r="C9" s="9">
        <v>0</v>
      </c>
      <c r="D9" s="9">
        <v>0</v>
      </c>
      <c r="E9" s="9">
        <v>0</v>
      </c>
      <c r="F9" s="9">
        <v>0</v>
      </c>
      <c r="G9" s="19">
        <v>25862.400000000001</v>
      </c>
      <c r="H9" s="19">
        <f t="shared" ref="H9:H24" si="1">E9*G9*12+ ((D9-E9)*G9/2*12)</f>
        <v>0</v>
      </c>
      <c r="I9" s="19"/>
      <c r="J9" s="19"/>
      <c r="K9" s="19"/>
      <c r="L9" s="19"/>
    </row>
    <row r="10" spans="1:12" x14ac:dyDescent="0.3">
      <c r="A10" s="4"/>
      <c r="B10" s="5" t="s">
        <v>13</v>
      </c>
      <c r="C10" s="9">
        <v>15.5</v>
      </c>
      <c r="D10" s="9">
        <v>12</v>
      </c>
      <c r="E10" s="9">
        <v>7</v>
      </c>
      <c r="F10" s="9">
        <v>12</v>
      </c>
      <c r="G10" s="19">
        <f>'расчёт зарплаты'!K38</f>
        <v>28896</v>
      </c>
      <c r="H10" s="19">
        <f t="shared" si="1"/>
        <v>3294144</v>
      </c>
      <c r="I10" s="19"/>
      <c r="J10" s="19"/>
      <c r="K10" s="19"/>
      <c r="L10" s="19"/>
    </row>
    <row r="11" spans="1:12" ht="28.2" x14ac:dyDescent="0.3">
      <c r="A11" s="4"/>
      <c r="B11" s="5" t="s">
        <v>14</v>
      </c>
      <c r="C11" s="9"/>
      <c r="D11" s="9"/>
      <c r="E11" s="9"/>
      <c r="F11" s="9"/>
      <c r="G11" s="19"/>
      <c r="H11" s="19">
        <f t="shared" si="1"/>
        <v>0</v>
      </c>
      <c r="I11" s="19"/>
      <c r="J11" s="19"/>
      <c r="K11" s="19"/>
      <c r="L11" s="19"/>
    </row>
    <row r="12" spans="1:12" x14ac:dyDescent="0.3">
      <c r="A12" s="4"/>
      <c r="B12" s="5" t="s">
        <v>15</v>
      </c>
      <c r="C12" s="9">
        <v>19</v>
      </c>
      <c r="D12" s="9">
        <v>14</v>
      </c>
      <c r="E12" s="9">
        <v>9</v>
      </c>
      <c r="F12" s="9">
        <v>14</v>
      </c>
      <c r="G12" s="19">
        <f>'расчёт зарплаты'!K34</f>
        <v>30976</v>
      </c>
      <c r="H12" s="19">
        <f t="shared" si="1"/>
        <v>4274688</v>
      </c>
      <c r="I12" s="19"/>
      <c r="J12" s="19"/>
      <c r="K12" s="19"/>
      <c r="L12" s="19"/>
    </row>
    <row r="13" spans="1:12" x14ac:dyDescent="0.3">
      <c r="A13" s="4"/>
      <c r="B13" s="5" t="s">
        <v>16</v>
      </c>
      <c r="C13" s="9">
        <v>27</v>
      </c>
      <c r="D13" s="9">
        <v>27</v>
      </c>
      <c r="E13" s="9">
        <v>22</v>
      </c>
      <c r="F13" s="9">
        <v>27</v>
      </c>
      <c r="G13" s="19">
        <f>'расчёт зарплаты'!K8</f>
        <v>28600</v>
      </c>
      <c r="H13" s="19">
        <f t="shared" si="1"/>
        <v>8408400</v>
      </c>
      <c r="I13" s="19"/>
      <c r="J13" s="19"/>
      <c r="K13" s="19"/>
      <c r="L13" s="19"/>
    </row>
    <row r="14" spans="1:12" ht="42" x14ac:dyDescent="0.3">
      <c r="A14" s="4"/>
      <c r="B14" s="5" t="s">
        <v>17</v>
      </c>
      <c r="C14" s="9">
        <v>4</v>
      </c>
      <c r="D14" s="9">
        <v>4</v>
      </c>
      <c r="E14" s="9">
        <v>2</v>
      </c>
      <c r="F14" s="9">
        <v>4</v>
      </c>
      <c r="G14" s="19">
        <f>'расчёт зарплаты'!K10</f>
        <v>28208</v>
      </c>
      <c r="H14" s="19">
        <f t="shared" si="1"/>
        <v>1015488</v>
      </c>
      <c r="I14" s="19"/>
      <c r="J14" s="19"/>
      <c r="K14" s="19"/>
      <c r="L14" s="19"/>
    </row>
    <row r="15" spans="1:12" ht="28.2" x14ac:dyDescent="0.3">
      <c r="A15" s="4"/>
      <c r="B15" s="5" t="s">
        <v>18</v>
      </c>
      <c r="C15" s="9">
        <v>6</v>
      </c>
      <c r="D15" s="9">
        <v>6</v>
      </c>
      <c r="E15" s="9">
        <v>6</v>
      </c>
      <c r="F15" s="9">
        <v>6</v>
      </c>
      <c r="G15" s="19">
        <f>'расчёт зарплаты'!K20</f>
        <v>31648</v>
      </c>
      <c r="H15" s="19">
        <f t="shared" si="1"/>
        <v>2278656</v>
      </c>
      <c r="I15" s="19"/>
      <c r="J15" s="19"/>
      <c r="K15" s="19"/>
      <c r="L15" s="19"/>
    </row>
    <row r="16" spans="1:12" ht="42" x14ac:dyDescent="0.3">
      <c r="A16" s="4"/>
      <c r="B16" s="5" t="s">
        <v>91</v>
      </c>
      <c r="C16" s="9"/>
      <c r="D16" s="9"/>
      <c r="E16" s="9"/>
      <c r="F16" s="9"/>
      <c r="G16" s="19"/>
      <c r="H16" s="19">
        <f t="shared" si="1"/>
        <v>0</v>
      </c>
      <c r="I16" s="19"/>
      <c r="J16" s="19"/>
      <c r="K16" s="19"/>
      <c r="L16" s="19"/>
    </row>
    <row r="17" spans="1:13" x14ac:dyDescent="0.3">
      <c r="A17" s="4"/>
      <c r="B17" s="5" t="s">
        <v>20</v>
      </c>
      <c r="C17" s="9">
        <v>0</v>
      </c>
      <c r="D17" s="9">
        <v>0</v>
      </c>
      <c r="E17" s="9">
        <v>0</v>
      </c>
      <c r="F17" s="9">
        <v>0</v>
      </c>
      <c r="G17" s="19"/>
      <c r="H17" s="19">
        <f t="shared" si="1"/>
        <v>0</v>
      </c>
      <c r="I17" s="19"/>
      <c r="J17" s="19"/>
      <c r="K17" s="19"/>
      <c r="L17" s="19"/>
    </row>
    <row r="18" spans="1:13" ht="39.6" x14ac:dyDescent="0.3">
      <c r="A18" s="4"/>
      <c r="B18" s="6" t="s">
        <v>21</v>
      </c>
      <c r="C18" s="9"/>
      <c r="D18" s="9"/>
      <c r="E18" s="9"/>
      <c r="F18" s="9"/>
      <c r="G18" s="19"/>
      <c r="H18" s="19">
        <f t="shared" si="1"/>
        <v>0</v>
      </c>
      <c r="I18" s="19"/>
      <c r="J18" s="19"/>
      <c r="K18" s="19"/>
      <c r="L18" s="19"/>
    </row>
    <row r="19" spans="1:13" x14ac:dyDescent="0.3">
      <c r="A19" s="4"/>
      <c r="B19" s="5" t="s">
        <v>22</v>
      </c>
      <c r="C19" s="9"/>
      <c r="D19" s="9"/>
      <c r="E19" s="9"/>
      <c r="F19" s="9"/>
      <c r="G19" s="19"/>
      <c r="H19" s="19">
        <f t="shared" si="1"/>
        <v>0</v>
      </c>
      <c r="I19" s="19"/>
      <c r="J19" s="19"/>
      <c r="K19" s="19"/>
      <c r="L19" s="19"/>
    </row>
    <row r="20" spans="1:13" x14ac:dyDescent="0.3">
      <c r="A20" s="38" t="s">
        <v>57</v>
      </c>
      <c r="B20" s="39"/>
      <c r="C20" s="41">
        <f>C21+C22+C23</f>
        <v>28</v>
      </c>
      <c r="D20" s="41">
        <f t="shared" ref="D20:L20" si="2">D21+D22+D23</f>
        <v>16</v>
      </c>
      <c r="E20" s="41">
        <f t="shared" si="2"/>
        <v>16</v>
      </c>
      <c r="F20" s="41">
        <f t="shared" si="2"/>
        <v>16</v>
      </c>
      <c r="G20" s="41"/>
      <c r="H20" s="42">
        <f t="shared" si="2"/>
        <v>5297040</v>
      </c>
      <c r="I20" s="42">
        <f t="shared" si="2"/>
        <v>0</v>
      </c>
      <c r="J20" s="42">
        <f t="shared" si="2"/>
        <v>0</v>
      </c>
      <c r="K20" s="42">
        <f t="shared" si="2"/>
        <v>0</v>
      </c>
      <c r="L20" s="42">
        <f t="shared" si="2"/>
        <v>0</v>
      </c>
    </row>
    <row r="21" spans="1:13" x14ac:dyDescent="0.3">
      <c r="A21" s="4"/>
      <c r="B21" s="5" t="s">
        <v>11</v>
      </c>
      <c r="C21" s="9">
        <v>8.25</v>
      </c>
      <c r="D21" s="9">
        <v>6</v>
      </c>
      <c r="E21" s="9">
        <v>4</v>
      </c>
      <c r="F21" s="9">
        <v>6</v>
      </c>
      <c r="G21" s="19">
        <f>'расчёт зарплаты'!K26</f>
        <v>27300</v>
      </c>
      <c r="H21" s="19">
        <f t="shared" si="1"/>
        <v>1638000</v>
      </c>
      <c r="I21" s="19"/>
      <c r="J21" s="19"/>
      <c r="K21" s="19"/>
      <c r="L21" s="19"/>
    </row>
    <row r="22" spans="1:13" x14ac:dyDescent="0.3">
      <c r="A22" s="4"/>
      <c r="B22" s="5" t="s">
        <v>12</v>
      </c>
      <c r="C22" s="9">
        <v>8.5</v>
      </c>
      <c r="D22" s="9">
        <v>6</v>
      </c>
      <c r="E22" s="9">
        <v>6</v>
      </c>
      <c r="F22" s="9">
        <v>6</v>
      </c>
      <c r="G22" s="19">
        <f>'расчёт зарплаты'!K26</f>
        <v>27300</v>
      </c>
      <c r="H22" s="19">
        <f t="shared" si="1"/>
        <v>1965600</v>
      </c>
      <c r="I22" s="19"/>
      <c r="J22" s="19"/>
      <c r="K22" s="19"/>
      <c r="L22" s="19"/>
    </row>
    <row r="23" spans="1:13" ht="28.2" x14ac:dyDescent="0.3">
      <c r="A23" s="4"/>
      <c r="B23" s="5" t="s">
        <v>19</v>
      </c>
      <c r="C23" s="9">
        <v>11.25</v>
      </c>
      <c r="D23" s="9">
        <v>4</v>
      </c>
      <c r="E23" s="9">
        <v>6</v>
      </c>
      <c r="F23" s="9">
        <v>4</v>
      </c>
      <c r="G23" s="19">
        <f>'расчёт зарплаты'!K40</f>
        <v>28224</v>
      </c>
      <c r="H23" s="19">
        <f t="shared" si="1"/>
        <v>1693440</v>
      </c>
      <c r="I23" s="19"/>
      <c r="J23" s="19"/>
      <c r="K23" s="19"/>
      <c r="L23" s="19"/>
    </row>
    <row r="24" spans="1:13" x14ac:dyDescent="0.3">
      <c r="A24" s="83" t="s">
        <v>23</v>
      </c>
      <c r="B24" s="83"/>
      <c r="C24" s="8">
        <f t="shared" ref="C24:F24" si="3">C25+C32</f>
        <v>37</v>
      </c>
      <c r="D24" s="8">
        <f t="shared" si="3"/>
        <v>30</v>
      </c>
      <c r="E24" s="8">
        <f t="shared" si="3"/>
        <v>23</v>
      </c>
      <c r="F24" s="8">
        <f t="shared" si="3"/>
        <v>30</v>
      </c>
      <c r="G24" s="19"/>
      <c r="H24" s="19">
        <f t="shared" si="1"/>
        <v>0</v>
      </c>
      <c r="I24" s="19"/>
      <c r="J24" s="20">
        <f t="shared" ref="J24:K24" si="4">J25+J32</f>
        <v>13512576</v>
      </c>
      <c r="K24" s="20">
        <f t="shared" si="4"/>
        <v>4080797.952</v>
      </c>
      <c r="L24" s="20">
        <f>L25+L32</f>
        <v>17593373.952</v>
      </c>
    </row>
    <row r="25" spans="1:13" x14ac:dyDescent="0.3">
      <c r="A25" s="84" t="s">
        <v>24</v>
      </c>
      <c r="B25" s="84"/>
      <c r="C25" s="8">
        <f t="shared" ref="C25:F25" si="5">C26+C27+C28+C30+C31</f>
        <v>26.5</v>
      </c>
      <c r="D25" s="8">
        <f t="shared" si="5"/>
        <v>21</v>
      </c>
      <c r="E25" s="8">
        <f t="shared" si="5"/>
        <v>15</v>
      </c>
      <c r="F25" s="8">
        <f t="shared" si="5"/>
        <v>21</v>
      </c>
      <c r="G25" s="20"/>
      <c r="H25" s="20">
        <f>H26+H27+H28+H30+H31+H29</f>
        <v>10377984</v>
      </c>
      <c r="I25" s="20">
        <f t="shared" ref="I25" si="6">I26+I27+I28+I30+I31</f>
        <v>0</v>
      </c>
      <c r="J25" s="20">
        <f>H25</f>
        <v>10377984</v>
      </c>
      <c r="K25" s="20">
        <f>J25*30.2%</f>
        <v>3134151.1680000001</v>
      </c>
      <c r="L25" s="20">
        <f>J25+K25</f>
        <v>13512135.168</v>
      </c>
    </row>
    <row r="26" spans="1:13" x14ac:dyDescent="0.3">
      <c r="A26" s="4"/>
      <c r="B26" s="5" t="s">
        <v>25</v>
      </c>
      <c r="C26" s="9">
        <v>3</v>
      </c>
      <c r="D26" s="9">
        <v>2</v>
      </c>
      <c r="E26" s="9">
        <v>2</v>
      </c>
      <c r="F26" s="9">
        <v>2</v>
      </c>
      <c r="G26" s="19">
        <f>'расчёт зарплаты'!K14</f>
        <v>33792</v>
      </c>
      <c r="H26" s="19">
        <f t="shared" ref="H26:H31" si="7">E26*G26*12+ ((D26-E26)*G26/2*12)</f>
        <v>811008</v>
      </c>
      <c r="I26" s="19"/>
      <c r="J26" s="19"/>
      <c r="K26" s="19"/>
      <c r="L26" s="19"/>
    </row>
    <row r="27" spans="1:13" x14ac:dyDescent="0.3">
      <c r="A27" s="4"/>
      <c r="B27" s="5" t="s">
        <v>26</v>
      </c>
      <c r="C27" s="9"/>
      <c r="D27" s="9"/>
      <c r="E27" s="9"/>
      <c r="F27" s="9"/>
      <c r="G27" s="19">
        <f>'расчёт зарплаты'!K16</f>
        <v>36608</v>
      </c>
      <c r="H27" s="19">
        <f t="shared" si="7"/>
        <v>0</v>
      </c>
      <c r="I27" s="19"/>
      <c r="J27" s="19"/>
      <c r="K27" s="19"/>
      <c r="L27" s="19"/>
    </row>
    <row r="28" spans="1:13" x14ac:dyDescent="0.3">
      <c r="A28" s="4"/>
      <c r="B28" s="5" t="s">
        <v>27</v>
      </c>
      <c r="C28" s="9"/>
      <c r="D28" s="9"/>
      <c r="E28" s="9"/>
      <c r="F28" s="9"/>
      <c r="G28" s="19">
        <f>'расчёт зарплаты'!K18</f>
        <v>39424</v>
      </c>
      <c r="H28" s="19">
        <f t="shared" si="7"/>
        <v>0</v>
      </c>
      <c r="I28" s="19"/>
      <c r="J28" s="19"/>
      <c r="K28" s="19"/>
      <c r="L28" s="19"/>
    </row>
    <row r="29" spans="1:13" x14ac:dyDescent="0.3">
      <c r="A29" s="4"/>
      <c r="B29" s="43" t="s">
        <v>84</v>
      </c>
      <c r="C29" s="10">
        <v>8</v>
      </c>
      <c r="D29" s="10">
        <v>8</v>
      </c>
      <c r="E29" s="10">
        <v>8</v>
      </c>
      <c r="F29" s="10">
        <v>8</v>
      </c>
      <c r="G29" s="36">
        <f>'расчёт зарплаты'!K36</f>
        <v>45056</v>
      </c>
      <c r="H29" s="19">
        <f t="shared" si="7"/>
        <v>4325376</v>
      </c>
      <c r="I29" s="36"/>
      <c r="J29" s="36"/>
      <c r="K29" s="36"/>
      <c r="L29" s="36"/>
    </row>
    <row r="30" spans="1:13" ht="28.2" x14ac:dyDescent="0.3">
      <c r="A30" s="4"/>
      <c r="B30" s="5" t="s">
        <v>28</v>
      </c>
      <c r="C30" s="9">
        <v>8.5</v>
      </c>
      <c r="D30" s="9">
        <v>7</v>
      </c>
      <c r="E30" s="9">
        <v>6</v>
      </c>
      <c r="F30" s="9">
        <v>7</v>
      </c>
      <c r="G30" s="19">
        <f>'расчёт зарплаты'!K26</f>
        <v>27300</v>
      </c>
      <c r="H30" s="19">
        <f t="shared" si="7"/>
        <v>2129400</v>
      </c>
      <c r="I30" s="19"/>
      <c r="J30" s="19"/>
      <c r="K30" s="19"/>
      <c r="L30" s="19"/>
      <c r="M30" s="37"/>
    </row>
    <row r="31" spans="1:13" x14ac:dyDescent="0.3">
      <c r="A31" s="4"/>
      <c r="B31" s="5" t="s">
        <v>29</v>
      </c>
      <c r="C31" s="9">
        <v>15</v>
      </c>
      <c r="D31" s="9">
        <v>12</v>
      </c>
      <c r="E31" s="9">
        <v>7</v>
      </c>
      <c r="F31" s="9">
        <v>12</v>
      </c>
      <c r="G31" s="19">
        <f>'расчёт зарплаты'!K26</f>
        <v>27300</v>
      </c>
      <c r="H31" s="19">
        <f t="shared" si="7"/>
        <v>3112200</v>
      </c>
      <c r="I31" s="19"/>
      <c r="J31" s="19"/>
      <c r="K31" s="19"/>
      <c r="L31" s="19"/>
    </row>
    <row r="32" spans="1:13" x14ac:dyDescent="0.3">
      <c r="A32" s="84" t="s">
        <v>30</v>
      </c>
      <c r="B32" s="84"/>
      <c r="C32" s="8">
        <f t="shared" ref="C32:F32" si="8">C33+C34+C35</f>
        <v>10.5</v>
      </c>
      <c r="D32" s="8">
        <f t="shared" si="8"/>
        <v>9</v>
      </c>
      <c r="E32" s="8">
        <f t="shared" si="8"/>
        <v>8</v>
      </c>
      <c r="F32" s="8">
        <f t="shared" si="8"/>
        <v>9</v>
      </c>
      <c r="G32" s="20"/>
      <c r="H32" s="20">
        <f>H33+H34+H35</f>
        <v>3134592</v>
      </c>
      <c r="I32" s="20">
        <f t="shared" ref="I32" si="9">I33+I34+I35</f>
        <v>0</v>
      </c>
      <c r="J32" s="20">
        <f>H32</f>
        <v>3134592</v>
      </c>
      <c r="K32" s="20">
        <f>J32*30.2%</f>
        <v>946646.78399999999</v>
      </c>
      <c r="L32" s="20">
        <f>J32+K32</f>
        <v>4081238.784</v>
      </c>
    </row>
    <row r="33" spans="1:12" x14ac:dyDescent="0.3">
      <c r="A33" s="4"/>
      <c r="B33" s="5" t="s">
        <v>31</v>
      </c>
      <c r="C33" s="9">
        <v>8</v>
      </c>
      <c r="D33" s="9">
        <v>8</v>
      </c>
      <c r="E33" s="9">
        <v>7</v>
      </c>
      <c r="F33" s="9">
        <v>8</v>
      </c>
      <c r="G33" s="19">
        <f>'расчёт зарплаты'!K34</f>
        <v>30976</v>
      </c>
      <c r="H33" s="19">
        <f t="shared" ref="H33:H35" si="10">E33*G33*12+ ((D33-E33)*G33/2*12)</f>
        <v>2787840</v>
      </c>
      <c r="I33" s="19"/>
      <c r="J33" s="19"/>
      <c r="K33" s="19"/>
      <c r="L33" s="19"/>
    </row>
    <row r="34" spans="1:12" x14ac:dyDescent="0.3">
      <c r="A34" s="4"/>
      <c r="B34" s="5" t="s">
        <v>32</v>
      </c>
      <c r="C34" s="9"/>
      <c r="D34" s="9"/>
      <c r="E34" s="9"/>
      <c r="F34" s="9"/>
      <c r="G34" s="19">
        <f>'расчёт зарплаты'!K38</f>
        <v>28896</v>
      </c>
      <c r="H34" s="19">
        <f t="shared" si="10"/>
        <v>0</v>
      </c>
      <c r="I34" s="19"/>
      <c r="J34" s="19"/>
      <c r="K34" s="19"/>
      <c r="L34" s="19"/>
    </row>
    <row r="35" spans="1:12" x14ac:dyDescent="0.3">
      <c r="A35" s="4"/>
      <c r="B35" s="5" t="s">
        <v>33</v>
      </c>
      <c r="C35" s="9">
        <v>2.5</v>
      </c>
      <c r="D35" s="9">
        <v>1</v>
      </c>
      <c r="E35" s="9">
        <v>1</v>
      </c>
      <c r="F35" s="9">
        <v>1</v>
      </c>
      <c r="G35" s="19">
        <f>'расчёт зарплаты'!K38</f>
        <v>28896</v>
      </c>
      <c r="H35" s="19">
        <f t="shared" si="10"/>
        <v>346752</v>
      </c>
      <c r="I35" s="19"/>
      <c r="J35" s="19"/>
      <c r="K35" s="19"/>
      <c r="L35" s="19"/>
    </row>
    <row r="36" spans="1:12" x14ac:dyDescent="0.3">
      <c r="A36" s="89" t="s">
        <v>60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</row>
    <row r="37" spans="1:12" ht="14.4" customHeight="1" x14ac:dyDescent="0.3">
      <c r="A37" s="81" t="s">
        <v>7</v>
      </c>
      <c r="B37" s="82"/>
      <c r="C37" s="8">
        <f>C38+C55+C51</f>
        <v>79</v>
      </c>
      <c r="D37" s="8">
        <f>D38+D55+D51</f>
        <v>79</v>
      </c>
      <c r="E37" s="8">
        <f>E38+E55+E51</f>
        <v>69</v>
      </c>
      <c r="F37" s="8">
        <f>F38+F55+F51</f>
        <v>69</v>
      </c>
      <c r="G37" s="19"/>
      <c r="H37" s="19"/>
      <c r="I37" s="19"/>
      <c r="J37" s="19"/>
      <c r="K37" s="19"/>
      <c r="L37" s="19"/>
    </row>
    <row r="38" spans="1:12" ht="14.4" customHeight="1" x14ac:dyDescent="0.3">
      <c r="A38" s="81" t="s">
        <v>89</v>
      </c>
      <c r="B38" s="82"/>
      <c r="C38" s="40">
        <f t="shared" ref="C38:G38" si="11">SUM(C39:C50)</f>
        <v>55</v>
      </c>
      <c r="D38" s="40">
        <f t="shared" si="11"/>
        <v>55</v>
      </c>
      <c r="E38" s="40">
        <f t="shared" si="11"/>
        <v>50</v>
      </c>
      <c r="F38" s="40">
        <f t="shared" si="11"/>
        <v>50</v>
      </c>
      <c r="G38" s="40">
        <f t="shared" si="11"/>
        <v>207512</v>
      </c>
      <c r="H38" s="40">
        <f>SUM(H39:H50)</f>
        <v>18118872</v>
      </c>
      <c r="I38" s="20"/>
      <c r="J38" s="20">
        <f>H38-I38</f>
        <v>18118872</v>
      </c>
      <c r="K38" s="20">
        <f>J38*30.2%</f>
        <v>5471899.3439999996</v>
      </c>
      <c r="L38" s="20">
        <f>J38+K38</f>
        <v>23590771.344000001</v>
      </c>
    </row>
    <row r="39" spans="1:12" x14ac:dyDescent="0.3">
      <c r="A39" s="4"/>
      <c r="B39" s="5" t="s">
        <v>9</v>
      </c>
      <c r="C39" s="22">
        <v>30</v>
      </c>
      <c r="D39" s="22">
        <v>30</v>
      </c>
      <c r="E39" s="22">
        <v>30</v>
      </c>
      <c r="F39" s="22">
        <v>30</v>
      </c>
      <c r="G39" s="19">
        <f>'расчёт зарплаты'!K10</f>
        <v>28208</v>
      </c>
      <c r="H39" s="19">
        <f>E39*G39*12+ ((D39-E39)*G39/2*12)</f>
        <v>10154880</v>
      </c>
      <c r="I39" s="19"/>
      <c r="J39" s="19"/>
      <c r="K39" s="19"/>
      <c r="L39" s="19">
        <f>G39*K39*12</f>
        <v>0</v>
      </c>
    </row>
    <row r="40" spans="1:12" x14ac:dyDescent="0.3">
      <c r="A40" s="4"/>
      <c r="B40" s="5" t="s">
        <v>10</v>
      </c>
      <c r="C40" s="22">
        <v>0</v>
      </c>
      <c r="D40" s="22">
        <v>0</v>
      </c>
      <c r="E40" s="22">
        <v>0</v>
      </c>
      <c r="F40" s="22">
        <v>0</v>
      </c>
      <c r="G40" s="19"/>
      <c r="H40" s="19">
        <f t="shared" ref="H40:H55" si="12">E40*G40*12+ ((D40-E40)*G40/2*12)</f>
        <v>0</v>
      </c>
      <c r="I40" s="19"/>
      <c r="J40" s="19"/>
      <c r="K40" s="19"/>
      <c r="L40" s="19"/>
    </row>
    <row r="41" spans="1:12" x14ac:dyDescent="0.3">
      <c r="A41" s="4"/>
      <c r="B41" s="5" t="s">
        <v>13</v>
      </c>
      <c r="C41" s="22">
        <v>5.75</v>
      </c>
      <c r="D41" s="22">
        <v>5.75</v>
      </c>
      <c r="E41" s="22">
        <v>4</v>
      </c>
      <c r="F41" s="22">
        <v>4</v>
      </c>
      <c r="G41" s="19">
        <f>'расчёт зарплаты'!K38</f>
        <v>28896</v>
      </c>
      <c r="H41" s="19">
        <f t="shared" si="12"/>
        <v>1690416</v>
      </c>
      <c r="I41" s="19"/>
      <c r="J41" s="19"/>
      <c r="K41" s="19"/>
      <c r="L41" s="19"/>
    </row>
    <row r="42" spans="1:12" ht="28.2" x14ac:dyDescent="0.3">
      <c r="A42" s="4"/>
      <c r="B42" s="5" t="s">
        <v>14</v>
      </c>
      <c r="C42" s="22"/>
      <c r="D42" s="22"/>
      <c r="E42" s="22"/>
      <c r="F42" s="22"/>
      <c r="G42" s="19"/>
      <c r="H42" s="19">
        <f t="shared" si="12"/>
        <v>0</v>
      </c>
      <c r="I42" s="19"/>
      <c r="J42" s="19"/>
      <c r="K42" s="19"/>
      <c r="L42" s="19"/>
    </row>
    <row r="43" spans="1:12" x14ac:dyDescent="0.3">
      <c r="A43" s="4"/>
      <c r="B43" s="5" t="s">
        <v>15</v>
      </c>
      <c r="C43" s="22">
        <v>6</v>
      </c>
      <c r="D43" s="22">
        <v>6</v>
      </c>
      <c r="E43" s="22">
        <v>3</v>
      </c>
      <c r="F43" s="22">
        <v>3</v>
      </c>
      <c r="G43" s="19">
        <f>'расчёт зарплаты'!K34</f>
        <v>30976</v>
      </c>
      <c r="H43" s="19">
        <f t="shared" si="12"/>
        <v>1672704</v>
      </c>
      <c r="I43" s="19"/>
      <c r="J43" s="19"/>
      <c r="K43" s="19"/>
      <c r="L43" s="19"/>
    </row>
    <row r="44" spans="1:12" x14ac:dyDescent="0.3">
      <c r="A44" s="4"/>
      <c r="B44" s="5" t="s">
        <v>16</v>
      </c>
      <c r="C44" s="22">
        <v>9</v>
      </c>
      <c r="D44" s="22">
        <v>9</v>
      </c>
      <c r="E44" s="22">
        <v>9</v>
      </c>
      <c r="F44" s="22">
        <v>9</v>
      </c>
      <c r="G44" s="19">
        <f>'расчёт зарплаты'!K8</f>
        <v>28600</v>
      </c>
      <c r="H44" s="19">
        <f t="shared" si="12"/>
        <v>3088800</v>
      </c>
      <c r="I44" s="19"/>
      <c r="J44" s="19"/>
      <c r="K44" s="19"/>
      <c r="L44" s="19"/>
    </row>
    <row r="45" spans="1:12" ht="42" x14ac:dyDescent="0.3">
      <c r="A45" s="4"/>
      <c r="B45" s="5" t="s">
        <v>17</v>
      </c>
      <c r="C45" s="22">
        <v>1.25</v>
      </c>
      <c r="D45" s="22">
        <v>1.25</v>
      </c>
      <c r="E45" s="22">
        <v>1</v>
      </c>
      <c r="F45" s="22">
        <v>1</v>
      </c>
      <c r="G45" s="19">
        <f>'расчёт зарплаты'!K10</f>
        <v>28208</v>
      </c>
      <c r="H45" s="19">
        <f t="shared" si="12"/>
        <v>380808</v>
      </c>
      <c r="I45" s="19"/>
      <c r="J45" s="19"/>
      <c r="K45" s="19"/>
      <c r="L45" s="19"/>
    </row>
    <row r="46" spans="1:12" ht="28.2" x14ac:dyDescent="0.3">
      <c r="A46" s="4"/>
      <c r="B46" s="5" t="s">
        <v>18</v>
      </c>
      <c r="C46" s="22">
        <v>2</v>
      </c>
      <c r="D46" s="22">
        <v>2</v>
      </c>
      <c r="E46" s="22">
        <v>2</v>
      </c>
      <c r="F46" s="22">
        <v>2</v>
      </c>
      <c r="G46" s="19">
        <f>'расчёт зарплаты'!K20</f>
        <v>31648</v>
      </c>
      <c r="H46" s="19">
        <f t="shared" si="12"/>
        <v>759552</v>
      </c>
      <c r="I46" s="19"/>
      <c r="J46" s="19"/>
      <c r="K46" s="19"/>
      <c r="L46" s="19"/>
    </row>
    <row r="47" spans="1:12" ht="42" x14ac:dyDescent="0.3">
      <c r="A47" s="4"/>
      <c r="B47" s="5" t="s">
        <v>91</v>
      </c>
      <c r="C47" s="22"/>
      <c r="D47" s="22"/>
      <c r="E47" s="22"/>
      <c r="F47" s="22"/>
      <c r="G47" s="19"/>
      <c r="H47" s="19">
        <f t="shared" si="12"/>
        <v>0</v>
      </c>
      <c r="I47" s="19"/>
      <c r="J47" s="19"/>
      <c r="K47" s="19"/>
      <c r="L47" s="19"/>
    </row>
    <row r="48" spans="1:12" x14ac:dyDescent="0.3">
      <c r="A48" s="4"/>
      <c r="B48" s="5" t="s">
        <v>20</v>
      </c>
      <c r="C48" s="22">
        <v>1</v>
      </c>
      <c r="D48" s="22">
        <v>1</v>
      </c>
      <c r="E48" s="22">
        <v>1</v>
      </c>
      <c r="F48" s="22">
        <v>1</v>
      </c>
      <c r="G48" s="19">
        <f>'расчёт зарплаты'!K34</f>
        <v>30976</v>
      </c>
      <c r="H48" s="19">
        <f t="shared" si="12"/>
        <v>371712</v>
      </c>
      <c r="I48" s="19"/>
      <c r="J48" s="19"/>
      <c r="K48" s="19"/>
      <c r="L48" s="19"/>
    </row>
    <row r="49" spans="1:12" ht="39.6" x14ac:dyDescent="0.3">
      <c r="A49" s="4"/>
      <c r="B49" s="6" t="s">
        <v>21</v>
      </c>
      <c r="C49" s="22"/>
      <c r="D49" s="22"/>
      <c r="E49" s="22"/>
      <c r="F49" s="22"/>
      <c r="G49" s="19"/>
      <c r="H49" s="19">
        <f t="shared" si="12"/>
        <v>0</v>
      </c>
      <c r="I49" s="19"/>
      <c r="J49" s="19"/>
      <c r="K49" s="19"/>
      <c r="L49" s="19"/>
    </row>
    <row r="50" spans="1:12" x14ac:dyDescent="0.3">
      <c r="A50" s="4"/>
      <c r="B50" s="5" t="s">
        <v>22</v>
      </c>
      <c r="C50" s="22"/>
      <c r="D50" s="22"/>
      <c r="E50" s="22"/>
      <c r="F50" s="22"/>
      <c r="G50" s="19"/>
      <c r="H50" s="19">
        <f t="shared" si="12"/>
        <v>0</v>
      </c>
      <c r="I50" s="19"/>
      <c r="J50" s="19"/>
      <c r="K50" s="19"/>
      <c r="L50" s="19"/>
    </row>
    <row r="51" spans="1:12" x14ac:dyDescent="0.3">
      <c r="A51" s="38" t="s">
        <v>57</v>
      </c>
      <c r="B51" s="39"/>
      <c r="C51" s="41">
        <f>C52+C53+C54</f>
        <v>7</v>
      </c>
      <c r="D51" s="41">
        <f t="shared" ref="D51" si="13">D52+D53+D54</f>
        <v>7</v>
      </c>
      <c r="E51" s="41">
        <f t="shared" ref="E51" si="14">E52+E53+E54</f>
        <v>5</v>
      </c>
      <c r="F51" s="41">
        <f t="shared" ref="F51" si="15">F52+F53+F54</f>
        <v>5</v>
      </c>
      <c r="G51" s="41"/>
      <c r="H51" s="42">
        <f t="shared" ref="H51" si="16">H52+H53+H54</f>
        <v>1991934</v>
      </c>
      <c r="I51" s="42">
        <f t="shared" ref="I51" si="17">I52+I53+I54</f>
        <v>0</v>
      </c>
      <c r="J51" s="42">
        <f t="shared" ref="J51" si="18">J52+J53+J54</f>
        <v>0</v>
      </c>
      <c r="K51" s="42">
        <f t="shared" ref="K51" si="19">K52+K53+K54</f>
        <v>0</v>
      </c>
      <c r="L51" s="42">
        <f t="shared" ref="L51" si="20">L52+L53+L54</f>
        <v>0</v>
      </c>
    </row>
    <row r="52" spans="1:12" x14ac:dyDescent="0.3">
      <c r="A52" s="4"/>
      <c r="B52" s="5" t="s">
        <v>11</v>
      </c>
      <c r="C52" s="9">
        <v>1.25</v>
      </c>
      <c r="D52" s="9">
        <v>1.25</v>
      </c>
      <c r="E52" s="9">
        <v>0</v>
      </c>
      <c r="F52" s="9">
        <v>0</v>
      </c>
      <c r="G52" s="19">
        <f>'расчёт зарплаты'!K26</f>
        <v>27300</v>
      </c>
      <c r="H52" s="19">
        <f t="shared" si="12"/>
        <v>204750</v>
      </c>
      <c r="I52" s="19"/>
      <c r="J52" s="19"/>
      <c r="K52" s="19"/>
      <c r="L52" s="19"/>
    </row>
    <row r="53" spans="1:12" x14ac:dyDescent="0.3">
      <c r="A53" s="4"/>
      <c r="B53" s="5" t="s">
        <v>12</v>
      </c>
      <c r="C53" s="9">
        <v>3</v>
      </c>
      <c r="D53" s="9">
        <v>3</v>
      </c>
      <c r="E53" s="9">
        <v>3</v>
      </c>
      <c r="F53" s="9">
        <v>3</v>
      </c>
      <c r="G53" s="19">
        <f>'расчёт зарплаты'!K26</f>
        <v>27300</v>
      </c>
      <c r="H53" s="19">
        <f t="shared" si="12"/>
        <v>982800</v>
      </c>
      <c r="I53" s="19"/>
      <c r="J53" s="19"/>
      <c r="K53" s="19"/>
      <c r="L53" s="19"/>
    </row>
    <row r="54" spans="1:12" ht="28.2" x14ac:dyDescent="0.3">
      <c r="A54" s="4"/>
      <c r="B54" s="5" t="s">
        <v>19</v>
      </c>
      <c r="C54" s="9">
        <v>2.75</v>
      </c>
      <c r="D54" s="9">
        <v>2.75</v>
      </c>
      <c r="E54" s="9">
        <v>2</v>
      </c>
      <c r="F54" s="9">
        <v>2</v>
      </c>
      <c r="G54" s="19">
        <f>'расчёт зарплаты'!K40</f>
        <v>28224</v>
      </c>
      <c r="H54" s="19">
        <f t="shared" si="12"/>
        <v>804384</v>
      </c>
      <c r="I54" s="19"/>
      <c r="J54" s="19"/>
      <c r="K54" s="19"/>
      <c r="L54" s="19"/>
    </row>
    <row r="55" spans="1:12" x14ac:dyDescent="0.3">
      <c r="A55" s="83" t="s">
        <v>23</v>
      </c>
      <c r="B55" s="83"/>
      <c r="C55" s="21">
        <f t="shared" ref="C55:F55" si="21">C56+C62</f>
        <v>17</v>
      </c>
      <c r="D55" s="21">
        <f t="shared" si="21"/>
        <v>17</v>
      </c>
      <c r="E55" s="21">
        <f t="shared" si="21"/>
        <v>14</v>
      </c>
      <c r="F55" s="21">
        <f t="shared" si="21"/>
        <v>14</v>
      </c>
      <c r="G55" s="19"/>
      <c r="H55" s="19">
        <f t="shared" si="12"/>
        <v>0</v>
      </c>
      <c r="I55" s="19"/>
      <c r="J55" s="20">
        <f t="shared" ref="J55:K55" si="22">J56+J62</f>
        <v>5348406</v>
      </c>
      <c r="K55" s="20">
        <f t="shared" si="22"/>
        <v>1615218.612</v>
      </c>
      <c r="L55" s="20">
        <f>L56+L62</f>
        <v>6963624.6119999997</v>
      </c>
    </row>
    <row r="56" spans="1:12" x14ac:dyDescent="0.3">
      <c r="A56" s="84" t="s">
        <v>24</v>
      </c>
      <c r="B56" s="84"/>
      <c r="C56" s="21">
        <f t="shared" ref="C56:F56" si="23">C57+C58+C59+C60+C61</f>
        <v>11.5</v>
      </c>
      <c r="D56" s="21">
        <f t="shared" si="23"/>
        <v>11.5</v>
      </c>
      <c r="E56" s="21">
        <f t="shared" si="23"/>
        <v>9</v>
      </c>
      <c r="F56" s="21">
        <f t="shared" si="23"/>
        <v>9</v>
      </c>
      <c r="G56" s="20"/>
      <c r="H56" s="20">
        <f>H57+H58+H59+H60+H61</f>
        <v>3453078</v>
      </c>
      <c r="I56" s="20">
        <f t="shared" ref="I56" si="24">I57+I58+I59+I60+I61</f>
        <v>0</v>
      </c>
      <c r="J56" s="20">
        <f>H56</f>
        <v>3453078</v>
      </c>
      <c r="K56" s="20">
        <f>J56*30.2%</f>
        <v>1042829.556</v>
      </c>
      <c r="L56" s="20">
        <f>J56+K56</f>
        <v>4495907.5559999999</v>
      </c>
    </row>
    <row r="57" spans="1:12" x14ac:dyDescent="0.3">
      <c r="A57" s="4"/>
      <c r="B57" s="5" t="s">
        <v>25</v>
      </c>
      <c r="C57" s="22">
        <v>3</v>
      </c>
      <c r="D57" s="22">
        <v>3</v>
      </c>
      <c r="E57" s="22">
        <v>2</v>
      </c>
      <c r="F57" s="22">
        <v>2</v>
      </c>
      <c r="G57" s="19">
        <f>'расчёт зарплаты'!K14</f>
        <v>33792</v>
      </c>
      <c r="H57" s="19">
        <f t="shared" ref="H57:H61" si="25">E57*G57*12+ ((D57-E57)*G57/2*12)</f>
        <v>1013760</v>
      </c>
      <c r="I57" s="19"/>
      <c r="J57" s="19"/>
      <c r="K57" s="19"/>
      <c r="L57" s="19"/>
    </row>
    <row r="58" spans="1:12" x14ac:dyDescent="0.3">
      <c r="A58" s="4"/>
      <c r="B58" s="5" t="s">
        <v>26</v>
      </c>
      <c r="C58" s="22"/>
      <c r="D58" s="22"/>
      <c r="E58" s="22"/>
      <c r="F58" s="22"/>
      <c r="G58" s="19"/>
      <c r="H58" s="19">
        <f t="shared" si="25"/>
        <v>0</v>
      </c>
      <c r="I58" s="19"/>
      <c r="J58" s="19"/>
      <c r="K58" s="19"/>
      <c r="L58" s="19"/>
    </row>
    <row r="59" spans="1:12" x14ac:dyDescent="0.3">
      <c r="A59" s="4"/>
      <c r="B59" s="5" t="s">
        <v>27</v>
      </c>
      <c r="C59" s="22">
        <v>1</v>
      </c>
      <c r="D59" s="22">
        <v>1</v>
      </c>
      <c r="E59" s="22">
        <v>1</v>
      </c>
      <c r="F59" s="22">
        <v>1</v>
      </c>
      <c r="G59" s="19">
        <f>'расчёт зарплаты'!K18</f>
        <v>39424</v>
      </c>
      <c r="H59" s="19">
        <f t="shared" si="25"/>
        <v>473088</v>
      </c>
      <c r="I59" s="19"/>
      <c r="J59" s="19"/>
      <c r="K59" s="19"/>
      <c r="L59" s="19"/>
    </row>
    <row r="60" spans="1:12" ht="28.2" x14ac:dyDescent="0.3">
      <c r="A60" s="4"/>
      <c r="B60" s="5" t="s">
        <v>28</v>
      </c>
      <c r="C60" s="22">
        <v>4.25</v>
      </c>
      <c r="D60" s="22">
        <v>4.25</v>
      </c>
      <c r="E60" s="22">
        <v>3</v>
      </c>
      <c r="F60" s="22">
        <v>3</v>
      </c>
      <c r="G60" s="19">
        <f>'расчёт зарплаты'!K26</f>
        <v>27300</v>
      </c>
      <c r="H60" s="19">
        <f t="shared" si="25"/>
        <v>1187550</v>
      </c>
      <c r="I60" s="19"/>
      <c r="J60" s="19"/>
      <c r="K60" s="19"/>
      <c r="L60" s="19"/>
    </row>
    <row r="61" spans="1:12" x14ac:dyDescent="0.3">
      <c r="A61" s="4"/>
      <c r="B61" s="5" t="s">
        <v>29</v>
      </c>
      <c r="C61" s="22">
        <v>3.25</v>
      </c>
      <c r="D61" s="22">
        <v>3.25</v>
      </c>
      <c r="E61" s="22">
        <v>3</v>
      </c>
      <c r="F61" s="22">
        <v>3</v>
      </c>
      <c r="G61" s="19">
        <v>20764.8</v>
      </c>
      <c r="H61" s="19">
        <f t="shared" si="25"/>
        <v>778679.99999999988</v>
      </c>
      <c r="I61" s="19"/>
      <c r="J61" s="19"/>
      <c r="K61" s="19"/>
      <c r="L61" s="19"/>
    </row>
    <row r="62" spans="1:12" x14ac:dyDescent="0.3">
      <c r="A62" s="84" t="s">
        <v>30</v>
      </c>
      <c r="B62" s="84"/>
      <c r="C62" s="21">
        <f t="shared" ref="C62:F62" si="26">C63+C64+C65</f>
        <v>5.5</v>
      </c>
      <c r="D62" s="21">
        <f t="shared" si="26"/>
        <v>5.5</v>
      </c>
      <c r="E62" s="21">
        <f t="shared" si="26"/>
        <v>5</v>
      </c>
      <c r="F62" s="21">
        <f t="shared" si="26"/>
        <v>5</v>
      </c>
      <c r="G62" s="20"/>
      <c r="H62" s="20">
        <f>H63+H64+H65</f>
        <v>1895328</v>
      </c>
      <c r="I62" s="20">
        <f t="shared" ref="I62" si="27">I63+I64+I65</f>
        <v>0</v>
      </c>
      <c r="J62" s="20">
        <f>H62</f>
        <v>1895328</v>
      </c>
      <c r="K62" s="20">
        <f>J62*30.2%</f>
        <v>572389.05599999998</v>
      </c>
      <c r="L62" s="20">
        <f>J62+K62</f>
        <v>2467717.0559999999</v>
      </c>
    </row>
    <row r="63" spans="1:12" x14ac:dyDescent="0.3">
      <c r="A63" s="4"/>
      <c r="B63" s="5" t="s">
        <v>31</v>
      </c>
      <c r="C63" s="22">
        <v>3</v>
      </c>
      <c r="D63" s="22">
        <v>3</v>
      </c>
      <c r="E63" s="22">
        <v>3</v>
      </c>
      <c r="F63" s="22">
        <v>3</v>
      </c>
      <c r="G63" s="19">
        <f>'расчёт зарплаты'!K34</f>
        <v>30976</v>
      </c>
      <c r="H63" s="19">
        <f t="shared" ref="H63:H65" si="28">E63*G63*12+ ((D63-E63)*G63/2*12)</f>
        <v>1115136</v>
      </c>
      <c r="I63" s="19"/>
      <c r="J63" s="19"/>
      <c r="K63" s="19"/>
      <c r="L63" s="19"/>
    </row>
    <row r="64" spans="1:12" x14ac:dyDescent="0.3">
      <c r="A64" s="4"/>
      <c r="B64" s="5" t="s">
        <v>32</v>
      </c>
      <c r="C64" s="22">
        <v>0</v>
      </c>
      <c r="D64" s="22">
        <v>0</v>
      </c>
      <c r="E64" s="22">
        <v>0</v>
      </c>
      <c r="F64" s="22">
        <v>0</v>
      </c>
      <c r="G64" s="19"/>
      <c r="H64" s="19">
        <f t="shared" si="28"/>
        <v>0</v>
      </c>
      <c r="I64" s="19"/>
      <c r="J64" s="19"/>
      <c r="K64" s="19"/>
      <c r="L64" s="19"/>
    </row>
    <row r="65" spans="1:12" x14ac:dyDescent="0.3">
      <c r="A65" s="4"/>
      <c r="B65" s="5" t="s">
        <v>33</v>
      </c>
      <c r="C65" s="22">
        <v>2.5</v>
      </c>
      <c r="D65" s="22">
        <v>2.5</v>
      </c>
      <c r="E65" s="22">
        <v>2</v>
      </c>
      <c r="F65" s="22">
        <v>2</v>
      </c>
      <c r="G65" s="19">
        <f>'расчёт зарплаты'!K38</f>
        <v>28896</v>
      </c>
      <c r="H65" s="19">
        <f t="shared" si="28"/>
        <v>780192</v>
      </c>
      <c r="I65" s="19"/>
      <c r="J65" s="19"/>
      <c r="K65" s="19"/>
      <c r="L65" s="19"/>
    </row>
    <row r="66" spans="1:12" x14ac:dyDescent="0.3">
      <c r="A66" s="89" t="s">
        <v>61</v>
      </c>
      <c r="B66" s="89"/>
      <c r="C66" s="89"/>
      <c r="D66" s="89"/>
      <c r="E66" s="89"/>
      <c r="F66" s="89"/>
      <c r="G66" s="89"/>
      <c r="H66" s="89"/>
      <c r="I66" s="89"/>
      <c r="J66" s="89"/>
      <c r="K66" s="89"/>
      <c r="L66" s="89"/>
    </row>
    <row r="67" spans="1:12" ht="14.4" customHeight="1" x14ac:dyDescent="0.3">
      <c r="A67" s="81" t="s">
        <v>7</v>
      </c>
      <c r="B67" s="82"/>
      <c r="C67" s="8">
        <f>C68+C85+C81</f>
        <v>86.5</v>
      </c>
      <c r="D67" s="8">
        <f>D68+D85+D81</f>
        <v>83</v>
      </c>
      <c r="E67" s="8">
        <f>E68+E85+E81</f>
        <v>73</v>
      </c>
      <c r="F67" s="8">
        <f>F68+F85+F81</f>
        <v>75</v>
      </c>
      <c r="G67" s="19"/>
      <c r="H67" s="19"/>
      <c r="I67" s="19"/>
      <c r="J67" s="19"/>
      <c r="K67" s="19"/>
      <c r="L67" s="19"/>
    </row>
    <row r="68" spans="1:12" ht="14.4" customHeight="1" x14ac:dyDescent="0.3">
      <c r="A68" s="81" t="s">
        <v>89</v>
      </c>
      <c r="B68" s="82"/>
      <c r="C68" s="8">
        <f>SUM(C69:C82)</f>
        <v>81.5</v>
      </c>
      <c r="D68" s="8">
        <f t="shared" ref="D68:F68" si="29">SUM(D69:D82)</f>
        <v>78</v>
      </c>
      <c r="E68" s="8">
        <f t="shared" si="29"/>
        <v>68</v>
      </c>
      <c r="F68" s="8">
        <f t="shared" si="29"/>
        <v>70</v>
      </c>
      <c r="G68" s="8"/>
      <c r="H68" s="40">
        <f>SUM(H69:H82)</f>
        <v>25370246.399999999</v>
      </c>
      <c r="I68" s="20"/>
      <c r="J68" s="20">
        <f>H68-I68</f>
        <v>25370246.399999999</v>
      </c>
      <c r="K68" s="20">
        <f>J68*30.2%</f>
        <v>7661814.4127999991</v>
      </c>
      <c r="L68" s="20">
        <f>J68+K68</f>
        <v>33032060.812799998</v>
      </c>
    </row>
    <row r="69" spans="1:12" x14ac:dyDescent="0.3">
      <c r="A69" s="4"/>
      <c r="B69" s="5" t="s">
        <v>9</v>
      </c>
      <c r="C69" s="24">
        <v>23.75</v>
      </c>
      <c r="D69" s="24">
        <v>22</v>
      </c>
      <c r="E69" s="24">
        <v>17</v>
      </c>
      <c r="F69" s="24">
        <v>19</v>
      </c>
      <c r="G69" s="19">
        <f>'расчёт зарплаты'!K10</f>
        <v>28208</v>
      </c>
      <c r="H69" s="19">
        <f>E69*G69*12+ ((D69-E69)*G69/2*12)</f>
        <v>6600672</v>
      </c>
      <c r="I69" s="19"/>
      <c r="J69" s="19"/>
      <c r="K69" s="19"/>
      <c r="L69" s="19">
        <f>G69*K69*12</f>
        <v>0</v>
      </c>
    </row>
    <row r="70" spans="1:12" ht="28.2" x14ac:dyDescent="0.3">
      <c r="A70" s="4"/>
      <c r="B70" s="5" t="s">
        <v>79</v>
      </c>
      <c r="C70" s="24">
        <v>19</v>
      </c>
      <c r="D70" s="24">
        <v>19</v>
      </c>
      <c r="E70" s="24">
        <v>19</v>
      </c>
      <c r="F70" s="24">
        <v>19</v>
      </c>
      <c r="G70" s="19">
        <f>'расчёт зарплаты'!K12</f>
        <v>30960</v>
      </c>
      <c r="H70" s="19">
        <f t="shared" ref="H70:H73" si="30">E70*G70*12+ ((D70-E70)*G70/2*12)</f>
        <v>7058880</v>
      </c>
      <c r="I70" s="19"/>
      <c r="J70" s="19"/>
      <c r="K70" s="19"/>
      <c r="L70" s="19"/>
    </row>
    <row r="71" spans="1:12" x14ac:dyDescent="0.3">
      <c r="A71" s="4"/>
      <c r="B71" s="5" t="s">
        <v>10</v>
      </c>
      <c r="C71" s="24">
        <v>1.5</v>
      </c>
      <c r="D71" s="24">
        <v>1.5</v>
      </c>
      <c r="E71" s="24">
        <v>0</v>
      </c>
      <c r="F71" s="24">
        <v>0</v>
      </c>
      <c r="G71" s="19">
        <f>'расчёт зарплаты'!K20</f>
        <v>31648</v>
      </c>
      <c r="H71" s="19">
        <f t="shared" si="30"/>
        <v>284832</v>
      </c>
      <c r="I71" s="19"/>
      <c r="J71" s="19"/>
      <c r="K71" s="19"/>
      <c r="L71" s="19"/>
    </row>
    <row r="72" spans="1:12" x14ac:dyDescent="0.3">
      <c r="A72" s="4"/>
      <c r="B72" s="5" t="s">
        <v>80</v>
      </c>
      <c r="C72" s="24">
        <v>2.25</v>
      </c>
      <c r="D72" s="24">
        <v>0.5</v>
      </c>
      <c r="E72" s="24">
        <v>2</v>
      </c>
      <c r="F72" s="24">
        <v>2</v>
      </c>
      <c r="G72" s="19">
        <f>'расчёт зарплаты'!K22</f>
        <v>32384</v>
      </c>
      <c r="H72" s="19">
        <f t="shared" si="30"/>
        <v>485760</v>
      </c>
      <c r="I72" s="19"/>
      <c r="J72" s="19"/>
      <c r="K72" s="19"/>
      <c r="L72" s="19"/>
    </row>
    <row r="73" spans="1:12" x14ac:dyDescent="0.3">
      <c r="A73" s="4"/>
      <c r="B73" s="5" t="s">
        <v>13</v>
      </c>
      <c r="C73" s="24">
        <v>6.5</v>
      </c>
      <c r="D73" s="24">
        <v>6.5</v>
      </c>
      <c r="E73" s="24">
        <v>6</v>
      </c>
      <c r="F73" s="24">
        <v>6</v>
      </c>
      <c r="G73" s="19">
        <v>21971.84</v>
      </c>
      <c r="H73" s="19">
        <f t="shared" si="30"/>
        <v>1647888</v>
      </c>
      <c r="I73" s="19"/>
      <c r="J73" s="19"/>
      <c r="K73" s="19"/>
      <c r="L73" s="19"/>
    </row>
    <row r="74" spans="1:12" ht="28.2" x14ac:dyDescent="0.3">
      <c r="A74" s="4"/>
      <c r="B74" s="5" t="s">
        <v>14</v>
      </c>
      <c r="C74" s="24"/>
      <c r="D74" s="24"/>
      <c r="E74" s="24"/>
      <c r="F74" s="24"/>
      <c r="G74" s="19"/>
      <c r="H74" s="19">
        <f t="shared" ref="H74:H81" si="31">E74*G74*12+ ((D74-E74)*G74/2*12)</f>
        <v>0</v>
      </c>
      <c r="I74" s="19"/>
      <c r="J74" s="19"/>
      <c r="K74" s="19"/>
      <c r="L74" s="19"/>
    </row>
    <row r="75" spans="1:12" x14ac:dyDescent="0.3">
      <c r="A75" s="4"/>
      <c r="B75" s="5" t="s">
        <v>15</v>
      </c>
      <c r="C75" s="24">
        <v>9</v>
      </c>
      <c r="D75" s="24">
        <v>9</v>
      </c>
      <c r="E75" s="24">
        <v>5</v>
      </c>
      <c r="F75" s="24">
        <v>5</v>
      </c>
      <c r="G75" s="19">
        <f>'расчёт зарплаты'!K34</f>
        <v>30976</v>
      </c>
      <c r="H75" s="19">
        <f t="shared" si="31"/>
        <v>2601984</v>
      </c>
      <c r="I75" s="19"/>
      <c r="J75" s="19"/>
      <c r="K75" s="19"/>
      <c r="L75" s="19"/>
    </row>
    <row r="76" spans="1:12" x14ac:dyDescent="0.3">
      <c r="A76" s="4"/>
      <c r="B76" s="5" t="s">
        <v>16</v>
      </c>
      <c r="C76" s="24">
        <v>12</v>
      </c>
      <c r="D76" s="24">
        <v>12</v>
      </c>
      <c r="E76" s="24">
        <v>12</v>
      </c>
      <c r="F76" s="24">
        <v>12</v>
      </c>
      <c r="G76" s="19">
        <f>'расчёт зарплаты'!K8</f>
        <v>28600</v>
      </c>
      <c r="H76" s="19">
        <f t="shared" si="31"/>
        <v>4118400</v>
      </c>
      <c r="I76" s="19"/>
      <c r="J76" s="19"/>
      <c r="K76" s="19"/>
      <c r="L76" s="19"/>
    </row>
    <row r="77" spans="1:12" ht="42" x14ac:dyDescent="0.3">
      <c r="A77" s="4"/>
      <c r="B77" s="5" t="s">
        <v>17</v>
      </c>
      <c r="C77" s="24">
        <v>3.5</v>
      </c>
      <c r="D77" s="24">
        <v>3.5</v>
      </c>
      <c r="E77" s="24">
        <v>3</v>
      </c>
      <c r="F77" s="24">
        <v>3</v>
      </c>
      <c r="G77" s="19">
        <f>'расчёт зарплаты'!K10</f>
        <v>28208</v>
      </c>
      <c r="H77" s="19">
        <f t="shared" si="31"/>
        <v>1100112</v>
      </c>
      <c r="I77" s="19"/>
      <c r="J77" s="19"/>
      <c r="K77" s="19"/>
      <c r="L77" s="19"/>
    </row>
    <row r="78" spans="1:12" ht="28.2" x14ac:dyDescent="0.3">
      <c r="A78" s="4"/>
      <c r="B78" s="5" t="s">
        <v>18</v>
      </c>
      <c r="C78" s="24">
        <v>3</v>
      </c>
      <c r="D78" s="24">
        <v>3</v>
      </c>
      <c r="E78" s="24">
        <v>3</v>
      </c>
      <c r="F78" s="24">
        <v>3</v>
      </c>
      <c r="G78" s="19">
        <v>25862.400000000001</v>
      </c>
      <c r="H78" s="19">
        <f t="shared" si="31"/>
        <v>931046.40000000014</v>
      </c>
      <c r="I78" s="19"/>
      <c r="J78" s="19"/>
      <c r="K78" s="19"/>
      <c r="L78" s="19"/>
    </row>
    <row r="79" spans="1:12" ht="42" x14ac:dyDescent="0.3">
      <c r="A79" s="4"/>
      <c r="B79" s="5" t="s">
        <v>91</v>
      </c>
      <c r="C79" s="24"/>
      <c r="D79" s="24"/>
      <c r="E79" s="24"/>
      <c r="F79" s="24"/>
      <c r="G79" s="19"/>
      <c r="H79" s="19">
        <f t="shared" si="31"/>
        <v>0</v>
      </c>
      <c r="I79" s="19"/>
      <c r="J79" s="19"/>
      <c r="K79" s="19"/>
      <c r="L79" s="19"/>
    </row>
    <row r="80" spans="1:12" x14ac:dyDescent="0.3">
      <c r="A80" s="4"/>
      <c r="B80" s="5" t="s">
        <v>20</v>
      </c>
      <c r="C80" s="24"/>
      <c r="D80" s="24"/>
      <c r="E80" s="24"/>
      <c r="F80" s="24"/>
      <c r="G80" s="19"/>
      <c r="H80" s="19">
        <f t="shared" si="31"/>
        <v>0</v>
      </c>
      <c r="I80" s="19"/>
      <c r="J80" s="19"/>
      <c r="K80" s="19"/>
      <c r="L80" s="19"/>
    </row>
    <row r="81" spans="1:12" ht="39.6" x14ac:dyDescent="0.3">
      <c r="A81" s="4"/>
      <c r="B81" s="6" t="s">
        <v>21</v>
      </c>
      <c r="C81" s="24">
        <v>1</v>
      </c>
      <c r="D81" s="24">
        <v>1</v>
      </c>
      <c r="E81" s="24">
        <v>1</v>
      </c>
      <c r="F81" s="24">
        <v>1</v>
      </c>
      <c r="G81" s="19">
        <f>'расчёт зарплаты'!K44</f>
        <v>45056</v>
      </c>
      <c r="H81" s="19">
        <f t="shared" si="31"/>
        <v>540672</v>
      </c>
      <c r="I81" s="19"/>
      <c r="J81" s="19"/>
      <c r="K81" s="19"/>
      <c r="L81" s="19"/>
    </row>
    <row r="82" spans="1:12" x14ac:dyDescent="0.3">
      <c r="A82" s="4"/>
      <c r="B82" s="5" t="s">
        <v>22</v>
      </c>
      <c r="C82" s="24"/>
      <c r="D82" s="24"/>
      <c r="E82" s="24"/>
      <c r="F82" s="24"/>
      <c r="G82" s="19"/>
      <c r="H82" s="19">
        <f t="shared" ref="H82" si="32">E82*G82*12</f>
        <v>0</v>
      </c>
      <c r="I82" s="19"/>
      <c r="J82" s="19"/>
      <c r="K82" s="19"/>
      <c r="L82" s="19"/>
    </row>
    <row r="83" spans="1:12" x14ac:dyDescent="0.3">
      <c r="A83" s="38" t="s">
        <v>57</v>
      </c>
      <c r="B83" s="39"/>
      <c r="C83" s="41">
        <f>C84+C85+C86</f>
        <v>15.5</v>
      </c>
      <c r="D83" s="41">
        <f t="shared" ref="D83" si="33">D84+D85+D86</f>
        <v>14.5</v>
      </c>
      <c r="E83" s="41">
        <f t="shared" ref="E83" si="34">E84+E85+E86</f>
        <v>11</v>
      </c>
      <c r="F83" s="41">
        <f t="shared" ref="F83" si="35">F84+F85+F86</f>
        <v>11</v>
      </c>
      <c r="G83" s="41"/>
      <c r="H83" s="42">
        <f t="shared" ref="H83" si="36">H84+H85+H86</f>
        <v>4237884</v>
      </c>
      <c r="I83" s="42">
        <f t="shared" ref="I83" si="37">I84+I85+I86</f>
        <v>0</v>
      </c>
      <c r="J83" s="42">
        <f t="shared" ref="J83" si="38">J84+J85+J86</f>
        <v>0</v>
      </c>
      <c r="K83" s="42">
        <f t="shared" ref="K83" si="39">K84+K85+K86</f>
        <v>0</v>
      </c>
      <c r="L83" s="42">
        <f t="shared" ref="L83" si="40">L84+L85+L86</f>
        <v>0</v>
      </c>
    </row>
    <row r="84" spans="1:12" x14ac:dyDescent="0.3">
      <c r="A84" s="4"/>
      <c r="B84" s="5" t="s">
        <v>11</v>
      </c>
      <c r="C84" s="9">
        <v>3.5</v>
      </c>
      <c r="D84" s="9">
        <v>3.5</v>
      </c>
      <c r="E84" s="9">
        <v>3</v>
      </c>
      <c r="F84" s="9">
        <v>3</v>
      </c>
      <c r="G84" s="19">
        <f>'расчёт зарплаты'!K26</f>
        <v>27300</v>
      </c>
      <c r="H84" s="19">
        <f t="shared" ref="H84:H87" si="41">E84*G84*12+ ((D84-E84)*G84/2*12)</f>
        <v>1064700</v>
      </c>
      <c r="I84" s="19"/>
      <c r="J84" s="19"/>
      <c r="K84" s="19"/>
      <c r="L84" s="19"/>
    </row>
    <row r="85" spans="1:12" x14ac:dyDescent="0.3">
      <c r="A85" s="4"/>
      <c r="B85" s="5" t="s">
        <v>12</v>
      </c>
      <c r="C85" s="9">
        <v>4</v>
      </c>
      <c r="D85" s="9">
        <v>4</v>
      </c>
      <c r="E85" s="9">
        <v>4</v>
      </c>
      <c r="F85" s="9">
        <v>4</v>
      </c>
      <c r="G85" s="19">
        <f>'расчёт зарплаты'!K26</f>
        <v>27300</v>
      </c>
      <c r="H85" s="19">
        <f t="shared" si="41"/>
        <v>1310400</v>
      </c>
      <c r="I85" s="19"/>
      <c r="J85" s="19"/>
      <c r="K85" s="19"/>
      <c r="L85" s="19"/>
    </row>
    <row r="86" spans="1:12" ht="28.2" x14ac:dyDescent="0.3">
      <c r="A86" s="4"/>
      <c r="B86" s="5" t="s">
        <v>19</v>
      </c>
      <c r="C86" s="24">
        <v>8</v>
      </c>
      <c r="D86" s="24">
        <v>7</v>
      </c>
      <c r="E86" s="24">
        <v>4</v>
      </c>
      <c r="F86" s="24">
        <v>4</v>
      </c>
      <c r="G86" s="19">
        <f>'расчёт зарплаты'!K40</f>
        <v>28224</v>
      </c>
      <c r="H86" s="19">
        <f t="shared" si="41"/>
        <v>1862784</v>
      </c>
      <c r="I86" s="19"/>
      <c r="J86" s="19"/>
      <c r="K86" s="19"/>
      <c r="L86" s="19"/>
    </row>
    <row r="87" spans="1:12" x14ac:dyDescent="0.3">
      <c r="A87" s="83" t="s">
        <v>23</v>
      </c>
      <c r="B87" s="83"/>
      <c r="C87" s="23">
        <f t="shared" ref="C87:F87" si="42">C88+C94</f>
        <v>18.75</v>
      </c>
      <c r="D87" s="23">
        <f t="shared" si="42"/>
        <v>18.5</v>
      </c>
      <c r="E87" s="23">
        <f t="shared" si="42"/>
        <v>15</v>
      </c>
      <c r="F87" s="23">
        <f t="shared" si="42"/>
        <v>15</v>
      </c>
      <c r="G87" s="19"/>
      <c r="H87" s="19">
        <f t="shared" si="41"/>
        <v>0</v>
      </c>
      <c r="I87" s="19"/>
      <c r="J87" s="20">
        <f t="shared" ref="J87:K87" si="43">J88+J94</f>
        <v>5651190</v>
      </c>
      <c r="K87" s="20">
        <f t="shared" si="43"/>
        <v>1706659.38</v>
      </c>
      <c r="L87" s="20">
        <f>L88+L94</f>
        <v>7357849.3799999999</v>
      </c>
    </row>
    <row r="88" spans="1:12" x14ac:dyDescent="0.3">
      <c r="A88" s="84" t="s">
        <v>24</v>
      </c>
      <c r="B88" s="84"/>
      <c r="C88" s="23">
        <f t="shared" ref="C88:E88" si="44">C89+C90+C91+C92+C93</f>
        <v>11.25</v>
      </c>
      <c r="D88" s="23">
        <f t="shared" si="44"/>
        <v>11.25</v>
      </c>
      <c r="E88" s="23">
        <f t="shared" si="44"/>
        <v>11</v>
      </c>
      <c r="F88" s="23">
        <f>F89+F90+F91+F92+F93</f>
        <v>11</v>
      </c>
      <c r="G88" s="20"/>
      <c r="H88" s="20">
        <f>H89+H90+H91+H92+H93</f>
        <v>3644550</v>
      </c>
      <c r="I88" s="20">
        <f t="shared" ref="I88" si="45">I89+I90+I91+I92+I93</f>
        <v>0</v>
      </c>
      <c r="J88" s="20">
        <f>H88</f>
        <v>3644550</v>
      </c>
      <c r="K88" s="20">
        <f>J88*30.2%</f>
        <v>1100654.0999999999</v>
      </c>
      <c r="L88" s="20">
        <f>J88+K88</f>
        <v>4745204.0999999996</v>
      </c>
    </row>
    <row r="89" spans="1:12" x14ac:dyDescent="0.3">
      <c r="A89" s="4"/>
      <c r="B89" s="5" t="s">
        <v>25</v>
      </c>
      <c r="C89" s="24"/>
      <c r="D89" s="24"/>
      <c r="E89" s="24"/>
      <c r="F89" s="24"/>
      <c r="G89" s="19"/>
      <c r="H89" s="19">
        <f t="shared" ref="H89:H93" si="46">E89*G89*12+ ((D89-E89)*G89/2*12)</f>
        <v>0</v>
      </c>
      <c r="I89" s="19"/>
      <c r="J89" s="19"/>
      <c r="K89" s="19"/>
      <c r="L89" s="19"/>
    </row>
    <row r="90" spans="1:12" x14ac:dyDescent="0.3">
      <c r="A90" s="4"/>
      <c r="B90" s="5" t="s">
        <v>26</v>
      </c>
      <c r="C90" s="24"/>
      <c r="D90" s="24"/>
      <c r="E90" s="24"/>
      <c r="F90" s="24"/>
      <c r="G90" s="19"/>
      <c r="H90" s="19">
        <f t="shared" si="46"/>
        <v>0</v>
      </c>
      <c r="I90" s="19"/>
      <c r="J90" s="19"/>
      <c r="K90" s="19"/>
      <c r="L90" s="19"/>
    </row>
    <row r="91" spans="1:12" x14ac:dyDescent="0.3">
      <c r="A91" s="4"/>
      <c r="B91" s="5" t="s">
        <v>27</v>
      </c>
      <c r="C91" s="24"/>
      <c r="D91" s="24"/>
      <c r="E91" s="24"/>
      <c r="F91" s="24"/>
      <c r="G91" s="19"/>
      <c r="H91" s="19">
        <f t="shared" si="46"/>
        <v>0</v>
      </c>
      <c r="I91" s="19"/>
      <c r="J91" s="19"/>
      <c r="K91" s="19"/>
      <c r="L91" s="19"/>
    </row>
    <row r="92" spans="1:12" ht="28.2" x14ac:dyDescent="0.3">
      <c r="A92" s="4"/>
      <c r="B92" s="5" t="s">
        <v>28</v>
      </c>
      <c r="C92" s="24">
        <v>4</v>
      </c>
      <c r="D92" s="24">
        <v>4</v>
      </c>
      <c r="E92" s="24">
        <v>4</v>
      </c>
      <c r="F92" s="24">
        <v>4</v>
      </c>
      <c r="G92" s="19">
        <f>'расчёт зарплаты'!K26</f>
        <v>27300</v>
      </c>
      <c r="H92" s="19">
        <f t="shared" si="46"/>
        <v>1310400</v>
      </c>
      <c r="I92" s="19"/>
      <c r="J92" s="19"/>
      <c r="K92" s="19"/>
      <c r="L92" s="19"/>
    </row>
    <row r="93" spans="1:12" x14ac:dyDescent="0.3">
      <c r="A93" s="4"/>
      <c r="B93" s="5" t="s">
        <v>29</v>
      </c>
      <c r="C93" s="24">
        <v>7.25</v>
      </c>
      <c r="D93" s="24">
        <v>7.25</v>
      </c>
      <c r="E93" s="24">
        <v>7</v>
      </c>
      <c r="F93" s="24">
        <v>7</v>
      </c>
      <c r="G93" s="19">
        <f>'расчёт зарплаты'!K26</f>
        <v>27300</v>
      </c>
      <c r="H93" s="19">
        <f t="shared" si="46"/>
        <v>2334150</v>
      </c>
      <c r="I93" s="19"/>
      <c r="J93" s="19"/>
      <c r="K93" s="19"/>
      <c r="L93" s="19"/>
    </row>
    <row r="94" spans="1:12" x14ac:dyDescent="0.3">
      <c r="A94" s="84" t="s">
        <v>30</v>
      </c>
      <c r="B94" s="84"/>
      <c r="C94" s="23">
        <f t="shared" ref="C94:E94" si="47">C95+C96+C97</f>
        <v>7.5</v>
      </c>
      <c r="D94" s="23">
        <f t="shared" si="47"/>
        <v>7.25</v>
      </c>
      <c r="E94" s="23">
        <f t="shared" si="47"/>
        <v>4</v>
      </c>
      <c r="F94" s="23">
        <f>F95+F96+F97</f>
        <v>4</v>
      </c>
      <c r="G94" s="20"/>
      <c r="H94" s="20">
        <f>H95+H96+H97</f>
        <v>2006640</v>
      </c>
      <c r="I94" s="20">
        <f t="shared" ref="I94" si="48">I95+I96+I97</f>
        <v>0</v>
      </c>
      <c r="J94" s="20">
        <f>H94</f>
        <v>2006640</v>
      </c>
      <c r="K94" s="20">
        <f>J94*30.2%</f>
        <v>606005.28</v>
      </c>
      <c r="L94" s="20">
        <f>J94+K94</f>
        <v>2612645.2800000003</v>
      </c>
    </row>
    <row r="95" spans="1:12" x14ac:dyDescent="0.3">
      <c r="A95" s="4"/>
      <c r="B95" s="5" t="s">
        <v>31</v>
      </c>
      <c r="C95" s="24">
        <v>2.5</v>
      </c>
      <c r="D95" s="24">
        <v>2.5</v>
      </c>
      <c r="E95" s="24">
        <v>2</v>
      </c>
      <c r="F95" s="24">
        <v>2</v>
      </c>
      <c r="G95" s="19">
        <f>'расчёт зарплаты'!K34</f>
        <v>30976</v>
      </c>
      <c r="H95" s="19">
        <f t="shared" ref="H95:H97" si="49">E95*G95*12+ ((D95-E95)*G95/2*12)</f>
        <v>836352</v>
      </c>
      <c r="I95" s="19"/>
      <c r="J95" s="19"/>
      <c r="K95" s="19"/>
      <c r="L95" s="19"/>
    </row>
    <row r="96" spans="1:12" x14ac:dyDescent="0.3">
      <c r="A96" s="4"/>
      <c r="B96" s="5" t="s">
        <v>32</v>
      </c>
      <c r="C96" s="24"/>
      <c r="D96" s="24"/>
      <c r="E96" s="24"/>
      <c r="F96" s="24"/>
      <c r="G96" s="19"/>
      <c r="H96" s="19">
        <f t="shared" si="49"/>
        <v>0</v>
      </c>
      <c r="I96" s="19"/>
      <c r="J96" s="19"/>
      <c r="K96" s="19"/>
      <c r="L96" s="19"/>
    </row>
    <row r="97" spans="1:12" x14ac:dyDescent="0.3">
      <c r="A97" s="4"/>
      <c r="B97" s="5" t="s">
        <v>33</v>
      </c>
      <c r="C97" s="24">
        <v>5</v>
      </c>
      <c r="D97" s="24">
        <v>4.75</v>
      </c>
      <c r="E97" s="24">
        <v>2</v>
      </c>
      <c r="F97" s="24">
        <v>2</v>
      </c>
      <c r="G97" s="19">
        <f>'расчёт зарплаты'!K38</f>
        <v>28896</v>
      </c>
      <c r="H97" s="19">
        <f t="shared" si="49"/>
        <v>1170288</v>
      </c>
      <c r="I97" s="19"/>
      <c r="J97" s="19"/>
      <c r="K97" s="19"/>
      <c r="L97" s="19"/>
    </row>
    <row r="98" spans="1:12" x14ac:dyDescent="0.3">
      <c r="A98" s="89" t="s">
        <v>62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</row>
    <row r="99" spans="1:12" ht="14.4" customHeight="1" x14ac:dyDescent="0.3">
      <c r="A99" s="81" t="s">
        <v>7</v>
      </c>
      <c r="B99" s="82"/>
      <c r="C99" s="8">
        <f>C100+C117+C113</f>
        <v>82.25</v>
      </c>
      <c r="D99" s="8">
        <f>D100+D117+D113</f>
        <v>78.25</v>
      </c>
      <c r="E99" s="8">
        <f>E100+E117+E113</f>
        <v>58</v>
      </c>
      <c r="F99" s="8">
        <f>F100+F117+F113</f>
        <v>58</v>
      </c>
      <c r="G99" s="19"/>
      <c r="H99" s="19"/>
      <c r="I99" s="19"/>
      <c r="J99" s="19"/>
      <c r="K99" s="19"/>
      <c r="L99" s="19"/>
    </row>
    <row r="100" spans="1:12" ht="14.4" customHeight="1" x14ac:dyDescent="0.3">
      <c r="A100" s="81" t="s">
        <v>89</v>
      </c>
      <c r="B100" s="82"/>
      <c r="C100" s="40">
        <f t="shared" ref="C100:G100" si="50">SUM(C101:C112)</f>
        <v>59.5</v>
      </c>
      <c r="D100" s="40">
        <f t="shared" si="50"/>
        <v>58</v>
      </c>
      <c r="E100" s="40">
        <f t="shared" si="50"/>
        <v>48</v>
      </c>
      <c r="F100" s="40">
        <f t="shared" si="50"/>
        <v>48</v>
      </c>
      <c r="G100" s="40">
        <f t="shared" si="50"/>
        <v>176536</v>
      </c>
      <c r="H100" s="40">
        <f>SUM(H101:H112)</f>
        <v>18287769.600000001</v>
      </c>
      <c r="I100" s="20"/>
      <c r="J100" s="20">
        <f>H100-I100</f>
        <v>18287769.600000001</v>
      </c>
      <c r="K100" s="20">
        <f>J100*30.2%</f>
        <v>5522906.4192000004</v>
      </c>
      <c r="L100" s="20">
        <f>J100+K100</f>
        <v>23810676.019200001</v>
      </c>
    </row>
    <row r="101" spans="1:12" x14ac:dyDescent="0.3">
      <c r="A101" s="4"/>
      <c r="B101" s="5" t="s">
        <v>9</v>
      </c>
      <c r="C101" s="26">
        <v>32.5</v>
      </c>
      <c r="D101" s="26">
        <v>32.5</v>
      </c>
      <c r="E101" s="26">
        <v>24.8</v>
      </c>
      <c r="F101" s="26">
        <v>25</v>
      </c>
      <c r="G101" s="19">
        <f>'расчёт зарплаты'!K10</f>
        <v>28208</v>
      </c>
      <c r="H101" s="19">
        <f>E101*G101*12+ ((D101-E101)*G101/2*12)</f>
        <v>9697910.4000000004</v>
      </c>
      <c r="I101" s="19"/>
      <c r="J101" s="19"/>
      <c r="K101" s="19"/>
      <c r="L101" s="19">
        <f>G101*K101*12</f>
        <v>0</v>
      </c>
    </row>
    <row r="102" spans="1:12" x14ac:dyDescent="0.3">
      <c r="A102" s="4"/>
      <c r="B102" s="5" t="s">
        <v>10</v>
      </c>
      <c r="C102" s="26"/>
      <c r="D102" s="26"/>
      <c r="E102" s="26"/>
      <c r="F102" s="26"/>
      <c r="G102" s="19"/>
      <c r="H102" s="19">
        <f t="shared" ref="H102:H111" si="51">E102*G102*12+ ((D102-E102)*G102/2*12)</f>
        <v>0</v>
      </c>
      <c r="I102" s="19"/>
      <c r="J102" s="19"/>
      <c r="K102" s="19"/>
      <c r="L102" s="19"/>
    </row>
    <row r="103" spans="1:12" x14ac:dyDescent="0.3">
      <c r="A103" s="4"/>
      <c r="B103" s="5" t="s">
        <v>13</v>
      </c>
      <c r="C103" s="26">
        <v>4.5</v>
      </c>
      <c r="D103" s="26">
        <v>4.5</v>
      </c>
      <c r="E103" s="26">
        <v>3.7</v>
      </c>
      <c r="F103" s="26">
        <v>4</v>
      </c>
      <c r="G103" s="19">
        <f>'расчёт зарплаты'!K38</f>
        <v>28896</v>
      </c>
      <c r="H103" s="19">
        <f t="shared" si="51"/>
        <v>1421683.2000000002</v>
      </c>
      <c r="I103" s="19"/>
      <c r="J103" s="19"/>
      <c r="K103" s="19"/>
      <c r="L103" s="19"/>
    </row>
    <row r="104" spans="1:12" ht="28.2" x14ac:dyDescent="0.3">
      <c r="A104" s="4"/>
      <c r="B104" s="5" t="s">
        <v>14</v>
      </c>
      <c r="C104" s="26"/>
      <c r="D104" s="26"/>
      <c r="E104" s="26"/>
      <c r="F104" s="26"/>
      <c r="G104" s="19"/>
      <c r="H104" s="19">
        <f t="shared" si="51"/>
        <v>0</v>
      </c>
      <c r="I104" s="19"/>
      <c r="J104" s="19"/>
      <c r="K104" s="19"/>
      <c r="L104" s="19"/>
    </row>
    <row r="105" spans="1:12" x14ac:dyDescent="0.3">
      <c r="A105" s="4"/>
      <c r="B105" s="5" t="s">
        <v>15</v>
      </c>
      <c r="C105" s="26">
        <v>7</v>
      </c>
      <c r="D105" s="26">
        <v>7</v>
      </c>
      <c r="E105" s="26">
        <v>6</v>
      </c>
      <c r="F105" s="26">
        <v>6</v>
      </c>
      <c r="G105" s="19">
        <f>'расчёт зарплаты'!K34</f>
        <v>30976</v>
      </c>
      <c r="H105" s="19">
        <f t="shared" si="51"/>
        <v>2416128</v>
      </c>
      <c r="I105" s="19"/>
      <c r="J105" s="19"/>
      <c r="K105" s="19"/>
      <c r="L105" s="19"/>
    </row>
    <row r="106" spans="1:12" x14ac:dyDescent="0.3">
      <c r="A106" s="4"/>
      <c r="B106" s="5" t="s">
        <v>16</v>
      </c>
      <c r="C106" s="26">
        <v>12</v>
      </c>
      <c r="D106" s="26">
        <v>12</v>
      </c>
      <c r="E106" s="26">
        <v>12</v>
      </c>
      <c r="F106" s="26">
        <v>12</v>
      </c>
      <c r="G106" s="19">
        <f>'расчёт зарплаты'!K8</f>
        <v>28600</v>
      </c>
      <c r="H106" s="19">
        <f t="shared" si="51"/>
        <v>4118400</v>
      </c>
      <c r="I106" s="19"/>
      <c r="J106" s="19"/>
      <c r="K106" s="19"/>
      <c r="L106" s="19"/>
    </row>
    <row r="107" spans="1:12" ht="42" x14ac:dyDescent="0.3">
      <c r="A107" s="4"/>
      <c r="B107" s="5" t="s">
        <v>17</v>
      </c>
      <c r="C107" s="26">
        <v>2.5</v>
      </c>
      <c r="D107" s="26">
        <v>1</v>
      </c>
      <c r="E107" s="26">
        <v>0.5</v>
      </c>
      <c r="F107" s="26">
        <v>0</v>
      </c>
      <c r="G107" s="19">
        <f>'расчёт зарплаты'!K10</f>
        <v>28208</v>
      </c>
      <c r="H107" s="19">
        <f t="shared" si="51"/>
        <v>253872</v>
      </c>
      <c r="I107" s="19"/>
      <c r="J107" s="19"/>
      <c r="K107" s="19"/>
      <c r="L107" s="19"/>
    </row>
    <row r="108" spans="1:12" ht="28.2" x14ac:dyDescent="0.3">
      <c r="A108" s="4"/>
      <c r="B108" s="5" t="s">
        <v>18</v>
      </c>
      <c r="C108" s="26">
        <v>1</v>
      </c>
      <c r="D108" s="26">
        <v>1</v>
      </c>
      <c r="E108" s="26">
        <v>1</v>
      </c>
      <c r="F108" s="26">
        <v>1</v>
      </c>
      <c r="G108" s="19">
        <f>'расчёт зарплаты'!K20</f>
        <v>31648</v>
      </c>
      <c r="H108" s="19">
        <f t="shared" si="51"/>
        <v>379776</v>
      </c>
      <c r="I108" s="19"/>
      <c r="J108" s="19"/>
      <c r="K108" s="19"/>
      <c r="L108" s="19"/>
    </row>
    <row r="109" spans="1:12" ht="42" x14ac:dyDescent="0.3">
      <c r="A109" s="4"/>
      <c r="B109" s="5" t="s">
        <v>91</v>
      </c>
      <c r="C109" s="26"/>
      <c r="D109" s="26"/>
      <c r="E109" s="26"/>
      <c r="F109" s="26"/>
      <c r="G109" s="19"/>
      <c r="H109" s="19">
        <f t="shared" si="51"/>
        <v>0</v>
      </c>
      <c r="I109" s="19"/>
      <c r="J109" s="19"/>
      <c r="K109" s="19"/>
      <c r="L109" s="19"/>
    </row>
    <row r="110" spans="1:12" x14ac:dyDescent="0.3">
      <c r="A110" s="4"/>
      <c r="B110" s="5" t="s">
        <v>20</v>
      </c>
      <c r="C110" s="26"/>
      <c r="D110" s="26"/>
      <c r="E110" s="26"/>
      <c r="F110" s="26"/>
      <c r="G110" s="19"/>
      <c r="H110" s="19">
        <f t="shared" si="51"/>
        <v>0</v>
      </c>
      <c r="I110" s="19"/>
      <c r="J110" s="19"/>
      <c r="K110" s="19"/>
      <c r="L110" s="19"/>
    </row>
    <row r="111" spans="1:12" ht="39.6" x14ac:dyDescent="0.3">
      <c r="A111" s="4"/>
      <c r="B111" s="6" t="s">
        <v>21</v>
      </c>
      <c r="C111" s="26"/>
      <c r="D111" s="26"/>
      <c r="E111" s="26"/>
      <c r="F111" s="26"/>
      <c r="G111" s="19"/>
      <c r="H111" s="19">
        <f t="shared" si="51"/>
        <v>0</v>
      </c>
      <c r="I111" s="19"/>
      <c r="J111" s="19"/>
      <c r="K111" s="19"/>
      <c r="L111" s="19"/>
    </row>
    <row r="112" spans="1:12" x14ac:dyDescent="0.3">
      <c r="A112" s="4"/>
      <c r="B112" s="5" t="s">
        <v>22</v>
      </c>
      <c r="C112" s="26"/>
      <c r="D112" s="26"/>
      <c r="E112" s="26"/>
      <c r="F112" s="26"/>
      <c r="G112" s="19"/>
      <c r="H112" s="19">
        <f t="shared" ref="H112" si="52">E112*G112*12</f>
        <v>0</v>
      </c>
      <c r="I112" s="19"/>
      <c r="J112" s="19"/>
      <c r="K112" s="19"/>
      <c r="L112" s="19"/>
    </row>
    <row r="113" spans="1:12" x14ac:dyDescent="0.3">
      <c r="A113" s="38" t="s">
        <v>57</v>
      </c>
      <c r="B113" s="39"/>
      <c r="C113" s="41">
        <f>C114+C115+C116</f>
        <v>9</v>
      </c>
      <c r="D113" s="41">
        <f t="shared" ref="D113" si="53">D114+D115+D116</f>
        <v>9</v>
      </c>
      <c r="E113" s="41">
        <f t="shared" ref="E113" si="54">E114+E115+E116</f>
        <v>6</v>
      </c>
      <c r="F113" s="41">
        <f t="shared" ref="F113" si="55">F114+F115+F116</f>
        <v>6</v>
      </c>
      <c r="G113" s="41"/>
      <c r="H113" s="42">
        <f t="shared" ref="H113" si="56">H114+H115+H116</f>
        <v>2495808</v>
      </c>
      <c r="I113" s="42">
        <f t="shared" ref="I113" si="57">I114+I115+I116</f>
        <v>0</v>
      </c>
      <c r="J113" s="42">
        <f t="shared" ref="J113" si="58">J114+J115+J116</f>
        <v>0</v>
      </c>
      <c r="K113" s="42">
        <f t="shared" ref="K113" si="59">K114+K115+K116</f>
        <v>0</v>
      </c>
      <c r="L113" s="42">
        <f t="shared" ref="L113" si="60">L114+L115+L116</f>
        <v>0</v>
      </c>
    </row>
    <row r="114" spans="1:12" x14ac:dyDescent="0.3">
      <c r="A114" s="4"/>
      <c r="B114" s="5" t="s">
        <v>11</v>
      </c>
      <c r="C114" s="9">
        <v>1.5</v>
      </c>
      <c r="D114" s="9">
        <v>1.5</v>
      </c>
      <c r="E114" s="9">
        <v>0</v>
      </c>
      <c r="F114" s="9">
        <v>0</v>
      </c>
      <c r="G114" s="19">
        <f>'расчёт зарплаты'!K26</f>
        <v>27300</v>
      </c>
      <c r="H114" s="19">
        <f t="shared" ref="H114:H117" si="61">E114*G114*12+ ((D114-E114)*G114/2*12)</f>
        <v>245700</v>
      </c>
      <c r="I114" s="19"/>
      <c r="J114" s="19"/>
      <c r="K114" s="19"/>
      <c r="L114" s="19"/>
    </row>
    <row r="115" spans="1:12" x14ac:dyDescent="0.3">
      <c r="A115" s="4"/>
      <c r="B115" s="5" t="s">
        <v>12</v>
      </c>
      <c r="C115" s="9">
        <v>3.5</v>
      </c>
      <c r="D115" s="9">
        <v>3.5</v>
      </c>
      <c r="E115" s="9">
        <v>3</v>
      </c>
      <c r="F115" s="9">
        <v>3</v>
      </c>
      <c r="G115" s="19">
        <f>'расчёт зарплаты'!K26</f>
        <v>27300</v>
      </c>
      <c r="H115" s="19">
        <f t="shared" si="61"/>
        <v>1064700</v>
      </c>
      <c r="I115" s="19"/>
      <c r="J115" s="19"/>
      <c r="K115" s="19"/>
      <c r="L115" s="19"/>
    </row>
    <row r="116" spans="1:12" ht="28.2" x14ac:dyDescent="0.3">
      <c r="A116" s="4"/>
      <c r="B116" s="5" t="s">
        <v>19</v>
      </c>
      <c r="C116" s="9">
        <v>4</v>
      </c>
      <c r="D116" s="9">
        <v>4</v>
      </c>
      <c r="E116" s="9">
        <v>3</v>
      </c>
      <c r="F116" s="9">
        <v>3</v>
      </c>
      <c r="G116" s="19">
        <f>'расчёт зарплаты'!K40</f>
        <v>28224</v>
      </c>
      <c r="H116" s="19">
        <f t="shared" si="61"/>
        <v>1185408</v>
      </c>
      <c r="I116" s="19"/>
      <c r="J116" s="19"/>
      <c r="K116" s="19"/>
      <c r="L116" s="19"/>
    </row>
    <row r="117" spans="1:12" x14ac:dyDescent="0.3">
      <c r="A117" s="83" t="s">
        <v>23</v>
      </c>
      <c r="B117" s="83"/>
      <c r="C117" s="25">
        <f t="shared" ref="C117:F117" si="62">C118+C124</f>
        <v>13.75</v>
      </c>
      <c r="D117" s="25">
        <f t="shared" si="62"/>
        <v>11.25</v>
      </c>
      <c r="E117" s="25">
        <f t="shared" si="62"/>
        <v>4</v>
      </c>
      <c r="F117" s="25">
        <f t="shared" si="62"/>
        <v>4</v>
      </c>
      <c r="G117" s="19"/>
      <c r="H117" s="19">
        <f t="shared" si="61"/>
        <v>0</v>
      </c>
      <c r="I117" s="19"/>
      <c r="J117" s="20">
        <f t="shared" ref="J117:K117" si="63">J118+J124</f>
        <v>2519496</v>
      </c>
      <c r="K117" s="20">
        <f t="shared" si="63"/>
        <v>760887.7919999999</v>
      </c>
      <c r="L117" s="20">
        <f>L118+L124</f>
        <v>3280383.7919999999</v>
      </c>
    </row>
    <row r="118" spans="1:12" x14ac:dyDescent="0.3">
      <c r="A118" s="84" t="s">
        <v>24</v>
      </c>
      <c r="B118" s="84"/>
      <c r="C118" s="25">
        <f t="shared" ref="C118:F118" si="64">C119+C120+C121+C122+C123</f>
        <v>11.5</v>
      </c>
      <c r="D118" s="25">
        <f t="shared" si="64"/>
        <v>10</v>
      </c>
      <c r="E118" s="25">
        <f t="shared" si="64"/>
        <v>3</v>
      </c>
      <c r="F118" s="25">
        <f t="shared" si="64"/>
        <v>3</v>
      </c>
      <c r="G118" s="20"/>
      <c r="H118" s="20">
        <f>H119+H120+H121+H122+H123</f>
        <v>2129400</v>
      </c>
      <c r="I118" s="20">
        <f t="shared" ref="I118" si="65">I119+I120+I121+I122+I123</f>
        <v>0</v>
      </c>
      <c r="J118" s="20">
        <f>H118</f>
        <v>2129400</v>
      </c>
      <c r="K118" s="20">
        <f>J118*30.2%</f>
        <v>643078.79999999993</v>
      </c>
      <c r="L118" s="20">
        <f>J118+K118</f>
        <v>2772478.8</v>
      </c>
    </row>
    <row r="119" spans="1:12" x14ac:dyDescent="0.3">
      <c r="A119" s="4"/>
      <c r="B119" s="5" t="s">
        <v>25</v>
      </c>
      <c r="C119" s="26"/>
      <c r="D119" s="26"/>
      <c r="E119" s="26"/>
      <c r="F119" s="26"/>
      <c r="G119" s="19"/>
      <c r="H119" s="19">
        <f t="shared" ref="H119:H121" si="66">E119*G119*12+ ((D119-E119)*G119/2*12)</f>
        <v>0</v>
      </c>
      <c r="I119" s="19"/>
      <c r="J119" s="19"/>
      <c r="K119" s="19"/>
      <c r="L119" s="19"/>
    </row>
    <row r="120" spans="1:12" x14ac:dyDescent="0.3">
      <c r="A120" s="4"/>
      <c r="B120" s="5" t="s">
        <v>26</v>
      </c>
      <c r="C120" s="26"/>
      <c r="D120" s="26"/>
      <c r="E120" s="26"/>
      <c r="F120" s="26"/>
      <c r="G120" s="19"/>
      <c r="H120" s="19">
        <f t="shared" si="66"/>
        <v>0</v>
      </c>
      <c r="I120" s="19"/>
      <c r="J120" s="19"/>
      <c r="K120" s="19"/>
      <c r="L120" s="19"/>
    </row>
    <row r="121" spans="1:12" x14ac:dyDescent="0.3">
      <c r="A121" s="4"/>
      <c r="B121" s="5" t="s">
        <v>27</v>
      </c>
      <c r="C121" s="26"/>
      <c r="D121" s="26"/>
      <c r="E121" s="26"/>
      <c r="F121" s="26"/>
      <c r="G121" s="19"/>
      <c r="H121" s="19">
        <f t="shared" si="66"/>
        <v>0</v>
      </c>
      <c r="I121" s="19"/>
      <c r="J121" s="19"/>
      <c r="K121" s="19"/>
      <c r="L121" s="19"/>
    </row>
    <row r="122" spans="1:12" ht="28.2" x14ac:dyDescent="0.3">
      <c r="A122" s="4"/>
      <c r="B122" s="5" t="s">
        <v>28</v>
      </c>
      <c r="C122" s="26">
        <v>5</v>
      </c>
      <c r="D122" s="26">
        <v>5</v>
      </c>
      <c r="E122" s="26">
        <v>1</v>
      </c>
      <c r="F122" s="26">
        <v>1</v>
      </c>
      <c r="G122" s="19">
        <f>'расчёт зарплаты'!K26</f>
        <v>27300</v>
      </c>
      <c r="H122" s="19">
        <f t="shared" ref="H122:H123" si="67">E122*G122*12+ ((D122-E122)*G122/2*12)</f>
        <v>982800</v>
      </c>
      <c r="I122" s="19"/>
      <c r="J122" s="19"/>
      <c r="K122" s="19"/>
      <c r="L122" s="19"/>
    </row>
    <row r="123" spans="1:12" x14ac:dyDescent="0.3">
      <c r="A123" s="4"/>
      <c r="B123" s="5" t="s">
        <v>29</v>
      </c>
      <c r="C123" s="26">
        <v>6.5</v>
      </c>
      <c r="D123" s="26">
        <v>5</v>
      </c>
      <c r="E123" s="26">
        <v>2</v>
      </c>
      <c r="F123" s="26">
        <v>2</v>
      </c>
      <c r="G123" s="19">
        <f>'расчёт зарплаты'!K26</f>
        <v>27300</v>
      </c>
      <c r="H123" s="19">
        <f t="shared" si="67"/>
        <v>1146600</v>
      </c>
      <c r="I123" s="19"/>
      <c r="J123" s="19"/>
      <c r="K123" s="19"/>
      <c r="L123" s="19"/>
    </row>
    <row r="124" spans="1:12" ht="32.25" customHeight="1" x14ac:dyDescent="0.3">
      <c r="A124" s="84" t="s">
        <v>30</v>
      </c>
      <c r="B124" s="84"/>
      <c r="C124" s="25">
        <f t="shared" ref="C124:F124" si="68">C125+C126+C127</f>
        <v>2.25</v>
      </c>
      <c r="D124" s="25">
        <f t="shared" si="68"/>
        <v>1.25</v>
      </c>
      <c r="E124" s="25">
        <f t="shared" si="68"/>
        <v>1</v>
      </c>
      <c r="F124" s="25">
        <f t="shared" si="68"/>
        <v>1</v>
      </c>
      <c r="G124" s="20"/>
      <c r="H124" s="20">
        <f>H125+H126+H127</f>
        <v>390096</v>
      </c>
      <c r="I124" s="20">
        <f t="shared" ref="I124" si="69">I125+I126+I127</f>
        <v>0</v>
      </c>
      <c r="J124" s="20">
        <f>H124</f>
        <v>390096</v>
      </c>
      <c r="K124" s="20">
        <f>J124*30.2%</f>
        <v>117808.992</v>
      </c>
      <c r="L124" s="20">
        <f>J124+K124</f>
        <v>507904.99199999997</v>
      </c>
    </row>
    <row r="125" spans="1:12" x14ac:dyDescent="0.3">
      <c r="A125" s="4"/>
      <c r="B125" s="5" t="s">
        <v>31</v>
      </c>
      <c r="C125" s="26">
        <v>1</v>
      </c>
      <c r="D125" s="26">
        <v>0</v>
      </c>
      <c r="E125" s="26">
        <v>0</v>
      </c>
      <c r="F125" s="26">
        <v>0</v>
      </c>
      <c r="G125" s="19">
        <f>'расчёт зарплаты'!K34</f>
        <v>30976</v>
      </c>
      <c r="H125" s="19">
        <f t="shared" ref="H125:H127" si="70">E125*G125*12+ ((D125-E125)*G125/2*12)</f>
        <v>0</v>
      </c>
      <c r="I125" s="19"/>
      <c r="J125" s="19"/>
      <c r="K125" s="19"/>
      <c r="L125" s="19"/>
    </row>
    <row r="126" spans="1:12" x14ac:dyDescent="0.3">
      <c r="A126" s="4"/>
      <c r="B126" s="5" t="s">
        <v>32</v>
      </c>
      <c r="C126" s="26"/>
      <c r="D126" s="26"/>
      <c r="E126" s="26"/>
      <c r="F126" s="26"/>
      <c r="G126" s="19"/>
      <c r="H126" s="19">
        <f t="shared" si="70"/>
        <v>0</v>
      </c>
      <c r="I126" s="19"/>
      <c r="J126" s="19"/>
      <c r="K126" s="19"/>
      <c r="L126" s="19"/>
    </row>
    <row r="127" spans="1:12" x14ac:dyDescent="0.3">
      <c r="A127" s="4"/>
      <c r="B127" s="5" t="s">
        <v>33</v>
      </c>
      <c r="C127" s="26">
        <v>1.25</v>
      </c>
      <c r="D127" s="26">
        <v>1.25</v>
      </c>
      <c r="E127" s="26">
        <v>1</v>
      </c>
      <c r="F127" s="26">
        <v>1</v>
      </c>
      <c r="G127" s="19">
        <f>'расчёт зарплаты'!K38</f>
        <v>28896</v>
      </c>
      <c r="H127" s="19">
        <f t="shared" si="70"/>
        <v>390096</v>
      </c>
      <c r="I127" s="19"/>
      <c r="J127" s="19"/>
      <c r="K127" s="19"/>
      <c r="L127" s="19"/>
    </row>
    <row r="128" spans="1:12" x14ac:dyDescent="0.3">
      <c r="A128" s="89" t="s">
        <v>63</v>
      </c>
      <c r="B128" s="89"/>
      <c r="C128" s="89"/>
      <c r="D128" s="89"/>
      <c r="E128" s="89"/>
      <c r="F128" s="89"/>
      <c r="G128" s="89"/>
      <c r="H128" s="89"/>
      <c r="I128" s="89"/>
      <c r="J128" s="89"/>
      <c r="K128" s="89"/>
      <c r="L128" s="89"/>
    </row>
    <row r="129" spans="1:12" ht="14.4" customHeight="1" x14ac:dyDescent="0.3">
      <c r="A129" s="81" t="s">
        <v>7</v>
      </c>
      <c r="B129" s="82"/>
      <c r="C129" s="8">
        <f>C130+C147+C143</f>
        <v>42</v>
      </c>
      <c r="D129" s="8">
        <f>D130+D147+D143</f>
        <v>41.5</v>
      </c>
      <c r="E129" s="8">
        <f>E130+E147+E143</f>
        <v>42</v>
      </c>
      <c r="F129" s="8">
        <f>F130+F147+F143</f>
        <v>40</v>
      </c>
      <c r="G129" s="19"/>
      <c r="H129" s="19"/>
      <c r="I129" s="19"/>
      <c r="J129" s="19"/>
      <c r="K129" s="19"/>
      <c r="L129" s="19"/>
    </row>
    <row r="130" spans="1:12" ht="14.4" customHeight="1" x14ac:dyDescent="0.3">
      <c r="A130" s="81" t="s">
        <v>89</v>
      </c>
      <c r="B130" s="82"/>
      <c r="C130" s="40">
        <f t="shared" ref="C130:G130" si="71">SUM(C131:C142)</f>
        <v>29.75</v>
      </c>
      <c r="D130" s="40">
        <f t="shared" si="71"/>
        <v>29.75</v>
      </c>
      <c r="E130" s="40">
        <f t="shared" si="71"/>
        <v>30</v>
      </c>
      <c r="F130" s="40">
        <f t="shared" si="71"/>
        <v>29</v>
      </c>
      <c r="G130" s="40">
        <f t="shared" si="71"/>
        <v>173784</v>
      </c>
      <c r="H130" s="40">
        <f>SUM(H131:H142)</f>
        <v>10305648</v>
      </c>
      <c r="I130" s="20"/>
      <c r="J130" s="20">
        <f>H130-I130</f>
        <v>10305648</v>
      </c>
      <c r="K130" s="20">
        <f>J130*30.2%</f>
        <v>3112305.696</v>
      </c>
      <c r="L130" s="20">
        <f>J130+K130</f>
        <v>13417953.696</v>
      </c>
    </row>
    <row r="131" spans="1:12" x14ac:dyDescent="0.3">
      <c r="A131" s="4"/>
      <c r="B131" s="5" t="s">
        <v>9</v>
      </c>
      <c r="C131" s="28">
        <v>15</v>
      </c>
      <c r="D131" s="28">
        <v>15</v>
      </c>
      <c r="E131" s="28">
        <v>15</v>
      </c>
      <c r="F131" s="28">
        <v>15</v>
      </c>
      <c r="G131" s="19">
        <f>'расчёт зарплаты'!K10</f>
        <v>28208</v>
      </c>
      <c r="H131" s="19">
        <f>E131*G131*12+ ((D131-E131)*G131/2*12)</f>
        <v>5077440</v>
      </c>
      <c r="I131" s="19"/>
      <c r="J131" s="19"/>
      <c r="K131" s="19"/>
      <c r="L131" s="19">
        <f>G131*K131*12</f>
        <v>0</v>
      </c>
    </row>
    <row r="132" spans="1:12" x14ac:dyDescent="0.3">
      <c r="A132" s="4"/>
      <c r="B132" s="5" t="s">
        <v>10</v>
      </c>
      <c r="C132" s="28"/>
      <c r="D132" s="28"/>
      <c r="E132" s="28"/>
      <c r="F132" s="28"/>
      <c r="G132" s="19"/>
      <c r="H132" s="19">
        <f t="shared" ref="H132:H141" si="72">E132*G132*12+ ((D132-E132)*G132/2*12)</f>
        <v>0</v>
      </c>
      <c r="I132" s="19"/>
      <c r="J132" s="19"/>
      <c r="K132" s="19"/>
      <c r="L132" s="19"/>
    </row>
    <row r="133" spans="1:12" x14ac:dyDescent="0.3">
      <c r="A133" s="4"/>
      <c r="B133" s="5" t="s">
        <v>13</v>
      </c>
      <c r="C133" s="28">
        <v>2.75</v>
      </c>
      <c r="D133" s="28">
        <v>2.75</v>
      </c>
      <c r="E133" s="28">
        <v>3</v>
      </c>
      <c r="F133" s="28">
        <v>2</v>
      </c>
      <c r="G133" s="19">
        <f>'расчёт зарплаты'!K38</f>
        <v>28896</v>
      </c>
      <c r="H133" s="19">
        <f t="shared" si="72"/>
        <v>996912</v>
      </c>
      <c r="I133" s="19"/>
      <c r="J133" s="19"/>
      <c r="K133" s="19"/>
      <c r="L133" s="19"/>
    </row>
    <row r="134" spans="1:12" ht="28.2" x14ac:dyDescent="0.3">
      <c r="A134" s="4"/>
      <c r="B134" s="5" t="s">
        <v>14</v>
      </c>
      <c r="C134" s="28">
        <v>1</v>
      </c>
      <c r="D134" s="28">
        <v>1</v>
      </c>
      <c r="E134" s="28">
        <v>1</v>
      </c>
      <c r="F134" s="28">
        <v>1</v>
      </c>
      <c r="G134" s="19">
        <f>'расчёт зарплаты'!K38</f>
        <v>28896</v>
      </c>
      <c r="H134" s="19">
        <f t="shared" si="72"/>
        <v>346752</v>
      </c>
      <c r="I134" s="19"/>
      <c r="J134" s="19"/>
      <c r="K134" s="19"/>
      <c r="L134" s="19"/>
    </row>
    <row r="135" spans="1:12" x14ac:dyDescent="0.3">
      <c r="A135" s="4"/>
      <c r="B135" s="5" t="s">
        <v>15</v>
      </c>
      <c r="C135" s="28">
        <v>4</v>
      </c>
      <c r="D135" s="28">
        <v>4</v>
      </c>
      <c r="E135" s="28">
        <v>4</v>
      </c>
      <c r="F135" s="28">
        <v>4</v>
      </c>
      <c r="G135" s="19">
        <f>'расчёт зарплаты'!K34</f>
        <v>30976</v>
      </c>
      <c r="H135" s="19">
        <f t="shared" si="72"/>
        <v>1486848</v>
      </c>
      <c r="I135" s="19"/>
      <c r="J135" s="19"/>
      <c r="K135" s="19"/>
      <c r="L135" s="19"/>
    </row>
    <row r="136" spans="1:12" x14ac:dyDescent="0.3">
      <c r="A136" s="4"/>
      <c r="B136" s="5" t="s">
        <v>16</v>
      </c>
      <c r="C136" s="28">
        <v>6</v>
      </c>
      <c r="D136" s="28">
        <v>6</v>
      </c>
      <c r="E136" s="28">
        <v>6</v>
      </c>
      <c r="F136" s="28">
        <v>6</v>
      </c>
      <c r="G136" s="19">
        <f>'расчёт зарплаты'!K8</f>
        <v>28600</v>
      </c>
      <c r="H136" s="19">
        <f t="shared" si="72"/>
        <v>2059200</v>
      </c>
      <c r="I136" s="19"/>
      <c r="J136" s="19"/>
      <c r="K136" s="19"/>
      <c r="L136" s="19"/>
    </row>
    <row r="137" spans="1:12" ht="42" x14ac:dyDescent="0.3">
      <c r="A137" s="4"/>
      <c r="B137" s="5" t="s">
        <v>17</v>
      </c>
      <c r="C137" s="28">
        <v>1</v>
      </c>
      <c r="D137" s="28">
        <v>1</v>
      </c>
      <c r="E137" s="28">
        <v>1</v>
      </c>
      <c r="F137" s="28">
        <v>1</v>
      </c>
      <c r="G137" s="19">
        <f>'расчёт зарплаты'!K10</f>
        <v>28208</v>
      </c>
      <c r="H137" s="19">
        <f t="shared" si="72"/>
        <v>338496</v>
      </c>
      <c r="I137" s="19"/>
      <c r="J137" s="19"/>
      <c r="K137" s="19"/>
      <c r="L137" s="19"/>
    </row>
    <row r="138" spans="1:12" ht="28.2" x14ac:dyDescent="0.3">
      <c r="A138" s="4"/>
      <c r="B138" s="5" t="s">
        <v>18</v>
      </c>
      <c r="C138" s="28"/>
      <c r="D138" s="28"/>
      <c r="E138" s="28"/>
      <c r="F138" s="28"/>
      <c r="G138" s="19"/>
      <c r="H138" s="19">
        <f t="shared" si="72"/>
        <v>0</v>
      </c>
      <c r="I138" s="19"/>
      <c r="J138" s="19"/>
      <c r="K138" s="19"/>
      <c r="L138" s="19"/>
    </row>
    <row r="139" spans="1:12" ht="42" x14ac:dyDescent="0.3">
      <c r="A139" s="4"/>
      <c r="B139" s="5" t="s">
        <v>91</v>
      </c>
      <c r="C139" s="28"/>
      <c r="D139" s="28"/>
      <c r="E139" s="28"/>
      <c r="F139" s="28"/>
      <c r="G139" s="19"/>
      <c r="H139" s="19">
        <f t="shared" si="72"/>
        <v>0</v>
      </c>
      <c r="I139" s="19"/>
      <c r="J139" s="19"/>
      <c r="K139" s="19"/>
      <c r="L139" s="19"/>
    </row>
    <row r="140" spans="1:12" x14ac:dyDescent="0.3">
      <c r="A140" s="4"/>
      <c r="B140" s="5" t="s">
        <v>20</v>
      </c>
      <c r="C140" s="28"/>
      <c r="D140" s="28"/>
      <c r="E140" s="28"/>
      <c r="F140" s="28"/>
      <c r="G140" s="19"/>
      <c r="H140" s="19">
        <f t="shared" si="72"/>
        <v>0</v>
      </c>
      <c r="I140" s="19"/>
      <c r="J140" s="19"/>
      <c r="K140" s="19"/>
      <c r="L140" s="19"/>
    </row>
    <row r="141" spans="1:12" ht="39.6" x14ac:dyDescent="0.3">
      <c r="A141" s="4"/>
      <c r="B141" s="6" t="s">
        <v>21</v>
      </c>
      <c r="C141" s="28"/>
      <c r="D141" s="28"/>
      <c r="E141" s="28"/>
      <c r="F141" s="28"/>
      <c r="G141" s="19"/>
      <c r="H141" s="19">
        <f t="shared" si="72"/>
        <v>0</v>
      </c>
      <c r="I141" s="19"/>
      <c r="J141" s="19"/>
      <c r="K141" s="19"/>
      <c r="L141" s="19"/>
    </row>
    <row r="142" spans="1:12" x14ac:dyDescent="0.3">
      <c r="A142" s="4"/>
      <c r="B142" s="5" t="s">
        <v>22</v>
      </c>
      <c r="C142" s="28"/>
      <c r="D142" s="28"/>
      <c r="E142" s="28"/>
      <c r="F142" s="28"/>
      <c r="G142" s="19"/>
      <c r="H142" s="19">
        <f t="shared" ref="H142" si="73">E142*G142*12</f>
        <v>0</v>
      </c>
      <c r="I142" s="19"/>
      <c r="J142" s="19"/>
      <c r="K142" s="19"/>
      <c r="L142" s="19"/>
    </row>
    <row r="143" spans="1:12" x14ac:dyDescent="0.3">
      <c r="A143" s="38" t="s">
        <v>57</v>
      </c>
      <c r="B143" s="39"/>
      <c r="C143" s="41">
        <f>C144+C145+C146</f>
        <v>3.75</v>
      </c>
      <c r="D143" s="41">
        <f t="shared" ref="D143" si="74">D144+D145+D146</f>
        <v>3.75</v>
      </c>
      <c r="E143" s="41">
        <f t="shared" ref="E143" si="75">E144+E145+E146</f>
        <v>4</v>
      </c>
      <c r="F143" s="41">
        <f t="shared" ref="F143" si="76">F144+F145+F146</f>
        <v>3</v>
      </c>
      <c r="G143" s="41"/>
      <c r="H143" s="41">
        <f t="shared" ref="H143" si="77">H144+H145+H146</f>
        <v>1290240</v>
      </c>
      <c r="I143" s="42">
        <f t="shared" ref="I143" si="78">I144+I145+I146</f>
        <v>0</v>
      </c>
      <c r="J143" s="42">
        <f t="shared" ref="J143" si="79">J144+J145+J146</f>
        <v>0</v>
      </c>
      <c r="K143" s="42">
        <f t="shared" ref="K143" si="80">K144+K145+K146</f>
        <v>0</v>
      </c>
      <c r="L143" s="42">
        <f t="shared" ref="L143" si="81">L144+L145+L146</f>
        <v>0</v>
      </c>
    </row>
    <row r="144" spans="1:12" x14ac:dyDescent="0.3">
      <c r="A144" s="4"/>
      <c r="B144" s="5" t="s">
        <v>11</v>
      </c>
      <c r="C144" s="9">
        <v>1</v>
      </c>
      <c r="D144" s="9">
        <v>1</v>
      </c>
      <c r="E144" s="9">
        <v>1</v>
      </c>
      <c r="F144" s="9">
        <v>1</v>
      </c>
      <c r="G144" s="19">
        <f>'расчёт зарплаты'!K26</f>
        <v>27300</v>
      </c>
      <c r="H144" s="19">
        <f t="shared" ref="H144:H147" si="82">E144*G144*12+ ((D144-E144)*G144/2*12)</f>
        <v>327600</v>
      </c>
      <c r="I144" s="19"/>
      <c r="J144" s="19"/>
      <c r="K144" s="19"/>
      <c r="L144" s="19"/>
    </row>
    <row r="145" spans="1:12" x14ac:dyDescent="0.3">
      <c r="A145" s="4"/>
      <c r="B145" s="5" t="s">
        <v>12</v>
      </c>
      <c r="C145" s="9">
        <v>1</v>
      </c>
      <c r="D145" s="9">
        <v>1</v>
      </c>
      <c r="E145" s="9">
        <v>1</v>
      </c>
      <c r="F145" s="9">
        <v>1</v>
      </c>
      <c r="G145" s="19">
        <f>'расчёт зарплаты'!K26</f>
        <v>27300</v>
      </c>
      <c r="H145" s="19">
        <f t="shared" si="82"/>
        <v>327600</v>
      </c>
      <c r="I145" s="19"/>
      <c r="J145" s="19"/>
      <c r="K145" s="19"/>
      <c r="L145" s="19"/>
    </row>
    <row r="146" spans="1:12" ht="28.2" x14ac:dyDescent="0.3">
      <c r="A146" s="4"/>
      <c r="B146" s="5" t="s">
        <v>19</v>
      </c>
      <c r="C146" s="9">
        <v>1.75</v>
      </c>
      <c r="D146" s="9">
        <v>1.75</v>
      </c>
      <c r="E146" s="9">
        <v>2</v>
      </c>
      <c r="F146" s="9">
        <v>1</v>
      </c>
      <c r="G146" s="19">
        <f>'расчёт зарплаты'!K40</f>
        <v>28224</v>
      </c>
      <c r="H146" s="19">
        <f t="shared" si="82"/>
        <v>635040</v>
      </c>
      <c r="I146" s="19"/>
      <c r="J146" s="19"/>
      <c r="K146" s="19"/>
      <c r="L146" s="19"/>
    </row>
    <row r="147" spans="1:12" x14ac:dyDescent="0.3">
      <c r="A147" s="83" t="s">
        <v>23</v>
      </c>
      <c r="B147" s="83"/>
      <c r="C147" s="27">
        <f t="shared" ref="C147:F147" si="83">C148+C154</f>
        <v>8.5</v>
      </c>
      <c r="D147" s="27">
        <f t="shared" si="83"/>
        <v>8</v>
      </c>
      <c r="E147" s="27">
        <f t="shared" si="83"/>
        <v>8</v>
      </c>
      <c r="F147" s="27">
        <f t="shared" si="83"/>
        <v>8</v>
      </c>
      <c r="G147" s="19"/>
      <c r="H147" s="19">
        <f t="shared" si="82"/>
        <v>0</v>
      </c>
      <c r="I147" s="19"/>
      <c r="J147" s="20">
        <f t="shared" ref="J147:K147" si="84">J148+J154</f>
        <v>2684064</v>
      </c>
      <c r="K147" s="20">
        <f t="shared" si="84"/>
        <v>810587.32799999998</v>
      </c>
      <c r="L147" s="20">
        <f>L148+L154</f>
        <v>3494651.3280000002</v>
      </c>
    </row>
    <row r="148" spans="1:12" x14ac:dyDescent="0.3">
      <c r="A148" s="84" t="s">
        <v>24</v>
      </c>
      <c r="B148" s="84"/>
      <c r="C148" s="27">
        <f t="shared" ref="C148:F148" si="85">C149+C150+C151+C152+C153</f>
        <v>6.5</v>
      </c>
      <c r="D148" s="27">
        <f t="shared" si="85"/>
        <v>6</v>
      </c>
      <c r="E148" s="27">
        <f t="shared" si="85"/>
        <v>6</v>
      </c>
      <c r="F148" s="27">
        <f t="shared" si="85"/>
        <v>6</v>
      </c>
      <c r="G148" s="20"/>
      <c r="H148" s="20">
        <f>H149+H150+H151+H152+H153</f>
        <v>1965600</v>
      </c>
      <c r="I148" s="20">
        <f t="shared" ref="I148" si="86">I149+I150+I151+I152+I153</f>
        <v>0</v>
      </c>
      <c r="J148" s="20">
        <f>H148</f>
        <v>1965600</v>
      </c>
      <c r="K148" s="20">
        <f>J148*30.2%</f>
        <v>593611.19999999995</v>
      </c>
      <c r="L148" s="20">
        <f>J148+K148</f>
        <v>2559211.2000000002</v>
      </c>
    </row>
    <row r="149" spans="1:12" x14ac:dyDescent="0.3">
      <c r="A149" s="4"/>
      <c r="B149" s="5" t="s">
        <v>25</v>
      </c>
      <c r="C149" s="28"/>
      <c r="D149" s="28"/>
      <c r="E149" s="28"/>
      <c r="F149" s="28"/>
      <c r="G149" s="19"/>
      <c r="H149" s="19">
        <f t="shared" ref="H149:H153" si="87">E149*G149*12+ ((D149-E149)*G149/2*12)</f>
        <v>0</v>
      </c>
      <c r="I149" s="19"/>
      <c r="J149" s="19"/>
      <c r="K149" s="19"/>
      <c r="L149" s="19"/>
    </row>
    <row r="150" spans="1:12" x14ac:dyDescent="0.3">
      <c r="A150" s="4"/>
      <c r="B150" s="5" t="s">
        <v>26</v>
      </c>
      <c r="C150" s="28"/>
      <c r="D150" s="28"/>
      <c r="E150" s="28"/>
      <c r="F150" s="28"/>
      <c r="G150" s="19"/>
      <c r="H150" s="19">
        <f t="shared" si="87"/>
        <v>0</v>
      </c>
      <c r="I150" s="19"/>
      <c r="J150" s="19"/>
      <c r="K150" s="19"/>
      <c r="L150" s="19"/>
    </row>
    <row r="151" spans="1:12" x14ac:dyDescent="0.3">
      <c r="A151" s="4"/>
      <c r="B151" s="5" t="s">
        <v>27</v>
      </c>
      <c r="C151" s="28"/>
      <c r="D151" s="28"/>
      <c r="E151" s="28"/>
      <c r="F151" s="28"/>
      <c r="G151" s="19"/>
      <c r="H151" s="19">
        <f t="shared" si="87"/>
        <v>0</v>
      </c>
      <c r="I151" s="19"/>
      <c r="J151" s="19"/>
      <c r="K151" s="19"/>
      <c r="L151" s="19"/>
    </row>
    <row r="152" spans="1:12" ht="28.2" x14ac:dyDescent="0.3">
      <c r="A152" s="4"/>
      <c r="B152" s="5" t="s">
        <v>28</v>
      </c>
      <c r="C152" s="28">
        <v>3.5</v>
      </c>
      <c r="D152" s="28">
        <v>3</v>
      </c>
      <c r="E152" s="28">
        <v>3</v>
      </c>
      <c r="F152" s="28">
        <v>3</v>
      </c>
      <c r="G152" s="19">
        <f>'расчёт зарплаты'!K26</f>
        <v>27300</v>
      </c>
      <c r="H152" s="19">
        <f t="shared" si="87"/>
        <v>982800</v>
      </c>
      <c r="I152" s="19"/>
      <c r="J152" s="19"/>
      <c r="K152" s="19"/>
      <c r="L152" s="19"/>
    </row>
    <row r="153" spans="1:12" x14ac:dyDescent="0.3">
      <c r="A153" s="4"/>
      <c r="B153" s="5" t="s">
        <v>29</v>
      </c>
      <c r="C153" s="28">
        <v>3</v>
      </c>
      <c r="D153" s="28">
        <v>3</v>
      </c>
      <c r="E153" s="28">
        <v>3</v>
      </c>
      <c r="F153" s="28">
        <v>3</v>
      </c>
      <c r="G153" s="19">
        <f>'расчёт зарплаты'!K26</f>
        <v>27300</v>
      </c>
      <c r="H153" s="19">
        <f t="shared" si="87"/>
        <v>982800</v>
      </c>
      <c r="I153" s="19"/>
      <c r="J153" s="19"/>
      <c r="K153" s="19"/>
      <c r="L153" s="19"/>
    </row>
    <row r="154" spans="1:12" x14ac:dyDescent="0.3">
      <c r="A154" s="84" t="s">
        <v>30</v>
      </c>
      <c r="B154" s="84"/>
      <c r="C154" s="27">
        <f t="shared" ref="C154:F154" si="88">C155+C156+C157</f>
        <v>2</v>
      </c>
      <c r="D154" s="27">
        <f t="shared" si="88"/>
        <v>2</v>
      </c>
      <c r="E154" s="27">
        <f t="shared" si="88"/>
        <v>2</v>
      </c>
      <c r="F154" s="27">
        <f t="shared" si="88"/>
        <v>2</v>
      </c>
      <c r="G154" s="20"/>
      <c r="H154" s="20">
        <f>H155+H156+H157</f>
        <v>718464</v>
      </c>
      <c r="I154" s="20">
        <f t="shared" ref="I154" si="89">I155+I156+I157</f>
        <v>0</v>
      </c>
      <c r="J154" s="20">
        <f>H154</f>
        <v>718464</v>
      </c>
      <c r="K154" s="20">
        <f>J154*30.2%</f>
        <v>216976.128</v>
      </c>
      <c r="L154" s="20">
        <f>J154+K154</f>
        <v>935440.12800000003</v>
      </c>
    </row>
    <row r="155" spans="1:12" x14ac:dyDescent="0.3">
      <c r="A155" s="4"/>
      <c r="B155" s="5" t="s">
        <v>31</v>
      </c>
      <c r="C155" s="28">
        <v>1</v>
      </c>
      <c r="D155" s="28">
        <v>1</v>
      </c>
      <c r="E155" s="28">
        <v>1</v>
      </c>
      <c r="F155" s="28">
        <v>1</v>
      </c>
      <c r="G155" s="19">
        <f>'расчёт зарплаты'!K34</f>
        <v>30976</v>
      </c>
      <c r="H155" s="19">
        <f t="shared" ref="H155:H157" si="90">E155*G155*12+ ((D155-E155)*G155/2*12)</f>
        <v>371712</v>
      </c>
      <c r="I155" s="19"/>
      <c r="J155" s="19"/>
      <c r="K155" s="19"/>
      <c r="L155" s="19"/>
    </row>
    <row r="156" spans="1:12" x14ac:dyDescent="0.3">
      <c r="A156" s="4"/>
      <c r="B156" s="5" t="s">
        <v>32</v>
      </c>
      <c r="C156" s="28"/>
      <c r="D156" s="28"/>
      <c r="E156" s="28"/>
      <c r="F156" s="28"/>
      <c r="G156" s="19"/>
      <c r="H156" s="19">
        <f t="shared" si="90"/>
        <v>0</v>
      </c>
      <c r="I156" s="19"/>
      <c r="J156" s="19"/>
      <c r="K156" s="19"/>
      <c r="L156" s="19"/>
    </row>
    <row r="157" spans="1:12" x14ac:dyDescent="0.3">
      <c r="A157" s="4"/>
      <c r="B157" s="5" t="s">
        <v>33</v>
      </c>
      <c r="C157" s="28">
        <v>1</v>
      </c>
      <c r="D157" s="28">
        <v>1</v>
      </c>
      <c r="E157" s="28">
        <v>1</v>
      </c>
      <c r="F157" s="28">
        <v>1</v>
      </c>
      <c r="G157" s="19">
        <f>'расчёт зарплаты'!K38</f>
        <v>28896</v>
      </c>
      <c r="H157" s="19">
        <f t="shared" si="90"/>
        <v>346752</v>
      </c>
      <c r="I157" s="19"/>
      <c r="J157" s="19"/>
      <c r="K157" s="19"/>
      <c r="L157" s="19"/>
    </row>
    <row r="158" spans="1:12" x14ac:dyDescent="0.3">
      <c r="A158" s="89" t="s">
        <v>64</v>
      </c>
      <c r="B158" s="89"/>
      <c r="C158" s="89"/>
      <c r="D158" s="89"/>
      <c r="E158" s="89"/>
      <c r="F158" s="89"/>
      <c r="G158" s="89"/>
      <c r="H158" s="89"/>
      <c r="I158" s="89"/>
      <c r="J158" s="89"/>
      <c r="K158" s="89"/>
      <c r="L158" s="89"/>
    </row>
    <row r="159" spans="1:12" ht="14.4" customHeight="1" x14ac:dyDescent="0.3">
      <c r="A159" s="81" t="s">
        <v>7</v>
      </c>
      <c r="B159" s="82"/>
      <c r="C159" s="8">
        <f>C160+C177+C173</f>
        <v>46.25</v>
      </c>
      <c r="D159" s="8">
        <f>D160+D177+D173</f>
        <v>43.5</v>
      </c>
      <c r="E159" s="8">
        <f>E160+E177+E173</f>
        <v>40.4</v>
      </c>
      <c r="F159" s="8">
        <f>F160+F177+F173</f>
        <v>39</v>
      </c>
      <c r="G159" s="19"/>
      <c r="H159" s="19"/>
      <c r="I159" s="19"/>
      <c r="J159" s="19"/>
      <c r="K159" s="19"/>
      <c r="L159" s="19"/>
    </row>
    <row r="160" spans="1:12" ht="14.4" customHeight="1" x14ac:dyDescent="0.3">
      <c r="A160" s="81" t="s">
        <v>89</v>
      </c>
      <c r="B160" s="82"/>
      <c r="C160" s="40">
        <f t="shared" ref="C160:G160" si="91">SUM(C161:C172)</f>
        <v>33.25</v>
      </c>
      <c r="D160" s="40">
        <f t="shared" si="91"/>
        <v>30.5</v>
      </c>
      <c r="E160" s="40">
        <f t="shared" si="91"/>
        <v>30</v>
      </c>
      <c r="F160" s="40">
        <f t="shared" si="91"/>
        <v>29</v>
      </c>
      <c r="G160" s="40">
        <f t="shared" si="91"/>
        <v>176536</v>
      </c>
      <c r="H160" s="40">
        <f>SUM(H161:H172)</f>
        <v>10460448</v>
      </c>
      <c r="I160" s="20"/>
      <c r="J160" s="20">
        <f>H160-I160</f>
        <v>10460448</v>
      </c>
      <c r="K160" s="20">
        <f>J160*30.2%</f>
        <v>3159055.2960000001</v>
      </c>
      <c r="L160" s="20">
        <f>J160+K160</f>
        <v>13619503.296</v>
      </c>
    </row>
    <row r="161" spans="1:12" x14ac:dyDescent="0.3">
      <c r="A161" s="4"/>
      <c r="B161" s="5" t="s">
        <v>9</v>
      </c>
      <c r="C161" s="30">
        <v>18.75</v>
      </c>
      <c r="D161" s="30">
        <v>16</v>
      </c>
      <c r="E161" s="30">
        <v>17</v>
      </c>
      <c r="F161" s="30">
        <v>16</v>
      </c>
      <c r="G161" s="19">
        <f>'расчёт зарплаты'!K10</f>
        <v>28208</v>
      </c>
      <c r="H161" s="19">
        <f>E161*G161*12+ ((D161-E161)*G161/2*12)</f>
        <v>5585184</v>
      </c>
      <c r="I161" s="19"/>
      <c r="J161" s="19"/>
      <c r="K161" s="19"/>
      <c r="L161" s="19">
        <f>G161*K161*12</f>
        <v>0</v>
      </c>
    </row>
    <row r="162" spans="1:12" x14ac:dyDescent="0.3">
      <c r="A162" s="4"/>
      <c r="B162" s="5" t="s">
        <v>10</v>
      </c>
      <c r="C162" s="30"/>
      <c r="D162" s="30"/>
      <c r="E162" s="30"/>
      <c r="F162" s="30"/>
      <c r="G162" s="19"/>
      <c r="H162" s="19">
        <f t="shared" ref="H162:H171" si="92">E162*G162*12+ ((D162-E162)*G162/2*12)</f>
        <v>0</v>
      </c>
      <c r="I162" s="19"/>
      <c r="J162" s="19"/>
      <c r="K162" s="19"/>
      <c r="L162" s="19"/>
    </row>
    <row r="163" spans="1:12" x14ac:dyDescent="0.3">
      <c r="A163" s="4"/>
      <c r="B163" s="5" t="s">
        <v>13</v>
      </c>
      <c r="C163" s="30">
        <v>2.5</v>
      </c>
      <c r="D163" s="30">
        <v>2.5</v>
      </c>
      <c r="E163" s="30">
        <v>2</v>
      </c>
      <c r="F163" s="30">
        <v>2</v>
      </c>
      <c r="G163" s="19">
        <f>'расчёт зарплаты'!K38</f>
        <v>28896</v>
      </c>
      <c r="H163" s="19">
        <f t="shared" si="92"/>
        <v>780192</v>
      </c>
      <c r="I163" s="19"/>
      <c r="J163" s="19"/>
      <c r="K163" s="19"/>
      <c r="L163" s="19"/>
    </row>
    <row r="164" spans="1:12" ht="28.2" x14ac:dyDescent="0.3">
      <c r="A164" s="4"/>
      <c r="B164" s="5" t="s">
        <v>14</v>
      </c>
      <c r="C164" s="30"/>
      <c r="D164" s="30"/>
      <c r="E164" s="30"/>
      <c r="F164" s="30"/>
      <c r="G164" s="19"/>
      <c r="H164" s="19">
        <f t="shared" si="92"/>
        <v>0</v>
      </c>
      <c r="I164" s="19"/>
      <c r="J164" s="19"/>
      <c r="K164" s="19"/>
      <c r="L164" s="19"/>
    </row>
    <row r="165" spans="1:12" x14ac:dyDescent="0.3">
      <c r="A165" s="4"/>
      <c r="B165" s="5" t="s">
        <v>15</v>
      </c>
      <c r="C165" s="30">
        <v>4</v>
      </c>
      <c r="D165" s="30">
        <v>4</v>
      </c>
      <c r="E165" s="30">
        <v>4</v>
      </c>
      <c r="F165" s="30">
        <v>4</v>
      </c>
      <c r="G165" s="19">
        <f>'расчёт зарплаты'!K34</f>
        <v>30976</v>
      </c>
      <c r="H165" s="19">
        <f t="shared" si="92"/>
        <v>1486848</v>
      </c>
      <c r="I165" s="19"/>
      <c r="J165" s="19"/>
      <c r="K165" s="19"/>
      <c r="L165" s="19"/>
    </row>
    <row r="166" spans="1:12" x14ac:dyDescent="0.3">
      <c r="A166" s="4"/>
      <c r="B166" s="5" t="s">
        <v>16</v>
      </c>
      <c r="C166" s="30">
        <v>6</v>
      </c>
      <c r="D166" s="30">
        <v>6</v>
      </c>
      <c r="E166" s="30">
        <v>6</v>
      </c>
      <c r="F166" s="30">
        <v>6</v>
      </c>
      <c r="G166" s="19">
        <f>'расчёт зарплаты'!K8</f>
        <v>28600</v>
      </c>
      <c r="H166" s="19">
        <f t="shared" si="92"/>
        <v>2059200</v>
      </c>
      <c r="I166" s="19"/>
      <c r="J166" s="19"/>
      <c r="K166" s="19"/>
      <c r="L166" s="19"/>
    </row>
    <row r="167" spans="1:12" ht="42" x14ac:dyDescent="0.3">
      <c r="A167" s="4"/>
      <c r="B167" s="5" t="s">
        <v>17</v>
      </c>
      <c r="C167" s="30">
        <v>1</v>
      </c>
      <c r="D167" s="30">
        <v>1</v>
      </c>
      <c r="E167" s="30">
        <v>0</v>
      </c>
      <c r="F167" s="30">
        <v>0</v>
      </c>
      <c r="G167" s="19">
        <f>'расчёт зарплаты'!K10</f>
        <v>28208</v>
      </c>
      <c r="H167" s="19">
        <f t="shared" si="92"/>
        <v>169248</v>
      </c>
      <c r="I167" s="19"/>
      <c r="J167" s="19"/>
      <c r="K167" s="19"/>
      <c r="L167" s="19"/>
    </row>
    <row r="168" spans="1:12" ht="28.2" x14ac:dyDescent="0.3">
      <c r="A168" s="4"/>
      <c r="B168" s="5" t="s">
        <v>18</v>
      </c>
      <c r="C168" s="30">
        <v>1</v>
      </c>
      <c r="D168" s="30">
        <v>1</v>
      </c>
      <c r="E168" s="30">
        <v>1</v>
      </c>
      <c r="F168" s="30">
        <v>1</v>
      </c>
      <c r="G168" s="19">
        <f>'расчёт зарплаты'!K20</f>
        <v>31648</v>
      </c>
      <c r="H168" s="19">
        <f t="shared" si="92"/>
        <v>379776</v>
      </c>
      <c r="I168" s="19"/>
      <c r="J168" s="19"/>
      <c r="K168" s="19"/>
      <c r="L168" s="19"/>
    </row>
    <row r="169" spans="1:12" ht="42" x14ac:dyDescent="0.3">
      <c r="A169" s="4"/>
      <c r="B169" s="5" t="s">
        <v>91</v>
      </c>
      <c r="C169" s="30"/>
      <c r="D169" s="30"/>
      <c r="E169" s="30"/>
      <c r="F169" s="30"/>
      <c r="G169" s="19"/>
      <c r="H169" s="19">
        <f t="shared" si="92"/>
        <v>0</v>
      </c>
      <c r="I169" s="19"/>
      <c r="J169" s="19"/>
      <c r="K169" s="19"/>
      <c r="L169" s="19"/>
    </row>
    <row r="170" spans="1:12" x14ac:dyDescent="0.3">
      <c r="A170" s="4"/>
      <c r="B170" s="5" t="s">
        <v>20</v>
      </c>
      <c r="C170" s="30"/>
      <c r="D170" s="30"/>
      <c r="E170" s="30"/>
      <c r="F170" s="30"/>
      <c r="G170" s="19"/>
      <c r="H170" s="19">
        <f t="shared" si="92"/>
        <v>0</v>
      </c>
      <c r="I170" s="19"/>
      <c r="J170" s="19"/>
      <c r="K170" s="19"/>
      <c r="L170" s="19"/>
    </row>
    <row r="171" spans="1:12" ht="39.6" x14ac:dyDescent="0.3">
      <c r="A171" s="4"/>
      <c r="B171" s="6" t="s">
        <v>21</v>
      </c>
      <c r="C171" s="30"/>
      <c r="D171" s="30"/>
      <c r="E171" s="30"/>
      <c r="F171" s="30"/>
      <c r="G171" s="19"/>
      <c r="H171" s="19">
        <f t="shared" si="92"/>
        <v>0</v>
      </c>
      <c r="I171" s="19"/>
      <c r="J171" s="19"/>
      <c r="K171" s="19"/>
      <c r="L171" s="19"/>
    </row>
    <row r="172" spans="1:12" x14ac:dyDescent="0.3">
      <c r="A172" s="4"/>
      <c r="B172" s="5" t="s">
        <v>22</v>
      </c>
      <c r="C172" s="30"/>
      <c r="D172" s="30"/>
      <c r="E172" s="30"/>
      <c r="F172" s="30"/>
      <c r="G172" s="19"/>
      <c r="H172" s="19">
        <f t="shared" ref="H172" si="93">E172*G172*12</f>
        <v>0</v>
      </c>
      <c r="I172" s="19"/>
      <c r="J172" s="19"/>
      <c r="K172" s="19"/>
      <c r="L172" s="19"/>
    </row>
    <row r="173" spans="1:12" x14ac:dyDescent="0.3">
      <c r="A173" s="38" t="s">
        <v>57</v>
      </c>
      <c r="B173" s="39"/>
      <c r="C173" s="41">
        <f>C174+C175+C176</f>
        <v>5</v>
      </c>
      <c r="D173" s="41">
        <f t="shared" ref="D173" si="94">D174+D175+D176</f>
        <v>5</v>
      </c>
      <c r="E173" s="41">
        <f t="shared" ref="E173" si="95">E174+E175+E176</f>
        <v>4</v>
      </c>
      <c r="F173" s="41">
        <f t="shared" ref="F173" si="96">F174+F175+F176</f>
        <v>4</v>
      </c>
      <c r="G173" s="41"/>
      <c r="H173" s="42">
        <f t="shared" ref="H173" si="97">H174+H175+H176</f>
        <v>1490832</v>
      </c>
      <c r="I173" s="42">
        <f t="shared" ref="I173" si="98">I174+I175+I176</f>
        <v>0</v>
      </c>
      <c r="J173" s="42">
        <f t="shared" ref="J173" si="99">J174+J175+J176</f>
        <v>0</v>
      </c>
      <c r="K173" s="42">
        <f t="shared" ref="K173" si="100">K174+K175+K176</f>
        <v>0</v>
      </c>
      <c r="L173" s="42">
        <f t="shared" ref="L173" si="101">L174+L175+L176</f>
        <v>0</v>
      </c>
    </row>
    <row r="174" spans="1:12" x14ac:dyDescent="0.3">
      <c r="A174" s="4"/>
      <c r="B174" s="5" t="s">
        <v>11</v>
      </c>
      <c r="C174" s="9">
        <v>1</v>
      </c>
      <c r="D174" s="9">
        <v>1</v>
      </c>
      <c r="E174" s="9">
        <v>1</v>
      </c>
      <c r="F174" s="9">
        <v>1</v>
      </c>
      <c r="G174" s="19">
        <f>'расчёт зарплаты'!K26</f>
        <v>27300</v>
      </c>
      <c r="H174" s="19">
        <f t="shared" ref="H174:H177" si="102">E174*G174*12+ ((D174-E174)*G174/2*12)</f>
        <v>327600</v>
      </c>
      <c r="I174" s="19"/>
      <c r="J174" s="19"/>
      <c r="K174" s="19"/>
      <c r="L174" s="19"/>
    </row>
    <row r="175" spans="1:12" x14ac:dyDescent="0.3">
      <c r="A175" s="4"/>
      <c r="B175" s="5" t="s">
        <v>12</v>
      </c>
      <c r="C175" s="9">
        <v>2</v>
      </c>
      <c r="D175" s="9">
        <v>2</v>
      </c>
      <c r="E175" s="9">
        <v>2</v>
      </c>
      <c r="F175" s="9">
        <v>2</v>
      </c>
      <c r="G175" s="19">
        <f>'расчёт зарплаты'!K26</f>
        <v>27300</v>
      </c>
      <c r="H175" s="19">
        <f t="shared" si="102"/>
        <v>655200</v>
      </c>
      <c r="I175" s="19"/>
      <c r="J175" s="19"/>
      <c r="K175" s="19"/>
      <c r="L175" s="19"/>
    </row>
    <row r="176" spans="1:12" ht="28.2" x14ac:dyDescent="0.3">
      <c r="A176" s="4"/>
      <c r="B176" s="5" t="s">
        <v>19</v>
      </c>
      <c r="C176" s="9">
        <v>2</v>
      </c>
      <c r="D176" s="9">
        <v>2</v>
      </c>
      <c r="E176" s="9">
        <v>1</v>
      </c>
      <c r="F176" s="9">
        <v>1</v>
      </c>
      <c r="G176" s="19">
        <f>'расчёт зарплаты'!K40</f>
        <v>28224</v>
      </c>
      <c r="H176" s="19">
        <f t="shared" si="102"/>
        <v>508032</v>
      </c>
      <c r="I176" s="19"/>
      <c r="J176" s="19"/>
      <c r="K176" s="19"/>
      <c r="L176" s="19"/>
    </row>
    <row r="177" spans="1:12" x14ac:dyDescent="0.3">
      <c r="A177" s="83" t="s">
        <v>23</v>
      </c>
      <c r="B177" s="83"/>
      <c r="C177" s="29">
        <f t="shared" ref="C177:F177" si="103">C178+C184</f>
        <v>8</v>
      </c>
      <c r="D177" s="29">
        <f t="shared" si="103"/>
        <v>8</v>
      </c>
      <c r="E177" s="29">
        <f t="shared" si="103"/>
        <v>6.4</v>
      </c>
      <c r="F177" s="29">
        <f t="shared" si="103"/>
        <v>6</v>
      </c>
      <c r="G177" s="19"/>
      <c r="H177" s="19">
        <f t="shared" si="102"/>
        <v>0</v>
      </c>
      <c r="I177" s="19"/>
      <c r="J177" s="20">
        <f t="shared" ref="J177:K177" si="104">J178+J184</f>
        <v>2426772</v>
      </c>
      <c r="K177" s="20">
        <f t="shared" si="104"/>
        <v>732885.14399999997</v>
      </c>
      <c r="L177" s="20">
        <f>L178+L184</f>
        <v>3159657.1440000003</v>
      </c>
    </row>
    <row r="178" spans="1:12" x14ac:dyDescent="0.3">
      <c r="A178" s="84" t="s">
        <v>24</v>
      </c>
      <c r="B178" s="84"/>
      <c r="C178" s="29">
        <f t="shared" ref="C178:F178" si="105">C179+C180+C181+C182+C183</f>
        <v>5.5</v>
      </c>
      <c r="D178" s="29">
        <f t="shared" si="105"/>
        <v>5.5</v>
      </c>
      <c r="E178" s="29">
        <f t="shared" si="105"/>
        <v>4.4000000000000004</v>
      </c>
      <c r="F178" s="29">
        <f t="shared" si="105"/>
        <v>4</v>
      </c>
      <c r="G178" s="20"/>
      <c r="H178" s="20">
        <f>H179+H180+H181+H182+H183</f>
        <v>1621620</v>
      </c>
      <c r="I178" s="20">
        <f t="shared" ref="I178" si="106">I179+I180+I181+I182+I183</f>
        <v>0</v>
      </c>
      <c r="J178" s="20">
        <f>H178</f>
        <v>1621620</v>
      </c>
      <c r="K178" s="20">
        <f>J178*30.2%</f>
        <v>489729.24</v>
      </c>
      <c r="L178" s="20">
        <f>J178+K178</f>
        <v>2111349.2400000002</v>
      </c>
    </row>
    <row r="179" spans="1:12" x14ac:dyDescent="0.3">
      <c r="A179" s="4"/>
      <c r="B179" s="5" t="s">
        <v>25</v>
      </c>
      <c r="C179" s="30"/>
      <c r="D179" s="30"/>
      <c r="E179" s="30"/>
      <c r="F179" s="30"/>
      <c r="G179" s="19"/>
      <c r="H179" s="19">
        <f t="shared" ref="H179:H183" si="107">E179*G179*12+ ((D179-E179)*G179/2*12)</f>
        <v>0</v>
      </c>
      <c r="I179" s="19"/>
      <c r="J179" s="19"/>
      <c r="K179" s="19"/>
      <c r="L179" s="19"/>
    </row>
    <row r="180" spans="1:12" x14ac:dyDescent="0.3">
      <c r="A180" s="4"/>
      <c r="B180" s="5" t="s">
        <v>26</v>
      </c>
      <c r="C180" s="30"/>
      <c r="D180" s="30"/>
      <c r="E180" s="30"/>
      <c r="F180" s="30"/>
      <c r="G180" s="19"/>
      <c r="H180" s="19">
        <f t="shared" si="107"/>
        <v>0</v>
      </c>
      <c r="I180" s="19"/>
      <c r="J180" s="19"/>
      <c r="K180" s="19"/>
      <c r="L180" s="19"/>
    </row>
    <row r="181" spans="1:12" x14ac:dyDescent="0.3">
      <c r="A181" s="4"/>
      <c r="B181" s="5" t="s">
        <v>27</v>
      </c>
      <c r="C181" s="30"/>
      <c r="D181" s="30"/>
      <c r="E181" s="30"/>
      <c r="F181" s="30"/>
      <c r="G181" s="19"/>
      <c r="H181" s="19">
        <f t="shared" si="107"/>
        <v>0</v>
      </c>
      <c r="I181" s="19"/>
      <c r="J181" s="19"/>
      <c r="K181" s="19"/>
      <c r="L181" s="19"/>
    </row>
    <row r="182" spans="1:12" ht="28.2" x14ac:dyDescent="0.3">
      <c r="A182" s="4"/>
      <c r="B182" s="5" t="s">
        <v>28</v>
      </c>
      <c r="C182" s="30">
        <v>2.5</v>
      </c>
      <c r="D182" s="30">
        <v>2.5</v>
      </c>
      <c r="E182" s="30">
        <v>1.4</v>
      </c>
      <c r="F182" s="30">
        <v>1</v>
      </c>
      <c r="G182" s="19">
        <f>'расчёт зарплаты'!K26</f>
        <v>27300</v>
      </c>
      <c r="H182" s="19">
        <f t="shared" si="107"/>
        <v>638820</v>
      </c>
      <c r="I182" s="19"/>
      <c r="J182" s="19"/>
      <c r="K182" s="19"/>
      <c r="L182" s="19"/>
    </row>
    <row r="183" spans="1:12" x14ac:dyDescent="0.3">
      <c r="A183" s="4"/>
      <c r="B183" s="5" t="s">
        <v>29</v>
      </c>
      <c r="C183" s="30">
        <v>3</v>
      </c>
      <c r="D183" s="30">
        <v>3</v>
      </c>
      <c r="E183" s="30">
        <v>3</v>
      </c>
      <c r="F183" s="30">
        <v>3</v>
      </c>
      <c r="G183" s="19">
        <f>'расчёт зарплаты'!K26</f>
        <v>27300</v>
      </c>
      <c r="H183" s="19">
        <f t="shared" si="107"/>
        <v>982800</v>
      </c>
      <c r="I183" s="19"/>
      <c r="J183" s="19"/>
      <c r="K183" s="19"/>
      <c r="L183" s="19"/>
    </row>
    <row r="184" spans="1:12" x14ac:dyDescent="0.3">
      <c r="A184" s="84" t="s">
        <v>30</v>
      </c>
      <c r="B184" s="84"/>
      <c r="C184" s="29">
        <f t="shared" ref="C184:F184" si="108">C185+C186+C187</f>
        <v>2.5</v>
      </c>
      <c r="D184" s="29">
        <f t="shared" si="108"/>
        <v>2.5</v>
      </c>
      <c r="E184" s="29">
        <f t="shared" si="108"/>
        <v>2</v>
      </c>
      <c r="F184" s="29">
        <f t="shared" si="108"/>
        <v>2</v>
      </c>
      <c r="G184" s="20"/>
      <c r="H184" s="20">
        <f>H185+H186+H187</f>
        <v>805152</v>
      </c>
      <c r="I184" s="20">
        <f t="shared" ref="I184" si="109">I185+I186+I187</f>
        <v>0</v>
      </c>
      <c r="J184" s="20">
        <f>H184</f>
        <v>805152</v>
      </c>
      <c r="K184" s="20">
        <f>J184*30.2%</f>
        <v>243155.90399999998</v>
      </c>
      <c r="L184" s="20">
        <f>J184+K184</f>
        <v>1048307.904</v>
      </c>
    </row>
    <row r="185" spans="1:12" x14ac:dyDescent="0.3">
      <c r="A185" s="4"/>
      <c r="B185" s="5" t="s">
        <v>31</v>
      </c>
      <c r="C185" s="30">
        <v>1</v>
      </c>
      <c r="D185" s="30">
        <v>1</v>
      </c>
      <c r="E185" s="30">
        <v>1</v>
      </c>
      <c r="F185" s="30">
        <v>1</v>
      </c>
      <c r="G185" s="19">
        <f>'расчёт зарплаты'!K34</f>
        <v>30976</v>
      </c>
      <c r="H185" s="19">
        <f t="shared" ref="H185:H187" si="110">E185*G185*12+ ((D185-E185)*G185/2*12)</f>
        <v>371712</v>
      </c>
      <c r="I185" s="19"/>
      <c r="J185" s="19"/>
      <c r="K185" s="19"/>
      <c r="L185" s="19"/>
    </row>
    <row r="186" spans="1:12" x14ac:dyDescent="0.3">
      <c r="A186" s="4"/>
      <c r="B186" s="5" t="s">
        <v>32</v>
      </c>
      <c r="C186" s="30"/>
      <c r="D186" s="30"/>
      <c r="E186" s="30"/>
      <c r="F186" s="30"/>
      <c r="G186" s="19"/>
      <c r="H186" s="19">
        <f t="shared" si="110"/>
        <v>0</v>
      </c>
      <c r="I186" s="19"/>
      <c r="J186" s="19"/>
      <c r="K186" s="19"/>
      <c r="L186" s="19"/>
    </row>
    <row r="187" spans="1:12" x14ac:dyDescent="0.3">
      <c r="A187" s="4"/>
      <c r="B187" s="5" t="s">
        <v>33</v>
      </c>
      <c r="C187" s="30">
        <v>1.5</v>
      </c>
      <c r="D187" s="30">
        <v>1.5</v>
      </c>
      <c r="E187" s="30">
        <v>1</v>
      </c>
      <c r="F187" s="30">
        <v>1</v>
      </c>
      <c r="G187" s="19">
        <f>'расчёт зарплаты'!K38</f>
        <v>28896</v>
      </c>
      <c r="H187" s="19">
        <f t="shared" si="110"/>
        <v>433440</v>
      </c>
      <c r="I187" s="19"/>
      <c r="J187" s="19"/>
      <c r="K187" s="19"/>
      <c r="L187" s="19"/>
    </row>
    <row r="188" spans="1:12" x14ac:dyDescent="0.3">
      <c r="A188" s="89" t="s">
        <v>65</v>
      </c>
      <c r="B188" s="89"/>
      <c r="C188" s="89"/>
      <c r="D188" s="89"/>
      <c r="E188" s="89"/>
      <c r="F188" s="89"/>
      <c r="G188" s="89"/>
      <c r="H188" s="89"/>
      <c r="I188" s="89"/>
      <c r="J188" s="89"/>
      <c r="K188" s="89"/>
      <c r="L188" s="89"/>
    </row>
    <row r="189" spans="1:12" ht="14.4" customHeight="1" x14ac:dyDescent="0.3">
      <c r="A189" s="81" t="s">
        <v>7</v>
      </c>
      <c r="B189" s="82"/>
      <c r="C189" s="8">
        <f>C190+C207+C203</f>
        <v>63.75</v>
      </c>
      <c r="D189" s="8">
        <f>D190+D207+D203</f>
        <v>63.75</v>
      </c>
      <c r="E189" s="8">
        <f>E190+E207+E203</f>
        <v>53.8</v>
      </c>
      <c r="F189" s="8">
        <f>F190+F207+F203</f>
        <v>54</v>
      </c>
      <c r="G189" s="19"/>
      <c r="H189" s="19"/>
      <c r="I189" s="19"/>
      <c r="J189" s="19"/>
      <c r="K189" s="19"/>
      <c r="L189" s="19"/>
    </row>
    <row r="190" spans="1:12" ht="14.4" customHeight="1" x14ac:dyDescent="0.3">
      <c r="A190" s="81" t="s">
        <v>89</v>
      </c>
      <c r="B190" s="82"/>
      <c r="C190" s="40">
        <f t="shared" ref="C190:G190" si="111">SUM(C191:C202)</f>
        <v>45</v>
      </c>
      <c r="D190" s="40">
        <f t="shared" si="111"/>
        <v>45</v>
      </c>
      <c r="E190" s="40">
        <f t="shared" si="111"/>
        <v>42.4</v>
      </c>
      <c r="F190" s="40">
        <f t="shared" si="111"/>
        <v>42</v>
      </c>
      <c r="G190" s="40">
        <f t="shared" si="111"/>
        <v>176536</v>
      </c>
      <c r="H190" s="40">
        <f>SUM(H191:H202)</f>
        <v>15094118.4</v>
      </c>
      <c r="I190" s="20"/>
      <c r="J190" s="20">
        <f>H190-I190</f>
        <v>15094118.4</v>
      </c>
      <c r="K190" s="20">
        <f>J190*30.2%</f>
        <v>4558423.7567999996</v>
      </c>
      <c r="L190" s="20">
        <f>J190+K190</f>
        <v>19652542.156800002</v>
      </c>
    </row>
    <row r="191" spans="1:12" x14ac:dyDescent="0.3">
      <c r="A191" s="4"/>
      <c r="B191" s="5" t="s">
        <v>9</v>
      </c>
      <c r="C191" s="32">
        <v>24</v>
      </c>
      <c r="D191" s="32">
        <v>24</v>
      </c>
      <c r="E191" s="32">
        <v>23</v>
      </c>
      <c r="F191" s="32">
        <v>23</v>
      </c>
      <c r="G191" s="19">
        <f>'расчёт зарплаты'!K10</f>
        <v>28208</v>
      </c>
      <c r="H191" s="19">
        <f>E191*G191*12+ ((D191-E191)*G191/2*12)</f>
        <v>7954656</v>
      </c>
      <c r="I191" s="19"/>
      <c r="J191" s="19"/>
      <c r="K191" s="19"/>
      <c r="L191" s="19">
        <f>G191*K191*12</f>
        <v>0</v>
      </c>
    </row>
    <row r="192" spans="1:12" x14ac:dyDescent="0.3">
      <c r="A192" s="4"/>
      <c r="B192" s="5" t="s">
        <v>10</v>
      </c>
      <c r="C192" s="32"/>
      <c r="D192" s="32"/>
      <c r="E192" s="32"/>
      <c r="F192" s="32"/>
      <c r="G192" s="19"/>
      <c r="H192" s="19">
        <f t="shared" ref="H192:H201" si="112">E192*G192*12+ ((D192-E192)*G192/2*12)</f>
        <v>0</v>
      </c>
      <c r="I192" s="19"/>
      <c r="J192" s="19"/>
      <c r="K192" s="19"/>
      <c r="L192" s="19"/>
    </row>
    <row r="193" spans="1:12" x14ac:dyDescent="0.3">
      <c r="A193" s="4"/>
      <c r="B193" s="5" t="s">
        <v>13</v>
      </c>
      <c r="C193" s="32">
        <v>4</v>
      </c>
      <c r="D193" s="32">
        <v>4</v>
      </c>
      <c r="E193" s="32">
        <v>3</v>
      </c>
      <c r="F193" s="32">
        <v>3</v>
      </c>
      <c r="G193" s="19">
        <f>'расчёт зарплаты'!K38</f>
        <v>28896</v>
      </c>
      <c r="H193" s="19">
        <f t="shared" si="112"/>
        <v>1213632</v>
      </c>
      <c r="I193" s="19"/>
      <c r="J193" s="19"/>
      <c r="K193" s="19"/>
      <c r="L193" s="19"/>
    </row>
    <row r="194" spans="1:12" ht="28.2" x14ac:dyDescent="0.3">
      <c r="A194" s="4"/>
      <c r="B194" s="5" t="s">
        <v>14</v>
      </c>
      <c r="C194" s="32"/>
      <c r="D194" s="32"/>
      <c r="E194" s="32"/>
      <c r="F194" s="32"/>
      <c r="G194" s="19"/>
      <c r="H194" s="19">
        <f t="shared" si="112"/>
        <v>0</v>
      </c>
      <c r="I194" s="19"/>
      <c r="J194" s="19"/>
      <c r="K194" s="19"/>
      <c r="L194" s="19"/>
    </row>
    <row r="195" spans="1:12" x14ac:dyDescent="0.3">
      <c r="A195" s="4"/>
      <c r="B195" s="5" t="s">
        <v>15</v>
      </c>
      <c r="C195" s="32">
        <v>6</v>
      </c>
      <c r="D195" s="32">
        <v>6</v>
      </c>
      <c r="E195" s="32">
        <v>5.4</v>
      </c>
      <c r="F195" s="32">
        <v>5</v>
      </c>
      <c r="G195" s="19">
        <f>'расчёт зарплаты'!K34</f>
        <v>30976</v>
      </c>
      <c r="H195" s="19">
        <f t="shared" si="112"/>
        <v>2118758.4000000004</v>
      </c>
      <c r="I195" s="19"/>
      <c r="J195" s="19"/>
      <c r="K195" s="19"/>
      <c r="L195" s="19"/>
    </row>
    <row r="196" spans="1:12" x14ac:dyDescent="0.3">
      <c r="A196" s="4"/>
      <c r="B196" s="5" t="s">
        <v>16</v>
      </c>
      <c r="C196" s="32">
        <v>9</v>
      </c>
      <c r="D196" s="32">
        <v>9</v>
      </c>
      <c r="E196" s="32">
        <v>9</v>
      </c>
      <c r="F196" s="32">
        <v>9</v>
      </c>
      <c r="G196" s="19">
        <f>'расчёт зарплаты'!K8</f>
        <v>28600</v>
      </c>
      <c r="H196" s="19">
        <f t="shared" si="112"/>
        <v>3088800</v>
      </c>
      <c r="I196" s="19"/>
      <c r="J196" s="19"/>
      <c r="K196" s="19"/>
      <c r="L196" s="19"/>
    </row>
    <row r="197" spans="1:12" ht="42" x14ac:dyDescent="0.3">
      <c r="A197" s="4"/>
      <c r="B197" s="5" t="s">
        <v>17</v>
      </c>
      <c r="C197" s="32">
        <v>1</v>
      </c>
      <c r="D197" s="32">
        <v>1</v>
      </c>
      <c r="E197" s="32">
        <v>1</v>
      </c>
      <c r="F197" s="32">
        <v>1</v>
      </c>
      <c r="G197" s="19">
        <f>'расчёт зарплаты'!K10</f>
        <v>28208</v>
      </c>
      <c r="H197" s="19">
        <f t="shared" si="112"/>
        <v>338496</v>
      </c>
      <c r="I197" s="19"/>
      <c r="J197" s="19"/>
      <c r="K197" s="19"/>
      <c r="L197" s="19"/>
    </row>
    <row r="198" spans="1:12" ht="28.2" x14ac:dyDescent="0.3">
      <c r="A198" s="4"/>
      <c r="B198" s="5" t="s">
        <v>18</v>
      </c>
      <c r="C198" s="32">
        <v>1</v>
      </c>
      <c r="D198" s="32">
        <v>1</v>
      </c>
      <c r="E198" s="32">
        <v>1</v>
      </c>
      <c r="F198" s="32">
        <v>1</v>
      </c>
      <c r="G198" s="19">
        <f>'расчёт зарплаты'!K20</f>
        <v>31648</v>
      </c>
      <c r="H198" s="19">
        <f t="shared" si="112"/>
        <v>379776</v>
      </c>
      <c r="I198" s="19"/>
      <c r="J198" s="19"/>
      <c r="K198" s="19"/>
      <c r="L198" s="19"/>
    </row>
    <row r="199" spans="1:12" ht="42" x14ac:dyDescent="0.3">
      <c r="A199" s="4"/>
      <c r="B199" s="5" t="s">
        <v>91</v>
      </c>
      <c r="C199" s="32"/>
      <c r="D199" s="32"/>
      <c r="E199" s="32"/>
      <c r="F199" s="32"/>
      <c r="G199" s="19"/>
      <c r="H199" s="19">
        <f t="shared" si="112"/>
        <v>0</v>
      </c>
      <c r="I199" s="19"/>
      <c r="J199" s="19"/>
      <c r="K199" s="19"/>
      <c r="L199" s="19"/>
    </row>
    <row r="200" spans="1:12" x14ac:dyDescent="0.3">
      <c r="A200" s="4"/>
      <c r="B200" s="5" t="s">
        <v>20</v>
      </c>
      <c r="C200" s="32"/>
      <c r="D200" s="32"/>
      <c r="E200" s="32"/>
      <c r="F200" s="32"/>
      <c r="G200" s="19"/>
      <c r="H200" s="19">
        <f t="shared" si="112"/>
        <v>0</v>
      </c>
      <c r="I200" s="19"/>
      <c r="J200" s="19"/>
      <c r="K200" s="19"/>
      <c r="L200" s="19"/>
    </row>
    <row r="201" spans="1:12" ht="39.6" x14ac:dyDescent="0.3">
      <c r="A201" s="4"/>
      <c r="B201" s="6" t="s">
        <v>21</v>
      </c>
      <c r="C201" s="32"/>
      <c r="D201" s="32"/>
      <c r="E201" s="32"/>
      <c r="F201" s="32"/>
      <c r="G201" s="19"/>
      <c r="H201" s="19">
        <f t="shared" si="112"/>
        <v>0</v>
      </c>
      <c r="I201" s="19"/>
      <c r="J201" s="19"/>
      <c r="K201" s="19"/>
      <c r="L201" s="19"/>
    </row>
    <row r="202" spans="1:12" x14ac:dyDescent="0.3">
      <c r="A202" s="4"/>
      <c r="B202" s="5" t="s">
        <v>22</v>
      </c>
      <c r="C202" s="32"/>
      <c r="D202" s="32"/>
      <c r="E202" s="32"/>
      <c r="F202" s="32"/>
      <c r="G202" s="19"/>
      <c r="H202" s="19">
        <f t="shared" ref="H202" si="113">E202*G202*12</f>
        <v>0</v>
      </c>
      <c r="I202" s="19"/>
      <c r="J202" s="19"/>
      <c r="K202" s="19"/>
      <c r="L202" s="19"/>
    </row>
    <row r="203" spans="1:12" x14ac:dyDescent="0.3">
      <c r="A203" s="38" t="s">
        <v>57</v>
      </c>
      <c r="B203" s="39"/>
      <c r="C203" s="41">
        <f>C204+C205+C206</f>
        <v>8</v>
      </c>
      <c r="D203" s="41">
        <f t="shared" ref="D203" si="114">D204+D205+D206</f>
        <v>8</v>
      </c>
      <c r="E203" s="41">
        <f t="shared" ref="E203" si="115">E204+E205+E206</f>
        <v>4</v>
      </c>
      <c r="F203" s="41">
        <f t="shared" ref="F203" si="116">F204+F205+F206</f>
        <v>4</v>
      </c>
      <c r="G203" s="41"/>
      <c r="H203" s="42">
        <f t="shared" ref="H203" si="117">H204+H205+H206</f>
        <v>1990548</v>
      </c>
      <c r="I203" s="42">
        <f t="shared" ref="I203" si="118">I204+I205+I206</f>
        <v>0</v>
      </c>
      <c r="J203" s="42">
        <f t="shared" ref="J203" si="119">J204+J205+J206</f>
        <v>0</v>
      </c>
      <c r="K203" s="42">
        <f t="shared" ref="K203" si="120">K204+K205+K206</f>
        <v>0</v>
      </c>
      <c r="L203" s="42">
        <f t="shared" ref="L203" si="121">L204+L205+L206</f>
        <v>0</v>
      </c>
    </row>
    <row r="204" spans="1:12" x14ac:dyDescent="0.3">
      <c r="A204" s="4"/>
      <c r="B204" s="5" t="s">
        <v>11</v>
      </c>
      <c r="C204" s="9">
        <v>1.5</v>
      </c>
      <c r="D204" s="9">
        <v>1.5</v>
      </c>
      <c r="E204" s="9">
        <v>1</v>
      </c>
      <c r="F204" s="9">
        <v>1</v>
      </c>
      <c r="G204" s="19">
        <f>'расчёт зарплаты'!K26</f>
        <v>27300</v>
      </c>
      <c r="H204" s="19">
        <f t="shared" ref="H204:H207" si="122">E204*G204*12+ ((D204-E204)*G204/2*12)</f>
        <v>409500</v>
      </c>
      <c r="I204" s="19"/>
      <c r="J204" s="19"/>
      <c r="K204" s="19"/>
      <c r="L204" s="19"/>
    </row>
    <row r="205" spans="1:12" x14ac:dyDescent="0.3">
      <c r="A205" s="4"/>
      <c r="B205" s="5" t="s">
        <v>12</v>
      </c>
      <c r="C205" s="9">
        <v>3</v>
      </c>
      <c r="D205" s="9">
        <v>3</v>
      </c>
      <c r="E205" s="9">
        <v>2</v>
      </c>
      <c r="F205" s="9">
        <v>2</v>
      </c>
      <c r="G205" s="19">
        <f>'расчёт зарплаты'!K26</f>
        <v>27300</v>
      </c>
      <c r="H205" s="19">
        <f t="shared" si="122"/>
        <v>819000</v>
      </c>
      <c r="I205" s="19"/>
      <c r="J205" s="19"/>
      <c r="K205" s="19"/>
      <c r="L205" s="19"/>
    </row>
    <row r="206" spans="1:12" ht="28.2" x14ac:dyDescent="0.3">
      <c r="A206" s="4"/>
      <c r="B206" s="5" t="s">
        <v>19</v>
      </c>
      <c r="C206" s="9">
        <v>3.5</v>
      </c>
      <c r="D206" s="9">
        <v>3.5</v>
      </c>
      <c r="E206" s="9">
        <v>1</v>
      </c>
      <c r="F206" s="9">
        <v>1</v>
      </c>
      <c r="G206" s="19">
        <f>'расчёт зарплаты'!K40</f>
        <v>28224</v>
      </c>
      <c r="H206" s="19">
        <f t="shared" si="122"/>
        <v>762048</v>
      </c>
      <c r="I206" s="19"/>
      <c r="J206" s="19"/>
      <c r="K206" s="19"/>
      <c r="L206" s="19"/>
    </row>
    <row r="207" spans="1:12" x14ac:dyDescent="0.3">
      <c r="A207" s="83" t="s">
        <v>23</v>
      </c>
      <c r="B207" s="83"/>
      <c r="C207" s="31">
        <f t="shared" ref="C207:F207" si="123">C208+C214</f>
        <v>10.75</v>
      </c>
      <c r="D207" s="31">
        <f t="shared" si="123"/>
        <v>10.75</v>
      </c>
      <c r="E207" s="31">
        <f t="shared" si="123"/>
        <v>7.4</v>
      </c>
      <c r="F207" s="31">
        <f t="shared" si="123"/>
        <v>8</v>
      </c>
      <c r="G207" s="19"/>
      <c r="H207" s="19">
        <f t="shared" si="122"/>
        <v>0</v>
      </c>
      <c r="I207" s="19"/>
      <c r="J207" s="20">
        <f t="shared" ref="J207:K207" si="124">J208+J214</f>
        <v>3059232</v>
      </c>
      <c r="K207" s="20">
        <f t="shared" si="124"/>
        <v>923888.06400000001</v>
      </c>
      <c r="L207" s="20">
        <f>L208+L214</f>
        <v>3983120.0640000002</v>
      </c>
    </row>
    <row r="208" spans="1:12" x14ac:dyDescent="0.3">
      <c r="A208" s="84" t="s">
        <v>24</v>
      </c>
      <c r="B208" s="84"/>
      <c r="C208" s="31">
        <f t="shared" ref="C208:F208" si="125">C209+C210+C211+C212+C213</f>
        <v>7</v>
      </c>
      <c r="D208" s="31">
        <f t="shared" si="125"/>
        <v>7</v>
      </c>
      <c r="E208" s="31">
        <f t="shared" si="125"/>
        <v>5.4</v>
      </c>
      <c r="F208" s="31">
        <f t="shared" si="125"/>
        <v>6</v>
      </c>
      <c r="G208" s="20"/>
      <c r="H208" s="20">
        <f>H209+H210+H211+H212+H213</f>
        <v>2031120</v>
      </c>
      <c r="I208" s="20">
        <f t="shared" ref="I208" si="126">I209+I210+I211+I212+I213</f>
        <v>0</v>
      </c>
      <c r="J208" s="20">
        <f>H208</f>
        <v>2031120</v>
      </c>
      <c r="K208" s="20">
        <f>J208*30.2%</f>
        <v>613398.24</v>
      </c>
      <c r="L208" s="20">
        <f>J208+K208</f>
        <v>2644518.2400000002</v>
      </c>
    </row>
    <row r="209" spans="1:12" x14ac:dyDescent="0.3">
      <c r="A209" s="4"/>
      <c r="B209" s="5" t="s">
        <v>25</v>
      </c>
      <c r="C209" s="32"/>
      <c r="D209" s="32"/>
      <c r="E209" s="32"/>
      <c r="F209" s="32"/>
      <c r="G209" s="19"/>
      <c r="H209" s="19">
        <f t="shared" ref="H209:H213" si="127">E209*G209*12+ ((D209-E209)*G209/2*12)</f>
        <v>0</v>
      </c>
      <c r="I209" s="19"/>
      <c r="J209" s="19"/>
      <c r="K209" s="19"/>
      <c r="L209" s="19"/>
    </row>
    <row r="210" spans="1:12" x14ac:dyDescent="0.3">
      <c r="A210" s="4"/>
      <c r="B210" s="5" t="s">
        <v>26</v>
      </c>
      <c r="C210" s="32"/>
      <c r="D210" s="32"/>
      <c r="E210" s="32"/>
      <c r="F210" s="32"/>
      <c r="G210" s="19"/>
      <c r="H210" s="19">
        <f t="shared" si="127"/>
        <v>0</v>
      </c>
      <c r="I210" s="19"/>
      <c r="J210" s="19"/>
      <c r="K210" s="19"/>
      <c r="L210" s="19"/>
    </row>
    <row r="211" spans="1:12" x14ac:dyDescent="0.3">
      <c r="A211" s="4"/>
      <c r="B211" s="5" t="s">
        <v>27</v>
      </c>
      <c r="C211" s="32"/>
      <c r="D211" s="32"/>
      <c r="E211" s="32"/>
      <c r="F211" s="32"/>
      <c r="G211" s="19"/>
      <c r="H211" s="19">
        <f t="shared" si="127"/>
        <v>0</v>
      </c>
      <c r="I211" s="19"/>
      <c r="J211" s="19"/>
      <c r="K211" s="19"/>
      <c r="L211" s="19"/>
    </row>
    <row r="212" spans="1:12" ht="28.2" x14ac:dyDescent="0.3">
      <c r="A212" s="4"/>
      <c r="B212" s="5" t="s">
        <v>28</v>
      </c>
      <c r="C212" s="32">
        <v>3</v>
      </c>
      <c r="D212" s="32">
        <v>3</v>
      </c>
      <c r="E212" s="32">
        <v>3</v>
      </c>
      <c r="F212" s="32">
        <v>3</v>
      </c>
      <c r="G212" s="19">
        <f>'расчёт зарплаты'!K26</f>
        <v>27300</v>
      </c>
      <c r="H212" s="19">
        <f t="shared" si="127"/>
        <v>982800</v>
      </c>
      <c r="I212" s="19"/>
      <c r="J212" s="19"/>
      <c r="K212" s="19"/>
      <c r="L212" s="19"/>
    </row>
    <row r="213" spans="1:12" x14ac:dyDescent="0.3">
      <c r="A213" s="4"/>
      <c r="B213" s="5" t="s">
        <v>29</v>
      </c>
      <c r="C213" s="32">
        <v>4</v>
      </c>
      <c r="D213" s="32">
        <v>4</v>
      </c>
      <c r="E213" s="32">
        <v>2.4</v>
      </c>
      <c r="F213" s="32">
        <v>3</v>
      </c>
      <c r="G213" s="19">
        <f>'расчёт зарплаты'!K26</f>
        <v>27300</v>
      </c>
      <c r="H213" s="19">
        <f t="shared" si="127"/>
        <v>1048320</v>
      </c>
      <c r="I213" s="19"/>
      <c r="J213" s="19"/>
      <c r="K213" s="19"/>
      <c r="L213" s="19"/>
    </row>
    <row r="214" spans="1:12" x14ac:dyDescent="0.3">
      <c r="A214" s="84" t="s">
        <v>30</v>
      </c>
      <c r="B214" s="84"/>
      <c r="C214" s="31">
        <f t="shared" ref="C214:F214" si="128">C215+C216+C217</f>
        <v>3.75</v>
      </c>
      <c r="D214" s="31">
        <f t="shared" si="128"/>
        <v>3.75</v>
      </c>
      <c r="E214" s="31">
        <f t="shared" si="128"/>
        <v>2</v>
      </c>
      <c r="F214" s="31">
        <f t="shared" si="128"/>
        <v>2</v>
      </c>
      <c r="G214" s="20"/>
      <c r="H214" s="20">
        <f>H215+H216+H217</f>
        <v>1028112</v>
      </c>
      <c r="I214" s="20">
        <f t="shared" ref="I214" si="129">I215+I216+I217</f>
        <v>0</v>
      </c>
      <c r="J214" s="20">
        <f>H214</f>
        <v>1028112</v>
      </c>
      <c r="K214" s="20">
        <f>J214*30.2%</f>
        <v>310489.82399999996</v>
      </c>
      <c r="L214" s="20">
        <f>J214+K214</f>
        <v>1338601.824</v>
      </c>
    </row>
    <row r="215" spans="1:12" x14ac:dyDescent="0.3">
      <c r="A215" s="4"/>
      <c r="B215" s="5" t="s">
        <v>31</v>
      </c>
      <c r="C215" s="32">
        <v>1.5</v>
      </c>
      <c r="D215" s="32">
        <v>1.5</v>
      </c>
      <c r="E215" s="32">
        <v>1</v>
      </c>
      <c r="F215" s="32">
        <v>1</v>
      </c>
      <c r="G215" s="19">
        <f>'расчёт зарплаты'!K34</f>
        <v>30976</v>
      </c>
      <c r="H215" s="19">
        <f t="shared" ref="H215:H217" si="130">E215*G215*12+ ((D215-E215)*G215/2*12)</f>
        <v>464640</v>
      </c>
      <c r="I215" s="19"/>
      <c r="J215" s="19"/>
      <c r="K215" s="19"/>
      <c r="L215" s="19"/>
    </row>
    <row r="216" spans="1:12" x14ac:dyDescent="0.3">
      <c r="A216" s="4"/>
      <c r="B216" s="5" t="s">
        <v>32</v>
      </c>
      <c r="C216" s="32"/>
      <c r="D216" s="32"/>
      <c r="E216" s="32"/>
      <c r="F216" s="32"/>
      <c r="G216" s="19"/>
      <c r="H216" s="19">
        <f t="shared" si="130"/>
        <v>0</v>
      </c>
      <c r="I216" s="19"/>
      <c r="J216" s="19"/>
      <c r="K216" s="19"/>
      <c r="L216" s="19"/>
    </row>
    <row r="217" spans="1:12" x14ac:dyDescent="0.3">
      <c r="A217" s="4"/>
      <c r="B217" s="5" t="s">
        <v>33</v>
      </c>
      <c r="C217" s="32">
        <v>2.25</v>
      </c>
      <c r="D217" s="32">
        <v>2.25</v>
      </c>
      <c r="E217" s="32">
        <v>1</v>
      </c>
      <c r="F217" s="32">
        <v>1</v>
      </c>
      <c r="G217" s="19">
        <f>'расчёт зарплаты'!K38</f>
        <v>28896</v>
      </c>
      <c r="H217" s="19">
        <f t="shared" si="130"/>
        <v>563472</v>
      </c>
      <c r="I217" s="19"/>
      <c r="J217" s="19"/>
      <c r="K217" s="19"/>
      <c r="L217" s="19"/>
    </row>
    <row r="218" spans="1:12" x14ac:dyDescent="0.3">
      <c r="A218" s="89" t="s">
        <v>66</v>
      </c>
      <c r="B218" s="89"/>
      <c r="C218" s="89"/>
      <c r="D218" s="89"/>
      <c r="E218" s="89"/>
      <c r="F218" s="89"/>
      <c r="G218" s="89"/>
      <c r="H218" s="89"/>
      <c r="I218" s="89"/>
      <c r="J218" s="89"/>
      <c r="K218" s="89"/>
      <c r="L218" s="89"/>
    </row>
    <row r="219" spans="1:12" ht="14.4" customHeight="1" x14ac:dyDescent="0.3">
      <c r="A219" s="81" t="s">
        <v>7</v>
      </c>
      <c r="B219" s="82"/>
      <c r="C219" s="8">
        <f>C220+C237+C233</f>
        <v>77</v>
      </c>
      <c r="D219" s="8">
        <f>D220+D237+D233</f>
        <v>71.25</v>
      </c>
      <c r="E219" s="8">
        <f>E220+E237+E233</f>
        <v>69.599999999999994</v>
      </c>
      <c r="F219" s="8">
        <f>F220+F237+F233</f>
        <v>69</v>
      </c>
      <c r="G219" s="19"/>
      <c r="H219" s="19"/>
      <c r="I219" s="19"/>
      <c r="J219" s="19"/>
      <c r="K219" s="19"/>
      <c r="L219" s="19"/>
    </row>
    <row r="220" spans="1:12" ht="14.4" customHeight="1" x14ac:dyDescent="0.3">
      <c r="A220" s="81" t="s">
        <v>89</v>
      </c>
      <c r="B220" s="82"/>
      <c r="C220" s="40">
        <f t="shared" ref="C220:G220" si="131">SUM(C221:C232)</f>
        <v>54.5</v>
      </c>
      <c r="D220" s="40">
        <f t="shared" si="131"/>
        <v>52.75</v>
      </c>
      <c r="E220" s="40">
        <f t="shared" si="131"/>
        <v>52.599999999999994</v>
      </c>
      <c r="F220" s="40">
        <f t="shared" si="131"/>
        <v>52</v>
      </c>
      <c r="G220" s="40">
        <f t="shared" si="131"/>
        <v>221592</v>
      </c>
      <c r="H220" s="40">
        <f>SUM(H221:H232)</f>
        <v>18437011.199999999</v>
      </c>
      <c r="I220" s="20"/>
      <c r="J220" s="20">
        <f>H220-I220</f>
        <v>18437011.199999999</v>
      </c>
      <c r="K220" s="20">
        <f>J220*30.2%</f>
        <v>5567977.3823999995</v>
      </c>
      <c r="L220" s="20">
        <f>J220+K220</f>
        <v>24004988.582399998</v>
      </c>
    </row>
    <row r="221" spans="1:12" x14ac:dyDescent="0.3">
      <c r="A221" s="4"/>
      <c r="B221" s="5" t="s">
        <v>9</v>
      </c>
      <c r="C221" s="22">
        <v>31</v>
      </c>
      <c r="D221" s="22">
        <v>30</v>
      </c>
      <c r="E221" s="22">
        <v>29.8</v>
      </c>
      <c r="F221" s="22">
        <v>30</v>
      </c>
      <c r="G221" s="19">
        <f>'расчёт зарплаты'!K10</f>
        <v>28208</v>
      </c>
      <c r="H221" s="19">
        <f>E221*G221*12+ ((D221-E221)*G221/2*12)</f>
        <v>10121030.4</v>
      </c>
      <c r="I221" s="19"/>
      <c r="J221" s="19"/>
      <c r="K221" s="19"/>
      <c r="L221" s="19">
        <f>G221*K221*12</f>
        <v>0</v>
      </c>
    </row>
    <row r="222" spans="1:12" x14ac:dyDescent="0.3">
      <c r="A222" s="4"/>
      <c r="B222" s="5" t="s">
        <v>10</v>
      </c>
      <c r="C222" s="22"/>
      <c r="D222" s="22"/>
      <c r="E222" s="22"/>
      <c r="F222" s="22"/>
      <c r="G222" s="19"/>
      <c r="H222" s="19">
        <f t="shared" ref="H222:H231" si="132">E222*G222*12+ ((D222-E222)*G222/2*12)</f>
        <v>0</v>
      </c>
      <c r="I222" s="19"/>
      <c r="J222" s="19"/>
      <c r="K222" s="19"/>
      <c r="L222" s="19"/>
    </row>
    <row r="223" spans="1:12" x14ac:dyDescent="0.3">
      <c r="A223" s="4"/>
      <c r="B223" s="5" t="s">
        <v>13</v>
      </c>
      <c r="C223" s="22">
        <v>3</v>
      </c>
      <c r="D223" s="22">
        <v>3</v>
      </c>
      <c r="E223" s="22">
        <v>3</v>
      </c>
      <c r="F223" s="22">
        <v>3</v>
      </c>
      <c r="G223" s="19">
        <f>'расчёт зарплаты'!K38</f>
        <v>28896</v>
      </c>
      <c r="H223" s="19">
        <f t="shared" si="132"/>
        <v>1040256</v>
      </c>
      <c r="I223" s="19"/>
      <c r="J223" s="19"/>
      <c r="K223" s="19"/>
      <c r="L223" s="19"/>
    </row>
    <row r="224" spans="1:12" ht="28.2" x14ac:dyDescent="0.3">
      <c r="A224" s="4"/>
      <c r="B224" s="5" t="s">
        <v>14</v>
      </c>
      <c r="C224" s="22"/>
      <c r="D224" s="22"/>
      <c r="E224" s="22"/>
      <c r="F224" s="22"/>
      <c r="G224" s="19"/>
      <c r="H224" s="19">
        <f t="shared" si="132"/>
        <v>0</v>
      </c>
      <c r="I224" s="19"/>
      <c r="J224" s="19"/>
      <c r="K224" s="19"/>
      <c r="L224" s="19"/>
    </row>
    <row r="225" spans="1:12" x14ac:dyDescent="0.3">
      <c r="A225" s="4"/>
      <c r="B225" s="5" t="s">
        <v>15</v>
      </c>
      <c r="C225" s="22">
        <v>6</v>
      </c>
      <c r="D225" s="22">
        <v>6</v>
      </c>
      <c r="E225" s="22">
        <v>6</v>
      </c>
      <c r="F225" s="22">
        <v>6</v>
      </c>
      <c r="G225" s="19">
        <f>'расчёт зарплаты'!K34</f>
        <v>30976</v>
      </c>
      <c r="H225" s="19">
        <f t="shared" si="132"/>
        <v>2230272</v>
      </c>
      <c r="I225" s="19"/>
      <c r="J225" s="19"/>
      <c r="K225" s="19"/>
      <c r="L225" s="19"/>
    </row>
    <row r="226" spans="1:12" x14ac:dyDescent="0.3">
      <c r="A226" s="4"/>
      <c r="B226" s="5" t="s">
        <v>16</v>
      </c>
      <c r="C226" s="22">
        <v>9</v>
      </c>
      <c r="D226" s="22">
        <v>9</v>
      </c>
      <c r="E226" s="22">
        <v>9</v>
      </c>
      <c r="F226" s="22">
        <v>9</v>
      </c>
      <c r="G226" s="19">
        <f>'расчёт зарплаты'!K8</f>
        <v>28600</v>
      </c>
      <c r="H226" s="19">
        <f t="shared" si="132"/>
        <v>3088800</v>
      </c>
      <c r="I226" s="19"/>
      <c r="J226" s="19"/>
      <c r="K226" s="19"/>
      <c r="L226" s="19"/>
    </row>
    <row r="227" spans="1:12" ht="42" x14ac:dyDescent="0.3">
      <c r="A227" s="4"/>
      <c r="B227" s="5" t="s">
        <v>17</v>
      </c>
      <c r="C227" s="22">
        <v>2</v>
      </c>
      <c r="D227" s="22">
        <v>1.5</v>
      </c>
      <c r="E227" s="22">
        <v>1.5</v>
      </c>
      <c r="F227" s="22">
        <v>1</v>
      </c>
      <c r="G227" s="19">
        <f>'расчёт зарплаты'!K10</f>
        <v>28208</v>
      </c>
      <c r="H227" s="19">
        <f t="shared" si="132"/>
        <v>507744</v>
      </c>
      <c r="I227" s="19"/>
      <c r="J227" s="19"/>
      <c r="K227" s="19"/>
      <c r="L227" s="19"/>
    </row>
    <row r="228" spans="1:12" ht="28.2" x14ac:dyDescent="0.3">
      <c r="A228" s="4"/>
      <c r="B228" s="5" t="s">
        <v>18</v>
      </c>
      <c r="C228" s="22">
        <v>2</v>
      </c>
      <c r="D228" s="22">
        <v>2</v>
      </c>
      <c r="E228" s="22">
        <v>2</v>
      </c>
      <c r="F228" s="22">
        <v>2</v>
      </c>
      <c r="G228" s="19">
        <f>'расчёт зарплаты'!K20</f>
        <v>31648</v>
      </c>
      <c r="H228" s="19">
        <f t="shared" si="132"/>
        <v>759552</v>
      </c>
      <c r="I228" s="19"/>
      <c r="J228" s="19"/>
      <c r="K228" s="19"/>
      <c r="L228" s="19"/>
    </row>
    <row r="229" spans="1:12" ht="42" x14ac:dyDescent="0.3">
      <c r="A229" s="4"/>
      <c r="B229" s="5" t="s">
        <v>91</v>
      </c>
      <c r="C229" s="22"/>
      <c r="D229" s="22"/>
      <c r="E229" s="22"/>
      <c r="F229" s="22"/>
      <c r="G229" s="19"/>
      <c r="H229" s="19">
        <f t="shared" si="132"/>
        <v>0</v>
      </c>
      <c r="I229" s="19"/>
      <c r="J229" s="19"/>
      <c r="K229" s="19"/>
      <c r="L229" s="19"/>
    </row>
    <row r="230" spans="1:12" x14ac:dyDescent="0.3">
      <c r="A230" s="4"/>
      <c r="B230" s="5" t="s">
        <v>20</v>
      </c>
      <c r="C230" s="22"/>
      <c r="D230" s="22"/>
      <c r="E230" s="22"/>
      <c r="F230" s="22"/>
      <c r="G230" s="19"/>
      <c r="H230" s="19">
        <f t="shared" si="132"/>
        <v>0</v>
      </c>
      <c r="I230" s="19"/>
      <c r="J230" s="19"/>
      <c r="K230" s="19"/>
      <c r="L230" s="19"/>
    </row>
    <row r="231" spans="1:12" ht="39.6" x14ac:dyDescent="0.3">
      <c r="A231" s="4"/>
      <c r="B231" s="6" t="s">
        <v>21</v>
      </c>
      <c r="C231" s="22">
        <v>1.5</v>
      </c>
      <c r="D231" s="22">
        <v>1.25</v>
      </c>
      <c r="E231" s="22">
        <v>1.3</v>
      </c>
      <c r="F231" s="22">
        <v>1</v>
      </c>
      <c r="G231" s="19">
        <f>'расчёт зарплаты'!K44</f>
        <v>45056</v>
      </c>
      <c r="H231" s="19">
        <f t="shared" si="132"/>
        <v>689356.80000000005</v>
      </c>
      <c r="I231" s="19"/>
      <c r="J231" s="19"/>
      <c r="K231" s="19"/>
      <c r="L231" s="19"/>
    </row>
    <row r="232" spans="1:12" x14ac:dyDescent="0.3">
      <c r="A232" s="4"/>
      <c r="B232" s="5" t="s">
        <v>22</v>
      </c>
      <c r="C232" s="22"/>
      <c r="D232" s="22"/>
      <c r="E232" s="22"/>
      <c r="F232" s="22"/>
      <c r="G232" s="19"/>
      <c r="H232" s="19">
        <f t="shared" ref="H232" si="133">E232*G232*12</f>
        <v>0</v>
      </c>
      <c r="I232" s="19"/>
      <c r="J232" s="19"/>
      <c r="K232" s="19"/>
      <c r="L232" s="19"/>
    </row>
    <row r="233" spans="1:12" x14ac:dyDescent="0.3">
      <c r="A233" s="38" t="s">
        <v>57</v>
      </c>
      <c r="B233" s="39"/>
      <c r="C233" s="41">
        <f>C234+C235+C236</f>
        <v>8.5</v>
      </c>
      <c r="D233" s="41">
        <f t="shared" ref="D233" si="134">D234+D235+D236</f>
        <v>7</v>
      </c>
      <c r="E233" s="41">
        <f t="shared" ref="E233" si="135">E234+E235+E236</f>
        <v>6.5</v>
      </c>
      <c r="F233" s="41">
        <f t="shared" ref="F233" si="136">F234+F235+F236</f>
        <v>7</v>
      </c>
      <c r="G233" s="41"/>
      <c r="H233" s="42">
        <f t="shared" ref="H233" si="137">H234+H235+H236</f>
        <v>2241792</v>
      </c>
      <c r="I233" s="42">
        <f t="shared" ref="I233" si="138">I234+I235+I236</f>
        <v>0</v>
      </c>
      <c r="J233" s="42">
        <f t="shared" ref="J233" si="139">J234+J235+J236</f>
        <v>0</v>
      </c>
      <c r="K233" s="42">
        <f t="shared" ref="K233" si="140">K234+K235+K236</f>
        <v>0</v>
      </c>
      <c r="L233" s="42">
        <f t="shared" ref="L233" si="141">L234+L235+L236</f>
        <v>0</v>
      </c>
    </row>
    <row r="234" spans="1:12" x14ac:dyDescent="0.3">
      <c r="A234" s="4"/>
      <c r="B234" s="5" t="s">
        <v>11</v>
      </c>
      <c r="C234" s="9">
        <v>1.25</v>
      </c>
      <c r="D234" s="9">
        <v>1</v>
      </c>
      <c r="E234" s="9">
        <v>1</v>
      </c>
      <c r="F234" s="9">
        <v>1</v>
      </c>
      <c r="G234" s="19">
        <f>'расчёт зарплаты'!K26</f>
        <v>27300</v>
      </c>
      <c r="H234" s="19">
        <f t="shared" ref="H234:H237" si="142">E234*G234*12+ ((D234-E234)*G234/2*12)</f>
        <v>327600</v>
      </c>
      <c r="I234" s="19"/>
      <c r="J234" s="19"/>
      <c r="K234" s="19"/>
      <c r="L234" s="19"/>
    </row>
    <row r="235" spans="1:12" x14ac:dyDescent="0.3">
      <c r="A235" s="4"/>
      <c r="B235" s="5" t="s">
        <v>12</v>
      </c>
      <c r="C235" s="9">
        <v>3</v>
      </c>
      <c r="D235" s="9">
        <v>3</v>
      </c>
      <c r="E235" s="9">
        <v>3</v>
      </c>
      <c r="F235" s="9">
        <v>3</v>
      </c>
      <c r="G235" s="19">
        <f>'расчёт зарплаты'!K26</f>
        <v>27300</v>
      </c>
      <c r="H235" s="19">
        <f t="shared" si="142"/>
        <v>982800</v>
      </c>
      <c r="I235" s="19"/>
      <c r="J235" s="19"/>
      <c r="K235" s="19"/>
      <c r="L235" s="19"/>
    </row>
    <row r="236" spans="1:12" ht="28.2" x14ac:dyDescent="0.3">
      <c r="A236" s="4"/>
      <c r="B236" s="5" t="s">
        <v>19</v>
      </c>
      <c r="C236" s="9">
        <v>4.25</v>
      </c>
      <c r="D236" s="9">
        <v>3</v>
      </c>
      <c r="E236" s="9">
        <v>2.5</v>
      </c>
      <c r="F236" s="9">
        <v>3</v>
      </c>
      <c r="G236" s="19">
        <f>'расчёт зарплаты'!K40</f>
        <v>28224</v>
      </c>
      <c r="H236" s="19">
        <f t="shared" si="142"/>
        <v>931392</v>
      </c>
      <c r="I236" s="19"/>
      <c r="J236" s="19"/>
      <c r="K236" s="19"/>
      <c r="L236" s="19"/>
    </row>
    <row r="237" spans="1:12" x14ac:dyDescent="0.3">
      <c r="A237" s="83" t="s">
        <v>23</v>
      </c>
      <c r="B237" s="83"/>
      <c r="C237" s="21">
        <f t="shared" ref="C237:F237" si="143">C238+C244</f>
        <v>14</v>
      </c>
      <c r="D237" s="21">
        <f t="shared" si="143"/>
        <v>11.5</v>
      </c>
      <c r="E237" s="21">
        <f t="shared" si="143"/>
        <v>10.5</v>
      </c>
      <c r="F237" s="21">
        <f t="shared" si="143"/>
        <v>10</v>
      </c>
      <c r="G237" s="19"/>
      <c r="H237" s="19">
        <f t="shared" si="142"/>
        <v>0</v>
      </c>
      <c r="I237" s="19"/>
      <c r="J237" s="20">
        <f t="shared" ref="J237:K237" si="144">J238+J244</f>
        <v>3695592</v>
      </c>
      <c r="K237" s="20">
        <f t="shared" si="144"/>
        <v>1116068.784</v>
      </c>
      <c r="L237" s="20">
        <f>L238+L244</f>
        <v>4811660.784</v>
      </c>
    </row>
    <row r="238" spans="1:12" x14ac:dyDescent="0.3">
      <c r="A238" s="84" t="s">
        <v>24</v>
      </c>
      <c r="B238" s="84"/>
      <c r="C238" s="21">
        <f t="shared" ref="C238:F238" si="145">C239+C240+C241+C242+C243</f>
        <v>10</v>
      </c>
      <c r="D238" s="21">
        <f t="shared" si="145"/>
        <v>8</v>
      </c>
      <c r="E238" s="21">
        <f t="shared" si="145"/>
        <v>7</v>
      </c>
      <c r="F238" s="21">
        <f t="shared" si="145"/>
        <v>7</v>
      </c>
      <c r="G238" s="20"/>
      <c r="H238" s="20">
        <f>H239+H240+H241+H242+H243</f>
        <v>2457000</v>
      </c>
      <c r="I238" s="20">
        <f t="shared" ref="I238" si="146">I239+I240+I241+I242+I243</f>
        <v>0</v>
      </c>
      <c r="J238" s="20">
        <f>H238</f>
        <v>2457000</v>
      </c>
      <c r="K238" s="20">
        <f>J238*30.2%</f>
        <v>742014</v>
      </c>
      <c r="L238" s="20">
        <f>J238+K238</f>
        <v>3199014</v>
      </c>
    </row>
    <row r="239" spans="1:12" x14ac:dyDescent="0.3">
      <c r="A239" s="4"/>
      <c r="B239" s="5" t="s">
        <v>25</v>
      </c>
      <c r="C239" s="22"/>
      <c r="D239" s="22"/>
      <c r="E239" s="22"/>
      <c r="F239" s="22"/>
      <c r="G239" s="19"/>
      <c r="H239" s="19">
        <f t="shared" ref="H239:H243" si="147">E239*G239*12+ ((D239-E239)*G239/2*12)</f>
        <v>0</v>
      </c>
      <c r="I239" s="19"/>
      <c r="J239" s="19"/>
      <c r="K239" s="19"/>
      <c r="L239" s="19"/>
    </row>
    <row r="240" spans="1:12" x14ac:dyDescent="0.3">
      <c r="A240" s="4"/>
      <c r="B240" s="5" t="s">
        <v>26</v>
      </c>
      <c r="C240" s="22"/>
      <c r="D240" s="22"/>
      <c r="E240" s="22"/>
      <c r="F240" s="22"/>
      <c r="G240" s="19"/>
      <c r="H240" s="19">
        <f t="shared" si="147"/>
        <v>0</v>
      </c>
      <c r="I240" s="19"/>
      <c r="J240" s="19"/>
      <c r="K240" s="19"/>
      <c r="L240" s="19"/>
    </row>
    <row r="241" spans="1:12" x14ac:dyDescent="0.3">
      <c r="A241" s="4"/>
      <c r="B241" s="5" t="s">
        <v>27</v>
      </c>
      <c r="C241" s="22"/>
      <c r="D241" s="22"/>
      <c r="E241" s="22"/>
      <c r="F241" s="22"/>
      <c r="G241" s="19"/>
      <c r="H241" s="19">
        <f t="shared" si="147"/>
        <v>0</v>
      </c>
      <c r="I241" s="19"/>
      <c r="J241" s="19"/>
      <c r="K241" s="19"/>
      <c r="L241" s="19"/>
    </row>
    <row r="242" spans="1:12" ht="28.2" x14ac:dyDescent="0.3">
      <c r="A242" s="4"/>
      <c r="B242" s="5" t="s">
        <v>28</v>
      </c>
      <c r="C242" s="22">
        <v>3</v>
      </c>
      <c r="D242" s="22">
        <v>3</v>
      </c>
      <c r="E242" s="22">
        <v>2</v>
      </c>
      <c r="F242" s="22">
        <v>2</v>
      </c>
      <c r="G242" s="19">
        <f>'расчёт зарплаты'!K26</f>
        <v>27300</v>
      </c>
      <c r="H242" s="19">
        <f t="shared" si="147"/>
        <v>819000</v>
      </c>
      <c r="I242" s="19"/>
      <c r="J242" s="19"/>
      <c r="K242" s="19"/>
      <c r="L242" s="19"/>
    </row>
    <row r="243" spans="1:12" x14ac:dyDescent="0.3">
      <c r="A243" s="4"/>
      <c r="B243" s="5" t="s">
        <v>29</v>
      </c>
      <c r="C243" s="22">
        <v>7</v>
      </c>
      <c r="D243" s="22">
        <v>5</v>
      </c>
      <c r="E243" s="22">
        <v>5</v>
      </c>
      <c r="F243" s="22">
        <v>5</v>
      </c>
      <c r="G243" s="19">
        <f>'расчёт зарплаты'!K26</f>
        <v>27300</v>
      </c>
      <c r="H243" s="19">
        <f t="shared" si="147"/>
        <v>1638000</v>
      </c>
      <c r="I243" s="19"/>
      <c r="J243" s="19"/>
      <c r="K243" s="19"/>
      <c r="L243" s="19"/>
    </row>
    <row r="244" spans="1:12" x14ac:dyDescent="0.3">
      <c r="A244" s="84" t="s">
        <v>30</v>
      </c>
      <c r="B244" s="84"/>
      <c r="C244" s="21">
        <f t="shared" ref="C244:F244" si="148">C245+C246+C247</f>
        <v>4</v>
      </c>
      <c r="D244" s="21">
        <f t="shared" si="148"/>
        <v>3.5</v>
      </c>
      <c r="E244" s="21">
        <f t="shared" si="148"/>
        <v>3.5</v>
      </c>
      <c r="F244" s="21">
        <f t="shared" si="148"/>
        <v>3</v>
      </c>
      <c r="G244" s="20"/>
      <c r="H244" s="20">
        <f>H245+H246+H247</f>
        <v>1238592</v>
      </c>
      <c r="I244" s="20">
        <f t="shared" ref="I244" si="149">I245+I246+I247</f>
        <v>0</v>
      </c>
      <c r="J244" s="20">
        <f>H244</f>
        <v>1238592</v>
      </c>
      <c r="K244" s="20">
        <f>J244*30.2%</f>
        <v>374054.78399999999</v>
      </c>
      <c r="L244" s="20">
        <f>J244+K244</f>
        <v>1612646.784</v>
      </c>
    </row>
    <row r="245" spans="1:12" x14ac:dyDescent="0.3">
      <c r="A245" s="4"/>
      <c r="B245" s="5" t="s">
        <v>31</v>
      </c>
      <c r="C245" s="22">
        <v>1</v>
      </c>
      <c r="D245" s="22">
        <v>1</v>
      </c>
      <c r="E245" s="22">
        <v>1</v>
      </c>
      <c r="F245" s="22">
        <v>1</v>
      </c>
      <c r="G245" s="19">
        <f>'расчёт зарплаты'!K34</f>
        <v>30976</v>
      </c>
      <c r="H245" s="19">
        <f t="shared" ref="H245:H247" si="150">E245*G245*12+ ((D245-E245)*G245/2*12)</f>
        <v>371712</v>
      </c>
      <c r="I245" s="19"/>
      <c r="J245" s="19"/>
      <c r="K245" s="19"/>
      <c r="L245" s="19"/>
    </row>
    <row r="246" spans="1:12" x14ac:dyDescent="0.3">
      <c r="A246" s="4"/>
      <c r="B246" s="5" t="s">
        <v>32</v>
      </c>
      <c r="C246" s="22"/>
      <c r="D246" s="22"/>
      <c r="E246" s="22"/>
      <c r="F246" s="22"/>
      <c r="G246" s="19"/>
      <c r="H246" s="19">
        <f t="shared" si="150"/>
        <v>0</v>
      </c>
      <c r="I246" s="19"/>
      <c r="J246" s="19"/>
      <c r="K246" s="19"/>
      <c r="L246" s="19"/>
    </row>
    <row r="247" spans="1:12" x14ac:dyDescent="0.3">
      <c r="A247" s="4"/>
      <c r="B247" s="5" t="s">
        <v>33</v>
      </c>
      <c r="C247" s="22">
        <v>3</v>
      </c>
      <c r="D247" s="22">
        <v>2.5</v>
      </c>
      <c r="E247" s="22">
        <v>2.5</v>
      </c>
      <c r="F247" s="22">
        <v>2</v>
      </c>
      <c r="G247" s="19">
        <f>'расчёт зарплаты'!K38</f>
        <v>28896</v>
      </c>
      <c r="H247" s="19">
        <f t="shared" si="150"/>
        <v>866880</v>
      </c>
      <c r="I247" s="19"/>
      <c r="J247" s="19"/>
      <c r="K247" s="19"/>
      <c r="L247" s="19"/>
    </row>
    <row r="248" spans="1:12" x14ac:dyDescent="0.3">
      <c r="A248" s="89" t="s">
        <v>67</v>
      </c>
      <c r="B248" s="89"/>
      <c r="C248" s="89"/>
      <c r="D248" s="89"/>
      <c r="E248" s="89"/>
      <c r="F248" s="89"/>
      <c r="G248" s="89"/>
      <c r="H248" s="89"/>
      <c r="I248" s="89"/>
      <c r="J248" s="89"/>
      <c r="K248" s="89"/>
      <c r="L248" s="89"/>
    </row>
    <row r="249" spans="1:12" ht="14.4" customHeight="1" x14ac:dyDescent="0.3">
      <c r="A249" s="81" t="s">
        <v>7</v>
      </c>
      <c r="B249" s="82"/>
      <c r="C249" s="8">
        <f>C250+C265+C261</f>
        <v>34.25</v>
      </c>
      <c r="D249" s="8">
        <f>D250+D265+D261</f>
        <v>26.25</v>
      </c>
      <c r="E249" s="8">
        <f>E250+E265+E261</f>
        <v>24.1</v>
      </c>
      <c r="F249" s="8">
        <f>F250+F265+F261</f>
        <v>20.5</v>
      </c>
      <c r="G249" s="19"/>
      <c r="H249" s="19"/>
      <c r="I249" s="19"/>
      <c r="J249" s="19"/>
      <c r="K249" s="19"/>
      <c r="L249" s="19"/>
    </row>
    <row r="250" spans="1:12" ht="14.4" customHeight="1" x14ac:dyDescent="0.3">
      <c r="A250" s="81" t="s">
        <v>89</v>
      </c>
      <c r="B250" s="82"/>
      <c r="C250" s="8">
        <f>SUM(C251:C262)</f>
        <v>31.25</v>
      </c>
      <c r="D250" s="8">
        <f>SUM(D251:D262)</f>
        <v>23.25</v>
      </c>
      <c r="E250" s="8">
        <f>SUM(E251:E262)</f>
        <v>22.1</v>
      </c>
      <c r="F250" s="8">
        <f>SUM(F251:F262)</f>
        <v>18.5</v>
      </c>
      <c r="G250" s="8"/>
      <c r="H250" s="40">
        <f>SUM(H251:H262)</f>
        <v>8016132</v>
      </c>
      <c r="I250" s="20"/>
      <c r="J250" s="20">
        <f>H250-I250</f>
        <v>8016132</v>
      </c>
      <c r="K250" s="20">
        <f>J250*30.2%</f>
        <v>2420871.8640000001</v>
      </c>
      <c r="L250" s="20">
        <f>J250+K250</f>
        <v>10437003.864</v>
      </c>
    </row>
    <row r="251" spans="1:12" x14ac:dyDescent="0.3">
      <c r="A251" s="4"/>
      <c r="B251" s="5" t="s">
        <v>9</v>
      </c>
      <c r="C251" s="33">
        <f>16.5-2</f>
        <v>14.5</v>
      </c>
      <c r="D251" s="33">
        <f>14-2</f>
        <v>12</v>
      </c>
      <c r="E251" s="33">
        <v>12</v>
      </c>
      <c r="F251" s="33">
        <v>11</v>
      </c>
      <c r="G251" s="19">
        <f>'расчёт зарплаты'!K10</f>
        <v>28208</v>
      </c>
      <c r="H251" s="19">
        <f>E251*G251*12+ ((D251-E251)*G251/2*12)</f>
        <v>4061952</v>
      </c>
      <c r="I251" s="19"/>
      <c r="J251" s="19"/>
      <c r="K251" s="19"/>
      <c r="L251" s="19">
        <f>G251*K251*12</f>
        <v>0</v>
      </c>
    </row>
    <row r="252" spans="1:12" x14ac:dyDescent="0.3">
      <c r="A252" s="4"/>
      <c r="B252" s="5" t="s">
        <v>10</v>
      </c>
      <c r="C252" s="33">
        <v>1</v>
      </c>
      <c r="D252" s="33"/>
      <c r="E252" s="33"/>
      <c r="F252" s="33"/>
      <c r="G252" s="19">
        <f>'расчёт зарплаты'!K20</f>
        <v>31648</v>
      </c>
      <c r="H252" s="19">
        <f t="shared" ref="H252:H261" si="151">E252*G252*12+ ((D252-E252)*G252/2*12)</f>
        <v>0</v>
      </c>
      <c r="I252" s="19"/>
      <c r="J252" s="19"/>
      <c r="K252" s="19"/>
      <c r="L252" s="19"/>
    </row>
    <row r="253" spans="1:12" x14ac:dyDescent="0.3">
      <c r="A253" s="4"/>
      <c r="B253" s="5" t="s">
        <v>13</v>
      </c>
      <c r="C253" s="33">
        <v>2.5</v>
      </c>
      <c r="D253" s="33">
        <v>2</v>
      </c>
      <c r="E253" s="33">
        <v>1</v>
      </c>
      <c r="F253" s="33">
        <v>1</v>
      </c>
      <c r="G253" s="19">
        <f>'расчёт зарплаты'!K38</f>
        <v>28896</v>
      </c>
      <c r="H253" s="19">
        <f t="shared" si="151"/>
        <v>520128</v>
      </c>
      <c r="I253" s="19"/>
      <c r="J253" s="19"/>
      <c r="K253" s="19"/>
      <c r="L253" s="19"/>
    </row>
    <row r="254" spans="1:12" ht="28.2" x14ac:dyDescent="0.3">
      <c r="A254" s="4"/>
      <c r="B254" s="5" t="s">
        <v>14</v>
      </c>
      <c r="C254" s="33"/>
      <c r="D254" s="33"/>
      <c r="E254" s="33"/>
      <c r="F254" s="33"/>
      <c r="G254" s="19"/>
      <c r="H254" s="19">
        <f t="shared" si="151"/>
        <v>0</v>
      </c>
      <c r="I254" s="19"/>
      <c r="J254" s="19"/>
      <c r="K254" s="19"/>
      <c r="L254" s="19"/>
    </row>
    <row r="255" spans="1:12" x14ac:dyDescent="0.3">
      <c r="A255" s="4"/>
      <c r="B255" s="5" t="s">
        <v>15</v>
      </c>
      <c r="C255" s="33">
        <v>4</v>
      </c>
      <c r="D255" s="33">
        <v>3</v>
      </c>
      <c r="E255" s="33">
        <v>1</v>
      </c>
      <c r="F255" s="33">
        <v>1</v>
      </c>
      <c r="G255" s="19">
        <f>'расчёт зарплаты'!K34</f>
        <v>30976</v>
      </c>
      <c r="H255" s="19">
        <f t="shared" si="151"/>
        <v>743424</v>
      </c>
      <c r="I255" s="19"/>
      <c r="J255" s="19"/>
      <c r="K255" s="19"/>
      <c r="L255" s="19"/>
    </row>
    <row r="256" spans="1:12" x14ac:dyDescent="0.3">
      <c r="A256" s="4"/>
      <c r="B256" s="5" t="s">
        <v>16</v>
      </c>
      <c r="C256" s="33">
        <v>6</v>
      </c>
      <c r="D256" s="33">
        <v>3</v>
      </c>
      <c r="E256" s="33">
        <v>4.8499999999999996</v>
      </c>
      <c r="F256" s="33">
        <v>3</v>
      </c>
      <c r="G256" s="19">
        <f>'расчёт зарплаты'!K8</f>
        <v>28600</v>
      </c>
      <c r="H256" s="19">
        <f t="shared" si="151"/>
        <v>1347060</v>
      </c>
      <c r="I256" s="19"/>
      <c r="J256" s="19"/>
      <c r="K256" s="19"/>
      <c r="L256" s="19"/>
    </row>
    <row r="257" spans="1:12" ht="42" x14ac:dyDescent="0.3">
      <c r="A257" s="4"/>
      <c r="B257" s="5" t="s">
        <v>17</v>
      </c>
      <c r="C257" s="33">
        <v>1.25</v>
      </c>
      <c r="D257" s="33">
        <v>1.25</v>
      </c>
      <c r="E257" s="33">
        <v>1.25</v>
      </c>
      <c r="F257" s="33">
        <v>0.5</v>
      </c>
      <c r="G257" s="19">
        <f>'расчёт зарплаты'!K10</f>
        <v>28208</v>
      </c>
      <c r="H257" s="19">
        <f t="shared" si="151"/>
        <v>423120</v>
      </c>
      <c r="I257" s="19"/>
      <c r="J257" s="19"/>
      <c r="K257" s="19"/>
      <c r="L257" s="19"/>
    </row>
    <row r="258" spans="1:12" ht="28.2" x14ac:dyDescent="0.3">
      <c r="A258" s="4"/>
      <c r="B258" s="5" t="s">
        <v>18</v>
      </c>
      <c r="C258" s="33">
        <v>1</v>
      </c>
      <c r="D258" s="33">
        <v>1</v>
      </c>
      <c r="E258" s="33">
        <v>1</v>
      </c>
      <c r="F258" s="33">
        <v>1</v>
      </c>
      <c r="G258" s="19">
        <f>'расчёт зарплаты'!K20</f>
        <v>31648</v>
      </c>
      <c r="H258" s="19">
        <f t="shared" si="151"/>
        <v>379776</v>
      </c>
      <c r="I258" s="19"/>
      <c r="J258" s="19"/>
      <c r="K258" s="19"/>
      <c r="L258" s="19"/>
    </row>
    <row r="259" spans="1:12" ht="42" x14ac:dyDescent="0.3">
      <c r="A259" s="4"/>
      <c r="B259" s="5" t="s">
        <v>91</v>
      </c>
      <c r="C259" s="33"/>
      <c r="D259" s="33"/>
      <c r="E259" s="33"/>
      <c r="F259" s="33"/>
      <c r="G259" s="19"/>
      <c r="H259" s="19">
        <f t="shared" si="151"/>
        <v>0</v>
      </c>
      <c r="I259" s="19"/>
      <c r="J259" s="19"/>
      <c r="K259" s="19"/>
      <c r="L259" s="19"/>
    </row>
    <row r="260" spans="1:12" x14ac:dyDescent="0.3">
      <c r="A260" s="4"/>
      <c r="B260" s="5" t="s">
        <v>20</v>
      </c>
      <c r="C260" s="33"/>
      <c r="D260" s="33"/>
      <c r="E260" s="33"/>
      <c r="F260" s="33"/>
      <c r="G260" s="19"/>
      <c r="H260" s="19">
        <f t="shared" si="151"/>
        <v>0</v>
      </c>
      <c r="I260" s="19"/>
      <c r="J260" s="19"/>
      <c r="K260" s="19"/>
      <c r="L260" s="19"/>
    </row>
    <row r="261" spans="1:12" ht="39.6" x14ac:dyDescent="0.3">
      <c r="A261" s="4"/>
      <c r="B261" s="6" t="s">
        <v>21</v>
      </c>
      <c r="C261" s="33">
        <v>1</v>
      </c>
      <c r="D261" s="33">
        <v>1</v>
      </c>
      <c r="E261" s="33">
        <v>1</v>
      </c>
      <c r="F261" s="33">
        <v>1</v>
      </c>
      <c r="G261" s="19">
        <f>'расчёт зарплаты'!K44</f>
        <v>45056</v>
      </c>
      <c r="H261" s="19">
        <f t="shared" si="151"/>
        <v>540672</v>
      </c>
      <c r="I261" s="19"/>
      <c r="J261" s="19"/>
      <c r="K261" s="19"/>
      <c r="L261" s="19"/>
    </row>
    <row r="262" spans="1:12" x14ac:dyDescent="0.3">
      <c r="A262" s="4"/>
      <c r="B262" s="5" t="s">
        <v>22</v>
      </c>
      <c r="C262" s="33"/>
      <c r="D262" s="33"/>
      <c r="E262" s="33"/>
      <c r="F262" s="33"/>
      <c r="G262" s="19"/>
      <c r="H262" s="19">
        <f t="shared" ref="H262" si="152">E262*G262*12</f>
        <v>0</v>
      </c>
      <c r="I262" s="19"/>
      <c r="J262" s="19"/>
      <c r="K262" s="19"/>
      <c r="L262" s="19"/>
    </row>
    <row r="263" spans="1:12" x14ac:dyDescent="0.3">
      <c r="A263" s="38" t="s">
        <v>57</v>
      </c>
      <c r="B263" s="39"/>
      <c r="C263" s="41">
        <f>C264+C265+C266</f>
        <v>5.5</v>
      </c>
      <c r="D263" s="41">
        <f t="shared" ref="D263" si="153">D264+D265+D266</f>
        <v>5</v>
      </c>
      <c r="E263" s="41">
        <f t="shared" ref="E263" si="154">E264+E265+E266</f>
        <v>4.5</v>
      </c>
      <c r="F263" s="41">
        <f t="shared" ref="F263" si="155">F264+F265+F266</f>
        <v>3</v>
      </c>
      <c r="G263" s="41"/>
      <c r="H263" s="42">
        <f t="shared" ref="H263" si="156">H264+H265+H266</f>
        <v>1581048</v>
      </c>
      <c r="I263" s="42">
        <f t="shared" ref="I263" si="157">I264+I265+I266</f>
        <v>0</v>
      </c>
      <c r="J263" s="42">
        <f t="shared" ref="J263" si="158">J264+J265+J266</f>
        <v>0</v>
      </c>
      <c r="K263" s="42">
        <f t="shared" ref="K263" si="159">K264+K265+K266</f>
        <v>0</v>
      </c>
      <c r="L263" s="42">
        <f t="shared" ref="L263" si="160">L264+L265+L266</f>
        <v>0</v>
      </c>
    </row>
    <row r="264" spans="1:12" x14ac:dyDescent="0.3">
      <c r="A264" s="4"/>
      <c r="B264" s="5" t="s">
        <v>11</v>
      </c>
      <c r="C264" s="9">
        <v>1</v>
      </c>
      <c r="D264" s="9">
        <v>1</v>
      </c>
      <c r="E264" s="9">
        <v>1</v>
      </c>
      <c r="F264" s="9">
        <v>1</v>
      </c>
      <c r="G264" s="19">
        <f>'расчёт зарплаты'!K26</f>
        <v>27300</v>
      </c>
      <c r="H264" s="19">
        <f t="shared" ref="H264:H267" si="161">E264*G264*12+ ((D264-E264)*G264/2*12)</f>
        <v>327600</v>
      </c>
      <c r="I264" s="19"/>
      <c r="J264" s="19"/>
      <c r="K264" s="19"/>
      <c r="L264" s="19"/>
    </row>
    <row r="265" spans="1:12" x14ac:dyDescent="0.3">
      <c r="A265" s="4"/>
      <c r="B265" s="5" t="s">
        <v>12</v>
      </c>
      <c r="C265" s="9">
        <v>2</v>
      </c>
      <c r="D265" s="9">
        <v>2</v>
      </c>
      <c r="E265" s="9">
        <v>1</v>
      </c>
      <c r="F265" s="9">
        <v>1</v>
      </c>
      <c r="G265" s="19">
        <f>'расчёт зарплаты'!K26</f>
        <v>27300</v>
      </c>
      <c r="H265" s="19">
        <f t="shared" si="161"/>
        <v>491400</v>
      </c>
      <c r="I265" s="19"/>
      <c r="J265" s="19"/>
      <c r="K265" s="19"/>
      <c r="L265" s="19"/>
    </row>
    <row r="266" spans="1:12" ht="28.2" x14ac:dyDescent="0.3">
      <c r="A266" s="4"/>
      <c r="B266" s="5" t="s">
        <v>19</v>
      </c>
      <c r="C266" s="9">
        <v>2.5</v>
      </c>
      <c r="D266" s="9">
        <v>2</v>
      </c>
      <c r="E266" s="9">
        <v>2.5</v>
      </c>
      <c r="F266" s="9">
        <v>1</v>
      </c>
      <c r="G266" s="19">
        <f>'расчёт зарплаты'!K40</f>
        <v>28224</v>
      </c>
      <c r="H266" s="19">
        <f t="shared" si="161"/>
        <v>762048</v>
      </c>
      <c r="I266" s="19"/>
      <c r="J266" s="19"/>
      <c r="K266" s="19"/>
      <c r="L266" s="19"/>
    </row>
    <row r="267" spans="1:12" x14ac:dyDescent="0.3">
      <c r="A267" s="83" t="s">
        <v>23</v>
      </c>
      <c r="B267" s="83"/>
      <c r="C267" s="7">
        <f t="shared" ref="C267:F267" si="162">C268+C274</f>
        <v>7.5</v>
      </c>
      <c r="D267" s="7">
        <f t="shared" si="162"/>
        <v>7</v>
      </c>
      <c r="E267" s="7">
        <f t="shared" si="162"/>
        <v>5</v>
      </c>
      <c r="F267" s="7">
        <f t="shared" si="162"/>
        <v>4.5</v>
      </c>
      <c r="G267" s="19"/>
      <c r="H267" s="19">
        <f t="shared" si="161"/>
        <v>0</v>
      </c>
      <c r="I267" s="19"/>
      <c r="J267" s="20">
        <f t="shared" ref="J267:K267" si="163">J268+J274</f>
        <v>1999116</v>
      </c>
      <c r="K267" s="20">
        <f t="shared" si="163"/>
        <v>603733.03200000001</v>
      </c>
      <c r="L267" s="20">
        <f>L268+L274</f>
        <v>2602849.0320000001</v>
      </c>
    </row>
    <row r="268" spans="1:12" x14ac:dyDescent="0.3">
      <c r="A268" s="84" t="s">
        <v>24</v>
      </c>
      <c r="B268" s="84"/>
      <c r="C268" s="7">
        <f t="shared" ref="C268:F268" si="164">C269+C270+C271+C272+C273</f>
        <v>5.5</v>
      </c>
      <c r="D268" s="7">
        <f t="shared" si="164"/>
        <v>5</v>
      </c>
      <c r="E268" s="7">
        <f t="shared" si="164"/>
        <v>3.5</v>
      </c>
      <c r="F268" s="7">
        <f t="shared" si="164"/>
        <v>3</v>
      </c>
      <c r="G268" s="20"/>
      <c r="H268" s="20">
        <f>H269+H270+H271+H272+H273</f>
        <v>1392300</v>
      </c>
      <c r="I268" s="20">
        <f t="shared" ref="I268" si="165">I269+I270+I271+I272+I273</f>
        <v>0</v>
      </c>
      <c r="J268" s="20">
        <f>H268</f>
        <v>1392300</v>
      </c>
      <c r="K268" s="20">
        <f>J268*30.2%</f>
        <v>420474.6</v>
      </c>
      <c r="L268" s="20">
        <f>J268+K268</f>
        <v>1812774.6</v>
      </c>
    </row>
    <row r="269" spans="1:12" x14ac:dyDescent="0.3">
      <c r="A269" s="4"/>
      <c r="B269" s="5" t="s">
        <v>25</v>
      </c>
      <c r="C269" s="33"/>
      <c r="D269" s="33"/>
      <c r="E269" s="33"/>
      <c r="F269" s="33"/>
      <c r="G269" s="19"/>
      <c r="H269" s="19">
        <f t="shared" ref="H269:H273" si="166">E269*G269*12+ ((D269-E269)*G269/2*12)</f>
        <v>0</v>
      </c>
      <c r="I269" s="19"/>
      <c r="J269" s="19"/>
      <c r="K269" s="19"/>
      <c r="L269" s="19"/>
    </row>
    <row r="270" spans="1:12" x14ac:dyDescent="0.3">
      <c r="A270" s="4"/>
      <c r="B270" s="5" t="s">
        <v>26</v>
      </c>
      <c r="C270" s="33"/>
      <c r="D270" s="33"/>
      <c r="E270" s="33"/>
      <c r="F270" s="33"/>
      <c r="G270" s="19"/>
      <c r="H270" s="19">
        <f t="shared" si="166"/>
        <v>0</v>
      </c>
      <c r="I270" s="19"/>
      <c r="J270" s="19"/>
      <c r="K270" s="19"/>
      <c r="L270" s="19"/>
    </row>
    <row r="271" spans="1:12" x14ac:dyDescent="0.3">
      <c r="A271" s="4"/>
      <c r="B271" s="5" t="s">
        <v>27</v>
      </c>
      <c r="C271" s="33"/>
      <c r="D271" s="33"/>
      <c r="E271" s="33"/>
      <c r="F271" s="33"/>
      <c r="G271" s="19"/>
      <c r="H271" s="19">
        <f t="shared" si="166"/>
        <v>0</v>
      </c>
      <c r="I271" s="19"/>
      <c r="J271" s="19"/>
      <c r="K271" s="19"/>
      <c r="L271" s="19"/>
    </row>
    <row r="272" spans="1:12" ht="28.2" x14ac:dyDescent="0.3">
      <c r="A272" s="4"/>
      <c r="B272" s="5" t="s">
        <v>28</v>
      </c>
      <c r="C272" s="33">
        <v>2</v>
      </c>
      <c r="D272" s="33">
        <v>2</v>
      </c>
      <c r="E272" s="33">
        <v>1</v>
      </c>
      <c r="F272" s="33">
        <v>1</v>
      </c>
      <c r="G272" s="19">
        <f>'расчёт зарплаты'!K26</f>
        <v>27300</v>
      </c>
      <c r="H272" s="19">
        <f t="shared" si="166"/>
        <v>491400</v>
      </c>
      <c r="I272" s="19"/>
      <c r="J272" s="19"/>
      <c r="K272" s="19"/>
      <c r="L272" s="19"/>
    </row>
    <row r="273" spans="1:12" x14ac:dyDescent="0.3">
      <c r="A273" s="4"/>
      <c r="B273" s="5" t="s">
        <v>29</v>
      </c>
      <c r="C273" s="33">
        <v>3.5</v>
      </c>
      <c r="D273" s="33">
        <v>3</v>
      </c>
      <c r="E273" s="33">
        <v>2.5</v>
      </c>
      <c r="F273" s="10">
        <v>2</v>
      </c>
      <c r="G273" s="19">
        <f>'расчёт зарплаты'!K26</f>
        <v>27300</v>
      </c>
      <c r="H273" s="19">
        <f t="shared" si="166"/>
        <v>900900</v>
      </c>
      <c r="I273" s="19"/>
      <c r="J273" s="19"/>
      <c r="K273" s="19"/>
      <c r="L273" s="19"/>
    </row>
    <row r="274" spans="1:12" x14ac:dyDescent="0.3">
      <c r="A274" s="84" t="s">
        <v>30</v>
      </c>
      <c r="B274" s="84"/>
      <c r="C274" s="7">
        <f t="shared" ref="C274:F274" si="167">C275+C276+C277</f>
        <v>2</v>
      </c>
      <c r="D274" s="7">
        <f t="shared" si="167"/>
        <v>2</v>
      </c>
      <c r="E274" s="7">
        <f t="shared" si="167"/>
        <v>1.5</v>
      </c>
      <c r="F274" s="7">
        <f t="shared" si="167"/>
        <v>1.5</v>
      </c>
      <c r="G274" s="20"/>
      <c r="H274" s="20">
        <f>H275+H276+H277</f>
        <v>606816</v>
      </c>
      <c r="I274" s="20">
        <f t="shared" ref="I274" si="168">I275+I276+I277</f>
        <v>0</v>
      </c>
      <c r="J274" s="20">
        <f>H274</f>
        <v>606816</v>
      </c>
      <c r="K274" s="20">
        <f>J274*30.2%</f>
        <v>183258.432</v>
      </c>
      <c r="L274" s="20">
        <f>J274+K274</f>
        <v>790074.43200000003</v>
      </c>
    </row>
    <row r="275" spans="1:12" x14ac:dyDescent="0.3">
      <c r="A275" s="4"/>
      <c r="B275" s="5" t="s">
        <v>31</v>
      </c>
      <c r="C275" s="33">
        <v>0</v>
      </c>
      <c r="D275" s="33">
        <v>0</v>
      </c>
      <c r="E275" s="33">
        <v>0</v>
      </c>
      <c r="F275" s="33">
        <v>0</v>
      </c>
      <c r="G275" s="19">
        <f>'расчёт зарплаты'!K34</f>
        <v>30976</v>
      </c>
      <c r="H275" s="19">
        <f t="shared" ref="H275:H277" si="169">E275*G275*12+ ((D275-E275)*G275/2*12)</f>
        <v>0</v>
      </c>
      <c r="I275" s="19"/>
      <c r="J275" s="19"/>
      <c r="K275" s="19"/>
      <c r="L275" s="19"/>
    </row>
    <row r="276" spans="1:12" x14ac:dyDescent="0.3">
      <c r="A276" s="4"/>
      <c r="B276" s="5" t="s">
        <v>32</v>
      </c>
      <c r="C276" s="33"/>
      <c r="D276" s="33"/>
      <c r="E276" s="33"/>
      <c r="F276" s="33"/>
      <c r="G276" s="19"/>
      <c r="H276" s="19">
        <f t="shared" si="169"/>
        <v>0</v>
      </c>
      <c r="I276" s="19"/>
      <c r="J276" s="19"/>
      <c r="K276" s="19"/>
      <c r="L276" s="19"/>
    </row>
    <row r="277" spans="1:12" x14ac:dyDescent="0.3">
      <c r="A277" s="4"/>
      <c r="B277" s="5" t="s">
        <v>33</v>
      </c>
      <c r="C277" s="33">
        <v>2</v>
      </c>
      <c r="D277" s="33">
        <v>2</v>
      </c>
      <c r="E277" s="33">
        <v>1.5</v>
      </c>
      <c r="F277" s="33">
        <v>1.5</v>
      </c>
      <c r="G277" s="19">
        <f>'расчёт зарплаты'!K38</f>
        <v>28896</v>
      </c>
      <c r="H277" s="19">
        <f t="shared" si="169"/>
        <v>606816</v>
      </c>
      <c r="I277" s="19"/>
      <c r="J277" s="19"/>
      <c r="K277" s="19"/>
      <c r="L277" s="19"/>
    </row>
    <row r="278" spans="1:12" x14ac:dyDescent="0.3">
      <c r="A278" s="89" t="s">
        <v>68</v>
      </c>
      <c r="B278" s="89"/>
      <c r="C278" s="89"/>
      <c r="D278" s="89"/>
      <c r="E278" s="89"/>
      <c r="F278" s="89"/>
      <c r="G278" s="89"/>
      <c r="H278" s="89"/>
      <c r="I278" s="89"/>
      <c r="J278" s="89"/>
      <c r="K278" s="89"/>
      <c r="L278" s="89"/>
    </row>
    <row r="279" spans="1:12" ht="14.4" customHeight="1" x14ac:dyDescent="0.3">
      <c r="A279" s="81" t="s">
        <v>7</v>
      </c>
      <c r="B279" s="82"/>
      <c r="C279" s="8">
        <f>C280+C297+C293</f>
        <v>83</v>
      </c>
      <c r="D279" s="8">
        <f>D280+D297+D293</f>
        <v>76</v>
      </c>
      <c r="E279" s="8">
        <f>E280+E297+E293</f>
        <v>71.5</v>
      </c>
      <c r="F279" s="8">
        <f>F280+F297+F293</f>
        <v>75</v>
      </c>
      <c r="G279" s="19"/>
      <c r="H279" s="19"/>
      <c r="I279" s="19"/>
      <c r="J279" s="19"/>
      <c r="K279" s="19"/>
      <c r="L279" s="19"/>
    </row>
    <row r="280" spans="1:12" ht="14.4" customHeight="1" x14ac:dyDescent="0.3">
      <c r="A280" s="81" t="s">
        <v>89</v>
      </c>
      <c r="B280" s="82"/>
      <c r="C280" s="40">
        <f t="shared" ref="C280:G280" si="170">SUM(C281:C292)</f>
        <v>78</v>
      </c>
      <c r="D280" s="40">
        <f t="shared" si="170"/>
        <v>71</v>
      </c>
      <c r="E280" s="40">
        <f t="shared" si="170"/>
        <v>66.5</v>
      </c>
      <c r="F280" s="40">
        <f t="shared" si="170"/>
        <v>70</v>
      </c>
      <c r="G280" s="40">
        <f t="shared" si="170"/>
        <v>284200</v>
      </c>
      <c r="H280" s="40">
        <f>SUM(H281:H292)</f>
        <v>24213312</v>
      </c>
      <c r="I280" s="20"/>
      <c r="J280" s="20">
        <f>H280-I280</f>
        <v>24213312</v>
      </c>
      <c r="K280" s="20">
        <f>J280*30.2%</f>
        <v>7312420.2239999995</v>
      </c>
      <c r="L280" s="20">
        <f>J280+K280</f>
        <v>31525732.223999999</v>
      </c>
    </row>
    <row r="281" spans="1:12" x14ac:dyDescent="0.3">
      <c r="A281" s="4"/>
      <c r="B281" s="5" t="s">
        <v>9</v>
      </c>
      <c r="C281" s="33">
        <v>27.25</v>
      </c>
      <c r="D281" s="33">
        <v>23.75</v>
      </c>
      <c r="E281" s="33">
        <v>21.75</v>
      </c>
      <c r="F281" s="33">
        <v>22.75</v>
      </c>
      <c r="G281" s="19">
        <f>'расчёт зарплаты'!K10</f>
        <v>28208</v>
      </c>
      <c r="H281" s="19">
        <f>E281*G281*12+ ((D281-E281)*G281/2*12)</f>
        <v>7700784</v>
      </c>
      <c r="I281" s="19"/>
      <c r="J281" s="19"/>
      <c r="K281" s="19"/>
      <c r="L281" s="19">
        <f>G281*K281*12</f>
        <v>0</v>
      </c>
    </row>
    <row r="282" spans="1:12" ht="28.2" x14ac:dyDescent="0.3">
      <c r="A282" s="4"/>
      <c r="B282" s="5" t="s">
        <v>81</v>
      </c>
      <c r="C282" s="33">
        <v>5.25</v>
      </c>
      <c r="D282" s="33">
        <v>5.25</v>
      </c>
      <c r="E282" s="33">
        <v>5.25</v>
      </c>
      <c r="F282" s="33">
        <v>5.25</v>
      </c>
      <c r="G282" s="19">
        <f>'расчёт зарплаты'!K12</f>
        <v>30960</v>
      </c>
      <c r="H282" s="19">
        <f t="shared" ref="H282:H293" si="171">E282*G282*12+ ((D282-E282)*G282/2*12)</f>
        <v>1950480</v>
      </c>
      <c r="I282" s="19"/>
      <c r="J282" s="19"/>
      <c r="K282" s="19"/>
      <c r="L282" s="19"/>
    </row>
    <row r="283" spans="1:12" x14ac:dyDescent="0.3">
      <c r="A283" s="4"/>
      <c r="B283" s="5" t="s">
        <v>10</v>
      </c>
      <c r="C283" s="33">
        <v>6.5</v>
      </c>
      <c r="D283" s="33">
        <v>6.5</v>
      </c>
      <c r="E283" s="33">
        <v>6</v>
      </c>
      <c r="F283" s="33">
        <v>6</v>
      </c>
      <c r="G283" s="19">
        <f>'расчёт зарплаты'!K20</f>
        <v>31648</v>
      </c>
      <c r="H283" s="19">
        <f t="shared" si="171"/>
        <v>2373600</v>
      </c>
      <c r="I283" s="19"/>
      <c r="J283" s="19"/>
      <c r="K283" s="19"/>
      <c r="L283" s="19"/>
    </row>
    <row r="284" spans="1:12" x14ac:dyDescent="0.3">
      <c r="A284" s="4"/>
      <c r="B284" s="5" t="s">
        <v>13</v>
      </c>
      <c r="C284" s="33">
        <v>5.5</v>
      </c>
      <c r="D284" s="33">
        <v>5</v>
      </c>
      <c r="E284" s="33">
        <v>4</v>
      </c>
      <c r="F284" s="33">
        <v>5</v>
      </c>
      <c r="G284" s="19">
        <f>'расчёт зарплаты'!K38</f>
        <v>28896</v>
      </c>
      <c r="H284" s="19">
        <f t="shared" si="171"/>
        <v>1560384</v>
      </c>
      <c r="I284" s="19"/>
      <c r="J284" s="19"/>
      <c r="K284" s="19"/>
      <c r="L284" s="19"/>
    </row>
    <row r="285" spans="1:12" ht="28.2" x14ac:dyDescent="0.3">
      <c r="A285" s="4"/>
      <c r="B285" s="5" t="s">
        <v>14</v>
      </c>
      <c r="C285" s="33"/>
      <c r="D285" s="33"/>
      <c r="E285" s="33"/>
      <c r="F285" s="33"/>
      <c r="G285" s="19"/>
      <c r="H285" s="19">
        <f t="shared" si="171"/>
        <v>0</v>
      </c>
      <c r="I285" s="19"/>
      <c r="J285" s="19"/>
      <c r="K285" s="19"/>
      <c r="L285" s="19"/>
    </row>
    <row r="286" spans="1:12" x14ac:dyDescent="0.3">
      <c r="A286" s="4"/>
      <c r="B286" s="5" t="s">
        <v>15</v>
      </c>
      <c r="C286" s="33">
        <v>9</v>
      </c>
      <c r="D286" s="33">
        <v>9</v>
      </c>
      <c r="E286" s="33">
        <v>8.5</v>
      </c>
      <c r="F286" s="33">
        <v>9</v>
      </c>
      <c r="G286" s="19">
        <f>'расчёт зарплаты'!K34</f>
        <v>30976</v>
      </c>
      <c r="H286" s="19">
        <f t="shared" si="171"/>
        <v>3252480</v>
      </c>
      <c r="I286" s="19"/>
      <c r="J286" s="19"/>
      <c r="K286" s="19"/>
      <c r="L286" s="19"/>
    </row>
    <row r="287" spans="1:12" x14ac:dyDescent="0.3">
      <c r="A287" s="4"/>
      <c r="B287" s="5" t="s">
        <v>16</v>
      </c>
      <c r="C287" s="33">
        <v>12</v>
      </c>
      <c r="D287" s="33">
        <v>11</v>
      </c>
      <c r="E287" s="33">
        <v>11</v>
      </c>
      <c r="F287" s="33">
        <v>11</v>
      </c>
      <c r="G287" s="19">
        <f>'расчёт зарплаты'!K8</f>
        <v>28600</v>
      </c>
      <c r="H287" s="19">
        <f t="shared" si="171"/>
        <v>3775200</v>
      </c>
      <c r="I287" s="19"/>
      <c r="J287" s="19"/>
      <c r="K287" s="19"/>
      <c r="L287" s="19"/>
    </row>
    <row r="288" spans="1:12" ht="42" x14ac:dyDescent="0.3">
      <c r="A288" s="4"/>
      <c r="B288" s="5" t="s">
        <v>17</v>
      </c>
      <c r="C288" s="33">
        <v>4</v>
      </c>
      <c r="D288" s="33">
        <v>4</v>
      </c>
      <c r="E288" s="33">
        <v>4</v>
      </c>
      <c r="F288" s="33">
        <v>4</v>
      </c>
      <c r="G288" s="19">
        <f>'расчёт зарплаты'!K10</f>
        <v>28208</v>
      </c>
      <c r="H288" s="19">
        <f t="shared" si="171"/>
        <v>1353984</v>
      </c>
      <c r="I288" s="19"/>
      <c r="J288" s="19"/>
      <c r="K288" s="19"/>
      <c r="L288" s="19"/>
    </row>
    <row r="289" spans="1:12" ht="28.2" x14ac:dyDescent="0.3">
      <c r="A289" s="4"/>
      <c r="B289" s="5" t="s">
        <v>18</v>
      </c>
      <c r="C289" s="33">
        <v>2</v>
      </c>
      <c r="D289" s="33">
        <v>2</v>
      </c>
      <c r="E289" s="33">
        <v>2</v>
      </c>
      <c r="F289" s="33">
        <v>2</v>
      </c>
      <c r="G289" s="19">
        <f>'расчёт зарплаты'!K20</f>
        <v>31648</v>
      </c>
      <c r="H289" s="19">
        <f t="shared" si="171"/>
        <v>759552</v>
      </c>
      <c r="I289" s="19"/>
      <c r="J289" s="19"/>
      <c r="K289" s="19"/>
      <c r="L289" s="19"/>
    </row>
    <row r="290" spans="1:12" ht="42" x14ac:dyDescent="0.3">
      <c r="A290" s="4"/>
      <c r="B290" s="5" t="s">
        <v>91</v>
      </c>
      <c r="C290" s="33">
        <v>3</v>
      </c>
      <c r="D290" s="33">
        <v>1</v>
      </c>
      <c r="E290" s="33">
        <v>1</v>
      </c>
      <c r="F290" s="33">
        <v>1</v>
      </c>
      <c r="G290" s="19"/>
      <c r="H290" s="19">
        <f t="shared" si="171"/>
        <v>0</v>
      </c>
      <c r="I290" s="19"/>
      <c r="J290" s="19"/>
      <c r="K290" s="19"/>
      <c r="L290" s="19"/>
    </row>
    <row r="291" spans="1:12" x14ac:dyDescent="0.3">
      <c r="A291" s="4"/>
      <c r="B291" s="5" t="s">
        <v>20</v>
      </c>
      <c r="C291" s="33">
        <v>0.5</v>
      </c>
      <c r="D291" s="33">
        <v>0.5</v>
      </c>
      <c r="E291" s="33">
        <v>0.5</v>
      </c>
      <c r="F291" s="33">
        <v>1</v>
      </c>
      <c r="G291" s="19"/>
      <c r="H291" s="19">
        <f t="shared" si="171"/>
        <v>0</v>
      </c>
      <c r="I291" s="19"/>
      <c r="J291" s="19"/>
      <c r="K291" s="19"/>
      <c r="L291" s="19"/>
    </row>
    <row r="292" spans="1:12" ht="39.6" x14ac:dyDescent="0.3">
      <c r="A292" s="4"/>
      <c r="B292" s="6" t="s">
        <v>21</v>
      </c>
      <c r="C292" s="33">
        <v>3</v>
      </c>
      <c r="D292" s="33">
        <v>3</v>
      </c>
      <c r="E292" s="33">
        <v>2.5</v>
      </c>
      <c r="F292" s="33">
        <v>3</v>
      </c>
      <c r="G292" s="19">
        <f>'расчёт зарплаты'!K44</f>
        <v>45056</v>
      </c>
      <c r="H292" s="19">
        <f t="shared" si="171"/>
        <v>1486848</v>
      </c>
      <c r="I292" s="19"/>
      <c r="J292" s="19"/>
      <c r="K292" s="19"/>
      <c r="L292" s="19"/>
    </row>
    <row r="293" spans="1:12" x14ac:dyDescent="0.3">
      <c r="A293" s="4"/>
      <c r="B293" s="5" t="s">
        <v>22</v>
      </c>
      <c r="C293" s="33"/>
      <c r="D293" s="33"/>
      <c r="E293" s="33"/>
      <c r="F293" s="33"/>
      <c r="G293" s="19"/>
      <c r="H293" s="19">
        <f t="shared" si="171"/>
        <v>0</v>
      </c>
      <c r="I293" s="19"/>
      <c r="J293" s="19"/>
      <c r="K293" s="19"/>
      <c r="L293" s="19"/>
    </row>
    <row r="294" spans="1:12" x14ac:dyDescent="0.3">
      <c r="A294" s="38" t="s">
        <v>57</v>
      </c>
      <c r="B294" s="39"/>
      <c r="C294" s="41">
        <f>C295+C296+C297</f>
        <v>12</v>
      </c>
      <c r="D294" s="41">
        <f t="shared" ref="D294" si="172">D295+D296+D297</f>
        <v>11</v>
      </c>
      <c r="E294" s="41">
        <f t="shared" ref="E294" si="173">E295+E296+E297</f>
        <v>11</v>
      </c>
      <c r="F294" s="41">
        <f t="shared" ref="F294" si="174">F295+F296+F297</f>
        <v>11</v>
      </c>
      <c r="G294" s="41"/>
      <c r="H294" s="41">
        <f t="shared" ref="H294" si="175">H295+H296+H297</f>
        <v>3659040</v>
      </c>
      <c r="I294" s="42">
        <f t="shared" ref="I294" si="176">I295+I296+I297</f>
        <v>0</v>
      </c>
      <c r="J294" s="42">
        <f t="shared" ref="J294" si="177">J295+J296+J297</f>
        <v>0</v>
      </c>
      <c r="K294" s="42">
        <f t="shared" ref="K294" si="178">K295+K296+K297</f>
        <v>0</v>
      </c>
      <c r="L294" s="42">
        <f t="shared" ref="L294" si="179">L295+L296+L297</f>
        <v>0</v>
      </c>
    </row>
    <row r="295" spans="1:12" x14ac:dyDescent="0.3">
      <c r="A295" s="4"/>
      <c r="B295" s="5" t="s">
        <v>11</v>
      </c>
      <c r="C295" s="9">
        <v>3</v>
      </c>
      <c r="D295" s="9">
        <v>2</v>
      </c>
      <c r="E295" s="9">
        <v>2</v>
      </c>
      <c r="F295" s="9">
        <v>2</v>
      </c>
      <c r="G295" s="19">
        <f>'расчёт зарплаты'!K26</f>
        <v>27300</v>
      </c>
      <c r="H295" s="19">
        <f t="shared" ref="H295:H298" si="180">E295*G295*12+ ((D295-E295)*G295/2*12)</f>
        <v>655200</v>
      </c>
      <c r="I295" s="19"/>
      <c r="J295" s="19"/>
      <c r="K295" s="19"/>
      <c r="L295" s="19"/>
    </row>
    <row r="296" spans="1:12" x14ac:dyDescent="0.3">
      <c r="A296" s="4"/>
      <c r="B296" s="5" t="s">
        <v>12</v>
      </c>
      <c r="C296" s="9">
        <v>4</v>
      </c>
      <c r="D296" s="9">
        <v>4</v>
      </c>
      <c r="E296" s="9">
        <v>4</v>
      </c>
      <c r="F296" s="9">
        <v>4</v>
      </c>
      <c r="G296" s="19">
        <f>'расчёт зарплаты'!K26</f>
        <v>27300</v>
      </c>
      <c r="H296" s="19">
        <f t="shared" si="180"/>
        <v>1310400</v>
      </c>
      <c r="I296" s="19"/>
      <c r="J296" s="19"/>
      <c r="K296" s="19"/>
      <c r="L296" s="19"/>
    </row>
    <row r="297" spans="1:12" ht="28.2" x14ac:dyDescent="0.3">
      <c r="A297" s="4"/>
      <c r="B297" s="5" t="s">
        <v>19</v>
      </c>
      <c r="C297" s="9">
        <v>5</v>
      </c>
      <c r="D297" s="9">
        <v>5</v>
      </c>
      <c r="E297" s="9">
        <v>5</v>
      </c>
      <c r="F297" s="9">
        <v>5</v>
      </c>
      <c r="G297" s="19">
        <f>'расчёт зарплаты'!K40</f>
        <v>28224</v>
      </c>
      <c r="H297" s="19">
        <f t="shared" si="180"/>
        <v>1693440</v>
      </c>
      <c r="I297" s="19"/>
      <c r="J297" s="19"/>
      <c r="K297" s="19"/>
      <c r="L297" s="19"/>
    </row>
    <row r="298" spans="1:12" x14ac:dyDescent="0.3">
      <c r="A298" s="83" t="s">
        <v>23</v>
      </c>
      <c r="B298" s="83"/>
      <c r="C298" s="7">
        <f t="shared" ref="C298:F298" si="181">C299+C305</f>
        <v>24.5</v>
      </c>
      <c r="D298" s="7">
        <f t="shared" si="181"/>
        <v>23</v>
      </c>
      <c r="E298" s="7">
        <f t="shared" si="181"/>
        <v>20.8</v>
      </c>
      <c r="F298" s="7">
        <f t="shared" si="181"/>
        <v>22</v>
      </c>
      <c r="G298" s="19"/>
      <c r="H298" s="19">
        <f t="shared" si="180"/>
        <v>0</v>
      </c>
      <c r="I298" s="19"/>
      <c r="J298" s="20">
        <f t="shared" ref="J298:K298" si="182">J299+J305</f>
        <v>7392960</v>
      </c>
      <c r="K298" s="20">
        <f t="shared" si="182"/>
        <v>2232673.92</v>
      </c>
      <c r="L298" s="20">
        <f>L299+L305</f>
        <v>9625633.9199999999</v>
      </c>
    </row>
    <row r="299" spans="1:12" x14ac:dyDescent="0.3">
      <c r="A299" s="84" t="s">
        <v>24</v>
      </c>
      <c r="B299" s="84"/>
      <c r="C299" s="7">
        <f t="shared" ref="C299:F299" si="183">C300+C301+C302+C303+C304</f>
        <v>16.5</v>
      </c>
      <c r="D299" s="7">
        <f t="shared" si="183"/>
        <v>15</v>
      </c>
      <c r="E299" s="7">
        <f t="shared" si="183"/>
        <v>13.8</v>
      </c>
      <c r="F299" s="7">
        <f t="shared" si="183"/>
        <v>14</v>
      </c>
      <c r="G299" s="20"/>
      <c r="H299" s="20">
        <f>H300+H301+H302+H303+H304</f>
        <v>4717440</v>
      </c>
      <c r="I299" s="20">
        <f t="shared" ref="I299" si="184">I300+I301+I302+I303+I304</f>
        <v>0</v>
      </c>
      <c r="J299" s="20">
        <f>H299</f>
        <v>4717440</v>
      </c>
      <c r="K299" s="20">
        <f>J299*30.2%</f>
        <v>1424666.88</v>
      </c>
      <c r="L299" s="20">
        <f>J299+K299</f>
        <v>6142106.8799999999</v>
      </c>
    </row>
    <row r="300" spans="1:12" x14ac:dyDescent="0.3">
      <c r="A300" s="4"/>
      <c r="B300" s="5" t="s">
        <v>25</v>
      </c>
      <c r="C300" s="33"/>
      <c r="D300" s="33"/>
      <c r="E300" s="33"/>
      <c r="F300" s="33"/>
      <c r="G300" s="19"/>
      <c r="H300" s="19">
        <f t="shared" ref="H300:H304" si="185">E300*G300*12+ ((D300-E300)*G300/2*12)</f>
        <v>0</v>
      </c>
      <c r="I300" s="19"/>
      <c r="J300" s="19"/>
      <c r="K300" s="19"/>
      <c r="L300" s="19"/>
    </row>
    <row r="301" spans="1:12" x14ac:dyDescent="0.3">
      <c r="A301" s="4"/>
      <c r="B301" s="5" t="s">
        <v>26</v>
      </c>
      <c r="C301" s="33"/>
      <c r="D301" s="33"/>
      <c r="E301" s="33"/>
      <c r="F301" s="33"/>
      <c r="G301" s="19"/>
      <c r="H301" s="19">
        <f t="shared" si="185"/>
        <v>0</v>
      </c>
      <c r="I301" s="19"/>
      <c r="J301" s="19"/>
      <c r="K301" s="19"/>
      <c r="L301" s="19"/>
    </row>
    <row r="302" spans="1:12" x14ac:dyDescent="0.3">
      <c r="A302" s="4"/>
      <c r="B302" s="5" t="s">
        <v>27</v>
      </c>
      <c r="C302" s="33"/>
      <c r="D302" s="33"/>
      <c r="E302" s="33"/>
      <c r="F302" s="33"/>
      <c r="G302" s="19"/>
      <c r="H302" s="19">
        <f t="shared" si="185"/>
        <v>0</v>
      </c>
      <c r="I302" s="19"/>
      <c r="J302" s="19"/>
      <c r="K302" s="19"/>
      <c r="L302" s="19"/>
    </row>
    <row r="303" spans="1:12" ht="28.2" x14ac:dyDescent="0.3">
      <c r="A303" s="4"/>
      <c r="B303" s="5" t="s">
        <v>28</v>
      </c>
      <c r="C303" s="33">
        <v>7.25</v>
      </c>
      <c r="D303" s="33">
        <v>7</v>
      </c>
      <c r="E303" s="33">
        <v>6.6</v>
      </c>
      <c r="F303" s="33">
        <v>7</v>
      </c>
      <c r="G303" s="19">
        <f>'расчёт зарплаты'!K26</f>
        <v>27300</v>
      </c>
      <c r="H303" s="19">
        <f t="shared" si="185"/>
        <v>2227680</v>
      </c>
      <c r="I303" s="19"/>
      <c r="J303" s="19"/>
      <c r="K303" s="19"/>
      <c r="L303" s="19"/>
    </row>
    <row r="304" spans="1:12" x14ac:dyDescent="0.3">
      <c r="A304" s="4"/>
      <c r="B304" s="5" t="s">
        <v>29</v>
      </c>
      <c r="C304" s="33">
        <v>9.25</v>
      </c>
      <c r="D304" s="33">
        <v>8</v>
      </c>
      <c r="E304" s="33">
        <v>7.2</v>
      </c>
      <c r="F304" s="33">
        <v>7</v>
      </c>
      <c r="G304" s="19">
        <f>'расчёт зарплаты'!K26</f>
        <v>27300</v>
      </c>
      <c r="H304" s="19">
        <f t="shared" si="185"/>
        <v>2489760</v>
      </c>
      <c r="I304" s="19"/>
      <c r="J304" s="19"/>
      <c r="K304" s="19"/>
      <c r="L304" s="19"/>
    </row>
    <row r="305" spans="1:12" x14ac:dyDescent="0.3">
      <c r="A305" s="84" t="s">
        <v>30</v>
      </c>
      <c r="B305" s="84"/>
      <c r="C305" s="7">
        <f t="shared" ref="C305:F305" si="186">C306+C307+C308</f>
        <v>8</v>
      </c>
      <c r="D305" s="7">
        <f t="shared" si="186"/>
        <v>8</v>
      </c>
      <c r="E305" s="7">
        <f t="shared" si="186"/>
        <v>7</v>
      </c>
      <c r="F305" s="7">
        <f t="shared" si="186"/>
        <v>8</v>
      </c>
      <c r="G305" s="20"/>
      <c r="H305" s="20">
        <f>H306+H307+H308</f>
        <v>2675520</v>
      </c>
      <c r="I305" s="20">
        <f t="shared" ref="I305" si="187">I306+I307+I308</f>
        <v>0</v>
      </c>
      <c r="J305" s="20">
        <f>H305</f>
        <v>2675520</v>
      </c>
      <c r="K305" s="20">
        <f>J305*30.2%</f>
        <v>808007.03999999992</v>
      </c>
      <c r="L305" s="20">
        <f>J305+K305</f>
        <v>3483527.04</v>
      </c>
    </row>
    <row r="306" spans="1:12" x14ac:dyDescent="0.3">
      <c r="A306" s="4"/>
      <c r="B306" s="5" t="s">
        <v>31</v>
      </c>
      <c r="C306" s="33">
        <v>3</v>
      </c>
      <c r="D306" s="33">
        <v>3</v>
      </c>
      <c r="E306" s="33">
        <v>3</v>
      </c>
      <c r="F306" s="33">
        <v>3</v>
      </c>
      <c r="G306" s="19">
        <f>'расчёт зарплаты'!K34</f>
        <v>30976</v>
      </c>
      <c r="H306" s="19">
        <f t="shared" ref="H306:H308" si="188">E306*G306*12+ ((D306-E306)*G306/2*12)</f>
        <v>1115136</v>
      </c>
      <c r="I306" s="19"/>
      <c r="J306" s="19"/>
      <c r="K306" s="19"/>
      <c r="L306" s="19"/>
    </row>
    <row r="307" spans="1:12" x14ac:dyDescent="0.3">
      <c r="A307" s="4"/>
      <c r="B307" s="5" t="s">
        <v>32</v>
      </c>
      <c r="C307" s="33">
        <v>1</v>
      </c>
      <c r="D307" s="33">
        <v>1</v>
      </c>
      <c r="E307" s="33">
        <v>1</v>
      </c>
      <c r="F307" s="33">
        <v>1</v>
      </c>
      <c r="G307" s="19">
        <f>'расчёт зарплаты'!K38</f>
        <v>28896</v>
      </c>
      <c r="H307" s="19">
        <f t="shared" si="188"/>
        <v>346752</v>
      </c>
      <c r="I307" s="19"/>
      <c r="J307" s="19"/>
      <c r="K307" s="19"/>
      <c r="L307" s="19"/>
    </row>
    <row r="308" spans="1:12" x14ac:dyDescent="0.3">
      <c r="A308" s="4"/>
      <c r="B308" s="5" t="s">
        <v>33</v>
      </c>
      <c r="C308" s="33">
        <v>4</v>
      </c>
      <c r="D308" s="33">
        <v>4</v>
      </c>
      <c r="E308" s="33">
        <v>3</v>
      </c>
      <c r="F308" s="33">
        <v>4</v>
      </c>
      <c r="G308" s="19">
        <f>'расчёт зарплаты'!K38</f>
        <v>28896</v>
      </c>
      <c r="H308" s="19">
        <f t="shared" si="188"/>
        <v>1213632</v>
      </c>
      <c r="I308" s="19"/>
      <c r="J308" s="19"/>
      <c r="K308" s="19"/>
      <c r="L308" s="19"/>
    </row>
    <row r="309" spans="1:12" x14ac:dyDescent="0.3">
      <c r="A309" s="89" t="s">
        <v>69</v>
      </c>
      <c r="B309" s="89"/>
      <c r="C309" s="89"/>
      <c r="D309" s="89"/>
      <c r="E309" s="89"/>
      <c r="F309" s="89"/>
      <c r="G309" s="89"/>
      <c r="H309" s="89"/>
      <c r="I309" s="89"/>
      <c r="J309" s="89"/>
      <c r="K309" s="89"/>
      <c r="L309" s="89"/>
    </row>
    <row r="310" spans="1:12" ht="14.4" customHeight="1" x14ac:dyDescent="0.3">
      <c r="A310" s="81" t="s">
        <v>7</v>
      </c>
      <c r="B310" s="82"/>
      <c r="C310" s="8">
        <f>C311+C328+C324</f>
        <v>54.5</v>
      </c>
      <c r="D310" s="8">
        <f>D311+D328+D324</f>
        <v>52.5</v>
      </c>
      <c r="E310" s="8">
        <f>E311+E328+E324</f>
        <v>43.1</v>
      </c>
      <c r="F310" s="8">
        <f>F311+F328+F324</f>
        <v>42.9</v>
      </c>
      <c r="G310" s="19"/>
      <c r="H310" s="19"/>
      <c r="I310" s="19"/>
      <c r="J310" s="19"/>
      <c r="K310" s="19"/>
      <c r="L310" s="19"/>
    </row>
    <row r="311" spans="1:12" ht="14.4" customHeight="1" x14ac:dyDescent="0.3">
      <c r="A311" s="81" t="s">
        <v>89</v>
      </c>
      <c r="B311" s="82"/>
      <c r="C311" s="40">
        <f t="shared" ref="C311:G311" si="189">SUM(C312:C323)</f>
        <v>37.5</v>
      </c>
      <c r="D311" s="40">
        <f t="shared" si="189"/>
        <v>37</v>
      </c>
      <c r="E311" s="40">
        <f t="shared" si="189"/>
        <v>31.1</v>
      </c>
      <c r="F311" s="40">
        <f t="shared" si="189"/>
        <v>30.9</v>
      </c>
      <c r="G311" s="40">
        <f t="shared" si="189"/>
        <v>221592</v>
      </c>
      <c r="H311" s="40">
        <f>SUM(H312:H323)</f>
        <v>11969241.6</v>
      </c>
      <c r="I311" s="20"/>
      <c r="J311" s="20">
        <f>H311-I311</f>
        <v>11969241.6</v>
      </c>
      <c r="K311" s="20">
        <f>J311*30.2%</f>
        <v>3614710.9631999996</v>
      </c>
      <c r="L311" s="20">
        <f>J311+K311</f>
        <v>15583952.563199999</v>
      </c>
    </row>
    <row r="312" spans="1:12" x14ac:dyDescent="0.3">
      <c r="A312" s="4"/>
      <c r="B312" s="5" t="s">
        <v>9</v>
      </c>
      <c r="C312" s="33">
        <v>19.5</v>
      </c>
      <c r="D312" s="33">
        <v>19.5</v>
      </c>
      <c r="E312" s="33">
        <v>16.5</v>
      </c>
      <c r="F312" s="33">
        <v>16.899999999999999</v>
      </c>
      <c r="G312" s="19">
        <f>'расчёт зарплаты'!K10</f>
        <v>28208</v>
      </c>
      <c r="H312" s="19">
        <f>E312*G312*12+ ((D312-E312)*G312/2*12)</f>
        <v>6092928</v>
      </c>
      <c r="I312" s="19"/>
      <c r="J312" s="19"/>
      <c r="K312" s="19"/>
      <c r="L312" s="19">
        <f>G312*K312*12</f>
        <v>0</v>
      </c>
    </row>
    <row r="313" spans="1:12" x14ac:dyDescent="0.3">
      <c r="A313" s="4"/>
      <c r="B313" s="5" t="s">
        <v>10</v>
      </c>
      <c r="C313" s="33"/>
      <c r="D313" s="33"/>
      <c r="E313" s="33"/>
      <c r="F313" s="33"/>
      <c r="G313" s="19"/>
      <c r="H313" s="19">
        <f t="shared" ref="H313:H322" si="190">E313*G313*12+ ((D313-E313)*G313/2*12)</f>
        <v>0</v>
      </c>
      <c r="I313" s="19"/>
      <c r="J313" s="19"/>
      <c r="K313" s="19"/>
      <c r="L313" s="19"/>
    </row>
    <row r="314" spans="1:12" x14ac:dyDescent="0.3">
      <c r="A314" s="4"/>
      <c r="B314" s="5" t="s">
        <v>13</v>
      </c>
      <c r="C314" s="33">
        <v>3.5</v>
      </c>
      <c r="D314" s="33">
        <v>3.5</v>
      </c>
      <c r="E314" s="33">
        <v>1.5</v>
      </c>
      <c r="F314" s="33">
        <v>1</v>
      </c>
      <c r="G314" s="19">
        <f>'расчёт зарплаты'!K38</f>
        <v>28896</v>
      </c>
      <c r="H314" s="19">
        <f t="shared" si="190"/>
        <v>866880</v>
      </c>
      <c r="I314" s="19"/>
      <c r="J314" s="19"/>
      <c r="K314" s="19"/>
      <c r="L314" s="19"/>
    </row>
    <row r="315" spans="1:12" ht="28.2" x14ac:dyDescent="0.3">
      <c r="A315" s="4"/>
      <c r="B315" s="5" t="s">
        <v>14</v>
      </c>
      <c r="C315" s="33"/>
      <c r="D315" s="33"/>
      <c r="E315" s="33"/>
      <c r="F315" s="33"/>
      <c r="G315" s="19"/>
      <c r="H315" s="19">
        <f t="shared" si="190"/>
        <v>0</v>
      </c>
      <c r="I315" s="19"/>
      <c r="J315" s="19"/>
      <c r="K315" s="19"/>
      <c r="L315" s="19"/>
    </row>
    <row r="316" spans="1:12" x14ac:dyDescent="0.3">
      <c r="A316" s="4"/>
      <c r="B316" s="5" t="s">
        <v>15</v>
      </c>
      <c r="C316" s="33">
        <v>5</v>
      </c>
      <c r="D316" s="33">
        <v>5</v>
      </c>
      <c r="E316" s="33">
        <v>4.0999999999999996</v>
      </c>
      <c r="F316" s="33">
        <v>4</v>
      </c>
      <c r="G316" s="19">
        <f>'расчёт зарплаты'!K34</f>
        <v>30976</v>
      </c>
      <c r="H316" s="19">
        <f t="shared" si="190"/>
        <v>1691289.6000000001</v>
      </c>
      <c r="I316" s="19"/>
      <c r="J316" s="19"/>
      <c r="K316" s="19"/>
      <c r="L316" s="19"/>
    </row>
    <row r="317" spans="1:12" x14ac:dyDescent="0.3">
      <c r="A317" s="4"/>
      <c r="B317" s="5" t="s">
        <v>16</v>
      </c>
      <c r="C317" s="33">
        <v>6</v>
      </c>
      <c r="D317" s="33">
        <v>6</v>
      </c>
      <c r="E317" s="33">
        <v>6</v>
      </c>
      <c r="F317" s="33">
        <v>6</v>
      </c>
      <c r="G317" s="19">
        <f>'расчёт зарплаты'!K8</f>
        <v>28600</v>
      </c>
      <c r="H317" s="19">
        <f t="shared" si="190"/>
        <v>2059200</v>
      </c>
      <c r="I317" s="19"/>
      <c r="J317" s="19"/>
      <c r="K317" s="19"/>
      <c r="L317" s="19"/>
    </row>
    <row r="318" spans="1:12" ht="42" x14ac:dyDescent="0.3">
      <c r="A318" s="4"/>
      <c r="B318" s="5" t="s">
        <v>17</v>
      </c>
      <c r="C318" s="33">
        <v>1.5</v>
      </c>
      <c r="D318" s="33">
        <v>1</v>
      </c>
      <c r="E318" s="33">
        <v>1</v>
      </c>
      <c r="F318" s="33">
        <v>1</v>
      </c>
      <c r="G318" s="19">
        <f>'расчёт зарплаты'!K10</f>
        <v>28208</v>
      </c>
      <c r="H318" s="19">
        <f t="shared" si="190"/>
        <v>338496</v>
      </c>
      <c r="I318" s="19"/>
      <c r="J318" s="19"/>
      <c r="K318" s="19"/>
      <c r="L318" s="19"/>
    </row>
    <row r="319" spans="1:12" ht="28.2" x14ac:dyDescent="0.3">
      <c r="A319" s="4"/>
      <c r="B319" s="5" t="s">
        <v>18</v>
      </c>
      <c r="C319" s="33">
        <v>1</v>
      </c>
      <c r="D319" s="33">
        <v>1</v>
      </c>
      <c r="E319" s="33">
        <v>1</v>
      </c>
      <c r="F319" s="33">
        <v>1</v>
      </c>
      <c r="G319" s="19">
        <f>'расчёт зарплаты'!K20</f>
        <v>31648</v>
      </c>
      <c r="H319" s="19">
        <f t="shared" si="190"/>
        <v>379776</v>
      </c>
      <c r="I319" s="19"/>
      <c r="J319" s="19"/>
      <c r="K319" s="19"/>
      <c r="L319" s="19"/>
    </row>
    <row r="320" spans="1:12" ht="42" x14ac:dyDescent="0.3">
      <c r="A320" s="4"/>
      <c r="B320" s="5" t="s">
        <v>91</v>
      </c>
      <c r="C320" s="33"/>
      <c r="D320" s="33"/>
      <c r="E320" s="33"/>
      <c r="F320" s="33"/>
      <c r="G320" s="19"/>
      <c r="H320" s="19">
        <f t="shared" si="190"/>
        <v>0</v>
      </c>
      <c r="I320" s="19"/>
      <c r="J320" s="19"/>
      <c r="K320" s="19"/>
      <c r="L320" s="19"/>
    </row>
    <row r="321" spans="1:12" x14ac:dyDescent="0.3">
      <c r="A321" s="4"/>
      <c r="B321" s="5" t="s">
        <v>20</v>
      </c>
      <c r="C321" s="33"/>
      <c r="D321" s="33"/>
      <c r="E321" s="33"/>
      <c r="F321" s="33"/>
      <c r="G321" s="19"/>
      <c r="H321" s="19">
        <f t="shared" si="190"/>
        <v>0</v>
      </c>
      <c r="I321" s="19"/>
      <c r="J321" s="19"/>
      <c r="K321" s="19"/>
      <c r="L321" s="19"/>
    </row>
    <row r="322" spans="1:12" ht="39.6" x14ac:dyDescent="0.3">
      <c r="A322" s="4"/>
      <c r="B322" s="6" t="s">
        <v>21</v>
      </c>
      <c r="C322" s="33">
        <v>1</v>
      </c>
      <c r="D322" s="33">
        <v>1</v>
      </c>
      <c r="E322" s="33">
        <v>1</v>
      </c>
      <c r="F322" s="33">
        <v>1</v>
      </c>
      <c r="G322" s="19">
        <f>'расчёт зарплаты'!K44</f>
        <v>45056</v>
      </c>
      <c r="H322" s="19">
        <f t="shared" si="190"/>
        <v>540672</v>
      </c>
      <c r="I322" s="19"/>
      <c r="J322" s="19"/>
      <c r="K322" s="19"/>
      <c r="L322" s="19"/>
    </row>
    <row r="323" spans="1:12" x14ac:dyDescent="0.3">
      <c r="A323" s="4"/>
      <c r="B323" s="5" t="s">
        <v>22</v>
      </c>
      <c r="C323" s="33"/>
      <c r="D323" s="33"/>
      <c r="E323" s="33"/>
      <c r="F323" s="33"/>
      <c r="G323" s="19"/>
      <c r="H323" s="19">
        <f t="shared" ref="H323" si="191">E323*G323*12</f>
        <v>0</v>
      </c>
      <c r="I323" s="19"/>
      <c r="J323" s="19"/>
      <c r="K323" s="19"/>
      <c r="L323" s="19"/>
    </row>
    <row r="324" spans="1:12" x14ac:dyDescent="0.3">
      <c r="A324" s="38" t="s">
        <v>57</v>
      </c>
      <c r="B324" s="39"/>
      <c r="C324" s="41">
        <f>C325+C326+C327</f>
        <v>8</v>
      </c>
      <c r="D324" s="41">
        <f t="shared" ref="D324" si="192">D325+D326+D327</f>
        <v>7.5</v>
      </c>
      <c r="E324" s="41">
        <f t="shared" ref="E324" si="193">E325+E326+E327</f>
        <v>4</v>
      </c>
      <c r="F324" s="41">
        <f t="shared" ref="F324" si="194">F325+F326+F327</f>
        <v>4</v>
      </c>
      <c r="G324" s="41"/>
      <c r="H324" s="42">
        <f t="shared" ref="H324" si="195">H325+H326+H327</f>
        <v>1922508</v>
      </c>
      <c r="I324" s="42">
        <f t="shared" ref="I324" si="196">I325+I326+I327</f>
        <v>0</v>
      </c>
      <c r="J324" s="42">
        <f t="shared" ref="J324" si="197">J325+J326+J327</f>
        <v>0</v>
      </c>
      <c r="K324" s="42">
        <f t="shared" ref="K324" si="198">K325+K326+K327</f>
        <v>0</v>
      </c>
      <c r="L324" s="42">
        <f t="shared" ref="L324" si="199">L325+L326+L327</f>
        <v>0</v>
      </c>
    </row>
    <row r="325" spans="1:12" x14ac:dyDescent="0.3">
      <c r="A325" s="4"/>
      <c r="B325" s="5" t="s">
        <v>11</v>
      </c>
      <c r="C325" s="9">
        <v>1.5</v>
      </c>
      <c r="D325" s="9">
        <v>1.5</v>
      </c>
      <c r="E325" s="9">
        <v>1</v>
      </c>
      <c r="F325" s="9">
        <v>1</v>
      </c>
      <c r="G325" s="19">
        <f>'расчёт зарплаты'!K26</f>
        <v>27300</v>
      </c>
      <c r="H325" s="19">
        <f t="shared" ref="H325:H328" si="200">E325*G325*12+ ((D325-E325)*G325/2*12)</f>
        <v>409500</v>
      </c>
      <c r="I325" s="19"/>
      <c r="J325" s="19"/>
      <c r="K325" s="19"/>
      <c r="L325" s="19"/>
    </row>
    <row r="326" spans="1:12" x14ac:dyDescent="0.3">
      <c r="A326" s="4"/>
      <c r="B326" s="5" t="s">
        <v>12</v>
      </c>
      <c r="C326" s="9">
        <v>1.5</v>
      </c>
      <c r="D326" s="9">
        <v>1</v>
      </c>
      <c r="E326" s="9">
        <v>1</v>
      </c>
      <c r="F326" s="9">
        <v>1</v>
      </c>
      <c r="G326" s="19">
        <f>'расчёт зарплаты'!K26</f>
        <v>27300</v>
      </c>
      <c r="H326" s="19">
        <f t="shared" si="200"/>
        <v>327600</v>
      </c>
      <c r="I326" s="19"/>
      <c r="J326" s="19"/>
      <c r="K326" s="19"/>
      <c r="L326" s="19"/>
    </row>
    <row r="327" spans="1:12" ht="28.2" x14ac:dyDescent="0.3">
      <c r="A327" s="4"/>
      <c r="B327" s="5" t="s">
        <v>19</v>
      </c>
      <c r="C327" s="9">
        <v>5</v>
      </c>
      <c r="D327" s="9">
        <v>5</v>
      </c>
      <c r="E327" s="9">
        <v>2</v>
      </c>
      <c r="F327" s="9">
        <v>2</v>
      </c>
      <c r="G327" s="19">
        <f>'расчёт зарплаты'!K40</f>
        <v>28224</v>
      </c>
      <c r="H327" s="19">
        <f t="shared" si="200"/>
        <v>1185408</v>
      </c>
      <c r="I327" s="19"/>
      <c r="J327" s="19"/>
      <c r="K327" s="19"/>
      <c r="L327" s="19"/>
    </row>
    <row r="328" spans="1:12" x14ac:dyDescent="0.3">
      <c r="A328" s="83" t="s">
        <v>23</v>
      </c>
      <c r="B328" s="83"/>
      <c r="C328" s="7">
        <f t="shared" ref="C328:F328" si="201">C329+C335</f>
        <v>9</v>
      </c>
      <c r="D328" s="7">
        <f t="shared" si="201"/>
        <v>8</v>
      </c>
      <c r="E328" s="7">
        <f t="shared" si="201"/>
        <v>8</v>
      </c>
      <c r="F328" s="7">
        <f t="shared" si="201"/>
        <v>8</v>
      </c>
      <c r="G328" s="19"/>
      <c r="H328" s="19">
        <f t="shared" si="200"/>
        <v>0</v>
      </c>
      <c r="I328" s="19"/>
      <c r="J328" s="20">
        <f t="shared" ref="J328:K328" si="202">J329+J335</f>
        <v>2747328</v>
      </c>
      <c r="K328" s="20">
        <f t="shared" si="202"/>
        <v>829693.05599999998</v>
      </c>
      <c r="L328" s="20">
        <f>L329+L335</f>
        <v>3577021.0559999999</v>
      </c>
    </row>
    <row r="329" spans="1:12" x14ac:dyDescent="0.3">
      <c r="A329" s="84" t="s">
        <v>24</v>
      </c>
      <c r="B329" s="84"/>
      <c r="C329" s="7">
        <f t="shared" ref="C329:F329" si="203">C330+C331+C332+C333+C334</f>
        <v>5</v>
      </c>
      <c r="D329" s="7">
        <f t="shared" si="203"/>
        <v>4</v>
      </c>
      <c r="E329" s="7">
        <f t="shared" si="203"/>
        <v>4</v>
      </c>
      <c r="F329" s="7">
        <f t="shared" si="203"/>
        <v>4</v>
      </c>
      <c r="G329" s="20"/>
      <c r="H329" s="20">
        <f>H330+H331+H332+H333+H334</f>
        <v>1310400</v>
      </c>
      <c r="I329" s="20">
        <f t="shared" ref="I329" si="204">I330+I331+I332+I333+I334</f>
        <v>0</v>
      </c>
      <c r="J329" s="20">
        <f>H329</f>
        <v>1310400</v>
      </c>
      <c r="K329" s="20">
        <f>J329*30.2%</f>
        <v>395740.8</v>
      </c>
      <c r="L329" s="20">
        <f>J329+K329</f>
        <v>1706140.8</v>
      </c>
    </row>
    <row r="330" spans="1:12" x14ac:dyDescent="0.3">
      <c r="A330" s="4"/>
      <c r="B330" s="5" t="s">
        <v>25</v>
      </c>
      <c r="C330" s="33"/>
      <c r="D330" s="33"/>
      <c r="E330" s="33"/>
      <c r="F330" s="33"/>
      <c r="G330" s="19"/>
      <c r="H330" s="19">
        <f t="shared" ref="H330:H334" si="205">E330*G330*12+ ((D330-E330)*G330/2*12)</f>
        <v>0</v>
      </c>
      <c r="I330" s="19"/>
      <c r="J330" s="19"/>
      <c r="K330" s="19"/>
      <c r="L330" s="19"/>
    </row>
    <row r="331" spans="1:12" x14ac:dyDescent="0.3">
      <c r="A331" s="4"/>
      <c r="B331" s="5" t="s">
        <v>26</v>
      </c>
      <c r="C331" s="33"/>
      <c r="D331" s="33"/>
      <c r="E331" s="33"/>
      <c r="F331" s="33"/>
      <c r="G331" s="19"/>
      <c r="H331" s="19">
        <f t="shared" si="205"/>
        <v>0</v>
      </c>
      <c r="I331" s="19"/>
      <c r="J331" s="19"/>
      <c r="K331" s="19"/>
      <c r="L331" s="19"/>
    </row>
    <row r="332" spans="1:12" x14ac:dyDescent="0.3">
      <c r="A332" s="4"/>
      <c r="B332" s="5" t="s">
        <v>27</v>
      </c>
      <c r="C332" s="33"/>
      <c r="D332" s="33"/>
      <c r="E332" s="33"/>
      <c r="F332" s="33"/>
      <c r="G332" s="19"/>
      <c r="H332" s="19">
        <f t="shared" si="205"/>
        <v>0</v>
      </c>
      <c r="I332" s="19"/>
      <c r="J332" s="19"/>
      <c r="K332" s="19"/>
      <c r="L332" s="19"/>
    </row>
    <row r="333" spans="1:12" ht="28.2" x14ac:dyDescent="0.3">
      <c r="A333" s="4"/>
      <c r="B333" s="5" t="s">
        <v>28</v>
      </c>
      <c r="C333" s="33">
        <v>2</v>
      </c>
      <c r="D333" s="33">
        <v>2</v>
      </c>
      <c r="E333" s="33">
        <v>2</v>
      </c>
      <c r="F333" s="33">
        <v>2</v>
      </c>
      <c r="G333" s="19">
        <f>'расчёт зарплаты'!K26</f>
        <v>27300</v>
      </c>
      <c r="H333" s="19">
        <f t="shared" si="205"/>
        <v>655200</v>
      </c>
      <c r="I333" s="19"/>
      <c r="J333" s="19"/>
      <c r="K333" s="19"/>
      <c r="L333" s="19"/>
    </row>
    <row r="334" spans="1:12" x14ac:dyDescent="0.3">
      <c r="A334" s="4"/>
      <c r="B334" s="5" t="s">
        <v>29</v>
      </c>
      <c r="C334" s="33">
        <v>3</v>
      </c>
      <c r="D334" s="33">
        <v>2</v>
      </c>
      <c r="E334" s="33">
        <v>2</v>
      </c>
      <c r="F334" s="33">
        <v>2</v>
      </c>
      <c r="G334" s="19">
        <f>'расчёт зарплаты'!K26</f>
        <v>27300</v>
      </c>
      <c r="H334" s="19">
        <f t="shared" si="205"/>
        <v>655200</v>
      </c>
      <c r="I334" s="19"/>
      <c r="J334" s="19"/>
      <c r="K334" s="19"/>
      <c r="L334" s="19"/>
    </row>
    <row r="335" spans="1:12" x14ac:dyDescent="0.3">
      <c r="A335" s="84" t="s">
        <v>30</v>
      </c>
      <c r="B335" s="84"/>
      <c r="C335" s="7">
        <f t="shared" ref="C335:F335" si="206">C336+C337+C338</f>
        <v>4</v>
      </c>
      <c r="D335" s="7">
        <f t="shared" si="206"/>
        <v>4</v>
      </c>
      <c r="E335" s="7">
        <f t="shared" si="206"/>
        <v>4</v>
      </c>
      <c r="F335" s="7">
        <f t="shared" si="206"/>
        <v>4</v>
      </c>
      <c r="G335" s="20"/>
      <c r="H335" s="20">
        <f>H336+H337+H338</f>
        <v>1436928</v>
      </c>
      <c r="I335" s="20">
        <f t="shared" ref="I335" si="207">I336+I337+I338</f>
        <v>0</v>
      </c>
      <c r="J335" s="20">
        <f>H335</f>
        <v>1436928</v>
      </c>
      <c r="K335" s="20">
        <f>J335*30.2%</f>
        <v>433952.25599999999</v>
      </c>
      <c r="L335" s="20">
        <f>J335+K335</f>
        <v>1870880.2560000001</v>
      </c>
    </row>
    <row r="336" spans="1:12" x14ac:dyDescent="0.3">
      <c r="A336" s="4"/>
      <c r="B336" s="5" t="s">
        <v>31</v>
      </c>
      <c r="C336" s="33">
        <v>2</v>
      </c>
      <c r="D336" s="33">
        <v>2</v>
      </c>
      <c r="E336" s="33">
        <v>2</v>
      </c>
      <c r="F336" s="33">
        <v>2</v>
      </c>
      <c r="G336" s="19">
        <f>'расчёт зарплаты'!K34</f>
        <v>30976</v>
      </c>
      <c r="H336" s="19">
        <f t="shared" ref="H336:H338" si="208">E336*G336*12+ ((D336-E336)*G336/2*12)</f>
        <v>743424</v>
      </c>
      <c r="I336" s="19"/>
      <c r="J336" s="19"/>
      <c r="K336" s="19"/>
      <c r="L336" s="19"/>
    </row>
    <row r="337" spans="1:12" x14ac:dyDescent="0.3">
      <c r="A337" s="4"/>
      <c r="B337" s="5" t="s">
        <v>32</v>
      </c>
      <c r="C337" s="33"/>
      <c r="D337" s="33"/>
      <c r="E337" s="33"/>
      <c r="F337" s="33"/>
      <c r="G337" s="19"/>
      <c r="H337" s="19">
        <f t="shared" si="208"/>
        <v>0</v>
      </c>
      <c r="I337" s="19"/>
      <c r="J337" s="19"/>
      <c r="K337" s="19"/>
      <c r="L337" s="19"/>
    </row>
    <row r="338" spans="1:12" x14ac:dyDescent="0.3">
      <c r="A338" s="4"/>
      <c r="B338" s="5" t="s">
        <v>33</v>
      </c>
      <c r="C338" s="33">
        <v>2</v>
      </c>
      <c r="D338" s="33">
        <v>2</v>
      </c>
      <c r="E338" s="33">
        <v>2</v>
      </c>
      <c r="F338" s="33">
        <v>2</v>
      </c>
      <c r="G338" s="19">
        <f>'расчёт зарплаты'!K38</f>
        <v>28896</v>
      </c>
      <c r="H338" s="19">
        <f t="shared" si="208"/>
        <v>693504</v>
      </c>
      <c r="I338" s="19"/>
      <c r="J338" s="19"/>
      <c r="K338" s="19"/>
      <c r="L338" s="19"/>
    </row>
    <row r="339" spans="1:12" x14ac:dyDescent="0.3">
      <c r="A339" s="89" t="s">
        <v>70</v>
      </c>
      <c r="B339" s="89"/>
      <c r="C339" s="89"/>
      <c r="D339" s="89"/>
      <c r="E339" s="89"/>
      <c r="F339" s="89"/>
      <c r="G339" s="89"/>
      <c r="H339" s="89"/>
      <c r="I339" s="89"/>
      <c r="J339" s="89"/>
      <c r="K339" s="89"/>
      <c r="L339" s="89"/>
    </row>
    <row r="340" spans="1:12" ht="14.4" customHeight="1" x14ac:dyDescent="0.3">
      <c r="A340" s="81" t="s">
        <v>7</v>
      </c>
      <c r="B340" s="82"/>
      <c r="C340" s="8">
        <f>C341+C358+C354</f>
        <v>31.5</v>
      </c>
      <c r="D340" s="8">
        <f>D341+D358+D354</f>
        <v>27</v>
      </c>
      <c r="E340" s="8">
        <f>E341+E358+E354</f>
        <v>23.9</v>
      </c>
      <c r="F340" s="8">
        <f>F341+F358+F354</f>
        <v>21</v>
      </c>
      <c r="G340" s="19"/>
      <c r="H340" s="19"/>
      <c r="I340" s="19"/>
      <c r="J340" s="19"/>
      <c r="K340" s="19"/>
      <c r="L340" s="19"/>
    </row>
    <row r="341" spans="1:12" ht="14.4" customHeight="1" x14ac:dyDescent="0.3">
      <c r="A341" s="81" t="s">
        <v>89</v>
      </c>
      <c r="B341" s="82"/>
      <c r="C341" s="40">
        <f t="shared" ref="C341:G341" si="209">SUM(C342:C353)</f>
        <v>22</v>
      </c>
      <c r="D341" s="40">
        <f t="shared" si="209"/>
        <v>20</v>
      </c>
      <c r="E341" s="40">
        <f t="shared" si="209"/>
        <v>17.899999999999999</v>
      </c>
      <c r="F341" s="40">
        <f t="shared" si="209"/>
        <v>16</v>
      </c>
      <c r="G341" s="40">
        <f t="shared" si="209"/>
        <v>176536</v>
      </c>
      <c r="H341" s="40">
        <f>SUM(H342:H353)</f>
        <v>6527971.2000000002</v>
      </c>
      <c r="I341" s="20"/>
      <c r="J341" s="20">
        <f>H341-I341</f>
        <v>6527971.2000000002</v>
      </c>
      <c r="K341" s="20">
        <f>J341*30.2%</f>
        <v>1971447.3023999999</v>
      </c>
      <c r="L341" s="20">
        <f>J341+K341</f>
        <v>8499418.5023999996</v>
      </c>
    </row>
    <row r="342" spans="1:12" x14ac:dyDescent="0.3">
      <c r="A342" s="4"/>
      <c r="B342" s="5" t="s">
        <v>9</v>
      </c>
      <c r="C342" s="33">
        <v>12</v>
      </c>
      <c r="D342" s="33">
        <v>12</v>
      </c>
      <c r="E342" s="33">
        <v>11.9</v>
      </c>
      <c r="F342" s="33">
        <v>10</v>
      </c>
      <c r="G342" s="19">
        <f>'расчёт зарплаты'!K10</f>
        <v>28208</v>
      </c>
      <c r="H342" s="19">
        <f>E342*G342*12+ ((D342-E342)*G342/2*12)</f>
        <v>4045027.2</v>
      </c>
      <c r="I342" s="19"/>
      <c r="J342" s="19"/>
      <c r="K342" s="19"/>
      <c r="L342" s="19">
        <f>G342*K342*12</f>
        <v>0</v>
      </c>
    </row>
    <row r="343" spans="1:12" x14ac:dyDescent="0.3">
      <c r="A343" s="4"/>
      <c r="B343" s="5" t="s">
        <v>10</v>
      </c>
      <c r="C343" s="33"/>
      <c r="D343" s="33"/>
      <c r="E343" s="33"/>
      <c r="F343" s="33"/>
      <c r="G343" s="19"/>
      <c r="H343" s="19">
        <f t="shared" ref="H343:H352" si="210">E343*G343*12+ ((D343-E343)*G343/2*12)</f>
        <v>0</v>
      </c>
      <c r="I343" s="19"/>
      <c r="J343" s="19"/>
      <c r="K343" s="19"/>
      <c r="L343" s="19"/>
    </row>
    <row r="344" spans="1:12" x14ac:dyDescent="0.3">
      <c r="A344" s="4"/>
      <c r="B344" s="5" t="s">
        <v>13</v>
      </c>
      <c r="C344" s="33">
        <v>2</v>
      </c>
      <c r="D344" s="33">
        <v>1</v>
      </c>
      <c r="E344" s="33">
        <v>1</v>
      </c>
      <c r="F344" s="33">
        <v>1</v>
      </c>
      <c r="G344" s="19">
        <f>'расчёт зарплаты'!K38</f>
        <v>28896</v>
      </c>
      <c r="H344" s="19">
        <f t="shared" si="210"/>
        <v>346752</v>
      </c>
      <c r="I344" s="19"/>
      <c r="J344" s="19"/>
      <c r="K344" s="19"/>
      <c r="L344" s="19"/>
    </row>
    <row r="345" spans="1:12" ht="28.2" x14ac:dyDescent="0.3">
      <c r="A345" s="4"/>
      <c r="B345" s="5" t="s">
        <v>14</v>
      </c>
      <c r="C345" s="33"/>
      <c r="D345" s="33"/>
      <c r="E345" s="33"/>
      <c r="F345" s="33"/>
      <c r="G345" s="19"/>
      <c r="H345" s="19">
        <f t="shared" si="210"/>
        <v>0</v>
      </c>
      <c r="I345" s="19"/>
      <c r="J345" s="19"/>
      <c r="K345" s="19"/>
      <c r="L345" s="19"/>
    </row>
    <row r="346" spans="1:12" x14ac:dyDescent="0.3">
      <c r="A346" s="4"/>
      <c r="B346" s="5" t="s">
        <v>15</v>
      </c>
      <c r="C346" s="33">
        <v>3</v>
      </c>
      <c r="D346" s="33">
        <v>2</v>
      </c>
      <c r="E346" s="33">
        <v>1</v>
      </c>
      <c r="F346" s="33">
        <v>1</v>
      </c>
      <c r="G346" s="19">
        <f>'расчёт зарплаты'!K34</f>
        <v>30976</v>
      </c>
      <c r="H346" s="19">
        <f t="shared" si="210"/>
        <v>557568</v>
      </c>
      <c r="I346" s="19"/>
      <c r="J346" s="19"/>
      <c r="K346" s="19"/>
      <c r="L346" s="19"/>
    </row>
    <row r="347" spans="1:12" x14ac:dyDescent="0.3">
      <c r="A347" s="4"/>
      <c r="B347" s="5" t="s">
        <v>16</v>
      </c>
      <c r="C347" s="33">
        <v>3</v>
      </c>
      <c r="D347" s="33">
        <v>3</v>
      </c>
      <c r="E347" s="33">
        <v>3</v>
      </c>
      <c r="F347" s="33">
        <v>3</v>
      </c>
      <c r="G347" s="19">
        <f>'расчёт зарплаты'!K8</f>
        <v>28600</v>
      </c>
      <c r="H347" s="19">
        <f t="shared" si="210"/>
        <v>1029600</v>
      </c>
      <c r="I347" s="19"/>
      <c r="J347" s="19"/>
      <c r="K347" s="19"/>
      <c r="L347" s="19"/>
    </row>
    <row r="348" spans="1:12" ht="42" x14ac:dyDescent="0.3">
      <c r="A348" s="4"/>
      <c r="B348" s="5" t="s">
        <v>17</v>
      </c>
      <c r="C348" s="33">
        <v>1</v>
      </c>
      <c r="D348" s="33">
        <v>1</v>
      </c>
      <c r="E348" s="33">
        <v>0</v>
      </c>
      <c r="F348" s="33">
        <v>0</v>
      </c>
      <c r="G348" s="19">
        <f>'расчёт зарплаты'!K10</f>
        <v>28208</v>
      </c>
      <c r="H348" s="19">
        <f t="shared" si="210"/>
        <v>169248</v>
      </c>
      <c r="I348" s="19"/>
      <c r="J348" s="19"/>
      <c r="K348" s="19"/>
      <c r="L348" s="19"/>
    </row>
    <row r="349" spans="1:12" ht="28.2" x14ac:dyDescent="0.3">
      <c r="A349" s="4"/>
      <c r="B349" s="5" t="s">
        <v>18</v>
      </c>
      <c r="C349" s="33">
        <v>1</v>
      </c>
      <c r="D349" s="33">
        <v>1</v>
      </c>
      <c r="E349" s="33">
        <v>1</v>
      </c>
      <c r="F349" s="33">
        <v>1</v>
      </c>
      <c r="G349" s="19">
        <f>'расчёт зарплаты'!K20</f>
        <v>31648</v>
      </c>
      <c r="H349" s="19">
        <f t="shared" si="210"/>
        <v>379776</v>
      </c>
      <c r="I349" s="19"/>
      <c r="J349" s="19"/>
      <c r="K349" s="19"/>
      <c r="L349" s="19"/>
    </row>
    <row r="350" spans="1:12" ht="42" x14ac:dyDescent="0.3">
      <c r="A350" s="4"/>
      <c r="B350" s="5" t="s">
        <v>91</v>
      </c>
      <c r="C350" s="33"/>
      <c r="D350" s="33"/>
      <c r="E350" s="33"/>
      <c r="F350" s="33"/>
      <c r="G350" s="19"/>
      <c r="H350" s="19">
        <f t="shared" si="210"/>
        <v>0</v>
      </c>
      <c r="I350" s="19"/>
      <c r="J350" s="19"/>
      <c r="K350" s="19"/>
      <c r="L350" s="19"/>
    </row>
    <row r="351" spans="1:12" x14ac:dyDescent="0.3">
      <c r="A351" s="4"/>
      <c r="B351" s="5" t="s">
        <v>20</v>
      </c>
      <c r="C351" s="33"/>
      <c r="D351" s="33"/>
      <c r="E351" s="33"/>
      <c r="F351" s="33"/>
      <c r="G351" s="19"/>
      <c r="H351" s="19">
        <f t="shared" si="210"/>
        <v>0</v>
      </c>
      <c r="I351" s="19"/>
      <c r="J351" s="19"/>
      <c r="K351" s="19"/>
      <c r="L351" s="19"/>
    </row>
    <row r="352" spans="1:12" ht="39.6" x14ac:dyDescent="0.3">
      <c r="A352" s="4"/>
      <c r="B352" s="6" t="s">
        <v>21</v>
      </c>
      <c r="C352" s="33"/>
      <c r="D352" s="33"/>
      <c r="E352" s="33"/>
      <c r="F352" s="33"/>
      <c r="G352" s="19"/>
      <c r="H352" s="19">
        <f t="shared" si="210"/>
        <v>0</v>
      </c>
      <c r="I352" s="19"/>
      <c r="J352" s="19"/>
      <c r="K352" s="19"/>
      <c r="L352" s="19"/>
    </row>
    <row r="353" spans="1:12" x14ac:dyDescent="0.3">
      <c r="A353" s="4"/>
      <c r="B353" s="5" t="s">
        <v>22</v>
      </c>
      <c r="C353" s="33"/>
      <c r="D353" s="33"/>
      <c r="E353" s="33"/>
      <c r="F353" s="33"/>
      <c r="G353" s="19"/>
      <c r="H353" s="19">
        <f t="shared" ref="H353" si="211">E353*G353*12</f>
        <v>0</v>
      </c>
      <c r="I353" s="19"/>
      <c r="J353" s="19"/>
      <c r="K353" s="19"/>
      <c r="L353" s="19"/>
    </row>
    <row r="354" spans="1:12" x14ac:dyDescent="0.3">
      <c r="A354" s="38" t="s">
        <v>57</v>
      </c>
      <c r="B354" s="39"/>
      <c r="C354" s="41">
        <f>C355+C356+C357</f>
        <v>4</v>
      </c>
      <c r="D354" s="41">
        <f t="shared" ref="D354" si="212">D355+D356+D357</f>
        <v>3</v>
      </c>
      <c r="E354" s="41">
        <f t="shared" ref="E354" si="213">E355+E356+E357</f>
        <v>2</v>
      </c>
      <c r="F354" s="41">
        <f t="shared" ref="F354" si="214">F355+F356+F357</f>
        <v>2</v>
      </c>
      <c r="G354" s="41"/>
      <c r="H354" s="41">
        <f t="shared" ref="H354" si="215">H355+H356+H357</f>
        <v>830088</v>
      </c>
      <c r="I354" s="42">
        <f t="shared" ref="I354" si="216">I355+I356+I357</f>
        <v>0</v>
      </c>
      <c r="J354" s="42">
        <f t="shared" ref="J354" si="217">J355+J356+J357</f>
        <v>0</v>
      </c>
      <c r="K354" s="42">
        <f t="shared" ref="K354" si="218">K355+K356+K357</f>
        <v>0</v>
      </c>
      <c r="L354" s="42">
        <f t="shared" ref="L354" si="219">L355+L356+L357</f>
        <v>0</v>
      </c>
    </row>
    <row r="355" spans="1:12" x14ac:dyDescent="0.3">
      <c r="A355" s="4"/>
      <c r="B355" s="5" t="s">
        <v>11</v>
      </c>
      <c r="C355" s="9">
        <v>1</v>
      </c>
      <c r="D355" s="9">
        <v>1</v>
      </c>
      <c r="E355" s="9">
        <v>0</v>
      </c>
      <c r="F355" s="9">
        <v>0</v>
      </c>
      <c r="G355" s="19">
        <f>'расчёт зарплаты'!K26</f>
        <v>27300</v>
      </c>
      <c r="H355" s="19">
        <f t="shared" ref="H355:H358" si="220">E355*G355*12+ ((D355-E355)*G355/2*12)</f>
        <v>163800</v>
      </c>
      <c r="I355" s="19"/>
      <c r="J355" s="19"/>
      <c r="K355" s="19"/>
      <c r="L355" s="19"/>
    </row>
    <row r="356" spans="1:12" x14ac:dyDescent="0.3">
      <c r="A356" s="4"/>
      <c r="B356" s="5" t="s">
        <v>12</v>
      </c>
      <c r="C356" s="9">
        <v>1</v>
      </c>
      <c r="D356" s="9">
        <v>1</v>
      </c>
      <c r="E356" s="9">
        <v>1</v>
      </c>
      <c r="F356" s="9">
        <v>1</v>
      </c>
      <c r="G356" s="19">
        <f>'расчёт зарплаты'!K26</f>
        <v>27300</v>
      </c>
      <c r="H356" s="19">
        <f t="shared" si="220"/>
        <v>327600</v>
      </c>
      <c r="I356" s="19"/>
      <c r="J356" s="19"/>
      <c r="K356" s="19"/>
      <c r="L356" s="19"/>
    </row>
    <row r="357" spans="1:12" ht="28.2" x14ac:dyDescent="0.3">
      <c r="A357" s="4"/>
      <c r="B357" s="5" t="s">
        <v>19</v>
      </c>
      <c r="C357" s="9">
        <v>2</v>
      </c>
      <c r="D357" s="9">
        <v>1</v>
      </c>
      <c r="E357" s="9">
        <v>1</v>
      </c>
      <c r="F357" s="9">
        <v>1</v>
      </c>
      <c r="G357" s="19">
        <f>'расчёт зарплаты'!K40</f>
        <v>28224</v>
      </c>
      <c r="H357" s="19">
        <f t="shared" si="220"/>
        <v>338688</v>
      </c>
      <c r="I357" s="19"/>
      <c r="J357" s="19"/>
      <c r="K357" s="19"/>
      <c r="L357" s="19"/>
    </row>
    <row r="358" spans="1:12" x14ac:dyDescent="0.3">
      <c r="A358" s="83" t="s">
        <v>23</v>
      </c>
      <c r="B358" s="83"/>
      <c r="C358" s="7">
        <f t="shared" ref="C358:F358" si="221">C359+C365</f>
        <v>5.5</v>
      </c>
      <c r="D358" s="7">
        <f t="shared" si="221"/>
        <v>4</v>
      </c>
      <c r="E358" s="7">
        <f t="shared" si="221"/>
        <v>4</v>
      </c>
      <c r="F358" s="7">
        <f t="shared" si="221"/>
        <v>3</v>
      </c>
      <c r="G358" s="19"/>
      <c r="H358" s="19">
        <f t="shared" si="220"/>
        <v>0</v>
      </c>
      <c r="I358" s="19"/>
      <c r="J358" s="20">
        <f t="shared" ref="J358:K358" si="222">J359+J365</f>
        <v>1329552</v>
      </c>
      <c r="K358" s="20">
        <f t="shared" si="222"/>
        <v>401524.70399999997</v>
      </c>
      <c r="L358" s="20">
        <f>L359+L365</f>
        <v>1731076.7040000001</v>
      </c>
    </row>
    <row r="359" spans="1:12" x14ac:dyDescent="0.3">
      <c r="A359" s="84" t="s">
        <v>24</v>
      </c>
      <c r="B359" s="84"/>
      <c r="C359" s="7">
        <f t="shared" ref="C359:F359" si="223">C360+C361+C362+C363+C364</f>
        <v>4</v>
      </c>
      <c r="D359" s="7">
        <f t="shared" si="223"/>
        <v>3</v>
      </c>
      <c r="E359" s="7">
        <f t="shared" si="223"/>
        <v>3</v>
      </c>
      <c r="F359" s="7">
        <f t="shared" si="223"/>
        <v>2</v>
      </c>
      <c r="G359" s="20"/>
      <c r="H359" s="20">
        <f>H360+H361+H362+H363+H364</f>
        <v>982800</v>
      </c>
      <c r="I359" s="20">
        <f t="shared" ref="I359" si="224">I360+I361+I362+I363+I364</f>
        <v>0</v>
      </c>
      <c r="J359" s="20">
        <f>H359</f>
        <v>982800</v>
      </c>
      <c r="K359" s="20">
        <f>J359*30.2%</f>
        <v>296805.59999999998</v>
      </c>
      <c r="L359" s="20">
        <f>J359+K359</f>
        <v>1279605.6000000001</v>
      </c>
    </row>
    <row r="360" spans="1:12" x14ac:dyDescent="0.3">
      <c r="A360" s="4"/>
      <c r="B360" s="5" t="s">
        <v>25</v>
      </c>
      <c r="C360" s="33"/>
      <c r="D360" s="33"/>
      <c r="E360" s="33"/>
      <c r="F360" s="33"/>
      <c r="G360" s="19"/>
      <c r="H360" s="19">
        <f t="shared" ref="H360:H364" si="225">E360*G360*12+ ((D360-E360)*G360/2*12)</f>
        <v>0</v>
      </c>
      <c r="I360" s="19"/>
      <c r="J360" s="19"/>
      <c r="K360" s="19"/>
      <c r="L360" s="19"/>
    </row>
    <row r="361" spans="1:12" x14ac:dyDescent="0.3">
      <c r="A361" s="4"/>
      <c r="B361" s="5" t="s">
        <v>26</v>
      </c>
      <c r="C361" s="33"/>
      <c r="D361" s="33"/>
      <c r="E361" s="33"/>
      <c r="F361" s="33"/>
      <c r="G361" s="19"/>
      <c r="H361" s="19">
        <f t="shared" si="225"/>
        <v>0</v>
      </c>
      <c r="I361" s="19"/>
      <c r="J361" s="19"/>
      <c r="K361" s="19"/>
      <c r="L361" s="19"/>
    </row>
    <row r="362" spans="1:12" x14ac:dyDescent="0.3">
      <c r="A362" s="4"/>
      <c r="B362" s="5" t="s">
        <v>27</v>
      </c>
      <c r="C362" s="33"/>
      <c r="D362" s="33"/>
      <c r="E362" s="33"/>
      <c r="F362" s="33"/>
      <c r="G362" s="19"/>
      <c r="H362" s="19">
        <f t="shared" si="225"/>
        <v>0</v>
      </c>
      <c r="I362" s="19"/>
      <c r="J362" s="19"/>
      <c r="K362" s="19"/>
      <c r="L362" s="19"/>
    </row>
    <row r="363" spans="1:12" ht="28.2" x14ac:dyDescent="0.3">
      <c r="A363" s="4"/>
      <c r="B363" s="5" t="s">
        <v>28</v>
      </c>
      <c r="C363" s="33">
        <v>2</v>
      </c>
      <c r="D363" s="33">
        <v>1</v>
      </c>
      <c r="E363" s="33">
        <v>1</v>
      </c>
      <c r="F363" s="33">
        <v>1</v>
      </c>
      <c r="G363" s="19">
        <f>'расчёт зарплаты'!K26</f>
        <v>27300</v>
      </c>
      <c r="H363" s="19">
        <f t="shared" si="225"/>
        <v>327600</v>
      </c>
      <c r="I363" s="19"/>
      <c r="J363" s="19"/>
      <c r="K363" s="19"/>
      <c r="L363" s="19"/>
    </row>
    <row r="364" spans="1:12" x14ac:dyDescent="0.3">
      <c r="A364" s="4"/>
      <c r="B364" s="5" t="s">
        <v>29</v>
      </c>
      <c r="C364" s="33">
        <v>2</v>
      </c>
      <c r="D364" s="33">
        <v>2</v>
      </c>
      <c r="E364" s="33">
        <v>2</v>
      </c>
      <c r="F364" s="33">
        <v>1</v>
      </c>
      <c r="G364" s="19">
        <f>'расчёт зарплаты'!K26</f>
        <v>27300</v>
      </c>
      <c r="H364" s="19">
        <f t="shared" si="225"/>
        <v>655200</v>
      </c>
      <c r="I364" s="19"/>
      <c r="J364" s="19"/>
      <c r="K364" s="19"/>
      <c r="L364" s="19"/>
    </row>
    <row r="365" spans="1:12" x14ac:dyDescent="0.3">
      <c r="A365" s="84" t="s">
        <v>30</v>
      </c>
      <c r="B365" s="84"/>
      <c r="C365" s="7">
        <f t="shared" ref="C365:F365" si="226">C366+C367+C368</f>
        <v>1.5</v>
      </c>
      <c r="D365" s="7">
        <f t="shared" si="226"/>
        <v>1</v>
      </c>
      <c r="E365" s="7">
        <f t="shared" si="226"/>
        <v>1</v>
      </c>
      <c r="F365" s="7">
        <f t="shared" si="226"/>
        <v>1</v>
      </c>
      <c r="G365" s="20"/>
      <c r="H365" s="20">
        <f>H366+H367+H368</f>
        <v>346752</v>
      </c>
      <c r="I365" s="20">
        <f t="shared" ref="I365" si="227">I366+I367+I368</f>
        <v>0</v>
      </c>
      <c r="J365" s="20">
        <f>H365</f>
        <v>346752</v>
      </c>
      <c r="K365" s="20">
        <f>J365*30.2%</f>
        <v>104719.10399999999</v>
      </c>
      <c r="L365" s="20">
        <f>J365+K365</f>
        <v>451471.10399999999</v>
      </c>
    </row>
    <row r="366" spans="1:12" x14ac:dyDescent="0.3">
      <c r="A366" s="4"/>
      <c r="B366" s="5" t="s">
        <v>31</v>
      </c>
      <c r="C366" s="33"/>
      <c r="D366" s="33"/>
      <c r="E366" s="33"/>
      <c r="F366" s="33"/>
      <c r="G366" s="19"/>
      <c r="H366" s="19">
        <f t="shared" ref="H366:H368" si="228">E366*G366*12+ ((D366-E366)*G366/2*12)</f>
        <v>0</v>
      </c>
      <c r="I366" s="19"/>
      <c r="J366" s="19"/>
      <c r="K366" s="19"/>
      <c r="L366" s="19"/>
    </row>
    <row r="367" spans="1:12" x14ac:dyDescent="0.3">
      <c r="A367" s="4"/>
      <c r="B367" s="5" t="s">
        <v>32</v>
      </c>
      <c r="C367" s="33"/>
      <c r="D367" s="33"/>
      <c r="E367" s="33"/>
      <c r="F367" s="33"/>
      <c r="G367" s="19"/>
      <c r="H367" s="19">
        <f t="shared" si="228"/>
        <v>0</v>
      </c>
      <c r="I367" s="19"/>
      <c r="J367" s="19"/>
      <c r="K367" s="19"/>
      <c r="L367" s="19"/>
    </row>
    <row r="368" spans="1:12" x14ac:dyDescent="0.3">
      <c r="A368" s="4"/>
      <c r="B368" s="5" t="s">
        <v>33</v>
      </c>
      <c r="C368" s="33">
        <v>1.5</v>
      </c>
      <c r="D368" s="33">
        <v>1</v>
      </c>
      <c r="E368" s="33">
        <v>1</v>
      </c>
      <c r="F368" s="33">
        <v>1</v>
      </c>
      <c r="G368" s="19">
        <f>'расчёт зарплаты'!K38</f>
        <v>28896</v>
      </c>
      <c r="H368" s="19">
        <f t="shared" si="228"/>
        <v>346752</v>
      </c>
      <c r="I368" s="19"/>
      <c r="J368" s="19"/>
      <c r="K368" s="19"/>
      <c r="L368" s="19"/>
    </row>
    <row r="369" spans="1:12" x14ac:dyDescent="0.3">
      <c r="A369" s="89" t="s">
        <v>71</v>
      </c>
      <c r="B369" s="89"/>
      <c r="C369" s="89"/>
      <c r="D369" s="89"/>
      <c r="E369" s="89"/>
      <c r="F369" s="89"/>
      <c r="G369" s="89"/>
      <c r="H369" s="89"/>
      <c r="I369" s="89"/>
      <c r="J369" s="89"/>
      <c r="K369" s="89"/>
      <c r="L369" s="89"/>
    </row>
    <row r="370" spans="1:12" ht="14.4" customHeight="1" x14ac:dyDescent="0.3">
      <c r="A370" s="81" t="s">
        <v>7</v>
      </c>
      <c r="B370" s="82"/>
      <c r="C370" s="8">
        <f>C371+C388+C384</f>
        <v>16.75</v>
      </c>
      <c r="D370" s="8">
        <f>D371+D388+D384</f>
        <v>16.75</v>
      </c>
      <c r="E370" s="8">
        <f>E371+E388+E384</f>
        <v>16.75</v>
      </c>
      <c r="F370" s="8">
        <f>F371+F388+F384</f>
        <v>17</v>
      </c>
      <c r="G370" s="19"/>
      <c r="H370" s="19"/>
      <c r="I370" s="19"/>
      <c r="J370" s="19"/>
      <c r="K370" s="19"/>
      <c r="L370" s="19"/>
    </row>
    <row r="371" spans="1:12" ht="14.4" customHeight="1" x14ac:dyDescent="0.3">
      <c r="A371" s="81" t="s">
        <v>89</v>
      </c>
      <c r="B371" s="82"/>
      <c r="C371" s="40">
        <f t="shared" ref="C371:G371" si="229">SUM(C372:C383)</f>
        <v>10.75</v>
      </c>
      <c r="D371" s="40">
        <f t="shared" si="229"/>
        <v>10.75</v>
      </c>
      <c r="E371" s="40">
        <f t="shared" si="229"/>
        <v>10.75</v>
      </c>
      <c r="F371" s="40">
        <f t="shared" si="229"/>
        <v>11</v>
      </c>
      <c r="G371" s="40">
        <f t="shared" si="229"/>
        <v>116680</v>
      </c>
      <c r="H371" s="40">
        <f>SUM(H372:H383)</f>
        <v>3725568</v>
      </c>
      <c r="I371" s="20"/>
      <c r="J371" s="20">
        <f>H371-I371</f>
        <v>3725568</v>
      </c>
      <c r="K371" s="20">
        <f>J371*30.2%</f>
        <v>1125121.5360000001</v>
      </c>
      <c r="L371" s="20">
        <f>J371+K371</f>
        <v>4850689.5360000003</v>
      </c>
    </row>
    <row r="372" spans="1:12" x14ac:dyDescent="0.3">
      <c r="A372" s="4"/>
      <c r="B372" s="5" t="s">
        <v>9</v>
      </c>
      <c r="C372" s="33">
        <v>5</v>
      </c>
      <c r="D372" s="33">
        <v>5</v>
      </c>
      <c r="E372" s="33">
        <v>5</v>
      </c>
      <c r="F372" s="33">
        <v>5</v>
      </c>
      <c r="G372" s="19">
        <f>'расчёт зарплаты'!K10</f>
        <v>28208</v>
      </c>
      <c r="H372" s="19">
        <f>E372*G372*12+ ((D372-E372)*G372/2*12)</f>
        <v>1692480</v>
      </c>
      <c r="I372" s="19"/>
      <c r="J372" s="19"/>
      <c r="K372" s="19"/>
      <c r="L372" s="19">
        <f>G372*K372*12</f>
        <v>0</v>
      </c>
    </row>
    <row r="373" spans="1:12" x14ac:dyDescent="0.3">
      <c r="A373" s="4"/>
      <c r="B373" s="5" t="s">
        <v>10</v>
      </c>
      <c r="C373" s="33"/>
      <c r="D373" s="33"/>
      <c r="E373" s="33"/>
      <c r="F373" s="33"/>
      <c r="G373" s="19"/>
      <c r="H373" s="19">
        <f t="shared" ref="H373:H382" si="230">E373*G373*12+ ((D373-E373)*G373/2*12)</f>
        <v>0</v>
      </c>
      <c r="I373" s="19"/>
      <c r="J373" s="19"/>
      <c r="K373" s="19"/>
      <c r="L373" s="19"/>
    </row>
    <row r="374" spans="1:12" x14ac:dyDescent="0.3">
      <c r="A374" s="4"/>
      <c r="B374" s="5" t="s">
        <v>13</v>
      </c>
      <c r="C374" s="33">
        <v>0.75</v>
      </c>
      <c r="D374" s="33">
        <v>0.75</v>
      </c>
      <c r="E374" s="33">
        <v>0.75</v>
      </c>
      <c r="F374" s="33">
        <v>1</v>
      </c>
      <c r="G374" s="19">
        <f>'расчёт зарплаты'!K38</f>
        <v>28896</v>
      </c>
      <c r="H374" s="19">
        <f t="shared" si="230"/>
        <v>260064</v>
      </c>
      <c r="I374" s="19"/>
      <c r="J374" s="19"/>
      <c r="K374" s="19"/>
      <c r="L374" s="19"/>
    </row>
    <row r="375" spans="1:12" ht="28.2" x14ac:dyDescent="0.3">
      <c r="A375" s="4"/>
      <c r="B375" s="5" t="s">
        <v>14</v>
      </c>
      <c r="C375" s="33"/>
      <c r="D375" s="33"/>
      <c r="E375" s="33"/>
      <c r="F375" s="33"/>
      <c r="G375" s="19"/>
      <c r="H375" s="19">
        <f t="shared" si="230"/>
        <v>0</v>
      </c>
      <c r="I375" s="19"/>
      <c r="J375" s="19"/>
      <c r="K375" s="19"/>
      <c r="L375" s="19"/>
    </row>
    <row r="376" spans="1:12" x14ac:dyDescent="0.3">
      <c r="A376" s="4"/>
      <c r="B376" s="5" t="s">
        <v>15</v>
      </c>
      <c r="C376" s="33">
        <v>2</v>
      </c>
      <c r="D376" s="33">
        <v>2</v>
      </c>
      <c r="E376" s="33">
        <v>2</v>
      </c>
      <c r="F376" s="33">
        <v>2</v>
      </c>
      <c r="G376" s="19">
        <f>'расчёт зарплаты'!K34</f>
        <v>30976</v>
      </c>
      <c r="H376" s="19">
        <f t="shared" si="230"/>
        <v>743424</v>
      </c>
      <c r="I376" s="19"/>
      <c r="J376" s="19"/>
      <c r="K376" s="19"/>
      <c r="L376" s="19"/>
    </row>
    <row r="377" spans="1:12" x14ac:dyDescent="0.3">
      <c r="A377" s="4"/>
      <c r="B377" s="5" t="s">
        <v>16</v>
      </c>
      <c r="C377" s="33">
        <v>3</v>
      </c>
      <c r="D377" s="33">
        <v>3</v>
      </c>
      <c r="E377" s="33">
        <v>3</v>
      </c>
      <c r="F377" s="33">
        <v>3</v>
      </c>
      <c r="G377" s="19">
        <f>'расчёт зарплаты'!K8</f>
        <v>28600</v>
      </c>
      <c r="H377" s="19">
        <f t="shared" si="230"/>
        <v>1029600</v>
      </c>
      <c r="I377" s="19"/>
      <c r="J377" s="19"/>
      <c r="K377" s="19"/>
      <c r="L377" s="19"/>
    </row>
    <row r="378" spans="1:12" ht="42" x14ac:dyDescent="0.3">
      <c r="A378" s="4"/>
      <c r="B378" s="5" t="s">
        <v>17</v>
      </c>
      <c r="C378" s="33"/>
      <c r="D378" s="33"/>
      <c r="E378" s="33"/>
      <c r="F378" s="33"/>
      <c r="G378" s="19"/>
      <c r="H378" s="19">
        <f t="shared" si="230"/>
        <v>0</v>
      </c>
      <c r="I378" s="19"/>
      <c r="J378" s="19"/>
      <c r="K378" s="19"/>
      <c r="L378" s="19"/>
    </row>
    <row r="379" spans="1:12" ht="28.2" x14ac:dyDescent="0.3">
      <c r="A379" s="4"/>
      <c r="B379" s="5" t="s">
        <v>18</v>
      </c>
      <c r="C379" s="33"/>
      <c r="D379" s="33"/>
      <c r="E379" s="33"/>
      <c r="F379" s="33"/>
      <c r="G379" s="19"/>
      <c r="H379" s="19">
        <f t="shared" si="230"/>
        <v>0</v>
      </c>
      <c r="I379" s="19"/>
      <c r="J379" s="19"/>
      <c r="K379" s="19"/>
      <c r="L379" s="19"/>
    </row>
    <row r="380" spans="1:12" ht="42" x14ac:dyDescent="0.3">
      <c r="A380" s="4"/>
      <c r="B380" s="5" t="s">
        <v>91</v>
      </c>
      <c r="C380" s="33"/>
      <c r="D380" s="33"/>
      <c r="E380" s="33"/>
      <c r="F380" s="33"/>
      <c r="G380" s="19"/>
      <c r="H380" s="19">
        <f t="shared" si="230"/>
        <v>0</v>
      </c>
      <c r="I380" s="19"/>
      <c r="J380" s="19"/>
      <c r="K380" s="19"/>
      <c r="L380" s="19"/>
    </row>
    <row r="381" spans="1:12" x14ac:dyDescent="0.3">
      <c r="A381" s="4"/>
      <c r="B381" s="5" t="s">
        <v>20</v>
      </c>
      <c r="C381" s="33"/>
      <c r="D381" s="33"/>
      <c r="E381" s="33"/>
      <c r="F381" s="33"/>
      <c r="G381" s="19"/>
      <c r="H381" s="19">
        <f t="shared" si="230"/>
        <v>0</v>
      </c>
      <c r="I381" s="19"/>
      <c r="J381" s="19"/>
      <c r="K381" s="19"/>
      <c r="L381" s="19"/>
    </row>
    <row r="382" spans="1:12" ht="39.6" x14ac:dyDescent="0.3">
      <c r="A382" s="4"/>
      <c r="B382" s="6" t="s">
        <v>21</v>
      </c>
      <c r="C382" s="33"/>
      <c r="D382" s="33"/>
      <c r="E382" s="33"/>
      <c r="F382" s="33"/>
      <c r="G382" s="19"/>
      <c r="H382" s="19">
        <f t="shared" si="230"/>
        <v>0</v>
      </c>
      <c r="I382" s="19"/>
      <c r="J382" s="19"/>
      <c r="K382" s="19"/>
      <c r="L382" s="19"/>
    </row>
    <row r="383" spans="1:12" x14ac:dyDescent="0.3">
      <c r="A383" s="4"/>
      <c r="B383" s="5" t="s">
        <v>22</v>
      </c>
      <c r="C383" s="33"/>
      <c r="D383" s="33"/>
      <c r="E383" s="33"/>
      <c r="F383" s="33"/>
      <c r="G383" s="19"/>
      <c r="H383" s="19">
        <f t="shared" ref="H383" si="231">E383*G383*12</f>
        <v>0</v>
      </c>
      <c r="I383" s="19"/>
      <c r="J383" s="19"/>
      <c r="K383" s="19"/>
      <c r="L383" s="19"/>
    </row>
    <row r="384" spans="1:12" x14ac:dyDescent="0.3">
      <c r="A384" s="38" t="s">
        <v>57</v>
      </c>
      <c r="B384" s="39"/>
      <c r="C384" s="41">
        <f>C385+C386+C387</f>
        <v>2</v>
      </c>
      <c r="D384" s="41">
        <f t="shared" ref="D384" si="232">D385+D386+D387</f>
        <v>2</v>
      </c>
      <c r="E384" s="41">
        <f t="shared" ref="E384" si="233">E385+E386+E387</f>
        <v>2</v>
      </c>
      <c r="F384" s="41">
        <f t="shared" ref="F384" si="234">F385+F386+F387</f>
        <v>2</v>
      </c>
      <c r="G384" s="41"/>
      <c r="H384" s="42">
        <f t="shared" ref="H384" si="235">H385+H386+H387</f>
        <v>666288</v>
      </c>
      <c r="I384" s="42">
        <f t="shared" ref="I384" si="236">I385+I386+I387</f>
        <v>0</v>
      </c>
      <c r="J384" s="42">
        <f t="shared" ref="J384" si="237">J385+J386+J387</f>
        <v>0</v>
      </c>
      <c r="K384" s="42">
        <f t="shared" ref="K384" si="238">K385+K386+K387</f>
        <v>0</v>
      </c>
      <c r="L384" s="42">
        <f t="shared" ref="L384" si="239">L385+L386+L387</f>
        <v>0</v>
      </c>
    </row>
    <row r="385" spans="1:12" x14ac:dyDescent="0.3">
      <c r="A385" s="4"/>
      <c r="B385" s="5" t="s">
        <v>11</v>
      </c>
      <c r="C385" s="9"/>
      <c r="D385" s="9"/>
      <c r="E385" s="9"/>
      <c r="F385" s="9"/>
      <c r="G385" s="19">
        <f>'расчёт зарплаты'!K26</f>
        <v>27300</v>
      </c>
      <c r="H385" s="19">
        <f t="shared" ref="H385:H388" si="240">E385*G385*12+ ((D385-E385)*G385/2*12)</f>
        <v>0</v>
      </c>
      <c r="I385" s="19"/>
      <c r="J385" s="19"/>
      <c r="K385" s="19"/>
      <c r="L385" s="19"/>
    </row>
    <row r="386" spans="1:12" x14ac:dyDescent="0.3">
      <c r="A386" s="4"/>
      <c r="B386" s="5" t="s">
        <v>12</v>
      </c>
      <c r="C386" s="9">
        <v>1</v>
      </c>
      <c r="D386" s="9">
        <v>1</v>
      </c>
      <c r="E386" s="9">
        <v>1</v>
      </c>
      <c r="F386" s="9">
        <v>1</v>
      </c>
      <c r="G386" s="19">
        <f>'расчёт зарплаты'!K26</f>
        <v>27300</v>
      </c>
      <c r="H386" s="19">
        <f t="shared" si="240"/>
        <v>327600</v>
      </c>
      <c r="I386" s="19"/>
      <c r="J386" s="19"/>
      <c r="K386" s="19"/>
      <c r="L386" s="19"/>
    </row>
    <row r="387" spans="1:12" ht="28.2" x14ac:dyDescent="0.3">
      <c r="A387" s="4"/>
      <c r="B387" s="5" t="s">
        <v>19</v>
      </c>
      <c r="C387" s="9">
        <v>1</v>
      </c>
      <c r="D387" s="9">
        <v>1</v>
      </c>
      <c r="E387" s="9">
        <v>1</v>
      </c>
      <c r="F387" s="9">
        <v>1</v>
      </c>
      <c r="G387" s="19">
        <f>'расчёт зарплаты'!K40</f>
        <v>28224</v>
      </c>
      <c r="H387" s="19">
        <f t="shared" si="240"/>
        <v>338688</v>
      </c>
      <c r="I387" s="19"/>
      <c r="J387" s="19"/>
      <c r="K387" s="19"/>
      <c r="L387" s="19"/>
    </row>
    <row r="388" spans="1:12" x14ac:dyDescent="0.3">
      <c r="A388" s="83" t="s">
        <v>23</v>
      </c>
      <c r="B388" s="83"/>
      <c r="C388" s="7">
        <f t="shared" ref="C388:F388" si="241">C389+C395</f>
        <v>4</v>
      </c>
      <c r="D388" s="7">
        <f t="shared" si="241"/>
        <v>4</v>
      </c>
      <c r="E388" s="7">
        <f t="shared" si="241"/>
        <v>4</v>
      </c>
      <c r="F388" s="7">
        <f t="shared" si="241"/>
        <v>4</v>
      </c>
      <c r="G388" s="19"/>
      <c r="H388" s="19">
        <f t="shared" si="240"/>
        <v>0</v>
      </c>
      <c r="I388" s="19"/>
      <c r="J388" s="20">
        <f t="shared" ref="J388:K388" si="242">J389+J395</f>
        <v>1354512</v>
      </c>
      <c r="K388" s="20">
        <f t="shared" si="242"/>
        <v>409062.62399999995</v>
      </c>
      <c r="L388" s="20">
        <f>L389+L395</f>
        <v>1763574.6239999998</v>
      </c>
    </row>
    <row r="389" spans="1:12" x14ac:dyDescent="0.3">
      <c r="A389" s="84" t="s">
        <v>24</v>
      </c>
      <c r="B389" s="84"/>
      <c r="C389" s="7">
        <f t="shared" ref="C389:F389" si="243">C390+C391+C392+C393+C394</f>
        <v>2</v>
      </c>
      <c r="D389" s="7">
        <f t="shared" si="243"/>
        <v>2</v>
      </c>
      <c r="E389" s="7">
        <f t="shared" si="243"/>
        <v>2</v>
      </c>
      <c r="F389" s="7">
        <f t="shared" si="243"/>
        <v>2</v>
      </c>
      <c r="G389" s="20"/>
      <c r="H389" s="20">
        <f>H390+H391+H392+H393+H394</f>
        <v>655200</v>
      </c>
      <c r="I389" s="20">
        <f t="shared" ref="I389" si="244">I390+I391+I392+I393+I394</f>
        <v>0</v>
      </c>
      <c r="J389" s="20">
        <f>H389</f>
        <v>655200</v>
      </c>
      <c r="K389" s="20">
        <f>J389*30.2%</f>
        <v>197870.4</v>
      </c>
      <c r="L389" s="20">
        <f>J389+K389</f>
        <v>853070.4</v>
      </c>
    </row>
    <row r="390" spans="1:12" x14ac:dyDescent="0.3">
      <c r="A390" s="4"/>
      <c r="B390" s="5" t="s">
        <v>25</v>
      </c>
      <c r="C390" s="33"/>
      <c r="D390" s="33"/>
      <c r="E390" s="33"/>
      <c r="F390" s="33"/>
      <c r="G390" s="19"/>
      <c r="H390" s="19">
        <f t="shared" ref="H390:H394" si="245">E390*G390*12+ ((D390-E390)*G390/2*12)</f>
        <v>0</v>
      </c>
      <c r="I390" s="19"/>
      <c r="J390" s="19"/>
      <c r="K390" s="19"/>
      <c r="L390" s="19"/>
    </row>
    <row r="391" spans="1:12" x14ac:dyDescent="0.3">
      <c r="A391" s="4"/>
      <c r="B391" s="5" t="s">
        <v>26</v>
      </c>
      <c r="C391" s="33"/>
      <c r="D391" s="33"/>
      <c r="E391" s="33"/>
      <c r="F391" s="33"/>
      <c r="G391" s="19"/>
      <c r="H391" s="19">
        <f t="shared" si="245"/>
        <v>0</v>
      </c>
      <c r="I391" s="19"/>
      <c r="J391" s="19"/>
      <c r="K391" s="19"/>
      <c r="L391" s="19"/>
    </row>
    <row r="392" spans="1:12" x14ac:dyDescent="0.3">
      <c r="A392" s="4"/>
      <c r="B392" s="5" t="s">
        <v>27</v>
      </c>
      <c r="C392" s="33"/>
      <c r="D392" s="33"/>
      <c r="E392" s="33"/>
      <c r="F392" s="33"/>
      <c r="G392" s="19"/>
      <c r="H392" s="19">
        <f t="shared" si="245"/>
        <v>0</v>
      </c>
      <c r="I392" s="19"/>
      <c r="J392" s="19"/>
      <c r="K392" s="19"/>
      <c r="L392" s="19"/>
    </row>
    <row r="393" spans="1:12" ht="28.2" x14ac:dyDescent="0.3">
      <c r="A393" s="4"/>
      <c r="B393" s="5" t="s">
        <v>28</v>
      </c>
      <c r="C393" s="33">
        <v>1</v>
      </c>
      <c r="D393" s="33">
        <v>1</v>
      </c>
      <c r="E393" s="33">
        <v>1</v>
      </c>
      <c r="F393" s="33">
        <v>1</v>
      </c>
      <c r="G393" s="19">
        <f>'расчёт зарплаты'!K26</f>
        <v>27300</v>
      </c>
      <c r="H393" s="19">
        <f t="shared" si="245"/>
        <v>327600</v>
      </c>
      <c r="I393" s="19"/>
      <c r="J393" s="19"/>
      <c r="K393" s="19"/>
      <c r="L393" s="19"/>
    </row>
    <row r="394" spans="1:12" x14ac:dyDescent="0.3">
      <c r="A394" s="4"/>
      <c r="B394" s="5" t="s">
        <v>29</v>
      </c>
      <c r="C394" s="33">
        <v>1</v>
      </c>
      <c r="D394" s="33">
        <v>1</v>
      </c>
      <c r="E394" s="33">
        <v>1</v>
      </c>
      <c r="F394" s="33">
        <v>1</v>
      </c>
      <c r="G394" s="19">
        <f>'расчёт зарплаты'!K26</f>
        <v>27300</v>
      </c>
      <c r="H394" s="19">
        <f t="shared" si="245"/>
        <v>327600</v>
      </c>
      <c r="I394" s="19"/>
      <c r="J394" s="19"/>
      <c r="K394" s="19"/>
      <c r="L394" s="19"/>
    </row>
    <row r="395" spans="1:12" x14ac:dyDescent="0.3">
      <c r="A395" s="84" t="s">
        <v>30</v>
      </c>
      <c r="B395" s="84"/>
      <c r="C395" s="7">
        <f t="shared" ref="C395:F395" si="246">C396+C397+C398</f>
        <v>2</v>
      </c>
      <c r="D395" s="7">
        <f t="shared" si="246"/>
        <v>2</v>
      </c>
      <c r="E395" s="7">
        <f t="shared" si="246"/>
        <v>2</v>
      </c>
      <c r="F395" s="7">
        <f t="shared" si="246"/>
        <v>2</v>
      </c>
      <c r="G395" s="20"/>
      <c r="H395" s="20">
        <f>H396+H397+H398</f>
        <v>699312</v>
      </c>
      <c r="I395" s="20">
        <f t="shared" ref="I395" si="247">I396+I397+I398</f>
        <v>0</v>
      </c>
      <c r="J395" s="20">
        <f>H395</f>
        <v>699312</v>
      </c>
      <c r="K395" s="20">
        <f>J395*30.2%</f>
        <v>211192.22399999999</v>
      </c>
      <c r="L395" s="20">
        <f>J395+K395</f>
        <v>910504.22399999993</v>
      </c>
    </row>
    <row r="396" spans="1:12" x14ac:dyDescent="0.3">
      <c r="A396" s="4"/>
      <c r="B396" s="5" t="s">
        <v>31</v>
      </c>
      <c r="C396" s="33">
        <v>1</v>
      </c>
      <c r="D396" s="33">
        <v>1</v>
      </c>
      <c r="E396" s="33">
        <v>1</v>
      </c>
      <c r="F396" s="33">
        <v>1</v>
      </c>
      <c r="G396" s="19">
        <f>'расчёт зарплаты'!K34</f>
        <v>30976</v>
      </c>
      <c r="H396" s="19">
        <f t="shared" ref="H396:H398" si="248">E396*G396*12+ ((D396-E396)*G396/2*12)</f>
        <v>371712</v>
      </c>
      <c r="I396" s="19"/>
      <c r="J396" s="19"/>
      <c r="K396" s="19"/>
      <c r="L396" s="19"/>
    </row>
    <row r="397" spans="1:12" x14ac:dyDescent="0.3">
      <c r="A397" s="4"/>
      <c r="B397" s="5" t="s">
        <v>32</v>
      </c>
      <c r="C397" s="33"/>
      <c r="D397" s="33"/>
      <c r="E397" s="33"/>
      <c r="F397" s="33"/>
      <c r="G397" s="19"/>
      <c r="H397" s="19">
        <f t="shared" si="248"/>
        <v>0</v>
      </c>
      <c r="I397" s="19"/>
      <c r="J397" s="19"/>
      <c r="K397" s="19"/>
      <c r="L397" s="19"/>
    </row>
    <row r="398" spans="1:12" x14ac:dyDescent="0.3">
      <c r="A398" s="4"/>
      <c r="B398" s="5" t="s">
        <v>33</v>
      </c>
      <c r="C398" s="33">
        <v>1</v>
      </c>
      <c r="D398" s="33">
        <v>1</v>
      </c>
      <c r="E398" s="33">
        <v>1</v>
      </c>
      <c r="F398" s="33">
        <v>1</v>
      </c>
      <c r="G398" s="19">
        <f>'расчёт зарплаты'!K26</f>
        <v>27300</v>
      </c>
      <c r="H398" s="19">
        <f t="shared" si="248"/>
        <v>327600</v>
      </c>
      <c r="I398" s="19"/>
      <c r="J398" s="19"/>
      <c r="K398" s="19"/>
      <c r="L398" s="19"/>
    </row>
    <row r="399" spans="1:12" x14ac:dyDescent="0.3">
      <c r="A399" s="89" t="s">
        <v>72</v>
      </c>
      <c r="B399" s="89"/>
      <c r="C399" s="89"/>
      <c r="D399" s="89"/>
      <c r="E399" s="89"/>
      <c r="F399" s="89"/>
      <c r="G399" s="89"/>
      <c r="H399" s="89"/>
      <c r="I399" s="89"/>
      <c r="J399" s="89"/>
      <c r="K399" s="89"/>
      <c r="L399" s="89"/>
    </row>
    <row r="400" spans="1:12" ht="14.4" customHeight="1" x14ac:dyDescent="0.3">
      <c r="A400" s="81" t="s">
        <v>7</v>
      </c>
      <c r="B400" s="82"/>
      <c r="C400" s="8">
        <f>C401+C418+C414</f>
        <v>55.25</v>
      </c>
      <c r="D400" s="8">
        <f>D401+D418+D414</f>
        <v>47.75</v>
      </c>
      <c r="E400" s="8">
        <f>E401+E418+E414</f>
        <v>41.9</v>
      </c>
      <c r="F400" s="8">
        <f>F401+F418+F414</f>
        <v>42</v>
      </c>
      <c r="G400" s="19"/>
      <c r="H400" s="19"/>
      <c r="I400" s="19"/>
      <c r="J400" s="19"/>
      <c r="K400" s="19"/>
      <c r="L400" s="19"/>
    </row>
    <row r="401" spans="1:12" ht="14.4" customHeight="1" x14ac:dyDescent="0.3">
      <c r="A401" s="81" t="s">
        <v>89</v>
      </c>
      <c r="B401" s="82"/>
      <c r="C401" s="40">
        <f t="shared" ref="C401:G401" si="249">SUM(C402:C413)</f>
        <v>39</v>
      </c>
      <c r="D401" s="40">
        <f t="shared" si="249"/>
        <v>33</v>
      </c>
      <c r="E401" s="40">
        <f t="shared" si="249"/>
        <v>29.9</v>
      </c>
      <c r="F401" s="40">
        <f t="shared" si="249"/>
        <v>30</v>
      </c>
      <c r="G401" s="40">
        <f t="shared" si="249"/>
        <v>148328</v>
      </c>
      <c r="H401" s="40">
        <f>SUM(H402:H413)</f>
        <v>10877011.199999999</v>
      </c>
      <c r="I401" s="20"/>
      <c r="J401" s="20">
        <f>H401-I401</f>
        <v>10877011.199999999</v>
      </c>
      <c r="K401" s="20">
        <f>J401*30.2%</f>
        <v>3284857.3823999995</v>
      </c>
      <c r="L401" s="20">
        <f>J401+K401</f>
        <v>14161868.582399998</v>
      </c>
    </row>
    <row r="402" spans="1:12" x14ac:dyDescent="0.3">
      <c r="A402" s="4"/>
      <c r="B402" s="5" t="s">
        <v>9</v>
      </c>
      <c r="C402" s="33">
        <v>23</v>
      </c>
      <c r="D402" s="33">
        <v>18</v>
      </c>
      <c r="E402" s="33">
        <v>17.399999999999999</v>
      </c>
      <c r="F402" s="33">
        <v>17</v>
      </c>
      <c r="G402" s="19">
        <f>'расчёт зарплаты'!K10</f>
        <v>28208</v>
      </c>
      <c r="H402" s="19">
        <f>E402*G402*12+ ((D402-E402)*G402/2*12)</f>
        <v>5991379.1999999993</v>
      </c>
      <c r="I402" s="19"/>
      <c r="J402" s="19"/>
      <c r="K402" s="19"/>
      <c r="L402" s="19">
        <f>G402*K402*12</f>
        <v>0</v>
      </c>
    </row>
    <row r="403" spans="1:12" x14ac:dyDescent="0.3">
      <c r="A403" s="4"/>
      <c r="B403" s="5" t="s">
        <v>10</v>
      </c>
      <c r="C403" s="33"/>
      <c r="D403" s="33"/>
      <c r="E403" s="33"/>
      <c r="F403" s="33"/>
      <c r="G403" s="19"/>
      <c r="H403" s="19">
        <f t="shared" ref="H403:H412" si="250">E403*G403*12+ ((D403-E403)*G403/2*12)</f>
        <v>0</v>
      </c>
      <c r="I403" s="19"/>
      <c r="J403" s="19"/>
      <c r="K403" s="19"/>
      <c r="L403" s="19"/>
    </row>
    <row r="404" spans="1:12" x14ac:dyDescent="0.3">
      <c r="A404" s="4"/>
      <c r="B404" s="5" t="s">
        <v>13</v>
      </c>
      <c r="C404" s="33">
        <v>4</v>
      </c>
      <c r="D404" s="33">
        <v>3</v>
      </c>
      <c r="E404" s="33">
        <v>2</v>
      </c>
      <c r="F404" s="33">
        <v>2</v>
      </c>
      <c r="G404" s="19">
        <f>'расчёт зарплаты'!K38</f>
        <v>28896</v>
      </c>
      <c r="H404" s="19">
        <f t="shared" si="250"/>
        <v>866880</v>
      </c>
      <c r="I404" s="19"/>
      <c r="J404" s="19"/>
      <c r="K404" s="19"/>
      <c r="L404" s="19"/>
    </row>
    <row r="405" spans="1:12" ht="28.2" x14ac:dyDescent="0.3">
      <c r="A405" s="4"/>
      <c r="B405" s="5" t="s">
        <v>14</v>
      </c>
      <c r="C405" s="33"/>
      <c r="D405" s="33"/>
      <c r="E405" s="33"/>
      <c r="F405" s="33"/>
      <c r="G405" s="19"/>
      <c r="H405" s="19">
        <f t="shared" si="250"/>
        <v>0</v>
      </c>
      <c r="I405" s="19"/>
      <c r="J405" s="19"/>
      <c r="K405" s="19"/>
      <c r="L405" s="19"/>
    </row>
    <row r="406" spans="1:12" x14ac:dyDescent="0.3">
      <c r="A406" s="4"/>
      <c r="B406" s="5" t="s">
        <v>15</v>
      </c>
      <c r="C406" s="33">
        <v>5</v>
      </c>
      <c r="D406" s="33">
        <v>5</v>
      </c>
      <c r="E406" s="33">
        <v>3.5</v>
      </c>
      <c r="F406" s="33">
        <v>4</v>
      </c>
      <c r="G406" s="19">
        <f>'расчёт зарплаты'!K34</f>
        <v>30976</v>
      </c>
      <c r="H406" s="19">
        <f t="shared" si="250"/>
        <v>1579776</v>
      </c>
      <c r="I406" s="19"/>
      <c r="J406" s="19"/>
      <c r="K406" s="19"/>
      <c r="L406" s="19"/>
    </row>
    <row r="407" spans="1:12" x14ac:dyDescent="0.3">
      <c r="A407" s="4"/>
      <c r="B407" s="5" t="s">
        <v>16</v>
      </c>
      <c r="C407" s="33">
        <v>6</v>
      </c>
      <c r="D407" s="33">
        <v>6</v>
      </c>
      <c r="E407" s="33">
        <v>6</v>
      </c>
      <c r="F407" s="33">
        <v>6</v>
      </c>
      <c r="G407" s="19">
        <f>'расчёт зарплаты'!K8</f>
        <v>28600</v>
      </c>
      <c r="H407" s="19">
        <f t="shared" si="250"/>
        <v>2059200</v>
      </c>
      <c r="I407" s="19"/>
      <c r="J407" s="19"/>
      <c r="K407" s="19"/>
      <c r="L407" s="19"/>
    </row>
    <row r="408" spans="1:12" ht="42" x14ac:dyDescent="0.3">
      <c r="A408" s="4"/>
      <c r="B408" s="5" t="s">
        <v>17</v>
      </c>
      <c r="C408" s="33"/>
      <c r="D408" s="33"/>
      <c r="E408" s="33"/>
      <c r="F408" s="33"/>
      <c r="G408" s="19"/>
      <c r="H408" s="19">
        <f t="shared" si="250"/>
        <v>0</v>
      </c>
      <c r="I408" s="19"/>
      <c r="J408" s="19"/>
      <c r="K408" s="19"/>
      <c r="L408" s="19"/>
    </row>
    <row r="409" spans="1:12" ht="28.2" x14ac:dyDescent="0.3">
      <c r="A409" s="4"/>
      <c r="B409" s="5" t="s">
        <v>18</v>
      </c>
      <c r="C409" s="33">
        <v>1</v>
      </c>
      <c r="D409" s="33">
        <v>1</v>
      </c>
      <c r="E409" s="33">
        <v>1</v>
      </c>
      <c r="F409" s="33">
        <v>1</v>
      </c>
      <c r="G409" s="19">
        <f>'расчёт зарплаты'!K20</f>
        <v>31648</v>
      </c>
      <c r="H409" s="19">
        <f t="shared" si="250"/>
        <v>379776</v>
      </c>
      <c r="I409" s="19"/>
      <c r="J409" s="19"/>
      <c r="K409" s="19"/>
      <c r="L409" s="19"/>
    </row>
    <row r="410" spans="1:12" ht="42" x14ac:dyDescent="0.3">
      <c r="A410" s="4"/>
      <c r="B410" s="5" t="s">
        <v>91</v>
      </c>
      <c r="C410" s="33"/>
      <c r="D410" s="33"/>
      <c r="E410" s="33"/>
      <c r="F410" s="33"/>
      <c r="G410" s="19"/>
      <c r="H410" s="19">
        <f t="shared" si="250"/>
        <v>0</v>
      </c>
      <c r="I410" s="19"/>
      <c r="J410" s="19"/>
      <c r="K410" s="19"/>
      <c r="L410" s="19"/>
    </row>
    <row r="411" spans="1:12" x14ac:dyDescent="0.3">
      <c r="A411" s="4"/>
      <c r="B411" s="5" t="s">
        <v>20</v>
      </c>
      <c r="C411" s="33"/>
      <c r="D411" s="33"/>
      <c r="E411" s="33"/>
      <c r="F411" s="33"/>
      <c r="G411" s="19"/>
      <c r="H411" s="19">
        <f t="shared" si="250"/>
        <v>0</v>
      </c>
      <c r="I411" s="19"/>
      <c r="J411" s="19"/>
      <c r="K411" s="19"/>
      <c r="L411" s="19"/>
    </row>
    <row r="412" spans="1:12" ht="39.6" x14ac:dyDescent="0.3">
      <c r="A412" s="4"/>
      <c r="B412" s="6" t="s">
        <v>21</v>
      </c>
      <c r="C412" s="33"/>
      <c r="D412" s="33"/>
      <c r="E412" s="33"/>
      <c r="F412" s="33"/>
      <c r="G412" s="19"/>
      <c r="H412" s="19">
        <f t="shared" si="250"/>
        <v>0</v>
      </c>
      <c r="I412" s="19"/>
      <c r="J412" s="19"/>
      <c r="K412" s="19"/>
      <c r="L412" s="19"/>
    </row>
    <row r="413" spans="1:12" x14ac:dyDescent="0.3">
      <c r="A413" s="4"/>
      <c r="B413" s="5" t="s">
        <v>22</v>
      </c>
      <c r="C413" s="33"/>
      <c r="D413" s="33"/>
      <c r="E413" s="33"/>
      <c r="F413" s="33"/>
      <c r="G413" s="19"/>
      <c r="H413" s="19">
        <f t="shared" ref="H413" si="251">E413*G413*12</f>
        <v>0</v>
      </c>
      <c r="I413" s="19"/>
      <c r="J413" s="19"/>
      <c r="K413" s="19"/>
      <c r="L413" s="19"/>
    </row>
    <row r="414" spans="1:12" x14ac:dyDescent="0.3">
      <c r="A414" s="38" t="s">
        <v>57</v>
      </c>
      <c r="B414" s="39"/>
      <c r="C414" s="41">
        <f>C415+C416+C417</f>
        <v>7</v>
      </c>
      <c r="D414" s="41">
        <f t="shared" ref="D414" si="252">D415+D416+D417</f>
        <v>6</v>
      </c>
      <c r="E414" s="41">
        <f t="shared" ref="E414" si="253">E415+E416+E417</f>
        <v>4</v>
      </c>
      <c r="F414" s="41">
        <f t="shared" ref="F414" si="254">F415+F416+F417</f>
        <v>4</v>
      </c>
      <c r="G414" s="41"/>
      <c r="H414" s="41">
        <f t="shared" ref="H414" si="255">H415+H416+H417</f>
        <v>1657404</v>
      </c>
      <c r="I414" s="42">
        <f t="shared" ref="I414" si="256">I415+I416+I417</f>
        <v>0</v>
      </c>
      <c r="J414" s="42">
        <f t="shared" ref="J414" si="257">J415+J416+J417</f>
        <v>0</v>
      </c>
      <c r="K414" s="42">
        <f t="shared" ref="K414" si="258">K415+K416+K417</f>
        <v>0</v>
      </c>
      <c r="L414" s="42">
        <f t="shared" ref="L414" si="259">L415+L416+L417</f>
        <v>0</v>
      </c>
    </row>
    <row r="415" spans="1:12" x14ac:dyDescent="0.3">
      <c r="A415" s="4"/>
      <c r="B415" s="5" t="s">
        <v>11</v>
      </c>
      <c r="C415" s="9">
        <v>2.5</v>
      </c>
      <c r="D415" s="9">
        <v>1.5</v>
      </c>
      <c r="E415" s="9">
        <v>1</v>
      </c>
      <c r="F415" s="9">
        <v>1</v>
      </c>
      <c r="G415" s="19">
        <f>'расчёт зарплаты'!K26</f>
        <v>27300</v>
      </c>
      <c r="H415" s="19">
        <f t="shared" ref="H415:H418" si="260">E415*G415*12+ ((D415-E415)*G415/2*12)</f>
        <v>409500</v>
      </c>
      <c r="I415" s="19"/>
      <c r="J415" s="19"/>
      <c r="K415" s="19"/>
      <c r="L415" s="19"/>
    </row>
    <row r="416" spans="1:12" x14ac:dyDescent="0.3">
      <c r="A416" s="4"/>
      <c r="B416" s="5" t="s">
        <v>12</v>
      </c>
      <c r="C416" s="9">
        <v>2</v>
      </c>
      <c r="D416" s="9">
        <v>2</v>
      </c>
      <c r="E416" s="9">
        <v>2</v>
      </c>
      <c r="F416" s="9">
        <v>2</v>
      </c>
      <c r="G416" s="19">
        <f>'расчёт зарплаты'!K26</f>
        <v>27300</v>
      </c>
      <c r="H416" s="19">
        <f t="shared" si="260"/>
        <v>655200</v>
      </c>
      <c r="I416" s="19"/>
      <c r="J416" s="19"/>
      <c r="K416" s="19"/>
      <c r="L416" s="19"/>
    </row>
    <row r="417" spans="1:12" ht="28.2" x14ac:dyDescent="0.3">
      <c r="A417" s="4"/>
      <c r="B417" s="5" t="s">
        <v>19</v>
      </c>
      <c r="C417" s="9">
        <v>2.5</v>
      </c>
      <c r="D417" s="9">
        <v>2.5</v>
      </c>
      <c r="E417" s="9">
        <v>1</v>
      </c>
      <c r="F417" s="9">
        <v>1</v>
      </c>
      <c r="G417" s="19">
        <f>'расчёт зарплаты'!K40</f>
        <v>28224</v>
      </c>
      <c r="H417" s="19">
        <f t="shared" si="260"/>
        <v>592704</v>
      </c>
      <c r="I417" s="19"/>
      <c r="J417" s="19"/>
      <c r="K417" s="19"/>
      <c r="L417" s="19"/>
    </row>
    <row r="418" spans="1:12" x14ac:dyDescent="0.3">
      <c r="A418" s="83" t="s">
        <v>23</v>
      </c>
      <c r="B418" s="83"/>
      <c r="C418" s="7">
        <f t="shared" ref="C418:F418" si="261">C419+C425</f>
        <v>9.25</v>
      </c>
      <c r="D418" s="7">
        <f t="shared" si="261"/>
        <v>8.75</v>
      </c>
      <c r="E418" s="7">
        <f t="shared" si="261"/>
        <v>8</v>
      </c>
      <c r="F418" s="7">
        <f t="shared" si="261"/>
        <v>8</v>
      </c>
      <c r="G418" s="19"/>
      <c r="H418" s="19">
        <f t="shared" si="260"/>
        <v>0</v>
      </c>
      <c r="I418" s="19"/>
      <c r="J418" s="20">
        <f t="shared" ref="J418:K418" si="262">J419+J425</f>
        <v>2816490</v>
      </c>
      <c r="K418" s="20">
        <f t="shared" si="262"/>
        <v>850579.98</v>
      </c>
      <c r="L418" s="20">
        <f>L419+L425</f>
        <v>3667069.9799999995</v>
      </c>
    </row>
    <row r="419" spans="1:12" x14ac:dyDescent="0.3">
      <c r="A419" s="84" t="s">
        <v>24</v>
      </c>
      <c r="B419" s="84"/>
      <c r="C419" s="7">
        <f t="shared" ref="C419:F419" si="263">C420+C421+C422+C423+C424</f>
        <v>5.75</v>
      </c>
      <c r="D419" s="7">
        <f t="shared" si="263"/>
        <v>5.75</v>
      </c>
      <c r="E419" s="7">
        <f t="shared" si="263"/>
        <v>6</v>
      </c>
      <c r="F419" s="7">
        <f t="shared" si="263"/>
        <v>6</v>
      </c>
      <c r="G419" s="20"/>
      <c r="H419" s="20">
        <f>H420+H421+H422+H423+H424</f>
        <v>1924650</v>
      </c>
      <c r="I419" s="20">
        <f t="shared" ref="I419" si="264">I420+I421+I422+I423+I424</f>
        <v>0</v>
      </c>
      <c r="J419" s="20">
        <f>H419</f>
        <v>1924650</v>
      </c>
      <c r="K419" s="20">
        <f>J419*30.2%</f>
        <v>581244.29999999993</v>
      </c>
      <c r="L419" s="20">
        <f>J419+K419</f>
        <v>2505894.2999999998</v>
      </c>
    </row>
    <row r="420" spans="1:12" x14ac:dyDescent="0.3">
      <c r="A420" s="4"/>
      <c r="B420" s="5" t="s">
        <v>25</v>
      </c>
      <c r="C420" s="33"/>
      <c r="D420" s="33"/>
      <c r="E420" s="33"/>
      <c r="F420" s="33"/>
      <c r="G420" s="19"/>
      <c r="H420" s="19">
        <f t="shared" ref="H420:H424" si="265">E420*G420*12+ ((D420-E420)*G420/2*12)</f>
        <v>0</v>
      </c>
      <c r="I420" s="19"/>
      <c r="J420" s="19"/>
      <c r="K420" s="19"/>
      <c r="L420" s="19"/>
    </row>
    <row r="421" spans="1:12" x14ac:dyDescent="0.3">
      <c r="A421" s="4"/>
      <c r="B421" s="5" t="s">
        <v>26</v>
      </c>
      <c r="C421" s="33"/>
      <c r="D421" s="33"/>
      <c r="E421" s="33"/>
      <c r="F421" s="33"/>
      <c r="G421" s="19"/>
      <c r="H421" s="19">
        <f t="shared" si="265"/>
        <v>0</v>
      </c>
      <c r="I421" s="19"/>
      <c r="J421" s="19"/>
      <c r="K421" s="19"/>
      <c r="L421" s="19"/>
    </row>
    <row r="422" spans="1:12" x14ac:dyDescent="0.3">
      <c r="A422" s="4"/>
      <c r="B422" s="5" t="s">
        <v>27</v>
      </c>
      <c r="C422" s="33"/>
      <c r="D422" s="33"/>
      <c r="E422" s="33"/>
      <c r="F422" s="33"/>
      <c r="G422" s="19"/>
      <c r="H422" s="19">
        <f t="shared" si="265"/>
        <v>0</v>
      </c>
      <c r="I422" s="19"/>
      <c r="J422" s="19"/>
      <c r="K422" s="19"/>
      <c r="L422" s="19"/>
    </row>
    <row r="423" spans="1:12" ht="28.2" x14ac:dyDescent="0.3">
      <c r="A423" s="4"/>
      <c r="B423" s="5" t="s">
        <v>28</v>
      </c>
      <c r="C423" s="33">
        <v>2.5</v>
      </c>
      <c r="D423" s="33">
        <v>2.5</v>
      </c>
      <c r="E423" s="33">
        <v>3</v>
      </c>
      <c r="F423" s="33">
        <v>3</v>
      </c>
      <c r="G423" s="19">
        <f>'расчёт зарплаты'!K26</f>
        <v>27300</v>
      </c>
      <c r="H423" s="19">
        <f t="shared" si="265"/>
        <v>900900</v>
      </c>
      <c r="I423" s="19"/>
      <c r="J423" s="19"/>
      <c r="K423" s="19"/>
      <c r="L423" s="19"/>
    </row>
    <row r="424" spans="1:12" x14ac:dyDescent="0.3">
      <c r="A424" s="4"/>
      <c r="B424" s="5" t="s">
        <v>29</v>
      </c>
      <c r="C424" s="33">
        <v>3.25</v>
      </c>
      <c r="D424" s="33">
        <v>3.25</v>
      </c>
      <c r="E424" s="33">
        <v>3</v>
      </c>
      <c r="F424" s="33">
        <v>3</v>
      </c>
      <c r="G424" s="19">
        <f>'расчёт зарплаты'!K26</f>
        <v>27300</v>
      </c>
      <c r="H424" s="19">
        <f t="shared" si="265"/>
        <v>1023750</v>
      </c>
      <c r="I424" s="19"/>
      <c r="J424" s="19"/>
      <c r="K424" s="19"/>
      <c r="L424" s="19"/>
    </row>
    <row r="425" spans="1:12" x14ac:dyDescent="0.3">
      <c r="A425" s="84" t="s">
        <v>30</v>
      </c>
      <c r="B425" s="84"/>
      <c r="C425" s="7">
        <f t="shared" ref="C425:F425" si="266">C426+C427+C428</f>
        <v>3.5</v>
      </c>
      <c r="D425" s="7">
        <f t="shared" si="266"/>
        <v>3</v>
      </c>
      <c r="E425" s="7">
        <f t="shared" si="266"/>
        <v>2</v>
      </c>
      <c r="F425" s="7">
        <f t="shared" si="266"/>
        <v>2</v>
      </c>
      <c r="G425" s="20"/>
      <c r="H425" s="20">
        <f>H426+H427+H428</f>
        <v>891840</v>
      </c>
      <c r="I425" s="20">
        <f t="shared" ref="I425" si="267">I426+I427+I428</f>
        <v>0</v>
      </c>
      <c r="J425" s="20">
        <f>H425</f>
        <v>891840</v>
      </c>
      <c r="K425" s="20">
        <f>J425*30.2%</f>
        <v>269335.67999999999</v>
      </c>
      <c r="L425" s="20">
        <f>J425+K425</f>
        <v>1161175.68</v>
      </c>
    </row>
    <row r="426" spans="1:12" x14ac:dyDescent="0.3">
      <c r="A426" s="4"/>
      <c r="B426" s="5" t="s">
        <v>31</v>
      </c>
      <c r="C426" s="33">
        <v>1</v>
      </c>
      <c r="D426" s="33">
        <v>1</v>
      </c>
      <c r="E426" s="33">
        <v>1</v>
      </c>
      <c r="F426" s="33">
        <v>1</v>
      </c>
      <c r="G426" s="19">
        <f>'расчёт зарплаты'!K34</f>
        <v>30976</v>
      </c>
      <c r="H426" s="19">
        <f t="shared" ref="H426:H428" si="268">E426*G426*12+ ((D426-E426)*G426/2*12)</f>
        <v>371712</v>
      </c>
      <c r="I426" s="19"/>
      <c r="J426" s="19"/>
      <c r="K426" s="19"/>
      <c r="L426" s="19"/>
    </row>
    <row r="427" spans="1:12" x14ac:dyDescent="0.3">
      <c r="A427" s="4"/>
      <c r="B427" s="5" t="s">
        <v>32</v>
      </c>
      <c r="C427" s="33"/>
      <c r="D427" s="33"/>
      <c r="E427" s="33"/>
      <c r="F427" s="33"/>
      <c r="G427" s="19"/>
      <c r="H427" s="19">
        <f t="shared" si="268"/>
        <v>0</v>
      </c>
      <c r="I427" s="19"/>
      <c r="J427" s="19"/>
      <c r="K427" s="19"/>
      <c r="L427" s="19"/>
    </row>
    <row r="428" spans="1:12" x14ac:dyDescent="0.3">
      <c r="A428" s="4"/>
      <c r="B428" s="5" t="s">
        <v>33</v>
      </c>
      <c r="C428" s="33">
        <v>2.5</v>
      </c>
      <c r="D428" s="33">
        <v>2</v>
      </c>
      <c r="E428" s="33">
        <v>1</v>
      </c>
      <c r="F428" s="33">
        <v>1</v>
      </c>
      <c r="G428" s="19">
        <f>'расчёт зарплаты'!K38</f>
        <v>28896</v>
      </c>
      <c r="H428" s="19">
        <f t="shared" si="268"/>
        <v>520128</v>
      </c>
      <c r="I428" s="19"/>
      <c r="J428" s="19"/>
      <c r="K428" s="19"/>
      <c r="L428" s="19"/>
    </row>
    <row r="429" spans="1:12" x14ac:dyDescent="0.3">
      <c r="A429" s="89" t="s">
        <v>73</v>
      </c>
      <c r="B429" s="89"/>
      <c r="C429" s="89"/>
      <c r="D429" s="89"/>
      <c r="E429" s="89"/>
      <c r="F429" s="89"/>
      <c r="G429" s="89"/>
      <c r="H429" s="89"/>
      <c r="I429" s="89"/>
      <c r="J429" s="89"/>
      <c r="K429" s="89"/>
      <c r="L429" s="89"/>
    </row>
    <row r="430" spans="1:12" ht="14.4" customHeight="1" x14ac:dyDescent="0.3">
      <c r="A430" s="81" t="s">
        <v>7</v>
      </c>
      <c r="B430" s="82"/>
      <c r="C430" s="8">
        <f>C431+C448+C444</f>
        <v>43.75</v>
      </c>
      <c r="D430" s="8">
        <f>D431+D448+D444</f>
        <v>42</v>
      </c>
      <c r="E430" s="8">
        <f>E431+E448+E444</f>
        <v>38.5</v>
      </c>
      <c r="F430" s="8">
        <f>F431+F448+F444</f>
        <v>37.5</v>
      </c>
      <c r="G430" s="19"/>
      <c r="H430" s="19"/>
      <c r="I430" s="19"/>
      <c r="J430" s="19"/>
      <c r="K430" s="19"/>
      <c r="L430" s="19"/>
    </row>
    <row r="431" spans="1:12" ht="14.4" customHeight="1" x14ac:dyDescent="0.3">
      <c r="A431" s="81" t="s">
        <v>89</v>
      </c>
      <c r="B431" s="82"/>
      <c r="C431" s="40">
        <f t="shared" ref="C431:G431" si="269">SUM(C432:C443)</f>
        <v>30.5</v>
      </c>
      <c r="D431" s="40">
        <f t="shared" si="269"/>
        <v>30</v>
      </c>
      <c r="E431" s="40">
        <f t="shared" si="269"/>
        <v>28</v>
      </c>
      <c r="F431" s="40">
        <f t="shared" si="269"/>
        <v>27.5</v>
      </c>
      <c r="G431" s="40">
        <f t="shared" si="269"/>
        <v>176536</v>
      </c>
      <c r="H431" s="40">
        <f>SUM(H432:H443)</f>
        <v>10029120</v>
      </c>
      <c r="I431" s="20"/>
      <c r="J431" s="20">
        <f>H431-I431</f>
        <v>10029120</v>
      </c>
      <c r="K431" s="20">
        <f>J431*30.2%</f>
        <v>3028794.2399999998</v>
      </c>
      <c r="L431" s="20">
        <f>J431+K431</f>
        <v>13057914.24</v>
      </c>
    </row>
    <row r="432" spans="1:12" x14ac:dyDescent="0.3">
      <c r="A432" s="4"/>
      <c r="B432" s="5" t="s">
        <v>9</v>
      </c>
      <c r="C432" s="33">
        <v>15</v>
      </c>
      <c r="D432" s="33">
        <v>15</v>
      </c>
      <c r="E432" s="33">
        <v>15</v>
      </c>
      <c r="F432" s="33">
        <v>15</v>
      </c>
      <c r="G432" s="19">
        <f>'расчёт зарплаты'!K10</f>
        <v>28208</v>
      </c>
      <c r="H432" s="19">
        <f>E432*G432*12+ ((D432-E432)*G432/2*12)</f>
        <v>5077440</v>
      </c>
      <c r="I432" s="19"/>
      <c r="J432" s="19"/>
      <c r="K432" s="19"/>
      <c r="L432" s="19">
        <f>G432*K432*12</f>
        <v>0</v>
      </c>
    </row>
    <row r="433" spans="1:12" x14ac:dyDescent="0.3">
      <c r="A433" s="4"/>
      <c r="B433" s="5" t="s">
        <v>10</v>
      </c>
      <c r="C433" s="33"/>
      <c r="D433" s="33"/>
      <c r="E433" s="33"/>
      <c r="F433" s="33"/>
      <c r="G433" s="19"/>
      <c r="H433" s="19">
        <f t="shared" ref="H433:H442" si="270">E433*G433*12+ ((D433-E433)*G433/2*12)</f>
        <v>0</v>
      </c>
      <c r="I433" s="19"/>
      <c r="J433" s="19"/>
      <c r="K433" s="19"/>
      <c r="L433" s="19"/>
    </row>
    <row r="434" spans="1:12" x14ac:dyDescent="0.3">
      <c r="A434" s="4"/>
      <c r="B434" s="5" t="s">
        <v>13</v>
      </c>
      <c r="C434" s="33">
        <v>3</v>
      </c>
      <c r="D434" s="33">
        <v>3</v>
      </c>
      <c r="E434" s="33">
        <v>2.5</v>
      </c>
      <c r="F434" s="33">
        <v>2</v>
      </c>
      <c r="G434" s="19">
        <f>'расчёт зарплаты'!K38</f>
        <v>28896</v>
      </c>
      <c r="H434" s="19">
        <f t="shared" si="270"/>
        <v>953568</v>
      </c>
      <c r="I434" s="19"/>
      <c r="J434" s="19"/>
      <c r="K434" s="19"/>
      <c r="L434" s="19"/>
    </row>
    <row r="435" spans="1:12" ht="28.2" x14ac:dyDescent="0.3">
      <c r="A435" s="4"/>
      <c r="B435" s="5" t="s">
        <v>14</v>
      </c>
      <c r="C435" s="33"/>
      <c r="D435" s="33"/>
      <c r="E435" s="33"/>
      <c r="F435" s="33"/>
      <c r="G435" s="19"/>
      <c r="H435" s="19">
        <f t="shared" si="270"/>
        <v>0</v>
      </c>
      <c r="I435" s="19"/>
      <c r="J435" s="19"/>
      <c r="K435" s="19"/>
      <c r="L435" s="19"/>
    </row>
    <row r="436" spans="1:12" x14ac:dyDescent="0.3">
      <c r="A436" s="4"/>
      <c r="B436" s="5" t="s">
        <v>15</v>
      </c>
      <c r="C436" s="33">
        <v>4.5</v>
      </c>
      <c r="D436" s="33">
        <v>4.5</v>
      </c>
      <c r="E436" s="33">
        <v>4</v>
      </c>
      <c r="F436" s="33">
        <v>4</v>
      </c>
      <c r="G436" s="19">
        <f>'расчёт зарплаты'!K34</f>
        <v>30976</v>
      </c>
      <c r="H436" s="19">
        <f t="shared" si="270"/>
        <v>1579776</v>
      </c>
      <c r="I436" s="19"/>
      <c r="J436" s="19"/>
      <c r="K436" s="19"/>
      <c r="L436" s="19"/>
    </row>
    <row r="437" spans="1:12" x14ac:dyDescent="0.3">
      <c r="A437" s="4"/>
      <c r="B437" s="5" t="s">
        <v>16</v>
      </c>
      <c r="C437" s="33">
        <v>6</v>
      </c>
      <c r="D437" s="33">
        <v>6</v>
      </c>
      <c r="E437" s="33">
        <v>6</v>
      </c>
      <c r="F437" s="33">
        <v>6</v>
      </c>
      <c r="G437" s="19">
        <f>'расчёт зарплаты'!K8</f>
        <v>28600</v>
      </c>
      <c r="H437" s="19">
        <f t="shared" si="270"/>
        <v>2059200</v>
      </c>
      <c r="I437" s="19"/>
      <c r="J437" s="19"/>
      <c r="K437" s="19"/>
      <c r="L437" s="19"/>
    </row>
    <row r="438" spans="1:12" ht="42" x14ac:dyDescent="0.3">
      <c r="A438" s="4"/>
      <c r="B438" s="5" t="s">
        <v>17</v>
      </c>
      <c r="C438" s="33">
        <v>1</v>
      </c>
      <c r="D438" s="33">
        <v>0.5</v>
      </c>
      <c r="E438" s="33">
        <v>0.5</v>
      </c>
      <c r="F438" s="33">
        <v>0.5</v>
      </c>
      <c r="G438" s="19">
        <f>'расчёт зарплаты'!K10</f>
        <v>28208</v>
      </c>
      <c r="H438" s="19">
        <f t="shared" si="270"/>
        <v>169248</v>
      </c>
      <c r="I438" s="19"/>
      <c r="J438" s="19"/>
      <c r="K438" s="19"/>
      <c r="L438" s="19"/>
    </row>
    <row r="439" spans="1:12" ht="28.2" x14ac:dyDescent="0.3">
      <c r="A439" s="4"/>
      <c r="B439" s="5" t="s">
        <v>18</v>
      </c>
      <c r="C439" s="33">
        <v>1</v>
      </c>
      <c r="D439" s="33">
        <v>1</v>
      </c>
      <c r="E439" s="33">
        <v>0</v>
      </c>
      <c r="F439" s="33">
        <v>0</v>
      </c>
      <c r="G439" s="19">
        <f>'расчёт зарплаты'!K20</f>
        <v>31648</v>
      </c>
      <c r="H439" s="19">
        <f t="shared" si="270"/>
        <v>189888</v>
      </c>
      <c r="I439" s="19"/>
      <c r="J439" s="19"/>
      <c r="K439" s="19"/>
      <c r="L439" s="19"/>
    </row>
    <row r="440" spans="1:12" ht="42" x14ac:dyDescent="0.3">
      <c r="A440" s="4"/>
      <c r="B440" s="5" t="s">
        <v>91</v>
      </c>
      <c r="C440" s="33"/>
      <c r="D440" s="33"/>
      <c r="E440" s="33"/>
      <c r="F440" s="33"/>
      <c r="G440" s="19"/>
      <c r="H440" s="19">
        <f t="shared" si="270"/>
        <v>0</v>
      </c>
      <c r="I440" s="19"/>
      <c r="J440" s="19"/>
      <c r="K440" s="19"/>
      <c r="L440" s="19"/>
    </row>
    <row r="441" spans="1:12" x14ac:dyDescent="0.3">
      <c r="A441" s="4"/>
      <c r="B441" s="5" t="s">
        <v>20</v>
      </c>
      <c r="C441" s="33"/>
      <c r="D441" s="33"/>
      <c r="E441" s="33"/>
      <c r="F441" s="33"/>
      <c r="G441" s="19"/>
      <c r="H441" s="19">
        <f t="shared" si="270"/>
        <v>0</v>
      </c>
      <c r="I441" s="19"/>
      <c r="J441" s="19"/>
      <c r="K441" s="19"/>
      <c r="L441" s="19"/>
    </row>
    <row r="442" spans="1:12" ht="39.6" x14ac:dyDescent="0.3">
      <c r="A442" s="4"/>
      <c r="B442" s="6" t="s">
        <v>21</v>
      </c>
      <c r="C442" s="33"/>
      <c r="D442" s="33"/>
      <c r="E442" s="33"/>
      <c r="F442" s="33"/>
      <c r="G442" s="19"/>
      <c r="H442" s="19">
        <f t="shared" si="270"/>
        <v>0</v>
      </c>
      <c r="I442" s="19"/>
      <c r="J442" s="19"/>
      <c r="K442" s="19"/>
      <c r="L442" s="19"/>
    </row>
    <row r="443" spans="1:12" x14ac:dyDescent="0.3">
      <c r="A443" s="4"/>
      <c r="B443" s="5" t="s">
        <v>22</v>
      </c>
      <c r="C443" s="33"/>
      <c r="D443" s="33"/>
      <c r="E443" s="33"/>
      <c r="F443" s="33"/>
      <c r="G443" s="19"/>
      <c r="H443" s="19">
        <f t="shared" ref="H443" si="271">E443*G443*12</f>
        <v>0</v>
      </c>
      <c r="I443" s="19"/>
      <c r="J443" s="19"/>
      <c r="K443" s="19"/>
      <c r="L443" s="19"/>
    </row>
    <row r="444" spans="1:12" x14ac:dyDescent="0.3">
      <c r="A444" s="38" t="s">
        <v>57</v>
      </c>
      <c r="B444" s="39"/>
      <c r="C444" s="41">
        <f>C445+C446+C447</f>
        <v>6.75</v>
      </c>
      <c r="D444" s="41">
        <f t="shared" ref="D444" si="272">D445+D446+D447</f>
        <v>5.5</v>
      </c>
      <c r="E444" s="41">
        <f t="shared" ref="E444" si="273">E445+E446+E447</f>
        <v>5</v>
      </c>
      <c r="F444" s="41">
        <f t="shared" ref="F444" si="274">F445+F446+F447</f>
        <v>5</v>
      </c>
      <c r="G444" s="41"/>
      <c r="H444" s="42">
        <f t="shared" ref="H444" si="275">H445+H446+H447</f>
        <v>1753164</v>
      </c>
      <c r="I444" s="42">
        <f t="shared" ref="I444" si="276">I445+I446+I447</f>
        <v>0</v>
      </c>
      <c r="J444" s="42">
        <f t="shared" ref="J444" si="277">J445+J446+J447</f>
        <v>0</v>
      </c>
      <c r="K444" s="42">
        <f t="shared" ref="K444" si="278">K445+K446+K447</f>
        <v>0</v>
      </c>
      <c r="L444" s="42">
        <f t="shared" ref="L444" si="279">L445+L446+L447</f>
        <v>0</v>
      </c>
    </row>
    <row r="445" spans="1:12" x14ac:dyDescent="0.3">
      <c r="A445" s="4"/>
      <c r="B445" s="5" t="s">
        <v>11</v>
      </c>
      <c r="C445" s="9">
        <v>1.5</v>
      </c>
      <c r="D445" s="9">
        <v>0.5</v>
      </c>
      <c r="E445" s="9">
        <v>0</v>
      </c>
      <c r="F445" s="9">
        <v>0</v>
      </c>
      <c r="G445" s="19">
        <f>'расчёт зарплаты'!K26</f>
        <v>27300</v>
      </c>
      <c r="H445" s="19">
        <f t="shared" ref="H445:H448" si="280">E445*G445*12+ ((D445-E445)*G445/2*12)</f>
        <v>81900</v>
      </c>
      <c r="I445" s="19"/>
      <c r="J445" s="19"/>
      <c r="K445" s="19"/>
      <c r="L445" s="19"/>
    </row>
    <row r="446" spans="1:12" x14ac:dyDescent="0.3">
      <c r="A446" s="4"/>
      <c r="B446" s="5" t="s">
        <v>12</v>
      </c>
      <c r="C446" s="9">
        <v>2</v>
      </c>
      <c r="D446" s="9">
        <v>2</v>
      </c>
      <c r="E446" s="9">
        <v>2</v>
      </c>
      <c r="F446" s="9">
        <v>2</v>
      </c>
      <c r="G446" s="19">
        <f>'расчёт зарплаты'!K26</f>
        <v>27300</v>
      </c>
      <c r="H446" s="19">
        <f t="shared" si="280"/>
        <v>655200</v>
      </c>
      <c r="I446" s="19"/>
      <c r="J446" s="19"/>
      <c r="K446" s="19"/>
      <c r="L446" s="19"/>
    </row>
    <row r="447" spans="1:12" ht="28.2" x14ac:dyDescent="0.3">
      <c r="A447" s="4"/>
      <c r="B447" s="5" t="s">
        <v>19</v>
      </c>
      <c r="C447" s="9">
        <v>3.25</v>
      </c>
      <c r="D447" s="9">
        <v>3</v>
      </c>
      <c r="E447" s="9">
        <v>3</v>
      </c>
      <c r="F447" s="9">
        <v>3</v>
      </c>
      <c r="G447" s="19">
        <f>'расчёт зарплаты'!K40</f>
        <v>28224</v>
      </c>
      <c r="H447" s="19">
        <f t="shared" si="280"/>
        <v>1016064</v>
      </c>
      <c r="I447" s="19"/>
      <c r="J447" s="19"/>
      <c r="K447" s="19"/>
      <c r="L447" s="19"/>
    </row>
    <row r="448" spans="1:12" x14ac:dyDescent="0.3">
      <c r="A448" s="83" t="s">
        <v>23</v>
      </c>
      <c r="B448" s="83"/>
      <c r="C448" s="7">
        <f t="shared" ref="C448:F448" si="281">C449+C455</f>
        <v>6.5</v>
      </c>
      <c r="D448" s="7">
        <f t="shared" si="281"/>
        <v>6.5</v>
      </c>
      <c r="E448" s="7">
        <f t="shared" si="281"/>
        <v>5.5</v>
      </c>
      <c r="F448" s="7">
        <f t="shared" si="281"/>
        <v>5</v>
      </c>
      <c r="G448" s="19"/>
      <c r="H448" s="19">
        <f t="shared" si="280"/>
        <v>0</v>
      </c>
      <c r="I448" s="19"/>
      <c r="J448" s="20">
        <f t="shared" ref="J448:K448" si="282">J449+J455</f>
        <v>1995780</v>
      </c>
      <c r="K448" s="20">
        <f t="shared" si="282"/>
        <v>602725.56000000006</v>
      </c>
      <c r="L448" s="20">
        <f>L449+L455</f>
        <v>2598505.56</v>
      </c>
    </row>
    <row r="449" spans="1:12" x14ac:dyDescent="0.3">
      <c r="A449" s="84" t="s">
        <v>24</v>
      </c>
      <c r="B449" s="84"/>
      <c r="C449" s="7">
        <f t="shared" ref="C449:F449" si="283">C450+C451+C452+C453+C454</f>
        <v>5</v>
      </c>
      <c r="D449" s="7">
        <f t="shared" si="283"/>
        <v>5</v>
      </c>
      <c r="E449" s="7">
        <f t="shared" si="283"/>
        <v>4.5</v>
      </c>
      <c r="F449" s="7">
        <f t="shared" si="283"/>
        <v>4</v>
      </c>
      <c r="G449" s="20"/>
      <c r="H449" s="20">
        <f>H450+H451+H452+H453+H454</f>
        <v>1556100</v>
      </c>
      <c r="I449" s="20">
        <f t="shared" ref="I449" si="284">I450+I451+I452+I453+I454</f>
        <v>0</v>
      </c>
      <c r="J449" s="20">
        <f>H449</f>
        <v>1556100</v>
      </c>
      <c r="K449" s="20">
        <f>J449*30.2%</f>
        <v>469942.2</v>
      </c>
      <c r="L449" s="20">
        <f>J449+K449</f>
        <v>2026042.2</v>
      </c>
    </row>
    <row r="450" spans="1:12" x14ac:dyDescent="0.3">
      <c r="A450" s="4"/>
      <c r="B450" s="5" t="s">
        <v>25</v>
      </c>
      <c r="C450" s="33"/>
      <c r="D450" s="33"/>
      <c r="E450" s="33"/>
      <c r="F450" s="33"/>
      <c r="G450" s="19"/>
      <c r="H450" s="19">
        <f t="shared" ref="H450:H454" si="285">E450*G450*12+ ((D450-E450)*G450/2*12)</f>
        <v>0</v>
      </c>
      <c r="I450" s="19"/>
      <c r="J450" s="19"/>
      <c r="K450" s="19"/>
      <c r="L450" s="19"/>
    </row>
    <row r="451" spans="1:12" x14ac:dyDescent="0.3">
      <c r="A451" s="4"/>
      <c r="B451" s="5" t="s">
        <v>26</v>
      </c>
      <c r="C451" s="33"/>
      <c r="D451" s="33"/>
      <c r="E451" s="33"/>
      <c r="F451" s="33"/>
      <c r="G451" s="19"/>
      <c r="H451" s="19">
        <f t="shared" si="285"/>
        <v>0</v>
      </c>
      <c r="I451" s="19"/>
      <c r="J451" s="19"/>
      <c r="K451" s="19"/>
      <c r="L451" s="19"/>
    </row>
    <row r="452" spans="1:12" x14ac:dyDescent="0.3">
      <c r="A452" s="4"/>
      <c r="B452" s="5" t="s">
        <v>27</v>
      </c>
      <c r="C452" s="33"/>
      <c r="D452" s="33"/>
      <c r="E452" s="33"/>
      <c r="F452" s="33"/>
      <c r="G452" s="19"/>
      <c r="H452" s="19">
        <f t="shared" si="285"/>
        <v>0</v>
      </c>
      <c r="I452" s="19"/>
      <c r="J452" s="19"/>
      <c r="K452" s="19"/>
      <c r="L452" s="19"/>
    </row>
    <row r="453" spans="1:12" ht="28.2" x14ac:dyDescent="0.3">
      <c r="A453" s="4"/>
      <c r="B453" s="5" t="s">
        <v>28</v>
      </c>
      <c r="C453" s="33">
        <v>3</v>
      </c>
      <c r="D453" s="33">
        <v>3</v>
      </c>
      <c r="E453" s="33">
        <v>2.5</v>
      </c>
      <c r="F453" s="33">
        <v>2</v>
      </c>
      <c r="G453" s="19">
        <f>'расчёт зарплаты'!K26</f>
        <v>27300</v>
      </c>
      <c r="H453" s="19">
        <f t="shared" si="285"/>
        <v>900900</v>
      </c>
      <c r="I453" s="19"/>
      <c r="J453" s="19"/>
      <c r="K453" s="19"/>
      <c r="L453" s="19"/>
    </row>
    <row r="454" spans="1:12" x14ac:dyDescent="0.3">
      <c r="A454" s="4"/>
      <c r="B454" s="5" t="s">
        <v>29</v>
      </c>
      <c r="C454" s="33">
        <v>2</v>
      </c>
      <c r="D454" s="33">
        <v>2</v>
      </c>
      <c r="E454" s="33">
        <v>2</v>
      </c>
      <c r="F454" s="33">
        <v>2</v>
      </c>
      <c r="G454" s="19">
        <f>'расчёт зарплаты'!K26</f>
        <v>27300</v>
      </c>
      <c r="H454" s="19">
        <f t="shared" si="285"/>
        <v>655200</v>
      </c>
      <c r="I454" s="19"/>
      <c r="J454" s="19"/>
      <c r="K454" s="19"/>
      <c r="L454" s="19"/>
    </row>
    <row r="455" spans="1:12" x14ac:dyDescent="0.3">
      <c r="A455" s="84" t="s">
        <v>30</v>
      </c>
      <c r="B455" s="84"/>
      <c r="C455" s="7">
        <f t="shared" ref="C455:F455" si="286">C456+C457+C458</f>
        <v>1.5</v>
      </c>
      <c r="D455" s="7">
        <f t="shared" si="286"/>
        <v>1.5</v>
      </c>
      <c r="E455" s="7">
        <f t="shared" si="286"/>
        <v>1</v>
      </c>
      <c r="F455" s="7">
        <f t="shared" si="286"/>
        <v>1</v>
      </c>
      <c r="G455" s="20"/>
      <c r="H455" s="20">
        <f>H456+H457+H458</f>
        <v>439680</v>
      </c>
      <c r="I455" s="20">
        <f t="shared" ref="I455" si="287">I456+I457+I458</f>
        <v>0</v>
      </c>
      <c r="J455" s="20">
        <f>H455</f>
        <v>439680</v>
      </c>
      <c r="K455" s="20">
        <f>J455*30.2%</f>
        <v>132783.35999999999</v>
      </c>
      <c r="L455" s="20">
        <f>J455+K455</f>
        <v>572463.35999999999</v>
      </c>
    </row>
    <row r="456" spans="1:12" x14ac:dyDescent="0.3">
      <c r="A456" s="4"/>
      <c r="B456" s="5" t="s">
        <v>31</v>
      </c>
      <c r="C456" s="33">
        <v>0.5</v>
      </c>
      <c r="D456" s="33">
        <v>0.5</v>
      </c>
      <c r="E456" s="33">
        <v>0</v>
      </c>
      <c r="F456" s="33">
        <v>0</v>
      </c>
      <c r="G456" s="19">
        <f>'расчёт зарплаты'!K34</f>
        <v>30976</v>
      </c>
      <c r="H456" s="19">
        <f t="shared" ref="H456:H458" si="288">E456*G456*12+ ((D456-E456)*G456/2*12)</f>
        <v>92928</v>
      </c>
      <c r="I456" s="19"/>
      <c r="J456" s="19"/>
      <c r="K456" s="19"/>
      <c r="L456" s="19"/>
    </row>
    <row r="457" spans="1:12" x14ac:dyDescent="0.3">
      <c r="A457" s="4"/>
      <c r="B457" s="5" t="s">
        <v>32</v>
      </c>
      <c r="C457" s="33"/>
      <c r="D457" s="33"/>
      <c r="E457" s="33"/>
      <c r="F457" s="33"/>
      <c r="G457" s="19"/>
      <c r="H457" s="19">
        <f t="shared" si="288"/>
        <v>0</v>
      </c>
      <c r="I457" s="19"/>
      <c r="J457" s="19"/>
      <c r="K457" s="19"/>
      <c r="L457" s="19"/>
    </row>
    <row r="458" spans="1:12" x14ac:dyDescent="0.3">
      <c r="A458" s="4"/>
      <c r="B458" s="5" t="s">
        <v>33</v>
      </c>
      <c r="C458" s="33">
        <v>1</v>
      </c>
      <c r="D458" s="33">
        <v>1</v>
      </c>
      <c r="E458" s="33">
        <v>1</v>
      </c>
      <c r="F458" s="33">
        <v>1</v>
      </c>
      <c r="G458" s="19">
        <f>'расчёт зарплаты'!K38</f>
        <v>28896</v>
      </c>
      <c r="H458" s="19">
        <f t="shared" si="288"/>
        <v>346752</v>
      </c>
      <c r="I458" s="19"/>
      <c r="J458" s="19"/>
      <c r="K458" s="19"/>
      <c r="L458" s="19"/>
    </row>
    <row r="459" spans="1:12" x14ac:dyDescent="0.3">
      <c r="A459" s="89" t="s">
        <v>74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</row>
    <row r="460" spans="1:12" ht="14.4" customHeight="1" x14ac:dyDescent="0.3">
      <c r="A460" s="81" t="s">
        <v>7</v>
      </c>
      <c r="B460" s="82"/>
      <c r="C460" s="8">
        <f>C461+C478+C474</f>
        <v>56</v>
      </c>
      <c r="D460" s="8">
        <f>D461+D478+D474</f>
        <v>53</v>
      </c>
      <c r="E460" s="8">
        <f>E461+E478+E474</f>
        <v>46.1</v>
      </c>
      <c r="F460" s="8">
        <f>F461+F478+F474</f>
        <v>44</v>
      </c>
      <c r="G460" s="19"/>
      <c r="H460" s="19"/>
      <c r="I460" s="19"/>
      <c r="J460" s="19"/>
      <c r="K460" s="19"/>
      <c r="L460" s="19"/>
    </row>
    <row r="461" spans="1:12" ht="14.4" customHeight="1" x14ac:dyDescent="0.3">
      <c r="A461" s="81" t="s">
        <v>89</v>
      </c>
      <c r="B461" s="82"/>
      <c r="C461" s="40">
        <f t="shared" ref="C461:G461" si="289">SUM(C462:C474)</f>
        <v>53</v>
      </c>
      <c r="D461" s="40">
        <f t="shared" si="289"/>
        <v>50</v>
      </c>
      <c r="E461" s="40">
        <f t="shared" si="289"/>
        <v>44.4</v>
      </c>
      <c r="F461" s="40">
        <f t="shared" si="289"/>
        <v>43</v>
      </c>
      <c r="G461" s="40">
        <f t="shared" si="289"/>
        <v>280760</v>
      </c>
      <c r="H461" s="40">
        <f>SUM(H462:H474)</f>
        <v>16794643.199999999</v>
      </c>
      <c r="I461" s="20"/>
      <c r="J461" s="20">
        <f>H461-I461</f>
        <v>16794643.199999999</v>
      </c>
      <c r="K461" s="20">
        <f>J461*30.2%</f>
        <v>5071982.2463999996</v>
      </c>
      <c r="L461" s="20">
        <f>J461+K461</f>
        <v>21866625.446399998</v>
      </c>
    </row>
    <row r="462" spans="1:12" x14ac:dyDescent="0.3">
      <c r="A462" s="4"/>
      <c r="B462" s="5" t="s">
        <v>9</v>
      </c>
      <c r="C462" s="33">
        <v>20</v>
      </c>
      <c r="D462" s="33">
        <v>20</v>
      </c>
      <c r="E462" s="33">
        <v>17.899999999999999</v>
      </c>
      <c r="F462" s="33">
        <v>17</v>
      </c>
      <c r="G462" s="19">
        <f>'расчёт зарплаты'!K10</f>
        <v>28208</v>
      </c>
      <c r="H462" s="19">
        <f>E462*G462*12+ ((D462-E462)*G462/2*12)</f>
        <v>6414499.1999999993</v>
      </c>
      <c r="I462" s="19"/>
      <c r="J462" s="19"/>
      <c r="K462" s="19"/>
      <c r="L462" s="19">
        <f>G462*K462*12</f>
        <v>0</v>
      </c>
    </row>
    <row r="463" spans="1:12" ht="28.2" x14ac:dyDescent="0.3">
      <c r="A463" s="4"/>
      <c r="B463" s="5" t="s">
        <v>82</v>
      </c>
      <c r="C463" s="33">
        <v>9</v>
      </c>
      <c r="D463" s="33">
        <v>9</v>
      </c>
      <c r="E463" s="33">
        <v>9</v>
      </c>
      <c r="F463" s="33">
        <v>9</v>
      </c>
      <c r="G463" s="19">
        <f>'расчёт зарплаты'!K12</f>
        <v>30960</v>
      </c>
      <c r="H463" s="19">
        <f>E463*G463*12+ ((D463-E463)*G463/2*12)</f>
        <v>3343680</v>
      </c>
      <c r="I463" s="19"/>
      <c r="J463" s="19"/>
      <c r="K463" s="19"/>
      <c r="L463" s="19"/>
    </row>
    <row r="464" spans="1:12" x14ac:dyDescent="0.3">
      <c r="A464" s="4"/>
      <c r="B464" s="5" t="s">
        <v>10</v>
      </c>
      <c r="C464" s="33">
        <v>1</v>
      </c>
      <c r="D464" s="33"/>
      <c r="E464" s="33"/>
      <c r="F464" s="33"/>
      <c r="G464" s="19"/>
      <c r="H464" s="19">
        <f t="shared" ref="H464:H473" si="290">E464*G464*12+ ((D464-E464)*G464/2*12)</f>
        <v>0</v>
      </c>
      <c r="I464" s="19"/>
      <c r="J464" s="19"/>
      <c r="K464" s="19"/>
      <c r="L464" s="19"/>
    </row>
    <row r="465" spans="1:12" x14ac:dyDescent="0.3">
      <c r="A465" s="4"/>
      <c r="B465" s="5" t="s">
        <v>13</v>
      </c>
      <c r="C465" s="33">
        <v>5</v>
      </c>
      <c r="D465" s="33">
        <v>4</v>
      </c>
      <c r="E465" s="33">
        <v>2</v>
      </c>
      <c r="F465" s="33">
        <v>2</v>
      </c>
      <c r="G465" s="19">
        <f>'расчёт зарплаты'!K38</f>
        <v>28896</v>
      </c>
      <c r="H465" s="19">
        <f t="shared" si="290"/>
        <v>1040256</v>
      </c>
      <c r="I465" s="19"/>
      <c r="J465" s="19"/>
      <c r="K465" s="19"/>
      <c r="L465" s="19"/>
    </row>
    <row r="466" spans="1:12" ht="28.2" x14ac:dyDescent="0.3">
      <c r="A466" s="4"/>
      <c r="B466" s="5" t="s">
        <v>14</v>
      </c>
      <c r="C466" s="33"/>
      <c r="D466" s="33"/>
      <c r="E466" s="33"/>
      <c r="F466" s="33"/>
      <c r="G466" s="19"/>
      <c r="H466" s="19">
        <f t="shared" si="290"/>
        <v>0</v>
      </c>
      <c r="I466" s="19"/>
      <c r="J466" s="19"/>
      <c r="K466" s="19"/>
      <c r="L466" s="19"/>
    </row>
    <row r="467" spans="1:12" x14ac:dyDescent="0.3">
      <c r="A467" s="4"/>
      <c r="B467" s="5" t="s">
        <v>15</v>
      </c>
      <c r="C467" s="33">
        <v>6</v>
      </c>
      <c r="D467" s="33">
        <v>6</v>
      </c>
      <c r="E467" s="33">
        <v>5</v>
      </c>
      <c r="F467" s="33">
        <v>5</v>
      </c>
      <c r="G467" s="19">
        <f>'расчёт зарплаты'!K34</f>
        <v>30976</v>
      </c>
      <c r="H467" s="19">
        <f t="shared" si="290"/>
        <v>2044416</v>
      </c>
      <c r="I467" s="19"/>
      <c r="J467" s="19"/>
      <c r="K467" s="19"/>
      <c r="L467" s="19"/>
    </row>
    <row r="468" spans="1:12" x14ac:dyDescent="0.3">
      <c r="A468" s="4"/>
      <c r="B468" s="5" t="s">
        <v>16</v>
      </c>
      <c r="C468" s="33">
        <v>6</v>
      </c>
      <c r="D468" s="33">
        <v>6</v>
      </c>
      <c r="E468" s="33">
        <v>6</v>
      </c>
      <c r="F468" s="33">
        <v>6</v>
      </c>
      <c r="G468" s="19">
        <f>'расчёт зарплаты'!K8</f>
        <v>28600</v>
      </c>
      <c r="H468" s="19">
        <f t="shared" si="290"/>
        <v>2059200</v>
      </c>
      <c r="I468" s="19"/>
      <c r="J468" s="19"/>
      <c r="K468" s="19"/>
      <c r="L468" s="19"/>
    </row>
    <row r="469" spans="1:12" ht="42" x14ac:dyDescent="0.3">
      <c r="A469" s="4"/>
      <c r="B469" s="5" t="s">
        <v>17</v>
      </c>
      <c r="C469" s="33">
        <v>2</v>
      </c>
      <c r="D469" s="33">
        <v>1</v>
      </c>
      <c r="E469" s="33">
        <v>0.5</v>
      </c>
      <c r="F469" s="33">
        <v>0</v>
      </c>
      <c r="G469" s="19">
        <f>'расчёт зарплаты'!K10</f>
        <v>28208</v>
      </c>
      <c r="H469" s="19">
        <f t="shared" si="290"/>
        <v>253872</v>
      </c>
      <c r="I469" s="19"/>
      <c r="J469" s="19"/>
      <c r="K469" s="19"/>
      <c r="L469" s="19"/>
    </row>
    <row r="470" spans="1:12" ht="28.2" x14ac:dyDescent="0.3">
      <c r="A470" s="4"/>
      <c r="B470" s="5" t="s">
        <v>18</v>
      </c>
      <c r="C470" s="33">
        <v>2</v>
      </c>
      <c r="D470" s="33">
        <v>2</v>
      </c>
      <c r="E470" s="33">
        <v>2</v>
      </c>
      <c r="F470" s="33">
        <v>2</v>
      </c>
      <c r="G470" s="19">
        <f>'расчёт зарплаты'!K20</f>
        <v>31648</v>
      </c>
      <c r="H470" s="19">
        <f t="shared" si="290"/>
        <v>759552</v>
      </c>
      <c r="I470" s="19"/>
      <c r="J470" s="19"/>
      <c r="K470" s="19"/>
      <c r="L470" s="19"/>
    </row>
    <row r="471" spans="1:12" ht="42" x14ac:dyDescent="0.3">
      <c r="A471" s="4"/>
      <c r="B471" s="5" t="s">
        <v>91</v>
      </c>
      <c r="C471" s="33">
        <v>1</v>
      </c>
      <c r="D471" s="33">
        <v>1</v>
      </c>
      <c r="E471" s="33">
        <v>1</v>
      </c>
      <c r="F471" s="33">
        <v>1</v>
      </c>
      <c r="G471" s="19">
        <f>'расчёт зарплаты'!K10</f>
        <v>28208</v>
      </c>
      <c r="H471" s="19">
        <f t="shared" si="290"/>
        <v>338496</v>
      </c>
      <c r="I471" s="19"/>
      <c r="J471" s="19"/>
      <c r="K471" s="19"/>
      <c r="L471" s="19"/>
    </row>
    <row r="472" spans="1:12" x14ac:dyDescent="0.3">
      <c r="A472" s="4"/>
      <c r="B472" s="5" t="s">
        <v>20</v>
      </c>
      <c r="C472" s="33"/>
      <c r="D472" s="33"/>
      <c r="E472" s="33"/>
      <c r="F472" s="33"/>
      <c r="G472" s="19"/>
      <c r="H472" s="19">
        <f t="shared" si="290"/>
        <v>0</v>
      </c>
      <c r="I472" s="19"/>
      <c r="J472" s="19"/>
      <c r="K472" s="19"/>
      <c r="L472" s="19"/>
    </row>
    <row r="473" spans="1:12" ht="39.6" x14ac:dyDescent="0.3">
      <c r="A473" s="4"/>
      <c r="B473" s="6" t="s">
        <v>21</v>
      </c>
      <c r="C473" s="33">
        <v>1</v>
      </c>
      <c r="D473" s="33">
        <v>1</v>
      </c>
      <c r="E473" s="33">
        <v>1</v>
      </c>
      <c r="F473" s="33">
        <v>1</v>
      </c>
      <c r="G473" s="19">
        <f>'расчёт зарплаты'!K44</f>
        <v>45056</v>
      </c>
      <c r="H473" s="19">
        <f t="shared" si="290"/>
        <v>540672</v>
      </c>
      <c r="I473" s="19"/>
      <c r="J473" s="19"/>
      <c r="K473" s="19"/>
      <c r="L473" s="19"/>
    </row>
    <row r="474" spans="1:12" x14ac:dyDescent="0.3">
      <c r="A474" s="4"/>
      <c r="B474" s="5" t="s">
        <v>22</v>
      </c>
      <c r="C474" s="33"/>
      <c r="D474" s="33"/>
      <c r="E474" s="33"/>
      <c r="F474" s="33"/>
      <c r="G474" s="19"/>
      <c r="H474" s="19">
        <f t="shared" ref="H474" si="291">E474*G474*12</f>
        <v>0</v>
      </c>
      <c r="I474" s="19"/>
      <c r="J474" s="19"/>
      <c r="K474" s="19"/>
      <c r="L474" s="19"/>
    </row>
    <row r="475" spans="1:12" x14ac:dyDescent="0.3">
      <c r="A475" s="38" t="s">
        <v>57</v>
      </c>
      <c r="B475" s="39"/>
      <c r="C475" s="41">
        <f>C476+C477+C478</f>
        <v>9</v>
      </c>
      <c r="D475" s="41">
        <f t="shared" ref="D475" si="292">D476+D477+D478</f>
        <v>9</v>
      </c>
      <c r="E475" s="41">
        <f t="shared" ref="E475" si="293">E476+E477+E478</f>
        <v>7.7</v>
      </c>
      <c r="F475" s="41">
        <f t="shared" ref="F475" si="294">F476+F477+F478</f>
        <v>7</v>
      </c>
      <c r="G475" s="41"/>
      <c r="H475" s="42">
        <f t="shared" ref="H475" si="295">H476+H477+H478</f>
        <v>2761516.8</v>
      </c>
      <c r="I475" s="42">
        <f t="shared" ref="I475" si="296">I476+I477+I478</f>
        <v>0</v>
      </c>
      <c r="J475" s="42">
        <f t="shared" ref="J475" si="297">J476+J477+J478</f>
        <v>0</v>
      </c>
      <c r="K475" s="42">
        <f t="shared" ref="K475" si="298">K476+K477+K478</f>
        <v>0</v>
      </c>
      <c r="L475" s="42">
        <f t="shared" ref="L475" si="299">L476+L477+L478</f>
        <v>0</v>
      </c>
    </row>
    <row r="476" spans="1:12" x14ac:dyDescent="0.3">
      <c r="A476" s="4"/>
      <c r="B476" s="5" t="s">
        <v>11</v>
      </c>
      <c r="C476" s="9">
        <v>3</v>
      </c>
      <c r="D476" s="9">
        <v>3</v>
      </c>
      <c r="E476" s="9">
        <v>3</v>
      </c>
      <c r="F476" s="9">
        <v>3</v>
      </c>
      <c r="G476" s="19">
        <f>'расчёт зарплаты'!K26</f>
        <v>27300</v>
      </c>
      <c r="H476" s="19">
        <f t="shared" ref="H476:H479" si="300">E476*G476*12+ ((D476-E476)*G476/2*12)</f>
        <v>982800</v>
      </c>
      <c r="I476" s="19"/>
      <c r="J476" s="19"/>
      <c r="K476" s="19"/>
      <c r="L476" s="19"/>
    </row>
    <row r="477" spans="1:12" x14ac:dyDescent="0.3">
      <c r="A477" s="4"/>
      <c r="B477" s="5" t="s">
        <v>12</v>
      </c>
      <c r="C477" s="9">
        <v>3</v>
      </c>
      <c r="D477" s="9">
        <v>3</v>
      </c>
      <c r="E477" s="9">
        <v>3</v>
      </c>
      <c r="F477" s="9">
        <v>3</v>
      </c>
      <c r="G477" s="19">
        <f>'расчёт зарплаты'!K26</f>
        <v>27300</v>
      </c>
      <c r="H477" s="19">
        <f t="shared" si="300"/>
        <v>982800</v>
      </c>
      <c r="I477" s="19"/>
      <c r="J477" s="19"/>
      <c r="K477" s="19"/>
      <c r="L477" s="19"/>
    </row>
    <row r="478" spans="1:12" ht="28.2" x14ac:dyDescent="0.3">
      <c r="A478" s="4"/>
      <c r="B478" s="5" t="s">
        <v>19</v>
      </c>
      <c r="C478" s="9">
        <v>3</v>
      </c>
      <c r="D478" s="9">
        <v>3</v>
      </c>
      <c r="E478" s="9">
        <v>1.7</v>
      </c>
      <c r="F478" s="9">
        <v>1</v>
      </c>
      <c r="G478" s="19">
        <f>'расчёт зарплаты'!K40</f>
        <v>28224</v>
      </c>
      <c r="H478" s="19">
        <f t="shared" si="300"/>
        <v>795916.80000000005</v>
      </c>
      <c r="I478" s="19"/>
      <c r="J478" s="19"/>
      <c r="K478" s="19"/>
      <c r="L478" s="19"/>
    </row>
    <row r="479" spans="1:12" x14ac:dyDescent="0.3">
      <c r="A479" s="83" t="s">
        <v>23</v>
      </c>
      <c r="B479" s="83"/>
      <c r="C479" s="7">
        <f t="shared" ref="C479:F479" si="301">C480+C486</f>
        <v>14.5</v>
      </c>
      <c r="D479" s="7">
        <f t="shared" si="301"/>
        <v>14.5</v>
      </c>
      <c r="E479" s="7">
        <f t="shared" si="301"/>
        <v>9</v>
      </c>
      <c r="F479" s="7">
        <f t="shared" si="301"/>
        <v>9</v>
      </c>
      <c r="G479" s="19"/>
      <c r="H479" s="19">
        <f t="shared" si="300"/>
        <v>0</v>
      </c>
      <c r="I479" s="19"/>
      <c r="J479" s="20">
        <f t="shared" ref="J479:K479" si="302">J480+J486</f>
        <v>3985404</v>
      </c>
      <c r="K479" s="20">
        <f t="shared" si="302"/>
        <v>1203592.0079999999</v>
      </c>
      <c r="L479" s="20">
        <f>L480+L486</f>
        <v>5188996.0080000004</v>
      </c>
    </row>
    <row r="480" spans="1:12" x14ac:dyDescent="0.3">
      <c r="A480" s="84" t="s">
        <v>24</v>
      </c>
      <c r="B480" s="84"/>
      <c r="C480" s="7">
        <f t="shared" ref="C480:F480" si="303">C481+C482+C483+C484+C485</f>
        <v>8.5</v>
      </c>
      <c r="D480" s="7">
        <f t="shared" si="303"/>
        <v>8.5</v>
      </c>
      <c r="E480" s="7">
        <f t="shared" si="303"/>
        <v>6</v>
      </c>
      <c r="F480" s="7">
        <f t="shared" si="303"/>
        <v>6</v>
      </c>
      <c r="G480" s="20"/>
      <c r="H480" s="20">
        <f>H481+H482+H483+H484+H485</f>
        <v>2375100</v>
      </c>
      <c r="I480" s="20">
        <f t="shared" ref="I480" si="304">I481+I482+I483+I484+I485</f>
        <v>0</v>
      </c>
      <c r="J480" s="20">
        <f>H480</f>
        <v>2375100</v>
      </c>
      <c r="K480" s="20">
        <f>J480*30.2%</f>
        <v>717280.2</v>
      </c>
      <c r="L480" s="20">
        <f>J480+K480</f>
        <v>3092380.2</v>
      </c>
    </row>
    <row r="481" spans="1:12" x14ac:dyDescent="0.3">
      <c r="A481" s="4"/>
      <c r="B481" s="5" t="s">
        <v>25</v>
      </c>
      <c r="C481" s="33"/>
      <c r="D481" s="33"/>
      <c r="E481" s="33"/>
      <c r="F481" s="33"/>
      <c r="G481" s="19"/>
      <c r="H481" s="19">
        <f t="shared" ref="H481:H485" si="305">E481*G481*12+ ((D481-E481)*G481/2*12)</f>
        <v>0</v>
      </c>
      <c r="I481" s="19"/>
      <c r="J481" s="19"/>
      <c r="K481" s="19"/>
      <c r="L481" s="19"/>
    </row>
    <row r="482" spans="1:12" x14ac:dyDescent="0.3">
      <c r="A482" s="4"/>
      <c r="B482" s="5" t="s">
        <v>26</v>
      </c>
      <c r="C482" s="33"/>
      <c r="D482" s="33"/>
      <c r="E482" s="33"/>
      <c r="F482" s="33"/>
      <c r="G482" s="19"/>
      <c r="H482" s="19">
        <f t="shared" si="305"/>
        <v>0</v>
      </c>
      <c r="I482" s="19"/>
      <c r="J482" s="19"/>
      <c r="K482" s="19"/>
      <c r="L482" s="19"/>
    </row>
    <row r="483" spans="1:12" x14ac:dyDescent="0.3">
      <c r="A483" s="4"/>
      <c r="B483" s="5" t="s">
        <v>27</v>
      </c>
      <c r="C483" s="33"/>
      <c r="D483" s="33"/>
      <c r="E483" s="33"/>
      <c r="F483" s="33"/>
      <c r="G483" s="19"/>
      <c r="H483" s="19">
        <f t="shared" si="305"/>
        <v>0</v>
      </c>
      <c r="I483" s="19"/>
      <c r="J483" s="19"/>
      <c r="K483" s="19"/>
      <c r="L483" s="19"/>
    </row>
    <row r="484" spans="1:12" ht="28.2" x14ac:dyDescent="0.3">
      <c r="A484" s="4"/>
      <c r="B484" s="5" t="s">
        <v>28</v>
      </c>
      <c r="C484" s="33">
        <v>3.5</v>
      </c>
      <c r="D484" s="33">
        <v>3.5</v>
      </c>
      <c r="E484" s="33">
        <v>3</v>
      </c>
      <c r="F484" s="33">
        <v>3</v>
      </c>
      <c r="G484" s="19">
        <f>'расчёт зарплаты'!K26</f>
        <v>27300</v>
      </c>
      <c r="H484" s="19">
        <f t="shared" si="305"/>
        <v>1064700</v>
      </c>
      <c r="I484" s="19"/>
      <c r="J484" s="19"/>
      <c r="K484" s="19"/>
      <c r="L484" s="19"/>
    </row>
    <row r="485" spans="1:12" x14ac:dyDescent="0.3">
      <c r="A485" s="4"/>
      <c r="B485" s="5" t="s">
        <v>29</v>
      </c>
      <c r="C485" s="33">
        <v>5</v>
      </c>
      <c r="D485" s="33">
        <v>5</v>
      </c>
      <c r="E485" s="33">
        <v>3</v>
      </c>
      <c r="F485" s="33">
        <v>3</v>
      </c>
      <c r="G485" s="19">
        <f>'расчёт зарплаты'!K26</f>
        <v>27300</v>
      </c>
      <c r="H485" s="19">
        <f t="shared" si="305"/>
        <v>1310400</v>
      </c>
      <c r="I485" s="19"/>
      <c r="J485" s="19"/>
      <c r="K485" s="19"/>
      <c r="L485" s="19"/>
    </row>
    <row r="486" spans="1:12" x14ac:dyDescent="0.3">
      <c r="A486" s="84" t="s">
        <v>30</v>
      </c>
      <c r="B486" s="84"/>
      <c r="C486" s="7">
        <f t="shared" ref="C486:F486" si="306">C487+C488+C489</f>
        <v>6</v>
      </c>
      <c r="D486" s="7">
        <f t="shared" si="306"/>
        <v>6</v>
      </c>
      <c r="E486" s="7">
        <f t="shared" si="306"/>
        <v>3</v>
      </c>
      <c r="F486" s="7">
        <f t="shared" si="306"/>
        <v>3</v>
      </c>
      <c r="G486" s="20"/>
      <c r="H486" s="20">
        <f>H487+H488+H489</f>
        <v>1610304</v>
      </c>
      <c r="I486" s="20">
        <f t="shared" ref="I486" si="307">I487+I488+I489</f>
        <v>0</v>
      </c>
      <c r="J486" s="20">
        <f>H486</f>
        <v>1610304</v>
      </c>
      <c r="K486" s="20">
        <f>J486*30.2%</f>
        <v>486311.80799999996</v>
      </c>
      <c r="L486" s="20">
        <f>J486+K486</f>
        <v>2096615.808</v>
      </c>
    </row>
    <row r="487" spans="1:12" x14ac:dyDescent="0.3">
      <c r="A487" s="4"/>
      <c r="B487" s="5" t="s">
        <v>31</v>
      </c>
      <c r="C487" s="33">
        <v>2</v>
      </c>
      <c r="D487" s="33">
        <v>2</v>
      </c>
      <c r="E487" s="33">
        <v>2</v>
      </c>
      <c r="F487" s="33">
        <v>2</v>
      </c>
      <c r="G487" s="19">
        <f>'расчёт зарплаты'!K34</f>
        <v>30976</v>
      </c>
      <c r="H487" s="19">
        <f t="shared" ref="H487:H489" si="308">E487*G487*12+ ((D487-E487)*G487/2*12)</f>
        <v>743424</v>
      </c>
      <c r="I487" s="19"/>
      <c r="J487" s="19"/>
      <c r="K487" s="19"/>
      <c r="L487" s="19"/>
    </row>
    <row r="488" spans="1:12" x14ac:dyDescent="0.3">
      <c r="A488" s="4"/>
      <c r="B488" s="5" t="s">
        <v>32</v>
      </c>
      <c r="C488" s="33">
        <v>1</v>
      </c>
      <c r="D488" s="33">
        <v>1</v>
      </c>
      <c r="E488" s="33">
        <v>0</v>
      </c>
      <c r="F488" s="33">
        <v>0</v>
      </c>
      <c r="G488" s="19">
        <f>'расчёт зарплаты'!K38</f>
        <v>28896</v>
      </c>
      <c r="H488" s="19">
        <f t="shared" si="308"/>
        <v>173376</v>
      </c>
      <c r="I488" s="19"/>
      <c r="J488" s="19"/>
      <c r="K488" s="19"/>
      <c r="L488" s="19"/>
    </row>
    <row r="489" spans="1:12" x14ac:dyDescent="0.3">
      <c r="A489" s="4"/>
      <c r="B489" s="5" t="s">
        <v>33</v>
      </c>
      <c r="C489" s="33">
        <v>3</v>
      </c>
      <c r="D489" s="33">
        <v>3</v>
      </c>
      <c r="E489" s="33">
        <v>1</v>
      </c>
      <c r="F489" s="33">
        <v>1</v>
      </c>
      <c r="G489" s="19">
        <f>'расчёт зарплаты'!K38</f>
        <v>28896</v>
      </c>
      <c r="H489" s="19">
        <f t="shared" si="308"/>
        <v>693504</v>
      </c>
      <c r="I489" s="19"/>
      <c r="J489" s="19"/>
      <c r="K489" s="19"/>
      <c r="L489" s="19"/>
    </row>
    <row r="490" spans="1:12" x14ac:dyDescent="0.3">
      <c r="A490" s="89" t="s">
        <v>75</v>
      </c>
      <c r="B490" s="89"/>
      <c r="C490" s="89"/>
      <c r="D490" s="89"/>
      <c r="E490" s="89"/>
      <c r="F490" s="89"/>
      <c r="G490" s="89"/>
      <c r="H490" s="89"/>
      <c r="I490" s="89"/>
      <c r="J490" s="89"/>
      <c r="K490" s="89"/>
      <c r="L490" s="89"/>
    </row>
    <row r="491" spans="1:12" ht="14.4" customHeight="1" x14ac:dyDescent="0.3">
      <c r="A491" s="81" t="s">
        <v>7</v>
      </c>
      <c r="B491" s="82"/>
      <c r="C491" s="8">
        <f>C492+C509+C505</f>
        <v>45.5</v>
      </c>
      <c r="D491" s="8">
        <f>D492+D509+D505</f>
        <v>45.5</v>
      </c>
      <c r="E491" s="8">
        <f>E492+E509+E505</f>
        <v>34.799999999999997</v>
      </c>
      <c r="F491" s="8">
        <f>F492+F509+F505</f>
        <v>39</v>
      </c>
      <c r="G491" s="19"/>
      <c r="H491" s="19"/>
      <c r="I491" s="19"/>
      <c r="J491" s="19"/>
      <c r="K491" s="19"/>
      <c r="L491" s="19"/>
    </row>
    <row r="492" spans="1:12" ht="14.4" customHeight="1" x14ac:dyDescent="0.3">
      <c r="A492" s="81" t="s">
        <v>89</v>
      </c>
      <c r="B492" s="82"/>
      <c r="C492" s="40">
        <f t="shared" ref="C492:F492" si="309">SUM(C493:C505)</f>
        <v>41</v>
      </c>
      <c r="D492" s="40">
        <f t="shared" si="309"/>
        <v>41</v>
      </c>
      <c r="E492" s="40">
        <f t="shared" si="309"/>
        <v>32.799999999999997</v>
      </c>
      <c r="F492" s="40">
        <f t="shared" si="309"/>
        <v>37</v>
      </c>
      <c r="G492" s="40"/>
      <c r="H492" s="40">
        <f>SUM(H493:H505)</f>
        <v>13125974.4</v>
      </c>
      <c r="I492" s="20"/>
      <c r="J492" s="20">
        <f>H492-I492</f>
        <v>13125974.4</v>
      </c>
      <c r="K492" s="20">
        <f>J492*30.2%</f>
        <v>3964044.2688000002</v>
      </c>
      <c r="L492" s="20">
        <f>J492+K492</f>
        <v>17090018.6688</v>
      </c>
    </row>
    <row r="493" spans="1:12" x14ac:dyDescent="0.3">
      <c r="A493" s="4"/>
      <c r="B493" s="5" t="s">
        <v>9</v>
      </c>
      <c r="C493" s="33">
        <v>16</v>
      </c>
      <c r="D493" s="33">
        <v>16</v>
      </c>
      <c r="E493" s="33">
        <v>11</v>
      </c>
      <c r="F493" s="33">
        <v>15</v>
      </c>
      <c r="G493" s="19">
        <f>'расчёт зарплаты'!K10</f>
        <v>28208</v>
      </c>
      <c r="H493" s="19">
        <f>E493*G493*12+ ((D493-E493)*G493/2*12)</f>
        <v>4569696</v>
      </c>
      <c r="I493" s="19"/>
      <c r="J493" s="19"/>
      <c r="K493" s="19"/>
      <c r="L493" s="19">
        <f>G493*K493*12</f>
        <v>0</v>
      </c>
    </row>
    <row r="494" spans="1:12" ht="28.2" x14ac:dyDescent="0.3">
      <c r="A494" s="4"/>
      <c r="B494" s="5" t="s">
        <v>81</v>
      </c>
      <c r="C494" s="33">
        <v>6</v>
      </c>
      <c r="D494" s="33">
        <v>6</v>
      </c>
      <c r="E494" s="33">
        <v>6</v>
      </c>
      <c r="F494" s="33">
        <v>6</v>
      </c>
      <c r="G494" s="19">
        <f>'расчёт зарплаты'!K12</f>
        <v>30960</v>
      </c>
      <c r="H494" s="19">
        <f>E494*G494*12+ ((D494-E494)*G494/2*12)</f>
        <v>2229120</v>
      </c>
      <c r="I494" s="19"/>
      <c r="J494" s="19"/>
      <c r="K494" s="19"/>
      <c r="L494" s="19"/>
    </row>
    <row r="495" spans="1:12" x14ac:dyDescent="0.3">
      <c r="A495" s="4"/>
      <c r="B495" s="5" t="s">
        <v>10</v>
      </c>
      <c r="C495" s="33"/>
      <c r="D495" s="33"/>
      <c r="E495" s="33"/>
      <c r="F495" s="33"/>
      <c r="G495" s="19"/>
      <c r="H495" s="19">
        <f t="shared" ref="H495:H504" si="310">E495*G495*12+ ((D495-E495)*G495/2*12)</f>
        <v>0</v>
      </c>
      <c r="I495" s="19"/>
      <c r="J495" s="19"/>
      <c r="K495" s="19"/>
      <c r="L495" s="19"/>
    </row>
    <row r="496" spans="1:12" x14ac:dyDescent="0.3">
      <c r="A496" s="4"/>
      <c r="B496" s="5" t="s">
        <v>13</v>
      </c>
      <c r="C496" s="33">
        <v>4</v>
      </c>
      <c r="D496" s="33">
        <v>4</v>
      </c>
      <c r="E496" s="33">
        <v>4</v>
      </c>
      <c r="F496" s="33">
        <v>4</v>
      </c>
      <c r="G496" s="19">
        <f>'расчёт зарплаты'!K38</f>
        <v>28896</v>
      </c>
      <c r="H496" s="19">
        <f t="shared" si="310"/>
        <v>1387008</v>
      </c>
      <c r="I496" s="19"/>
      <c r="J496" s="19"/>
      <c r="K496" s="19"/>
      <c r="L496" s="19"/>
    </row>
    <row r="497" spans="1:12" ht="28.2" x14ac:dyDescent="0.3">
      <c r="A497" s="4"/>
      <c r="B497" s="5" t="s">
        <v>14</v>
      </c>
      <c r="C497" s="33"/>
      <c r="D497" s="33"/>
      <c r="E497" s="33"/>
      <c r="F497" s="33"/>
      <c r="G497" s="19"/>
      <c r="H497" s="19">
        <f t="shared" si="310"/>
        <v>0</v>
      </c>
      <c r="I497" s="19"/>
      <c r="J497" s="19"/>
      <c r="K497" s="19"/>
      <c r="L497" s="19"/>
    </row>
    <row r="498" spans="1:12" x14ac:dyDescent="0.3">
      <c r="A498" s="4"/>
      <c r="B498" s="5" t="s">
        <v>15</v>
      </c>
      <c r="C498" s="33">
        <v>4</v>
      </c>
      <c r="D498" s="33">
        <v>4</v>
      </c>
      <c r="E498" s="33">
        <v>1.5</v>
      </c>
      <c r="F498" s="33">
        <v>2</v>
      </c>
      <c r="G498" s="19">
        <f>'расчёт зарплаты'!K34</f>
        <v>30976</v>
      </c>
      <c r="H498" s="19">
        <f t="shared" si="310"/>
        <v>1022208</v>
      </c>
      <c r="I498" s="19"/>
      <c r="J498" s="19"/>
      <c r="K498" s="19"/>
      <c r="L498" s="19"/>
    </row>
    <row r="499" spans="1:12" x14ac:dyDescent="0.3">
      <c r="A499" s="4"/>
      <c r="B499" s="5" t="s">
        <v>16</v>
      </c>
      <c r="C499" s="33">
        <v>6</v>
      </c>
      <c r="D499" s="33">
        <v>6</v>
      </c>
      <c r="E499" s="33">
        <v>6</v>
      </c>
      <c r="F499" s="33">
        <v>6</v>
      </c>
      <c r="G499" s="19">
        <f>'расчёт зарплаты'!K8</f>
        <v>28600</v>
      </c>
      <c r="H499" s="19">
        <f t="shared" si="310"/>
        <v>2059200</v>
      </c>
      <c r="I499" s="19"/>
      <c r="J499" s="19"/>
      <c r="K499" s="19"/>
      <c r="L499" s="19"/>
    </row>
    <row r="500" spans="1:12" ht="42" x14ac:dyDescent="0.3">
      <c r="A500" s="4"/>
      <c r="B500" s="5" t="s">
        <v>17</v>
      </c>
      <c r="C500" s="33">
        <v>2</v>
      </c>
      <c r="D500" s="33">
        <v>2</v>
      </c>
      <c r="E500" s="33">
        <v>1.3</v>
      </c>
      <c r="F500" s="33">
        <v>1</v>
      </c>
      <c r="G500" s="19">
        <f>'расчёт зарплаты'!K10</f>
        <v>28208</v>
      </c>
      <c r="H500" s="19">
        <f t="shared" si="310"/>
        <v>558518.4</v>
      </c>
      <c r="I500" s="19"/>
      <c r="J500" s="19"/>
      <c r="K500" s="19"/>
      <c r="L500" s="19"/>
    </row>
    <row r="501" spans="1:12" ht="28.2" x14ac:dyDescent="0.3">
      <c r="A501" s="4"/>
      <c r="B501" s="5" t="s">
        <v>18</v>
      </c>
      <c r="C501" s="33">
        <v>2</v>
      </c>
      <c r="D501" s="33">
        <v>2</v>
      </c>
      <c r="E501" s="33">
        <v>2</v>
      </c>
      <c r="F501" s="33">
        <v>2</v>
      </c>
      <c r="G501" s="19">
        <f>'расчёт зарплаты'!K20</f>
        <v>31648</v>
      </c>
      <c r="H501" s="19">
        <f t="shared" si="310"/>
        <v>759552</v>
      </c>
      <c r="I501" s="19"/>
      <c r="J501" s="19"/>
      <c r="K501" s="19"/>
      <c r="L501" s="19"/>
    </row>
    <row r="502" spans="1:12" ht="42" x14ac:dyDescent="0.3">
      <c r="A502" s="4"/>
      <c r="B502" s="5" t="s">
        <v>91</v>
      </c>
      <c r="C502" s="33"/>
      <c r="D502" s="33"/>
      <c r="E502" s="33"/>
      <c r="F502" s="33"/>
      <c r="G502" s="19"/>
      <c r="H502" s="19">
        <f t="shared" si="310"/>
        <v>0</v>
      </c>
      <c r="I502" s="19"/>
      <c r="J502" s="19"/>
      <c r="K502" s="19"/>
      <c r="L502" s="19"/>
    </row>
    <row r="503" spans="1:12" x14ac:dyDescent="0.3">
      <c r="A503" s="4"/>
      <c r="B503" s="5" t="s">
        <v>20</v>
      </c>
      <c r="C503" s="33"/>
      <c r="D503" s="33"/>
      <c r="E503" s="33"/>
      <c r="F503" s="33"/>
      <c r="G503" s="19"/>
      <c r="H503" s="19">
        <f t="shared" si="310"/>
        <v>0</v>
      </c>
      <c r="I503" s="19"/>
      <c r="J503" s="19"/>
      <c r="K503" s="19"/>
      <c r="L503" s="19"/>
    </row>
    <row r="504" spans="1:12" ht="39.6" x14ac:dyDescent="0.3">
      <c r="A504" s="4"/>
      <c r="B504" s="6" t="s">
        <v>21</v>
      </c>
      <c r="C504" s="33">
        <v>1</v>
      </c>
      <c r="D504" s="33">
        <v>1</v>
      </c>
      <c r="E504" s="33">
        <v>1</v>
      </c>
      <c r="F504" s="33">
        <v>1</v>
      </c>
      <c r="G504" s="19">
        <f>'расчёт зарплаты'!K44</f>
        <v>45056</v>
      </c>
      <c r="H504" s="19">
        <f t="shared" si="310"/>
        <v>540672</v>
      </c>
      <c r="I504" s="19"/>
      <c r="J504" s="19"/>
      <c r="K504" s="19"/>
      <c r="L504" s="19"/>
    </row>
    <row r="505" spans="1:12" x14ac:dyDescent="0.3">
      <c r="A505" s="4"/>
      <c r="B505" s="5" t="s">
        <v>22</v>
      </c>
      <c r="C505" s="33"/>
      <c r="D505" s="33"/>
      <c r="E505" s="33"/>
      <c r="F505" s="33"/>
      <c r="G505" s="19"/>
      <c r="H505" s="19">
        <f t="shared" ref="H505" si="311">E505*G505*12</f>
        <v>0</v>
      </c>
      <c r="I505" s="19"/>
      <c r="J505" s="19"/>
      <c r="K505" s="19"/>
      <c r="L505" s="19"/>
    </row>
    <row r="506" spans="1:12" x14ac:dyDescent="0.3">
      <c r="A506" s="38" t="s">
        <v>57</v>
      </c>
      <c r="B506" s="39"/>
      <c r="C506" s="41">
        <f>C507+C508+C509</f>
        <v>8.5</v>
      </c>
      <c r="D506" s="41">
        <f t="shared" ref="D506" si="312">D507+D508+D509</f>
        <v>8.5</v>
      </c>
      <c r="E506" s="41">
        <f t="shared" ref="E506" si="313">E507+E508+E509</f>
        <v>6</v>
      </c>
      <c r="F506" s="41">
        <f t="shared" ref="F506" si="314">F507+F508+F509</f>
        <v>6</v>
      </c>
      <c r="G506" s="41"/>
      <c r="H506" s="41">
        <f t="shared" ref="H506" si="315">H507+H508+H509</f>
        <v>2411136</v>
      </c>
      <c r="I506" s="42">
        <f t="shared" ref="I506" si="316">I507+I508+I509</f>
        <v>0</v>
      </c>
      <c r="J506" s="42">
        <f t="shared" ref="J506" si="317">J507+J508+J509</f>
        <v>0</v>
      </c>
      <c r="K506" s="42">
        <f t="shared" ref="K506" si="318">K507+K508+K509</f>
        <v>0</v>
      </c>
      <c r="L506" s="42">
        <f t="shared" ref="L506" si="319">L507+L508+L509</f>
        <v>0</v>
      </c>
    </row>
    <row r="507" spans="1:12" x14ac:dyDescent="0.3">
      <c r="A507" s="4"/>
      <c r="B507" s="5" t="s">
        <v>11</v>
      </c>
      <c r="C507" s="9">
        <v>2</v>
      </c>
      <c r="D507" s="9">
        <v>2</v>
      </c>
      <c r="E507" s="9">
        <v>2</v>
      </c>
      <c r="F507" s="9">
        <v>2</v>
      </c>
      <c r="G507" s="19">
        <f>'расчёт зарплаты'!K26</f>
        <v>27300</v>
      </c>
      <c r="H507" s="19">
        <f t="shared" ref="H507:H510" si="320">E507*G507*12+ ((D507-E507)*G507/2*12)</f>
        <v>655200</v>
      </c>
      <c r="I507" s="19"/>
      <c r="J507" s="19"/>
      <c r="K507" s="19"/>
      <c r="L507" s="19"/>
    </row>
    <row r="508" spans="1:12" x14ac:dyDescent="0.3">
      <c r="A508" s="4"/>
      <c r="B508" s="5" t="s">
        <v>12</v>
      </c>
      <c r="C508" s="9">
        <v>2</v>
      </c>
      <c r="D508" s="9">
        <v>2</v>
      </c>
      <c r="E508" s="9">
        <v>2</v>
      </c>
      <c r="F508" s="9">
        <v>2</v>
      </c>
      <c r="G508" s="19">
        <f>'расчёт зарплаты'!K26</f>
        <v>27300</v>
      </c>
      <c r="H508" s="19">
        <f t="shared" si="320"/>
        <v>655200</v>
      </c>
      <c r="I508" s="19"/>
      <c r="J508" s="19"/>
      <c r="K508" s="19"/>
      <c r="L508" s="19"/>
    </row>
    <row r="509" spans="1:12" ht="28.2" x14ac:dyDescent="0.3">
      <c r="A509" s="4"/>
      <c r="B509" s="5" t="s">
        <v>19</v>
      </c>
      <c r="C509" s="9">
        <v>4.5</v>
      </c>
      <c r="D509" s="9">
        <v>4.5</v>
      </c>
      <c r="E509" s="9">
        <v>2</v>
      </c>
      <c r="F509" s="9">
        <v>2</v>
      </c>
      <c r="G509" s="19">
        <f>'расчёт зарплаты'!K40</f>
        <v>28224</v>
      </c>
      <c r="H509" s="19">
        <f t="shared" si="320"/>
        <v>1100736</v>
      </c>
      <c r="I509" s="19"/>
      <c r="J509" s="19"/>
      <c r="K509" s="19"/>
      <c r="L509" s="19"/>
    </row>
    <row r="510" spans="1:12" x14ac:dyDescent="0.3">
      <c r="A510" s="83" t="s">
        <v>23</v>
      </c>
      <c r="B510" s="83"/>
      <c r="C510" s="7">
        <f t="shared" ref="C510:F510" si="321">C511+C517</f>
        <v>9</v>
      </c>
      <c r="D510" s="7">
        <f t="shared" si="321"/>
        <v>8.5</v>
      </c>
      <c r="E510" s="7">
        <f t="shared" si="321"/>
        <v>6</v>
      </c>
      <c r="F510" s="7">
        <f t="shared" si="321"/>
        <v>6</v>
      </c>
      <c r="G510" s="19"/>
      <c r="H510" s="19">
        <f t="shared" si="320"/>
        <v>0</v>
      </c>
      <c r="I510" s="19"/>
      <c r="J510" s="20">
        <f t="shared" ref="J510:K510" si="322">J511+J517</f>
        <v>2443152</v>
      </c>
      <c r="K510" s="20">
        <f t="shared" si="322"/>
        <v>737831.90399999998</v>
      </c>
      <c r="L510" s="20">
        <f>L511+L517</f>
        <v>3180983.9040000001</v>
      </c>
    </row>
    <row r="511" spans="1:12" x14ac:dyDescent="0.3">
      <c r="A511" s="84" t="s">
        <v>24</v>
      </c>
      <c r="B511" s="84"/>
      <c r="C511" s="7">
        <f t="shared" ref="C511:F511" si="323">C512+C513+C514+C515+C516</f>
        <v>6</v>
      </c>
      <c r="D511" s="7">
        <f t="shared" si="323"/>
        <v>6</v>
      </c>
      <c r="E511" s="7">
        <f t="shared" si="323"/>
        <v>4</v>
      </c>
      <c r="F511" s="7">
        <f t="shared" si="323"/>
        <v>4</v>
      </c>
      <c r="G511" s="20"/>
      <c r="H511" s="20">
        <f>H512+H513+H514+H515+H516</f>
        <v>1638000</v>
      </c>
      <c r="I511" s="20">
        <f t="shared" ref="I511" si="324">I512+I513+I514+I515+I516</f>
        <v>0</v>
      </c>
      <c r="J511" s="20">
        <f>H511</f>
        <v>1638000</v>
      </c>
      <c r="K511" s="20">
        <f>J511*30.2%</f>
        <v>494676</v>
      </c>
      <c r="L511" s="20">
        <f>J511+K511</f>
        <v>2132676</v>
      </c>
    </row>
    <row r="512" spans="1:12" x14ac:dyDescent="0.3">
      <c r="A512" s="4"/>
      <c r="B512" s="5" t="s">
        <v>25</v>
      </c>
      <c r="C512" s="33"/>
      <c r="D512" s="33"/>
      <c r="E512" s="33"/>
      <c r="F512" s="33"/>
      <c r="G512" s="19"/>
      <c r="H512" s="19">
        <f t="shared" ref="H512:H516" si="325">E512*G512*12+ ((D512-E512)*G512/2*12)</f>
        <v>0</v>
      </c>
      <c r="I512" s="19"/>
      <c r="J512" s="19"/>
      <c r="K512" s="19"/>
      <c r="L512" s="19"/>
    </row>
    <row r="513" spans="1:12" x14ac:dyDescent="0.3">
      <c r="A513" s="4"/>
      <c r="B513" s="5" t="s">
        <v>26</v>
      </c>
      <c r="C513" s="33"/>
      <c r="D513" s="33"/>
      <c r="E513" s="33"/>
      <c r="F513" s="33"/>
      <c r="G513" s="19"/>
      <c r="H513" s="19">
        <f t="shared" si="325"/>
        <v>0</v>
      </c>
      <c r="I513" s="19"/>
      <c r="J513" s="19"/>
      <c r="K513" s="19"/>
      <c r="L513" s="19"/>
    </row>
    <row r="514" spans="1:12" x14ac:dyDescent="0.3">
      <c r="A514" s="4"/>
      <c r="B514" s="5" t="s">
        <v>27</v>
      </c>
      <c r="C514" s="33"/>
      <c r="D514" s="33"/>
      <c r="E514" s="33"/>
      <c r="F514" s="33"/>
      <c r="G514" s="19"/>
      <c r="H514" s="19">
        <f t="shared" si="325"/>
        <v>0</v>
      </c>
      <c r="I514" s="19"/>
      <c r="J514" s="19"/>
      <c r="K514" s="19"/>
      <c r="L514" s="19"/>
    </row>
    <row r="515" spans="1:12" ht="28.2" x14ac:dyDescent="0.3">
      <c r="A515" s="4"/>
      <c r="B515" s="5" t="s">
        <v>28</v>
      </c>
      <c r="C515" s="33">
        <v>2.5</v>
      </c>
      <c r="D515" s="33">
        <v>2.5</v>
      </c>
      <c r="E515" s="33">
        <v>2</v>
      </c>
      <c r="F515" s="33">
        <v>2</v>
      </c>
      <c r="G515" s="19">
        <f>'расчёт зарплаты'!K26</f>
        <v>27300</v>
      </c>
      <c r="H515" s="19">
        <f t="shared" si="325"/>
        <v>737100</v>
      </c>
      <c r="I515" s="19"/>
      <c r="J515" s="19"/>
      <c r="K515" s="19"/>
      <c r="L515" s="19"/>
    </row>
    <row r="516" spans="1:12" x14ac:dyDescent="0.3">
      <c r="A516" s="4"/>
      <c r="B516" s="5" t="s">
        <v>29</v>
      </c>
      <c r="C516" s="33">
        <v>3.5</v>
      </c>
      <c r="D516" s="33">
        <v>3.5</v>
      </c>
      <c r="E516" s="33">
        <v>2</v>
      </c>
      <c r="F516" s="33">
        <v>2</v>
      </c>
      <c r="G516" s="19">
        <f>'расчёт зарплаты'!K26</f>
        <v>27300</v>
      </c>
      <c r="H516" s="19">
        <f t="shared" si="325"/>
        <v>900900</v>
      </c>
      <c r="I516" s="19"/>
      <c r="J516" s="19"/>
      <c r="K516" s="19"/>
      <c r="L516" s="19"/>
    </row>
    <row r="517" spans="1:12" x14ac:dyDescent="0.3">
      <c r="A517" s="84" t="s">
        <v>30</v>
      </c>
      <c r="B517" s="84"/>
      <c r="C517" s="7">
        <f t="shared" ref="C517:F517" si="326">C518+C519+C520</f>
        <v>3</v>
      </c>
      <c r="D517" s="7">
        <f t="shared" si="326"/>
        <v>2.5</v>
      </c>
      <c r="E517" s="7">
        <f t="shared" si="326"/>
        <v>2</v>
      </c>
      <c r="F517" s="7">
        <f t="shared" si="326"/>
        <v>2</v>
      </c>
      <c r="G517" s="20"/>
      <c r="H517" s="20">
        <f>H518+H519+H520</f>
        <v>805152</v>
      </c>
      <c r="I517" s="20">
        <f t="shared" ref="I517" si="327">I518+I519+I520</f>
        <v>0</v>
      </c>
      <c r="J517" s="20">
        <f>H517</f>
        <v>805152</v>
      </c>
      <c r="K517" s="20">
        <f>J517*30.2%</f>
        <v>243155.90399999998</v>
      </c>
      <c r="L517" s="20">
        <f>J517+K517</f>
        <v>1048307.904</v>
      </c>
    </row>
    <row r="518" spans="1:12" x14ac:dyDescent="0.3">
      <c r="A518" s="4"/>
      <c r="B518" s="5" t="s">
        <v>31</v>
      </c>
      <c r="C518" s="33">
        <v>1</v>
      </c>
      <c r="D518" s="33">
        <v>1</v>
      </c>
      <c r="E518" s="33">
        <v>1</v>
      </c>
      <c r="F518" s="33">
        <v>1</v>
      </c>
      <c r="G518" s="19">
        <f>'расчёт зарплаты'!K34</f>
        <v>30976</v>
      </c>
      <c r="H518" s="19">
        <f t="shared" ref="H518:H520" si="328">E518*G518*12+ ((D518-E518)*G518/2*12)</f>
        <v>371712</v>
      </c>
      <c r="I518" s="19"/>
      <c r="J518" s="19"/>
      <c r="K518" s="19"/>
      <c r="L518" s="19"/>
    </row>
    <row r="519" spans="1:12" x14ac:dyDescent="0.3">
      <c r="A519" s="4"/>
      <c r="B519" s="5" t="s">
        <v>32</v>
      </c>
      <c r="C519" s="33"/>
      <c r="D519" s="33"/>
      <c r="E519" s="33"/>
      <c r="F519" s="33"/>
      <c r="G519" s="19"/>
      <c r="H519" s="19">
        <f t="shared" si="328"/>
        <v>0</v>
      </c>
      <c r="I519" s="19"/>
      <c r="J519" s="19"/>
      <c r="K519" s="19"/>
      <c r="L519" s="19"/>
    </row>
    <row r="520" spans="1:12" x14ac:dyDescent="0.3">
      <c r="A520" s="4"/>
      <c r="B520" s="5" t="s">
        <v>33</v>
      </c>
      <c r="C520" s="33">
        <v>2</v>
      </c>
      <c r="D520" s="33">
        <v>1.5</v>
      </c>
      <c r="E520" s="33">
        <v>1</v>
      </c>
      <c r="F520" s="33">
        <v>1</v>
      </c>
      <c r="G520" s="19">
        <f>'расчёт зарплаты'!K38</f>
        <v>28896</v>
      </c>
      <c r="H520" s="19">
        <f t="shared" si="328"/>
        <v>433440</v>
      </c>
      <c r="I520" s="19"/>
      <c r="J520" s="19"/>
      <c r="K520" s="19"/>
      <c r="L520" s="19"/>
    </row>
    <row r="521" spans="1:12" x14ac:dyDescent="0.3">
      <c r="A521" s="89" t="s">
        <v>76</v>
      </c>
      <c r="B521" s="89"/>
      <c r="C521" s="89"/>
      <c r="D521" s="89"/>
      <c r="E521" s="89"/>
      <c r="F521" s="89"/>
      <c r="G521" s="89"/>
      <c r="H521" s="89"/>
      <c r="I521" s="89"/>
      <c r="J521" s="89"/>
      <c r="K521" s="89"/>
      <c r="L521" s="89"/>
    </row>
    <row r="522" spans="1:12" ht="14.4" customHeight="1" x14ac:dyDescent="0.3">
      <c r="A522" s="81" t="s">
        <v>7</v>
      </c>
      <c r="B522" s="82"/>
      <c r="C522" s="8">
        <f>C523+C540+C536</f>
        <v>147</v>
      </c>
      <c r="D522" s="8">
        <f>D523+D540+D536</f>
        <v>128</v>
      </c>
      <c r="E522" s="8">
        <f>E523+E540+E536</f>
        <v>102.3</v>
      </c>
      <c r="F522" s="8">
        <f>F523+F540+F536</f>
        <v>127.75</v>
      </c>
      <c r="G522" s="19"/>
      <c r="H522" s="19"/>
      <c r="I522" s="19"/>
      <c r="J522" s="19"/>
      <c r="K522" s="19"/>
      <c r="L522" s="19"/>
    </row>
    <row r="523" spans="1:12" ht="14.4" customHeight="1" x14ac:dyDescent="0.3">
      <c r="A523" s="81" t="s">
        <v>89</v>
      </c>
      <c r="B523" s="82"/>
      <c r="C523" s="40">
        <f t="shared" ref="C523:G523" si="329">SUM(C524:C536)</f>
        <v>134.5</v>
      </c>
      <c r="D523" s="40">
        <f t="shared" si="329"/>
        <v>119</v>
      </c>
      <c r="E523" s="40">
        <f t="shared" si="329"/>
        <v>94.3</v>
      </c>
      <c r="F523" s="40">
        <f t="shared" si="329"/>
        <v>118.75</v>
      </c>
      <c r="G523" s="40">
        <f t="shared" si="329"/>
        <v>249800</v>
      </c>
      <c r="H523" s="40">
        <f>SUM(H524:H536)</f>
        <v>36732470.399999999</v>
      </c>
      <c r="I523" s="20"/>
      <c r="J523" s="20">
        <f>H523-I523</f>
        <v>36732470.399999999</v>
      </c>
      <c r="K523" s="20">
        <f>J523*30.2%</f>
        <v>11093206.060799999</v>
      </c>
      <c r="L523" s="20">
        <f>J523+K523</f>
        <v>47825676.4608</v>
      </c>
    </row>
    <row r="524" spans="1:12" x14ac:dyDescent="0.3">
      <c r="A524" s="4"/>
      <c r="B524" s="5" t="s">
        <v>9</v>
      </c>
      <c r="C524" s="33">
        <v>82.25</v>
      </c>
      <c r="D524" s="33">
        <v>80</v>
      </c>
      <c r="E524" s="33">
        <v>61.3</v>
      </c>
      <c r="F524" s="33">
        <v>79.75</v>
      </c>
      <c r="G524" s="19">
        <f>'расчёт зарплаты'!K10</f>
        <v>28208</v>
      </c>
      <c r="H524" s="19">
        <f>E524*G524*12+ ((D524-E524)*G524/2*12)</f>
        <v>23914742.399999999</v>
      </c>
      <c r="I524" s="19"/>
      <c r="J524" s="19"/>
      <c r="K524" s="19"/>
      <c r="L524" s="19">
        <f>G524*K524*12</f>
        <v>0</v>
      </c>
    </row>
    <row r="525" spans="1:12" ht="28.2" x14ac:dyDescent="0.3">
      <c r="A525" s="4"/>
      <c r="B525" s="5" t="s">
        <v>81</v>
      </c>
      <c r="C525" s="33">
        <v>2.5</v>
      </c>
      <c r="D525" s="33">
        <v>2.5</v>
      </c>
      <c r="E525" s="33">
        <v>2.5</v>
      </c>
      <c r="F525" s="33">
        <v>2.5</v>
      </c>
      <c r="G525" s="19">
        <f>'расчёт зарплаты'!K10</f>
        <v>28208</v>
      </c>
      <c r="H525" s="19">
        <f>E525*G525*12+ ((D525-E525)*G525/2*12)</f>
        <v>846240</v>
      </c>
      <c r="I525" s="19"/>
      <c r="J525" s="19"/>
      <c r="K525" s="19"/>
      <c r="L525" s="19"/>
    </row>
    <row r="526" spans="1:12" x14ac:dyDescent="0.3">
      <c r="A526" s="4"/>
      <c r="B526" s="5" t="s">
        <v>10</v>
      </c>
      <c r="C526" s="33"/>
      <c r="D526" s="33"/>
      <c r="E526" s="33"/>
      <c r="F526" s="33"/>
      <c r="G526" s="19"/>
      <c r="H526" s="19">
        <f t="shared" ref="H526:H535" si="330">E526*G526*12+ ((D526-E526)*G526/2*12)</f>
        <v>0</v>
      </c>
      <c r="I526" s="19"/>
      <c r="J526" s="19"/>
      <c r="K526" s="19"/>
      <c r="L526" s="19"/>
    </row>
    <row r="527" spans="1:12" x14ac:dyDescent="0.3">
      <c r="A527" s="4"/>
      <c r="B527" s="5" t="s">
        <v>13</v>
      </c>
      <c r="C527" s="33">
        <v>13</v>
      </c>
      <c r="D527" s="33">
        <v>12</v>
      </c>
      <c r="E527" s="33">
        <v>6</v>
      </c>
      <c r="F527" s="33">
        <v>12</v>
      </c>
      <c r="G527" s="19">
        <f>'расчёт зарплаты'!K38</f>
        <v>28896</v>
      </c>
      <c r="H527" s="19">
        <f t="shared" si="330"/>
        <v>3120768</v>
      </c>
      <c r="I527" s="19"/>
      <c r="J527" s="19"/>
      <c r="K527" s="19"/>
      <c r="L527" s="19"/>
    </row>
    <row r="528" spans="1:12" ht="28.2" x14ac:dyDescent="0.3">
      <c r="A528" s="4"/>
      <c r="B528" s="5" t="s">
        <v>14</v>
      </c>
      <c r="C528" s="33"/>
      <c r="D528" s="33"/>
      <c r="E528" s="33"/>
      <c r="F528" s="33"/>
      <c r="G528" s="19"/>
      <c r="H528" s="19">
        <f t="shared" si="330"/>
        <v>0</v>
      </c>
      <c r="I528" s="19"/>
      <c r="J528" s="19"/>
      <c r="K528" s="19"/>
      <c r="L528" s="19"/>
    </row>
    <row r="529" spans="1:12" x14ac:dyDescent="0.3">
      <c r="A529" s="4"/>
      <c r="B529" s="5" t="s">
        <v>15</v>
      </c>
      <c r="C529" s="33">
        <v>17.5</v>
      </c>
      <c r="D529" s="33">
        <v>9</v>
      </c>
      <c r="E529" s="33">
        <v>9</v>
      </c>
      <c r="F529" s="33">
        <v>9</v>
      </c>
      <c r="G529" s="19">
        <f>'расчёт зарплаты'!K34</f>
        <v>30976</v>
      </c>
      <c r="H529" s="19">
        <f t="shared" si="330"/>
        <v>3345408</v>
      </c>
      <c r="I529" s="19"/>
      <c r="J529" s="19"/>
      <c r="K529" s="19"/>
      <c r="L529" s="19"/>
    </row>
    <row r="530" spans="1:12" x14ac:dyDescent="0.3">
      <c r="A530" s="4"/>
      <c r="B530" s="5" t="s">
        <v>16</v>
      </c>
      <c r="C530" s="33">
        <v>12</v>
      </c>
      <c r="D530" s="33">
        <v>12</v>
      </c>
      <c r="E530" s="33">
        <v>12</v>
      </c>
      <c r="F530" s="33">
        <v>12</v>
      </c>
      <c r="G530" s="19">
        <f>'расчёт зарплаты'!K8</f>
        <v>28600</v>
      </c>
      <c r="H530" s="19">
        <f t="shared" si="330"/>
        <v>4118400</v>
      </c>
      <c r="I530" s="19"/>
      <c r="J530" s="19"/>
      <c r="K530" s="19"/>
      <c r="L530" s="19"/>
    </row>
    <row r="531" spans="1:12" ht="42" x14ac:dyDescent="0.3">
      <c r="A531" s="4"/>
      <c r="B531" s="5" t="s">
        <v>17</v>
      </c>
      <c r="C531" s="33">
        <v>4</v>
      </c>
      <c r="D531" s="33">
        <v>2.5</v>
      </c>
      <c r="E531" s="33">
        <v>2.5</v>
      </c>
      <c r="F531" s="33">
        <v>2.5</v>
      </c>
      <c r="G531" s="19">
        <f>'расчёт зарплаты'!K10</f>
        <v>28208</v>
      </c>
      <c r="H531" s="19">
        <f t="shared" si="330"/>
        <v>846240</v>
      </c>
      <c r="I531" s="19"/>
      <c r="J531" s="19"/>
      <c r="K531" s="19"/>
      <c r="L531" s="19"/>
    </row>
    <row r="532" spans="1:12" ht="28.2" x14ac:dyDescent="0.3">
      <c r="A532" s="4"/>
      <c r="B532" s="5" t="s">
        <v>18</v>
      </c>
      <c r="C532" s="33">
        <v>2.25</v>
      </c>
      <c r="D532" s="33">
        <v>0</v>
      </c>
      <c r="E532" s="33">
        <v>0</v>
      </c>
      <c r="F532" s="33">
        <v>0</v>
      </c>
      <c r="G532" s="19">
        <f>'расчёт зарплаты'!K20</f>
        <v>31648</v>
      </c>
      <c r="H532" s="19">
        <f t="shared" si="330"/>
        <v>0</v>
      </c>
      <c r="I532" s="19"/>
      <c r="J532" s="19"/>
      <c r="K532" s="19"/>
      <c r="L532" s="19"/>
    </row>
    <row r="533" spans="1:12" ht="42" x14ac:dyDescent="0.3">
      <c r="A533" s="4"/>
      <c r="B533" s="5" t="s">
        <v>91</v>
      </c>
      <c r="C533" s="33"/>
      <c r="D533" s="33"/>
      <c r="E533" s="33"/>
      <c r="F533" s="33"/>
      <c r="G533" s="19"/>
      <c r="H533" s="19">
        <f t="shared" si="330"/>
        <v>0</v>
      </c>
      <c r="I533" s="19"/>
      <c r="J533" s="19"/>
      <c r="K533" s="19"/>
      <c r="L533" s="19"/>
    </row>
    <row r="534" spans="1:12" x14ac:dyDescent="0.3">
      <c r="A534" s="4"/>
      <c r="B534" s="5" t="s">
        <v>20</v>
      </c>
      <c r="C534" s="33"/>
      <c r="D534" s="33"/>
      <c r="E534" s="33"/>
      <c r="F534" s="33"/>
      <c r="G534" s="19"/>
      <c r="H534" s="19">
        <f t="shared" si="330"/>
        <v>0</v>
      </c>
      <c r="I534" s="19"/>
      <c r="J534" s="19"/>
      <c r="K534" s="19"/>
      <c r="L534" s="19"/>
    </row>
    <row r="535" spans="1:12" ht="39.6" x14ac:dyDescent="0.3">
      <c r="A535" s="4"/>
      <c r="B535" s="6" t="s">
        <v>21</v>
      </c>
      <c r="C535" s="33">
        <v>1</v>
      </c>
      <c r="D535" s="33">
        <v>1</v>
      </c>
      <c r="E535" s="33">
        <v>1</v>
      </c>
      <c r="F535" s="33">
        <v>1</v>
      </c>
      <c r="G535" s="19">
        <f>'расчёт зарплаты'!K44</f>
        <v>45056</v>
      </c>
      <c r="H535" s="19">
        <f t="shared" si="330"/>
        <v>540672</v>
      </c>
      <c r="I535" s="19"/>
      <c r="J535" s="19"/>
      <c r="K535" s="19"/>
      <c r="L535" s="19"/>
    </row>
    <row r="536" spans="1:12" x14ac:dyDescent="0.3">
      <c r="A536" s="4"/>
      <c r="B536" s="5" t="s">
        <v>22</v>
      </c>
      <c r="C536" s="33"/>
      <c r="D536" s="33"/>
      <c r="E536" s="33"/>
      <c r="F536" s="33"/>
      <c r="G536" s="19"/>
      <c r="H536" s="19">
        <f t="shared" ref="H536" si="331">E536*G536*12</f>
        <v>0</v>
      </c>
      <c r="I536" s="19"/>
      <c r="J536" s="19"/>
      <c r="K536" s="19"/>
      <c r="L536" s="19"/>
    </row>
    <row r="537" spans="1:12" x14ac:dyDescent="0.3">
      <c r="A537" s="38" t="s">
        <v>57</v>
      </c>
      <c r="B537" s="39"/>
      <c r="C537" s="41">
        <f>C538+C539+C540</f>
        <v>22</v>
      </c>
      <c r="D537" s="41">
        <f t="shared" ref="D537" si="332">D538+D539+D540</f>
        <v>14</v>
      </c>
      <c r="E537" s="41">
        <f t="shared" ref="E537" si="333">E538+E539+E540</f>
        <v>13</v>
      </c>
      <c r="F537" s="41">
        <f t="shared" ref="F537" si="334">F538+F539+F540</f>
        <v>14</v>
      </c>
      <c r="G537" s="41"/>
      <c r="H537" s="42">
        <f t="shared" ref="H537" si="335">H538+H539+H540</f>
        <v>4516848</v>
      </c>
      <c r="I537" s="42">
        <f t="shared" ref="I537" si="336">I538+I539+I540</f>
        <v>0</v>
      </c>
      <c r="J537" s="42">
        <f t="shared" ref="J537" si="337">J538+J539+J540</f>
        <v>0</v>
      </c>
      <c r="K537" s="42">
        <f t="shared" ref="K537" si="338">K538+K539+K540</f>
        <v>0</v>
      </c>
      <c r="L537" s="42">
        <f t="shared" ref="L537" si="339">L538+L539+L540</f>
        <v>0</v>
      </c>
    </row>
    <row r="538" spans="1:12" x14ac:dyDescent="0.3">
      <c r="A538" s="4"/>
      <c r="B538" s="5" t="s">
        <v>11</v>
      </c>
      <c r="C538" s="9">
        <v>4.5</v>
      </c>
      <c r="D538" s="9">
        <v>0</v>
      </c>
      <c r="E538" s="9">
        <v>0</v>
      </c>
      <c r="F538" s="9">
        <v>0</v>
      </c>
      <c r="G538" s="19">
        <f>'расчёт зарплаты'!K26</f>
        <v>27300</v>
      </c>
      <c r="H538" s="19">
        <f t="shared" ref="H538:H541" si="340">E538*G538*12+ ((D538-E538)*G538/2*12)</f>
        <v>0</v>
      </c>
      <c r="I538" s="19"/>
      <c r="J538" s="19"/>
      <c r="K538" s="19"/>
      <c r="L538" s="19"/>
    </row>
    <row r="539" spans="1:12" x14ac:dyDescent="0.3">
      <c r="A539" s="4"/>
      <c r="B539" s="5" t="s">
        <v>12</v>
      </c>
      <c r="C539" s="9">
        <v>5</v>
      </c>
      <c r="D539" s="9">
        <v>5</v>
      </c>
      <c r="E539" s="9">
        <v>5</v>
      </c>
      <c r="F539" s="9">
        <v>5</v>
      </c>
      <c r="G539" s="19">
        <f>'расчёт зарплаты'!K26</f>
        <v>27300</v>
      </c>
      <c r="H539" s="19">
        <f t="shared" si="340"/>
        <v>1638000</v>
      </c>
      <c r="I539" s="19"/>
      <c r="J539" s="19"/>
      <c r="K539" s="19"/>
      <c r="L539" s="19"/>
    </row>
    <row r="540" spans="1:12" ht="28.2" x14ac:dyDescent="0.3">
      <c r="A540" s="4"/>
      <c r="B540" s="5" t="s">
        <v>19</v>
      </c>
      <c r="C540" s="9">
        <v>12.5</v>
      </c>
      <c r="D540" s="9">
        <v>9</v>
      </c>
      <c r="E540" s="9">
        <v>8</v>
      </c>
      <c r="F540" s="9">
        <v>9</v>
      </c>
      <c r="G540" s="19">
        <f>'расчёт зарплаты'!K40</f>
        <v>28224</v>
      </c>
      <c r="H540" s="19">
        <f t="shared" si="340"/>
        <v>2878848</v>
      </c>
      <c r="I540" s="19"/>
      <c r="J540" s="19"/>
      <c r="K540" s="19"/>
      <c r="L540" s="19"/>
    </row>
    <row r="541" spans="1:12" x14ac:dyDescent="0.3">
      <c r="A541" s="83" t="s">
        <v>23</v>
      </c>
      <c r="B541" s="83"/>
      <c r="C541" s="7">
        <f t="shared" ref="C541:F541" si="341">C542+C548</f>
        <v>25.75</v>
      </c>
      <c r="D541" s="7">
        <f t="shared" si="341"/>
        <v>23.16</v>
      </c>
      <c r="E541" s="7">
        <f t="shared" si="341"/>
        <v>19.5</v>
      </c>
      <c r="F541" s="7">
        <f t="shared" si="341"/>
        <v>21</v>
      </c>
      <c r="G541" s="19"/>
      <c r="H541" s="19">
        <f t="shared" si="340"/>
        <v>0</v>
      </c>
      <c r="I541" s="19"/>
      <c r="J541" s="20">
        <f t="shared" ref="J541:K541" si="342">J542+J548</f>
        <v>7202460</v>
      </c>
      <c r="K541" s="20">
        <f t="shared" si="342"/>
        <v>2175142.92</v>
      </c>
      <c r="L541" s="20">
        <f>L542+L548</f>
        <v>9377602.9199999999</v>
      </c>
    </row>
    <row r="542" spans="1:12" x14ac:dyDescent="0.3">
      <c r="A542" s="84" t="s">
        <v>24</v>
      </c>
      <c r="B542" s="84"/>
      <c r="C542" s="7">
        <f t="shared" ref="C542:F542" si="343">C543+C544+C545+C546+C547</f>
        <v>18.75</v>
      </c>
      <c r="D542" s="7">
        <f t="shared" si="343"/>
        <v>16.16</v>
      </c>
      <c r="E542" s="7">
        <f t="shared" si="343"/>
        <v>14.5</v>
      </c>
      <c r="F542" s="7">
        <f t="shared" si="343"/>
        <v>16</v>
      </c>
      <c r="G542" s="20"/>
      <c r="H542" s="20">
        <f>H543+H544+H545+H546+H547</f>
        <v>5022108</v>
      </c>
      <c r="I542" s="20">
        <f t="shared" ref="I542" si="344">I543+I544+I545+I546+I547</f>
        <v>0</v>
      </c>
      <c r="J542" s="20">
        <f>H542</f>
        <v>5022108</v>
      </c>
      <c r="K542" s="20">
        <f>J542*30.2%</f>
        <v>1516676.6159999999</v>
      </c>
      <c r="L542" s="20">
        <f>J542+K542</f>
        <v>6538784.6160000004</v>
      </c>
    </row>
    <row r="543" spans="1:12" x14ac:dyDescent="0.3">
      <c r="A543" s="4"/>
      <c r="B543" s="5" t="s">
        <v>25</v>
      </c>
      <c r="C543" s="33"/>
      <c r="D543" s="33"/>
      <c r="E543" s="33"/>
      <c r="F543" s="33"/>
      <c r="G543" s="19"/>
      <c r="H543" s="19">
        <f t="shared" ref="H543:H547" si="345">E543*G543*12+ ((D543-E543)*G543/2*12)</f>
        <v>0</v>
      </c>
      <c r="I543" s="19"/>
      <c r="J543" s="19"/>
      <c r="K543" s="19"/>
      <c r="L543" s="19"/>
    </row>
    <row r="544" spans="1:12" x14ac:dyDescent="0.3">
      <c r="A544" s="4"/>
      <c r="B544" s="5" t="s">
        <v>26</v>
      </c>
      <c r="C544" s="33"/>
      <c r="D544" s="33"/>
      <c r="E544" s="33"/>
      <c r="F544" s="33"/>
      <c r="G544" s="19"/>
      <c r="H544" s="19">
        <f t="shared" si="345"/>
        <v>0</v>
      </c>
      <c r="I544" s="19"/>
      <c r="J544" s="19"/>
      <c r="K544" s="19"/>
      <c r="L544" s="19"/>
    </row>
    <row r="545" spans="1:12" x14ac:dyDescent="0.3">
      <c r="A545" s="4"/>
      <c r="B545" s="5" t="s">
        <v>27</v>
      </c>
      <c r="C545" s="33"/>
      <c r="D545" s="33"/>
      <c r="E545" s="33"/>
      <c r="F545" s="33"/>
      <c r="G545" s="19"/>
      <c r="H545" s="19">
        <f t="shared" si="345"/>
        <v>0</v>
      </c>
      <c r="I545" s="19"/>
      <c r="J545" s="19"/>
      <c r="K545" s="19"/>
      <c r="L545" s="19"/>
    </row>
    <row r="546" spans="1:12" ht="28.2" x14ac:dyDescent="0.3">
      <c r="A546" s="4"/>
      <c r="B546" s="5" t="s">
        <v>28</v>
      </c>
      <c r="C546" s="33">
        <v>7.75</v>
      </c>
      <c r="D546" s="33">
        <v>7</v>
      </c>
      <c r="E546" s="33">
        <v>7</v>
      </c>
      <c r="F546" s="33">
        <v>7</v>
      </c>
      <c r="G546" s="19">
        <f>'расчёт зарплаты'!K26</f>
        <v>27300</v>
      </c>
      <c r="H546" s="19">
        <f t="shared" si="345"/>
        <v>2293200</v>
      </c>
      <c r="I546" s="19"/>
      <c r="J546" s="19"/>
      <c r="K546" s="19"/>
      <c r="L546" s="19"/>
    </row>
    <row r="547" spans="1:12" x14ac:dyDescent="0.3">
      <c r="A547" s="4"/>
      <c r="B547" s="5" t="s">
        <v>29</v>
      </c>
      <c r="C547" s="33">
        <v>11</v>
      </c>
      <c r="D547" s="33">
        <v>9.16</v>
      </c>
      <c r="E547" s="33">
        <v>7.5</v>
      </c>
      <c r="F547" s="33">
        <v>9</v>
      </c>
      <c r="G547" s="19">
        <f>'расчёт зарплаты'!K26</f>
        <v>27300</v>
      </c>
      <c r="H547" s="19">
        <f t="shared" si="345"/>
        <v>2728908</v>
      </c>
      <c r="I547" s="19"/>
      <c r="J547" s="19"/>
      <c r="K547" s="19"/>
      <c r="L547" s="19"/>
    </row>
    <row r="548" spans="1:12" x14ac:dyDescent="0.3">
      <c r="A548" s="84" t="s">
        <v>30</v>
      </c>
      <c r="B548" s="84"/>
      <c r="C548" s="7">
        <f t="shared" ref="C548:F548" si="346">C549+C550+C551</f>
        <v>7</v>
      </c>
      <c r="D548" s="7">
        <f t="shared" si="346"/>
        <v>7</v>
      </c>
      <c r="E548" s="7">
        <f t="shared" si="346"/>
        <v>5</v>
      </c>
      <c r="F548" s="7">
        <f t="shared" si="346"/>
        <v>5</v>
      </c>
      <c r="G548" s="20"/>
      <c r="H548" s="20">
        <f>H549+H550+H551</f>
        <v>2180352</v>
      </c>
      <c r="I548" s="20">
        <f t="shared" ref="I548" si="347">I549+I550+I551</f>
        <v>0</v>
      </c>
      <c r="J548" s="20">
        <f>H548</f>
        <v>2180352</v>
      </c>
      <c r="K548" s="20">
        <f>J548*30.2%</f>
        <v>658466.304</v>
      </c>
      <c r="L548" s="20">
        <f>J548+K548</f>
        <v>2838818.304</v>
      </c>
    </row>
    <row r="549" spans="1:12" x14ac:dyDescent="0.3">
      <c r="A549" s="4"/>
      <c r="B549" s="5" t="s">
        <v>31</v>
      </c>
      <c r="C549" s="33">
        <v>4</v>
      </c>
      <c r="D549" s="33">
        <v>4</v>
      </c>
      <c r="E549" s="33">
        <v>4</v>
      </c>
      <c r="F549" s="33">
        <v>4</v>
      </c>
      <c r="G549" s="19">
        <f>'расчёт зарплаты'!K34</f>
        <v>30976</v>
      </c>
      <c r="H549" s="19">
        <f t="shared" ref="H549:H551" si="348">E549*G549*12+ ((D549-E549)*G549/2*12)</f>
        <v>1486848</v>
      </c>
      <c r="I549" s="19"/>
      <c r="J549" s="19"/>
      <c r="K549" s="19"/>
      <c r="L549" s="19"/>
    </row>
    <row r="550" spans="1:12" x14ac:dyDescent="0.3">
      <c r="A550" s="4"/>
      <c r="B550" s="5" t="s">
        <v>32</v>
      </c>
      <c r="C550" s="33"/>
      <c r="D550" s="33"/>
      <c r="E550" s="33"/>
      <c r="F550" s="33"/>
      <c r="G550" s="19"/>
      <c r="H550" s="19">
        <f t="shared" si="348"/>
        <v>0</v>
      </c>
      <c r="I550" s="19"/>
      <c r="J550" s="19"/>
      <c r="K550" s="19"/>
      <c r="L550" s="19"/>
    </row>
    <row r="551" spans="1:12" x14ac:dyDescent="0.3">
      <c r="A551" s="4"/>
      <c r="B551" s="5" t="s">
        <v>33</v>
      </c>
      <c r="C551" s="33">
        <v>3</v>
      </c>
      <c r="D551" s="33">
        <v>3</v>
      </c>
      <c r="E551" s="33">
        <v>1</v>
      </c>
      <c r="F551" s="33">
        <v>1</v>
      </c>
      <c r="G551" s="19">
        <f>'расчёт зарплаты'!K38</f>
        <v>28896</v>
      </c>
      <c r="H551" s="19">
        <f t="shared" si="348"/>
        <v>693504</v>
      </c>
      <c r="I551" s="19"/>
      <c r="J551" s="19"/>
      <c r="K551" s="19"/>
      <c r="L551" s="19"/>
    </row>
    <row r="552" spans="1:12" x14ac:dyDescent="0.3">
      <c r="A552" s="89" t="s">
        <v>77</v>
      </c>
      <c r="B552" s="89"/>
      <c r="C552" s="89"/>
      <c r="D552" s="89"/>
      <c r="E552" s="89"/>
      <c r="F552" s="89"/>
      <c r="G552" s="89"/>
      <c r="H552" s="89"/>
      <c r="I552" s="89"/>
      <c r="J552" s="89"/>
      <c r="K552" s="89"/>
      <c r="L552" s="89"/>
    </row>
    <row r="553" spans="1:12" ht="14.4" customHeight="1" x14ac:dyDescent="0.3">
      <c r="A553" s="81" t="s">
        <v>7</v>
      </c>
      <c r="B553" s="82"/>
      <c r="C553" s="8">
        <f>C554+C571+C567</f>
        <v>42.5</v>
      </c>
      <c r="D553" s="8">
        <f>D554+D571+D567</f>
        <v>42.5</v>
      </c>
      <c r="E553" s="8">
        <f>E554+E571+E567</f>
        <v>37.799999999999997</v>
      </c>
      <c r="F553" s="8">
        <f>F554+F571+F567</f>
        <v>40</v>
      </c>
      <c r="G553" s="19"/>
      <c r="H553" s="19"/>
      <c r="I553" s="19"/>
      <c r="J553" s="19"/>
      <c r="K553" s="19"/>
      <c r="L553" s="19"/>
    </row>
    <row r="554" spans="1:12" ht="14.4" customHeight="1" x14ac:dyDescent="0.3">
      <c r="A554" s="81" t="s">
        <v>89</v>
      </c>
      <c r="B554" s="82"/>
      <c r="C554" s="8">
        <f>SUM(C555:C566)</f>
        <v>30</v>
      </c>
      <c r="D554" s="8">
        <f t="shared" ref="D554:H554" si="349">SUM(D555:D566)</f>
        <v>30</v>
      </c>
      <c r="E554" s="8">
        <f t="shared" si="349"/>
        <v>28.799999999999997</v>
      </c>
      <c r="F554" s="8">
        <f t="shared" si="349"/>
        <v>30</v>
      </c>
      <c r="G554" s="8"/>
      <c r="H554" s="8">
        <f t="shared" si="349"/>
        <v>10144329.6</v>
      </c>
      <c r="I554" s="20"/>
      <c r="J554" s="20">
        <f>H554-I554</f>
        <v>10144329.6</v>
      </c>
      <c r="K554" s="20">
        <f>J554*30.2%</f>
        <v>3063587.5392</v>
      </c>
      <c r="L554" s="20">
        <f>J554+K554</f>
        <v>13207917.1392</v>
      </c>
    </row>
    <row r="555" spans="1:12" x14ac:dyDescent="0.3">
      <c r="A555" s="4"/>
      <c r="B555" s="5" t="s">
        <v>9</v>
      </c>
      <c r="C555" s="33">
        <v>16</v>
      </c>
      <c r="D555" s="33">
        <v>16</v>
      </c>
      <c r="E555" s="33">
        <v>15.9</v>
      </c>
      <c r="F555" s="33">
        <v>16</v>
      </c>
      <c r="G555" s="19">
        <f>'расчёт зарплаты'!K10</f>
        <v>28208</v>
      </c>
      <c r="H555" s="19">
        <f>E555*G555*12+ ((D555-E555)*G555/2*12)</f>
        <v>5399011.2000000002</v>
      </c>
      <c r="I555" s="19"/>
      <c r="J555" s="19"/>
      <c r="K555" s="19"/>
      <c r="L555" s="19">
        <f>G555*K555*12</f>
        <v>0</v>
      </c>
    </row>
    <row r="556" spans="1:12" x14ac:dyDescent="0.3">
      <c r="A556" s="4"/>
      <c r="B556" s="5" t="s">
        <v>10</v>
      </c>
      <c r="C556" s="33"/>
      <c r="D556" s="33"/>
      <c r="E556" s="33"/>
      <c r="F556" s="33"/>
      <c r="G556" s="19"/>
      <c r="H556" s="19">
        <f t="shared" ref="H556:H565" si="350">E556*G556*12+ ((D556-E556)*G556/2*12)</f>
        <v>0</v>
      </c>
      <c r="I556" s="19"/>
      <c r="J556" s="19"/>
      <c r="K556" s="19"/>
      <c r="L556" s="19"/>
    </row>
    <row r="557" spans="1:12" x14ac:dyDescent="0.3">
      <c r="A557" s="4"/>
      <c r="B557" s="5" t="s">
        <v>13</v>
      </c>
      <c r="C557" s="33">
        <v>2</v>
      </c>
      <c r="D557" s="33">
        <v>2</v>
      </c>
      <c r="E557" s="33">
        <v>2</v>
      </c>
      <c r="F557" s="33">
        <v>2</v>
      </c>
      <c r="G557" s="19">
        <f>'расчёт зарплаты'!K38</f>
        <v>28896</v>
      </c>
      <c r="H557" s="19">
        <f t="shared" si="350"/>
        <v>693504</v>
      </c>
      <c r="I557" s="19"/>
      <c r="J557" s="19"/>
      <c r="K557" s="19"/>
      <c r="L557" s="19"/>
    </row>
    <row r="558" spans="1:12" ht="28.2" x14ac:dyDescent="0.3">
      <c r="A558" s="4"/>
      <c r="B558" s="5" t="s">
        <v>14</v>
      </c>
      <c r="C558" s="33"/>
      <c r="D558" s="33"/>
      <c r="E558" s="33"/>
      <c r="F558" s="33"/>
      <c r="G558" s="19"/>
      <c r="H558" s="19">
        <f t="shared" si="350"/>
        <v>0</v>
      </c>
      <c r="I558" s="19"/>
      <c r="J558" s="19"/>
      <c r="K558" s="19"/>
      <c r="L558" s="19"/>
    </row>
    <row r="559" spans="1:12" x14ac:dyDescent="0.3">
      <c r="A559" s="4"/>
      <c r="B559" s="5" t="s">
        <v>15</v>
      </c>
      <c r="C559" s="33">
        <v>5</v>
      </c>
      <c r="D559" s="33">
        <v>5</v>
      </c>
      <c r="E559" s="33">
        <v>3.9</v>
      </c>
      <c r="F559" s="33">
        <v>5</v>
      </c>
      <c r="G559" s="19">
        <f>'расчёт зарплаты'!K34</f>
        <v>30976</v>
      </c>
      <c r="H559" s="19">
        <f t="shared" si="350"/>
        <v>1654118.3999999999</v>
      </c>
      <c r="I559" s="19"/>
      <c r="J559" s="19"/>
      <c r="K559" s="19"/>
      <c r="L559" s="19"/>
    </row>
    <row r="560" spans="1:12" x14ac:dyDescent="0.3">
      <c r="A560" s="4"/>
      <c r="B560" s="5" t="s">
        <v>16</v>
      </c>
      <c r="C560" s="33">
        <v>6</v>
      </c>
      <c r="D560" s="33">
        <v>6</v>
      </c>
      <c r="E560" s="33">
        <v>6</v>
      </c>
      <c r="F560" s="33">
        <v>6</v>
      </c>
      <c r="G560" s="19">
        <f>'расчёт зарплаты'!K8</f>
        <v>28600</v>
      </c>
      <c r="H560" s="19">
        <f t="shared" si="350"/>
        <v>2059200</v>
      </c>
      <c r="I560" s="19"/>
      <c r="J560" s="19"/>
      <c r="K560" s="19"/>
      <c r="L560" s="19"/>
    </row>
    <row r="561" spans="1:12" ht="42" x14ac:dyDescent="0.3">
      <c r="A561" s="4"/>
      <c r="B561" s="5" t="s">
        <v>17</v>
      </c>
      <c r="C561" s="33">
        <v>1</v>
      </c>
      <c r="D561" s="33">
        <v>1</v>
      </c>
      <c r="E561" s="33">
        <v>1</v>
      </c>
      <c r="F561" s="33">
        <v>1</v>
      </c>
      <c r="G561" s="19">
        <f>'расчёт зарплаты'!K10</f>
        <v>28208</v>
      </c>
      <c r="H561" s="19">
        <f t="shared" si="350"/>
        <v>338496</v>
      </c>
      <c r="I561" s="19"/>
      <c r="J561" s="19"/>
      <c r="K561" s="19"/>
      <c r="L561" s="19"/>
    </row>
    <row r="562" spans="1:12" ht="28.2" x14ac:dyDescent="0.3">
      <c r="A562" s="4"/>
      <c r="B562" s="5" t="s">
        <v>18</v>
      </c>
      <c r="C562" s="33"/>
      <c r="D562" s="33"/>
      <c r="E562" s="33"/>
      <c r="F562" s="33"/>
      <c r="G562" s="19"/>
      <c r="H562" s="19">
        <f t="shared" si="350"/>
        <v>0</v>
      </c>
      <c r="I562" s="19"/>
      <c r="J562" s="19"/>
      <c r="K562" s="19"/>
      <c r="L562" s="19"/>
    </row>
    <row r="563" spans="1:12" ht="42" x14ac:dyDescent="0.3">
      <c r="A563" s="4"/>
      <c r="B563" s="5" t="s">
        <v>91</v>
      </c>
      <c r="C563" s="33"/>
      <c r="D563" s="33"/>
      <c r="E563" s="33"/>
      <c r="F563" s="33"/>
      <c r="G563" s="19"/>
      <c r="H563" s="19">
        <f t="shared" si="350"/>
        <v>0</v>
      </c>
      <c r="I563" s="19"/>
      <c r="J563" s="19"/>
      <c r="K563" s="19"/>
      <c r="L563" s="19"/>
    </row>
    <row r="564" spans="1:12" x14ac:dyDescent="0.3">
      <c r="A564" s="4"/>
      <c r="B564" s="5" t="s">
        <v>20</v>
      </c>
      <c r="C564" s="33"/>
      <c r="D564" s="33"/>
      <c r="E564" s="33"/>
      <c r="F564" s="33"/>
      <c r="G564" s="19"/>
      <c r="H564" s="19">
        <f t="shared" si="350"/>
        <v>0</v>
      </c>
      <c r="I564" s="19"/>
      <c r="J564" s="19"/>
      <c r="K564" s="19"/>
      <c r="L564" s="19"/>
    </row>
    <row r="565" spans="1:12" ht="39.6" x14ac:dyDescent="0.3">
      <c r="A565" s="4"/>
      <c r="B565" s="6" t="s">
        <v>21</v>
      </c>
      <c r="C565" s="33"/>
      <c r="D565" s="33"/>
      <c r="E565" s="33"/>
      <c r="F565" s="33"/>
      <c r="G565" s="19"/>
      <c r="H565" s="19">
        <f t="shared" si="350"/>
        <v>0</v>
      </c>
      <c r="I565" s="19"/>
      <c r="J565" s="19"/>
      <c r="K565" s="19"/>
      <c r="L565" s="19"/>
    </row>
    <row r="566" spans="1:12" x14ac:dyDescent="0.3">
      <c r="A566" s="4"/>
      <c r="B566" s="5" t="s">
        <v>22</v>
      </c>
      <c r="C566" s="33"/>
      <c r="D566" s="33"/>
      <c r="E566" s="33"/>
      <c r="F566" s="33"/>
      <c r="G566" s="19"/>
      <c r="H566" s="19">
        <f t="shared" ref="H566" si="351">E566*G566*12</f>
        <v>0</v>
      </c>
      <c r="I566" s="19"/>
      <c r="J566" s="19"/>
      <c r="K566" s="19"/>
      <c r="L566" s="19"/>
    </row>
    <row r="567" spans="1:12" x14ac:dyDescent="0.3">
      <c r="A567" s="38" t="s">
        <v>57</v>
      </c>
      <c r="B567" s="39"/>
      <c r="C567" s="41">
        <f>C568+C569+C570</f>
        <v>6</v>
      </c>
      <c r="D567" s="41">
        <f t="shared" ref="D567" si="352">D568+D569+D570</f>
        <v>6</v>
      </c>
      <c r="E567" s="41">
        <f t="shared" ref="E567" si="353">E568+E569+E570</f>
        <v>4</v>
      </c>
      <c r="F567" s="41">
        <f t="shared" ref="F567" si="354">F568+F569+F570</f>
        <v>5</v>
      </c>
      <c r="G567" s="41"/>
      <c r="H567" s="42">
        <f t="shared" ref="H567" si="355">H568+H569+H570</f>
        <v>1671264</v>
      </c>
      <c r="I567" s="42">
        <f t="shared" ref="I567" si="356">I568+I569+I570</f>
        <v>0</v>
      </c>
      <c r="J567" s="42">
        <f t="shared" ref="J567" si="357">J568+J569+J570</f>
        <v>0</v>
      </c>
      <c r="K567" s="42">
        <f t="shared" ref="K567" si="358">K568+K569+K570</f>
        <v>0</v>
      </c>
      <c r="L567" s="42">
        <f t="shared" ref="L567" si="359">L568+L569+L570</f>
        <v>0</v>
      </c>
    </row>
    <row r="568" spans="1:12" x14ac:dyDescent="0.3">
      <c r="A568" s="4"/>
      <c r="B568" s="5" t="s">
        <v>11</v>
      </c>
      <c r="C568" s="9">
        <v>1</v>
      </c>
      <c r="D568" s="9">
        <v>1</v>
      </c>
      <c r="E568" s="9">
        <v>1</v>
      </c>
      <c r="F568" s="9">
        <v>1</v>
      </c>
      <c r="G568" s="19">
        <f>'расчёт зарплаты'!K26</f>
        <v>27300</v>
      </c>
      <c r="H568" s="19">
        <f t="shared" ref="H568:H571" si="360">E568*G568*12+ ((D568-E568)*G568/2*12)</f>
        <v>327600</v>
      </c>
      <c r="I568" s="19"/>
      <c r="J568" s="19"/>
      <c r="K568" s="19"/>
      <c r="L568" s="19"/>
    </row>
    <row r="569" spans="1:12" x14ac:dyDescent="0.3">
      <c r="A569" s="4"/>
      <c r="B569" s="5" t="s">
        <v>12</v>
      </c>
      <c r="C569" s="9">
        <v>1</v>
      </c>
      <c r="D569" s="9">
        <v>1</v>
      </c>
      <c r="E569" s="9">
        <v>1</v>
      </c>
      <c r="F569" s="9">
        <v>1</v>
      </c>
      <c r="G569" s="19">
        <f>'расчёт зарплаты'!K26</f>
        <v>27300</v>
      </c>
      <c r="H569" s="19">
        <f t="shared" si="360"/>
        <v>327600</v>
      </c>
      <c r="I569" s="19"/>
      <c r="J569" s="19"/>
      <c r="K569" s="19"/>
      <c r="L569" s="19"/>
    </row>
    <row r="570" spans="1:12" ht="28.2" x14ac:dyDescent="0.3">
      <c r="A570" s="4"/>
      <c r="B570" s="5" t="s">
        <v>19</v>
      </c>
      <c r="C570" s="9">
        <v>4</v>
      </c>
      <c r="D570" s="9">
        <v>4</v>
      </c>
      <c r="E570" s="9">
        <v>2</v>
      </c>
      <c r="F570" s="9">
        <v>3</v>
      </c>
      <c r="G570" s="19">
        <f>'расчёт зарплаты'!K40</f>
        <v>28224</v>
      </c>
      <c r="H570" s="19">
        <f t="shared" si="360"/>
        <v>1016064</v>
      </c>
      <c r="I570" s="19"/>
      <c r="J570" s="19"/>
      <c r="K570" s="19"/>
      <c r="L570" s="19"/>
    </row>
    <row r="571" spans="1:12" x14ac:dyDescent="0.3">
      <c r="A571" s="83" t="s">
        <v>23</v>
      </c>
      <c r="B571" s="83"/>
      <c r="C571" s="7">
        <f t="shared" ref="C571:F571" si="361">C572+C578</f>
        <v>6.5</v>
      </c>
      <c r="D571" s="7">
        <f t="shared" si="361"/>
        <v>6.5</v>
      </c>
      <c r="E571" s="7">
        <f t="shared" si="361"/>
        <v>5</v>
      </c>
      <c r="F571" s="7">
        <f t="shared" si="361"/>
        <v>5</v>
      </c>
      <c r="G571" s="19"/>
      <c r="H571" s="19">
        <f t="shared" si="360"/>
        <v>0</v>
      </c>
      <c r="I571" s="19"/>
      <c r="J571" s="20">
        <f t="shared" ref="J571:K571" si="362">J572+J578</f>
        <v>1951752</v>
      </c>
      <c r="K571" s="20">
        <f t="shared" si="362"/>
        <v>589429.10400000005</v>
      </c>
      <c r="L571" s="20">
        <f>L572+L578</f>
        <v>2541181.1039999998</v>
      </c>
    </row>
    <row r="572" spans="1:12" x14ac:dyDescent="0.3">
      <c r="A572" s="84" t="s">
        <v>24</v>
      </c>
      <c r="B572" s="84"/>
      <c r="C572" s="7">
        <f t="shared" ref="C572:F572" si="363">C573+C574+C575+C576+C577</f>
        <v>4</v>
      </c>
      <c r="D572" s="7">
        <f t="shared" si="363"/>
        <v>4</v>
      </c>
      <c r="E572" s="7">
        <f t="shared" si="363"/>
        <v>3</v>
      </c>
      <c r="F572" s="7">
        <f t="shared" si="363"/>
        <v>3</v>
      </c>
      <c r="G572" s="20"/>
      <c r="H572" s="20">
        <f>H573+H574+H575+H576+H577</f>
        <v>1146600</v>
      </c>
      <c r="I572" s="20">
        <f t="shared" ref="I572" si="364">I573+I574+I575+I576+I577</f>
        <v>0</v>
      </c>
      <c r="J572" s="20">
        <f>H572</f>
        <v>1146600</v>
      </c>
      <c r="K572" s="20">
        <f>J572*30.2%</f>
        <v>346273.2</v>
      </c>
      <c r="L572" s="20">
        <f>J572+K572</f>
        <v>1492873.2</v>
      </c>
    </row>
    <row r="573" spans="1:12" x14ac:dyDescent="0.3">
      <c r="A573" s="4"/>
      <c r="B573" s="5" t="s">
        <v>25</v>
      </c>
      <c r="C573" s="33"/>
      <c r="D573" s="33"/>
      <c r="E573" s="33"/>
      <c r="F573" s="33"/>
      <c r="G573" s="19"/>
      <c r="H573" s="19">
        <f t="shared" ref="H573:H577" si="365">E573*G573*12+ ((D573-E573)*G573/2*12)</f>
        <v>0</v>
      </c>
      <c r="I573" s="19"/>
      <c r="J573" s="19"/>
      <c r="K573" s="19"/>
      <c r="L573" s="19"/>
    </row>
    <row r="574" spans="1:12" x14ac:dyDescent="0.3">
      <c r="A574" s="4"/>
      <c r="B574" s="5" t="s">
        <v>26</v>
      </c>
      <c r="C574" s="33"/>
      <c r="D574" s="33"/>
      <c r="E574" s="33"/>
      <c r="F574" s="33"/>
      <c r="G574" s="19"/>
      <c r="H574" s="19">
        <f t="shared" si="365"/>
        <v>0</v>
      </c>
      <c r="I574" s="19"/>
      <c r="J574" s="19"/>
      <c r="K574" s="19"/>
      <c r="L574" s="19"/>
    </row>
    <row r="575" spans="1:12" x14ac:dyDescent="0.3">
      <c r="A575" s="4"/>
      <c r="B575" s="5" t="s">
        <v>27</v>
      </c>
      <c r="C575" s="33"/>
      <c r="D575" s="33"/>
      <c r="E575" s="33"/>
      <c r="F575" s="33"/>
      <c r="G575" s="19"/>
      <c r="H575" s="19">
        <f t="shared" si="365"/>
        <v>0</v>
      </c>
      <c r="I575" s="19"/>
      <c r="J575" s="19"/>
      <c r="K575" s="19"/>
      <c r="L575" s="19"/>
    </row>
    <row r="576" spans="1:12" ht="28.2" x14ac:dyDescent="0.3">
      <c r="A576" s="4"/>
      <c r="B576" s="5" t="s">
        <v>28</v>
      </c>
      <c r="C576" s="33">
        <v>2</v>
      </c>
      <c r="D576" s="33">
        <v>2</v>
      </c>
      <c r="E576" s="33">
        <v>1</v>
      </c>
      <c r="F576" s="33">
        <v>1</v>
      </c>
      <c r="G576" s="19">
        <f>'расчёт зарплаты'!K26</f>
        <v>27300</v>
      </c>
      <c r="H576" s="19">
        <f t="shared" si="365"/>
        <v>491400</v>
      </c>
      <c r="I576" s="19"/>
      <c r="J576" s="19"/>
      <c r="K576" s="19"/>
      <c r="L576" s="19"/>
    </row>
    <row r="577" spans="1:12" x14ac:dyDescent="0.3">
      <c r="A577" s="4"/>
      <c r="B577" s="5" t="s">
        <v>29</v>
      </c>
      <c r="C577" s="33">
        <v>2</v>
      </c>
      <c r="D577" s="33">
        <v>2</v>
      </c>
      <c r="E577" s="33">
        <v>2</v>
      </c>
      <c r="F577" s="33">
        <v>2</v>
      </c>
      <c r="G577" s="19">
        <f>'расчёт зарплаты'!K26</f>
        <v>27300</v>
      </c>
      <c r="H577" s="19">
        <f t="shared" si="365"/>
        <v>655200</v>
      </c>
      <c r="I577" s="19"/>
      <c r="J577" s="19"/>
      <c r="K577" s="19"/>
      <c r="L577" s="19"/>
    </row>
    <row r="578" spans="1:12" x14ac:dyDescent="0.3">
      <c r="A578" s="84" t="s">
        <v>30</v>
      </c>
      <c r="B578" s="84"/>
      <c r="C578" s="7">
        <f t="shared" ref="C578:F578" si="366">C579+C580+C581</f>
        <v>2.5</v>
      </c>
      <c r="D578" s="7">
        <f t="shared" si="366"/>
        <v>2.5</v>
      </c>
      <c r="E578" s="7">
        <f t="shared" si="366"/>
        <v>2</v>
      </c>
      <c r="F578" s="7">
        <f t="shared" si="366"/>
        <v>2</v>
      </c>
      <c r="G578" s="20"/>
      <c r="H578" s="20">
        <f>H579+H580+H581</f>
        <v>805152</v>
      </c>
      <c r="I578" s="20">
        <f t="shared" ref="I578" si="367">I579+I580+I581</f>
        <v>0</v>
      </c>
      <c r="J578" s="20">
        <f>H578</f>
        <v>805152</v>
      </c>
      <c r="K578" s="20">
        <f>J578*30.2%</f>
        <v>243155.90399999998</v>
      </c>
      <c r="L578" s="20">
        <f>J578+K578</f>
        <v>1048307.904</v>
      </c>
    </row>
    <row r="579" spans="1:12" x14ac:dyDescent="0.3">
      <c r="A579" s="4"/>
      <c r="B579" s="5" t="s">
        <v>31</v>
      </c>
      <c r="C579" s="33">
        <v>1</v>
      </c>
      <c r="D579" s="33">
        <v>1</v>
      </c>
      <c r="E579" s="33">
        <v>1</v>
      </c>
      <c r="F579" s="33">
        <v>1</v>
      </c>
      <c r="G579" s="19">
        <f>'расчёт зарплаты'!K34</f>
        <v>30976</v>
      </c>
      <c r="H579" s="19">
        <f t="shared" ref="H579:H581" si="368">E579*G579*12+ ((D579-E579)*G579/2*12)</f>
        <v>371712</v>
      </c>
      <c r="I579" s="19"/>
      <c r="J579" s="19"/>
      <c r="K579" s="19"/>
      <c r="L579" s="19"/>
    </row>
    <row r="580" spans="1:12" x14ac:dyDescent="0.3">
      <c r="A580" s="4"/>
      <c r="B580" s="5" t="s">
        <v>32</v>
      </c>
      <c r="C580" s="33"/>
      <c r="D580" s="33"/>
      <c r="E580" s="33"/>
      <c r="F580" s="33"/>
      <c r="G580" s="19"/>
      <c r="H580" s="19">
        <f t="shared" si="368"/>
        <v>0</v>
      </c>
      <c r="I580" s="19"/>
      <c r="J580" s="19"/>
      <c r="K580" s="19"/>
      <c r="L580" s="19"/>
    </row>
    <row r="581" spans="1:12" x14ac:dyDescent="0.3">
      <c r="A581" s="4"/>
      <c r="B581" s="5" t="s">
        <v>33</v>
      </c>
      <c r="C581" s="33">
        <v>1.5</v>
      </c>
      <c r="D581" s="33">
        <v>1.5</v>
      </c>
      <c r="E581" s="33">
        <v>1</v>
      </c>
      <c r="F581" s="33">
        <v>1</v>
      </c>
      <c r="G581" s="19">
        <f>'расчёт зарплаты'!K38</f>
        <v>28896</v>
      </c>
      <c r="H581" s="19">
        <f t="shared" si="368"/>
        <v>433440</v>
      </c>
      <c r="I581" s="19"/>
      <c r="J581" s="19"/>
      <c r="K581" s="19"/>
      <c r="L581" s="19"/>
    </row>
    <row r="582" spans="1:12" x14ac:dyDescent="0.3">
      <c r="A582" s="89" t="s">
        <v>78</v>
      </c>
      <c r="B582" s="89"/>
      <c r="C582" s="89"/>
      <c r="D582" s="89"/>
      <c r="E582" s="89"/>
      <c r="F582" s="89"/>
      <c r="G582" s="89"/>
      <c r="H582" s="89"/>
      <c r="I582" s="89"/>
      <c r="J582" s="89"/>
      <c r="K582" s="89"/>
      <c r="L582" s="89"/>
    </row>
    <row r="583" spans="1:12" ht="14.4" customHeight="1" x14ac:dyDescent="0.3">
      <c r="A583" s="81" t="s">
        <v>7</v>
      </c>
      <c r="B583" s="82"/>
      <c r="C583" s="8">
        <f>C584+C601+C597</f>
        <v>19.75</v>
      </c>
      <c r="D583" s="8">
        <f>D584+D601+D597</f>
        <v>19.75</v>
      </c>
      <c r="E583" s="8">
        <f>E584+E601+E597</f>
        <v>19</v>
      </c>
      <c r="F583" s="8">
        <f>F584+F601+F597</f>
        <v>19</v>
      </c>
      <c r="G583" s="19"/>
      <c r="H583" s="19"/>
      <c r="I583" s="19"/>
      <c r="J583" s="19"/>
      <c r="K583" s="19"/>
      <c r="L583" s="19"/>
    </row>
    <row r="584" spans="1:12" ht="14.4" customHeight="1" x14ac:dyDescent="0.3">
      <c r="A584" s="81" t="s">
        <v>89</v>
      </c>
      <c r="B584" s="82"/>
      <c r="C584" s="8">
        <f>SUM(C585:C596)</f>
        <v>15</v>
      </c>
      <c r="D584" s="8">
        <f>SUM(D585:D596)</f>
        <v>15</v>
      </c>
      <c r="E584" s="8">
        <f>SUM(E585:E596)</f>
        <v>15</v>
      </c>
      <c r="F584" s="8">
        <f>SUM(F585:F596)</f>
        <v>15</v>
      </c>
      <c r="G584" s="8"/>
      <c r="H584" s="40">
        <f>SUM(H585:H596)</f>
        <v>5199456</v>
      </c>
      <c r="I584" s="20"/>
      <c r="J584" s="20">
        <f>H584-I584</f>
        <v>5199456</v>
      </c>
      <c r="K584" s="20">
        <f>J584*30.2%</f>
        <v>1570235.7120000001</v>
      </c>
      <c r="L584" s="20">
        <f>J584+K584</f>
        <v>6769691.7120000003</v>
      </c>
    </row>
    <row r="585" spans="1:12" x14ac:dyDescent="0.3">
      <c r="A585" s="4"/>
      <c r="B585" s="5" t="s">
        <v>9</v>
      </c>
      <c r="C585" s="33">
        <v>7</v>
      </c>
      <c r="D585" s="33">
        <v>7</v>
      </c>
      <c r="E585" s="33">
        <v>7</v>
      </c>
      <c r="F585" s="33">
        <v>7</v>
      </c>
      <c r="G585" s="19">
        <f>'расчёт зарплаты'!K10</f>
        <v>28208</v>
      </c>
      <c r="H585" s="19">
        <f>E585*G585*12+ ((D585-E585)*G585/2*12)</f>
        <v>2369472</v>
      </c>
      <c r="I585" s="19"/>
      <c r="J585" s="19"/>
      <c r="K585" s="19"/>
      <c r="L585" s="19">
        <f>G585*K585*12</f>
        <v>0</v>
      </c>
    </row>
    <row r="586" spans="1:12" x14ac:dyDescent="0.3">
      <c r="A586" s="4"/>
      <c r="B586" s="5" t="s">
        <v>10</v>
      </c>
      <c r="C586" s="33"/>
      <c r="D586" s="33"/>
      <c r="E586" s="33"/>
      <c r="F586" s="33"/>
      <c r="G586" s="19"/>
      <c r="H586" s="19">
        <f t="shared" ref="H586:H595" si="369">E586*G586*12+ ((D586-E586)*G586/2*12)</f>
        <v>0</v>
      </c>
      <c r="I586" s="19"/>
      <c r="J586" s="19"/>
      <c r="K586" s="19"/>
      <c r="L586" s="19"/>
    </row>
    <row r="587" spans="1:12" x14ac:dyDescent="0.3">
      <c r="A587" s="4"/>
      <c r="B587" s="5" t="s">
        <v>13</v>
      </c>
      <c r="C587" s="33">
        <v>1</v>
      </c>
      <c r="D587" s="33">
        <v>1</v>
      </c>
      <c r="E587" s="33">
        <v>1</v>
      </c>
      <c r="F587" s="33">
        <v>1</v>
      </c>
      <c r="G587" s="19">
        <f>'расчёт зарплаты'!K38</f>
        <v>28896</v>
      </c>
      <c r="H587" s="19">
        <f t="shared" si="369"/>
        <v>346752</v>
      </c>
      <c r="I587" s="19"/>
      <c r="J587" s="19"/>
      <c r="K587" s="19"/>
      <c r="L587" s="19"/>
    </row>
    <row r="588" spans="1:12" ht="28.2" x14ac:dyDescent="0.3">
      <c r="A588" s="4"/>
      <c r="B588" s="5" t="s">
        <v>14</v>
      </c>
      <c r="C588" s="33"/>
      <c r="D588" s="33"/>
      <c r="E588" s="33"/>
      <c r="F588" s="33"/>
      <c r="G588" s="19"/>
      <c r="H588" s="19">
        <f t="shared" si="369"/>
        <v>0</v>
      </c>
      <c r="I588" s="19"/>
      <c r="J588" s="19"/>
      <c r="K588" s="19"/>
      <c r="L588" s="19"/>
    </row>
    <row r="589" spans="1:12" x14ac:dyDescent="0.3">
      <c r="A589" s="4"/>
      <c r="B589" s="5" t="s">
        <v>15</v>
      </c>
      <c r="C589" s="33">
        <v>2</v>
      </c>
      <c r="D589" s="33">
        <v>2</v>
      </c>
      <c r="E589" s="33">
        <v>2</v>
      </c>
      <c r="F589" s="33">
        <v>2</v>
      </c>
      <c r="G589" s="19">
        <f>'расчёт зарплаты'!K34</f>
        <v>30976</v>
      </c>
      <c r="H589" s="19">
        <f t="shared" si="369"/>
        <v>743424</v>
      </c>
      <c r="I589" s="19"/>
      <c r="J589" s="19"/>
      <c r="K589" s="19"/>
      <c r="L589" s="19"/>
    </row>
    <row r="590" spans="1:12" x14ac:dyDescent="0.3">
      <c r="A590" s="4"/>
      <c r="B590" s="5" t="s">
        <v>16</v>
      </c>
      <c r="C590" s="33">
        <v>3</v>
      </c>
      <c r="D590" s="33">
        <v>3</v>
      </c>
      <c r="E590" s="33">
        <v>3</v>
      </c>
      <c r="F590" s="33">
        <v>3</v>
      </c>
      <c r="G590" s="19">
        <f>'расчёт зарплаты'!K8</f>
        <v>28600</v>
      </c>
      <c r="H590" s="19">
        <f t="shared" si="369"/>
        <v>1029600</v>
      </c>
      <c r="I590" s="19"/>
      <c r="J590" s="19"/>
      <c r="K590" s="19"/>
      <c r="L590" s="19"/>
    </row>
    <row r="591" spans="1:12" ht="42" x14ac:dyDescent="0.3">
      <c r="A591" s="4"/>
      <c r="B591" s="5" t="s">
        <v>17</v>
      </c>
      <c r="C591" s="33">
        <v>1</v>
      </c>
      <c r="D591" s="33">
        <v>1</v>
      </c>
      <c r="E591" s="33">
        <v>1</v>
      </c>
      <c r="F591" s="33">
        <v>1</v>
      </c>
      <c r="G591" s="19">
        <f>'расчёт зарплаты'!K10</f>
        <v>28208</v>
      </c>
      <c r="H591" s="19">
        <f t="shared" si="369"/>
        <v>338496</v>
      </c>
      <c r="I591" s="19"/>
      <c r="J591" s="19"/>
      <c r="K591" s="19"/>
      <c r="L591" s="19"/>
    </row>
    <row r="592" spans="1:12" ht="28.2" x14ac:dyDescent="0.3">
      <c r="A592" s="4"/>
      <c r="B592" s="5" t="s">
        <v>18</v>
      </c>
      <c r="C592" s="33"/>
      <c r="D592" s="33"/>
      <c r="E592" s="33"/>
      <c r="F592" s="33"/>
      <c r="G592" s="19"/>
      <c r="H592" s="19">
        <f t="shared" si="369"/>
        <v>0</v>
      </c>
      <c r="I592" s="19"/>
      <c r="J592" s="19"/>
      <c r="K592" s="19"/>
      <c r="L592" s="19"/>
    </row>
    <row r="593" spans="1:12" ht="42" x14ac:dyDescent="0.3">
      <c r="A593" s="4"/>
      <c r="B593" s="5" t="s">
        <v>91</v>
      </c>
      <c r="C593" s="33"/>
      <c r="D593" s="33"/>
      <c r="E593" s="33"/>
      <c r="F593" s="33"/>
      <c r="G593" s="19"/>
      <c r="H593" s="19">
        <f t="shared" si="369"/>
        <v>0</v>
      </c>
      <c r="I593" s="19"/>
      <c r="J593" s="19"/>
      <c r="K593" s="19"/>
      <c r="L593" s="19"/>
    </row>
    <row r="594" spans="1:12" x14ac:dyDescent="0.3">
      <c r="A594" s="4"/>
      <c r="B594" s="5" t="s">
        <v>20</v>
      </c>
      <c r="C594" s="33">
        <v>1</v>
      </c>
      <c r="D594" s="33">
        <v>1</v>
      </c>
      <c r="E594" s="33">
        <v>1</v>
      </c>
      <c r="F594" s="33">
        <v>1</v>
      </c>
      <c r="G594" s="19">
        <f>'расчёт зарплаты'!K34</f>
        <v>30976</v>
      </c>
      <c r="H594" s="19">
        <f t="shared" si="369"/>
        <v>371712</v>
      </c>
      <c r="I594" s="19"/>
      <c r="J594" s="19"/>
      <c r="K594" s="19"/>
      <c r="L594" s="19"/>
    </row>
    <row r="595" spans="1:12" ht="39.6" x14ac:dyDescent="0.3">
      <c r="A595" s="4"/>
      <c r="B595" s="6" t="s">
        <v>21</v>
      </c>
      <c r="C595" s="33"/>
      <c r="D595" s="33"/>
      <c r="E595" s="33"/>
      <c r="F595" s="33"/>
      <c r="G595" s="19"/>
      <c r="H595" s="19">
        <f t="shared" si="369"/>
        <v>0</v>
      </c>
      <c r="I595" s="19"/>
      <c r="J595" s="19"/>
      <c r="K595" s="19"/>
      <c r="L595" s="19"/>
    </row>
    <row r="596" spans="1:12" x14ac:dyDescent="0.3">
      <c r="A596" s="4"/>
      <c r="B596" s="5" t="s">
        <v>22</v>
      </c>
      <c r="C596" s="33"/>
      <c r="D596" s="33"/>
      <c r="E596" s="33"/>
      <c r="F596" s="33"/>
      <c r="G596" s="19"/>
      <c r="H596" s="19">
        <f t="shared" ref="H596" si="370">E596*G596*12</f>
        <v>0</v>
      </c>
      <c r="I596" s="19"/>
      <c r="J596" s="19"/>
      <c r="K596" s="19"/>
      <c r="L596" s="19"/>
    </row>
    <row r="597" spans="1:12" x14ac:dyDescent="0.3">
      <c r="A597" s="38" t="s">
        <v>57</v>
      </c>
      <c r="B597" s="39"/>
      <c r="C597" s="41">
        <f>C598+C599+C600</f>
        <v>1.5</v>
      </c>
      <c r="D597" s="41">
        <f t="shared" ref="D597" si="371">D598+D599+D600</f>
        <v>1.5</v>
      </c>
      <c r="E597" s="41">
        <f t="shared" ref="E597" si="372">E598+E599+E600</f>
        <v>1</v>
      </c>
      <c r="F597" s="41">
        <f t="shared" ref="F597" si="373">F598+F599+F600</f>
        <v>1</v>
      </c>
      <c r="G597" s="41"/>
      <c r="H597" s="41">
        <f t="shared" ref="H597" si="374">H598+H599+H600</f>
        <v>420588</v>
      </c>
      <c r="I597" s="42">
        <f t="shared" ref="I597" si="375">I598+I599+I600</f>
        <v>0</v>
      </c>
      <c r="J597" s="42">
        <f t="shared" ref="J597" si="376">J598+J599+J600</f>
        <v>0</v>
      </c>
      <c r="K597" s="42">
        <f t="shared" ref="K597" si="377">K598+K599+K600</f>
        <v>0</v>
      </c>
      <c r="L597" s="42">
        <f t="shared" ref="L597" si="378">L598+L599+L600</f>
        <v>0</v>
      </c>
    </row>
    <row r="598" spans="1:12" x14ac:dyDescent="0.3">
      <c r="A598" s="4"/>
      <c r="B598" s="5" t="s">
        <v>11</v>
      </c>
      <c r="C598" s="9">
        <v>0.5</v>
      </c>
      <c r="D598" s="9">
        <v>0.5</v>
      </c>
      <c r="E598" s="9">
        <v>0</v>
      </c>
      <c r="F598" s="9">
        <v>0</v>
      </c>
      <c r="G598" s="19">
        <f>'расчёт зарплаты'!K26</f>
        <v>27300</v>
      </c>
      <c r="H598" s="19">
        <f t="shared" ref="H598:H601" si="379">E598*G598*12+ ((D598-E598)*G598/2*12)</f>
        <v>81900</v>
      </c>
      <c r="I598" s="19"/>
      <c r="J598" s="19"/>
      <c r="K598" s="19"/>
      <c r="L598" s="19"/>
    </row>
    <row r="599" spans="1:12" x14ac:dyDescent="0.3">
      <c r="A599" s="4"/>
      <c r="B599" s="5" t="s">
        <v>12</v>
      </c>
      <c r="C599" s="9"/>
      <c r="D599" s="9"/>
      <c r="E599" s="9"/>
      <c r="F599" s="9"/>
      <c r="G599" s="19"/>
      <c r="H599" s="19">
        <f t="shared" si="379"/>
        <v>0</v>
      </c>
      <c r="I599" s="19"/>
      <c r="J599" s="19"/>
      <c r="K599" s="19"/>
      <c r="L599" s="19"/>
    </row>
    <row r="600" spans="1:12" ht="28.2" x14ac:dyDescent="0.3">
      <c r="A600" s="4"/>
      <c r="B600" s="5" t="s">
        <v>19</v>
      </c>
      <c r="C600" s="9">
        <v>1</v>
      </c>
      <c r="D600" s="9">
        <v>1</v>
      </c>
      <c r="E600" s="9">
        <v>1</v>
      </c>
      <c r="F600" s="9">
        <v>1</v>
      </c>
      <c r="G600" s="19">
        <f>'расчёт зарплаты'!K40</f>
        <v>28224</v>
      </c>
      <c r="H600" s="19">
        <f t="shared" si="379"/>
        <v>338688</v>
      </c>
      <c r="I600" s="19"/>
      <c r="J600" s="19"/>
      <c r="K600" s="19"/>
      <c r="L600" s="19"/>
    </row>
    <row r="601" spans="1:12" x14ac:dyDescent="0.3">
      <c r="A601" s="83" t="s">
        <v>23</v>
      </c>
      <c r="B601" s="83"/>
      <c r="C601" s="7">
        <f t="shared" ref="C601:F601" si="380">C602+C608</f>
        <v>3.25</v>
      </c>
      <c r="D601" s="7">
        <f t="shared" si="380"/>
        <v>3.25</v>
      </c>
      <c r="E601" s="7">
        <f t="shared" si="380"/>
        <v>3</v>
      </c>
      <c r="F601" s="7">
        <f t="shared" si="380"/>
        <v>3</v>
      </c>
      <c r="G601" s="19"/>
      <c r="H601" s="19">
        <f t="shared" si="379"/>
        <v>0</v>
      </c>
      <c r="I601" s="19"/>
      <c r="J601" s="20">
        <f t="shared" ref="J601:K601" si="381">J602+J608</f>
        <v>1072650</v>
      </c>
      <c r="K601" s="20">
        <f t="shared" si="381"/>
        <v>323940.3</v>
      </c>
      <c r="L601" s="20">
        <f>L602+L608</f>
        <v>1396590.3</v>
      </c>
    </row>
    <row r="602" spans="1:12" x14ac:dyDescent="0.3">
      <c r="A602" s="84" t="s">
        <v>24</v>
      </c>
      <c r="B602" s="84"/>
      <c r="C602" s="7">
        <f t="shared" ref="C602:F602" si="382">C603+C604+C605+C606+C607</f>
        <v>1.75</v>
      </c>
      <c r="D602" s="7">
        <f t="shared" si="382"/>
        <v>1.75</v>
      </c>
      <c r="E602" s="7">
        <f t="shared" si="382"/>
        <v>2</v>
      </c>
      <c r="F602" s="7">
        <f t="shared" si="382"/>
        <v>2</v>
      </c>
      <c r="G602" s="20"/>
      <c r="H602" s="20">
        <f>H603+H604+H605+H606+H607</f>
        <v>614250</v>
      </c>
      <c r="I602" s="20">
        <f t="shared" ref="I602" si="383">I603+I604+I605+I606+I607</f>
        <v>0</v>
      </c>
      <c r="J602" s="20">
        <f>H602</f>
        <v>614250</v>
      </c>
      <c r="K602" s="20">
        <f>J602*30.2%</f>
        <v>185503.5</v>
      </c>
      <c r="L602" s="20">
        <f>J602+K602</f>
        <v>799753.5</v>
      </c>
    </row>
    <row r="603" spans="1:12" x14ac:dyDescent="0.3">
      <c r="A603" s="4"/>
      <c r="B603" s="5" t="s">
        <v>25</v>
      </c>
      <c r="C603" s="33"/>
      <c r="D603" s="33"/>
      <c r="E603" s="33"/>
      <c r="F603" s="33"/>
      <c r="G603" s="19"/>
      <c r="H603" s="19">
        <f t="shared" ref="H603:H607" si="384">E603*G603*12+ ((D603-E603)*G603/2*12)</f>
        <v>0</v>
      </c>
      <c r="I603" s="19"/>
      <c r="J603" s="19"/>
      <c r="K603" s="19"/>
      <c r="L603" s="19"/>
    </row>
    <row r="604" spans="1:12" x14ac:dyDescent="0.3">
      <c r="A604" s="4"/>
      <c r="B604" s="5" t="s">
        <v>26</v>
      </c>
      <c r="C604" s="33"/>
      <c r="D604" s="33"/>
      <c r="E604" s="33"/>
      <c r="F604" s="33"/>
      <c r="G604" s="19"/>
      <c r="H604" s="19">
        <f t="shared" si="384"/>
        <v>0</v>
      </c>
      <c r="I604" s="19"/>
      <c r="J604" s="19"/>
      <c r="K604" s="19"/>
      <c r="L604" s="19"/>
    </row>
    <row r="605" spans="1:12" x14ac:dyDescent="0.3">
      <c r="A605" s="4"/>
      <c r="B605" s="5" t="s">
        <v>27</v>
      </c>
      <c r="C605" s="33"/>
      <c r="D605" s="33"/>
      <c r="E605" s="33"/>
      <c r="F605" s="33"/>
      <c r="G605" s="19"/>
      <c r="H605" s="19">
        <f t="shared" si="384"/>
        <v>0</v>
      </c>
      <c r="I605" s="19"/>
      <c r="J605" s="19"/>
      <c r="K605" s="19"/>
      <c r="L605" s="19"/>
    </row>
    <row r="606" spans="1:12" ht="28.2" x14ac:dyDescent="0.3">
      <c r="A606" s="4"/>
      <c r="B606" s="5" t="s">
        <v>28</v>
      </c>
      <c r="C606" s="33">
        <v>0.75</v>
      </c>
      <c r="D606" s="33">
        <v>0.75</v>
      </c>
      <c r="E606" s="33">
        <v>1</v>
      </c>
      <c r="F606" s="33">
        <v>1</v>
      </c>
      <c r="G606" s="19">
        <f>'расчёт зарплаты'!K26</f>
        <v>27300</v>
      </c>
      <c r="H606" s="19">
        <f t="shared" si="384"/>
        <v>286650</v>
      </c>
      <c r="I606" s="19"/>
      <c r="J606" s="19"/>
      <c r="K606" s="19"/>
      <c r="L606" s="19"/>
    </row>
    <row r="607" spans="1:12" x14ac:dyDescent="0.3">
      <c r="A607" s="4"/>
      <c r="B607" s="5" t="s">
        <v>29</v>
      </c>
      <c r="C607" s="33">
        <v>1</v>
      </c>
      <c r="D607" s="33">
        <v>1</v>
      </c>
      <c r="E607" s="33">
        <v>1</v>
      </c>
      <c r="F607" s="33">
        <v>1</v>
      </c>
      <c r="G607" s="19">
        <f>'расчёт зарплаты'!K26</f>
        <v>27300</v>
      </c>
      <c r="H607" s="19">
        <f t="shared" si="384"/>
        <v>327600</v>
      </c>
      <c r="I607" s="19"/>
      <c r="J607" s="19"/>
      <c r="K607" s="19"/>
      <c r="L607" s="19"/>
    </row>
    <row r="608" spans="1:12" x14ac:dyDescent="0.3">
      <c r="A608" s="84" t="s">
        <v>30</v>
      </c>
      <c r="B608" s="84"/>
      <c r="C608" s="7">
        <f t="shared" ref="C608:F608" si="385">C609+C610+C611</f>
        <v>1.5</v>
      </c>
      <c r="D608" s="7">
        <f t="shared" si="385"/>
        <v>1.5</v>
      </c>
      <c r="E608" s="7">
        <f t="shared" si="385"/>
        <v>1</v>
      </c>
      <c r="F608" s="7">
        <f t="shared" si="385"/>
        <v>1</v>
      </c>
      <c r="G608" s="20"/>
      <c r="H608" s="20">
        <f>H609+H610+H611</f>
        <v>458400</v>
      </c>
      <c r="I608" s="20">
        <f t="shared" ref="I608" si="386">I609+I610+I611</f>
        <v>0</v>
      </c>
      <c r="J608" s="20">
        <f>H608</f>
        <v>458400</v>
      </c>
      <c r="K608" s="20">
        <f>J608*30.2%</f>
        <v>138436.79999999999</v>
      </c>
      <c r="L608" s="20">
        <f>J608+K608</f>
        <v>596836.80000000005</v>
      </c>
    </row>
    <row r="609" spans="1:13" x14ac:dyDescent="0.3">
      <c r="A609" s="4"/>
      <c r="B609" s="5" t="s">
        <v>31</v>
      </c>
      <c r="C609" s="33">
        <v>1</v>
      </c>
      <c r="D609" s="33">
        <v>1</v>
      </c>
      <c r="E609" s="33">
        <v>1</v>
      </c>
      <c r="F609" s="33">
        <v>1</v>
      </c>
      <c r="G609" s="19">
        <f>'расчёт зарплаты'!K34</f>
        <v>30976</v>
      </c>
      <c r="H609" s="19">
        <f t="shared" ref="H609:H611" si="387">E609*G609*12+ ((D609-E609)*G609/2*12)</f>
        <v>371712</v>
      </c>
      <c r="I609" s="19"/>
      <c r="J609" s="19"/>
      <c r="K609" s="19"/>
      <c r="L609" s="19"/>
    </row>
    <row r="610" spans="1:13" x14ac:dyDescent="0.3">
      <c r="A610" s="4"/>
      <c r="B610" s="5" t="s">
        <v>32</v>
      </c>
      <c r="C610" s="33"/>
      <c r="D610" s="33"/>
      <c r="E610" s="33"/>
      <c r="F610" s="33"/>
      <c r="G610" s="19"/>
      <c r="H610" s="19">
        <f t="shared" si="387"/>
        <v>0</v>
      </c>
      <c r="I610" s="19"/>
      <c r="J610" s="19"/>
      <c r="K610" s="19"/>
      <c r="L610" s="19"/>
    </row>
    <row r="611" spans="1:13" x14ac:dyDescent="0.3">
      <c r="A611" s="4"/>
      <c r="B611" s="5" t="s">
        <v>33</v>
      </c>
      <c r="C611" s="33">
        <v>0.5</v>
      </c>
      <c r="D611" s="33">
        <v>0.5</v>
      </c>
      <c r="E611" s="33">
        <v>0</v>
      </c>
      <c r="F611" s="33">
        <v>0</v>
      </c>
      <c r="G611" s="19">
        <f>'расчёт зарплаты'!K38</f>
        <v>28896</v>
      </c>
      <c r="H611" s="19">
        <f t="shared" si="387"/>
        <v>86688</v>
      </c>
      <c r="I611" s="19"/>
      <c r="J611" s="19"/>
      <c r="K611" s="19"/>
      <c r="L611" s="19"/>
    </row>
    <row r="612" spans="1:13" x14ac:dyDescent="0.3">
      <c r="A612" s="89"/>
      <c r="B612" s="89"/>
      <c r="C612" s="89"/>
      <c r="D612" s="89"/>
      <c r="E612" s="89"/>
      <c r="F612" s="89"/>
      <c r="G612" s="89"/>
      <c r="H612" s="89"/>
      <c r="I612" s="89"/>
      <c r="J612" s="89"/>
      <c r="K612" s="89"/>
      <c r="L612" s="89"/>
    </row>
    <row r="613" spans="1:13" ht="14.4" customHeight="1" x14ac:dyDescent="0.3">
      <c r="A613" s="81" t="s">
        <v>7</v>
      </c>
      <c r="B613" s="82"/>
      <c r="C613" s="8">
        <f>C614+C633+C629</f>
        <v>1460.25</v>
      </c>
      <c r="D613" s="8">
        <f>D614+D633+D629</f>
        <v>1349.41</v>
      </c>
      <c r="E613" s="8">
        <f>E614+E633+E629</f>
        <v>1162.3499999999999</v>
      </c>
      <c r="F613" s="8">
        <f>F614+F633+F629</f>
        <v>1220.1500000000001</v>
      </c>
      <c r="G613" s="19"/>
      <c r="H613" s="19"/>
      <c r="I613" s="19"/>
      <c r="J613" s="19"/>
      <c r="K613" s="19"/>
      <c r="L613" s="19"/>
    </row>
    <row r="614" spans="1:13" ht="14.4" customHeight="1" x14ac:dyDescent="0.3">
      <c r="A614" s="81" t="s">
        <v>89</v>
      </c>
      <c r="B614" s="82"/>
      <c r="C614" s="8">
        <f t="shared" ref="C614:D614" si="388">SUM(C615:C628)</f>
        <v>1030.25</v>
      </c>
      <c r="D614" s="8">
        <f t="shared" si="388"/>
        <v>968</v>
      </c>
      <c r="E614" s="8">
        <f>SUM(E615:E628)</f>
        <v>855.55</v>
      </c>
      <c r="F614" s="8">
        <f>SUM(F615:F628)</f>
        <v>906.65</v>
      </c>
      <c r="G614" s="8"/>
      <c r="H614" s="40">
        <f>SUM(H615:H628)</f>
        <v>317751698.40000004</v>
      </c>
      <c r="I614" s="20"/>
      <c r="J614" s="20">
        <f>H614-I614</f>
        <v>317751698.40000004</v>
      </c>
      <c r="K614" s="20">
        <f>J614*30.2%</f>
        <v>95961012.916800007</v>
      </c>
      <c r="L614" s="20">
        <f>J614+K614</f>
        <v>413712711.31680006</v>
      </c>
      <c r="M614" s="34">
        <f>J584+J554+J523+J492+J461+J431+J401+J371+J341+J311+J280+J250+J220+J190+J160+J130+J100+J68+J38+J7</f>
        <v>316903183.19999999</v>
      </c>
    </row>
    <row r="615" spans="1:13" x14ac:dyDescent="0.3">
      <c r="A615" s="4"/>
      <c r="B615" s="5" t="s">
        <v>9</v>
      </c>
      <c r="C615" s="9">
        <f>C585+C555+C524+C493+C462+C432+C402+C372+C342+C312+C281+C251+C221+C191+C161+C131+C101+C69+C39+C8</f>
        <v>510.25</v>
      </c>
      <c r="D615" s="9">
        <f t="shared" ref="D615:F615" si="389">D585+D555+D524+D493+D462+D432+D402+D372+D342+D312+D281+D251+D221+D191+D161+D131+D101+D69+D39+D8</f>
        <v>489.75</v>
      </c>
      <c r="E615" s="9">
        <f t="shared" si="389"/>
        <v>436.25000000000006</v>
      </c>
      <c r="F615" s="9">
        <f t="shared" si="389"/>
        <v>466.4</v>
      </c>
      <c r="G615" s="19">
        <f>'расчёт зарплаты'!K10</f>
        <v>28208</v>
      </c>
      <c r="H615" s="19">
        <f>E615*G615*12+ ((D615-E615)*G615/2*12)</f>
        <v>156723648.00000003</v>
      </c>
      <c r="I615" s="19"/>
      <c r="J615" s="19"/>
      <c r="K615" s="19"/>
      <c r="L615" s="19">
        <f>G615*K615*12</f>
        <v>0</v>
      </c>
    </row>
    <row r="616" spans="1:13" ht="28.2" x14ac:dyDescent="0.3">
      <c r="A616" s="4"/>
      <c r="B616" s="5" t="s">
        <v>92</v>
      </c>
      <c r="C616" s="9">
        <f>C525+C494+C463+C282+C70</f>
        <v>41.75</v>
      </c>
      <c r="D616" s="9">
        <f t="shared" ref="D616:F616" si="390">D525+D494+D463+D282+D70</f>
        <v>41.75</v>
      </c>
      <c r="E616" s="9">
        <f t="shared" si="390"/>
        <v>41.75</v>
      </c>
      <c r="F616" s="9">
        <f t="shared" si="390"/>
        <v>41.75</v>
      </c>
      <c r="G616" s="19">
        <f>'расчёт зарплаты'!K12</f>
        <v>30960</v>
      </c>
      <c r="H616" s="19">
        <f t="shared" ref="H616:H623" si="391">E616*G616*12+ ((D616-E616)*G616/2*12)</f>
        <v>15510960</v>
      </c>
      <c r="I616" s="19"/>
      <c r="J616" s="19"/>
      <c r="K616" s="19"/>
      <c r="L616" s="19"/>
    </row>
    <row r="617" spans="1:13" x14ac:dyDescent="0.3">
      <c r="A617" s="4"/>
      <c r="B617" s="5" t="s">
        <v>10</v>
      </c>
      <c r="C617" s="9">
        <f>C586+C556+C526+C495+C464+C433+C403+C373+C343+C313+C283+C252+C222+C192+C162+C132+C102+C71+C40+C9</f>
        <v>10</v>
      </c>
      <c r="D617" s="9">
        <f t="shared" ref="D617:F617" si="392">D586+D556+D526+D495+D464+D433+D403+D373+D343+D313+D283+D252+D222+D192+D162+D132+D102+D71+D40+D9</f>
        <v>8</v>
      </c>
      <c r="E617" s="9">
        <f t="shared" si="392"/>
        <v>6</v>
      </c>
      <c r="F617" s="9">
        <f t="shared" si="392"/>
        <v>6</v>
      </c>
      <c r="G617" s="19">
        <v>25862.400000000001</v>
      </c>
      <c r="H617" s="19">
        <f t="shared" si="391"/>
        <v>2172441.6000000006</v>
      </c>
      <c r="I617" s="19"/>
      <c r="J617" s="19"/>
      <c r="K617" s="19"/>
      <c r="L617" s="19"/>
    </row>
    <row r="618" spans="1:13" ht="28.2" x14ac:dyDescent="0.3">
      <c r="A618" s="4"/>
      <c r="B618" s="5" t="s">
        <v>93</v>
      </c>
      <c r="C618" s="9">
        <f>C72</f>
        <v>2.25</v>
      </c>
      <c r="D618" s="9">
        <f t="shared" ref="D618:F618" si="393">D72</f>
        <v>0.5</v>
      </c>
      <c r="E618" s="9">
        <f t="shared" si="393"/>
        <v>2</v>
      </c>
      <c r="F618" s="9">
        <f t="shared" si="393"/>
        <v>2</v>
      </c>
      <c r="G618" s="19">
        <f>'расчёт зарплаты'!K22</f>
        <v>32384</v>
      </c>
      <c r="H618" s="19">
        <f t="shared" si="391"/>
        <v>485760</v>
      </c>
      <c r="I618" s="19"/>
      <c r="J618" s="19"/>
      <c r="K618" s="19"/>
      <c r="L618" s="19"/>
    </row>
    <row r="619" spans="1:13" x14ac:dyDescent="0.3">
      <c r="A619" s="4"/>
      <c r="B619" s="5" t="s">
        <v>13</v>
      </c>
      <c r="C619" s="9">
        <f>C587+C557+C527+C496+C465+C434+C404+C374+C344+C314+C284+C253+C223+C193+C163+C133+C103+C73+C41+C10</f>
        <v>90.75</v>
      </c>
      <c r="D619" s="9">
        <f t="shared" ref="D619:F620" si="394">D587+D557+D527+D496+D465+D434+D404+D374+D344+D314+D284+D253+D223+D193+D163+D133+D103+D73+D41+D10</f>
        <v>82.25</v>
      </c>
      <c r="E619" s="9">
        <f t="shared" si="394"/>
        <v>59.45</v>
      </c>
      <c r="F619" s="9">
        <f t="shared" si="394"/>
        <v>70</v>
      </c>
      <c r="G619" s="19">
        <f>'расчёт зарплаты'!K38</f>
        <v>28896</v>
      </c>
      <c r="H619" s="19">
        <f t="shared" si="391"/>
        <v>24567379.200000003</v>
      </c>
      <c r="I619" s="19"/>
      <c r="J619" s="19"/>
      <c r="K619" s="19"/>
      <c r="L619" s="19"/>
    </row>
    <row r="620" spans="1:13" ht="28.2" x14ac:dyDescent="0.3">
      <c r="A620" s="4"/>
      <c r="B620" s="5" t="s">
        <v>14</v>
      </c>
      <c r="C620" s="9">
        <f>C588+C558+C528+C497+C466+C435+C405+C375+C345+C315+C285+C254+C224+C194+C164+C134+C104+C74+C42+C11</f>
        <v>1</v>
      </c>
      <c r="D620" s="9">
        <f t="shared" si="394"/>
        <v>1</v>
      </c>
      <c r="E620" s="9">
        <f t="shared" si="394"/>
        <v>1</v>
      </c>
      <c r="F620" s="9">
        <f t="shared" si="394"/>
        <v>1</v>
      </c>
      <c r="G620" s="19">
        <f>'расчёт зарплаты'!K38</f>
        <v>28896</v>
      </c>
      <c r="H620" s="19">
        <f t="shared" si="391"/>
        <v>346752</v>
      </c>
      <c r="I620" s="19"/>
      <c r="J620" s="19"/>
      <c r="K620" s="19"/>
      <c r="L620" s="19"/>
    </row>
    <row r="621" spans="1:13" x14ac:dyDescent="0.3">
      <c r="A621" s="4"/>
      <c r="B621" s="5" t="s">
        <v>15</v>
      </c>
      <c r="C621" s="9">
        <f t="shared" ref="C621:F621" si="395">C589+C559+C529+C498+C467+C436+C406+C376+C346+C316+C286+C255+C225+C195+C165+C135+C105+C75+C43+C12</f>
        <v>128</v>
      </c>
      <c r="D621" s="9">
        <f t="shared" si="395"/>
        <v>112.5</v>
      </c>
      <c r="E621" s="9">
        <f t="shared" si="395"/>
        <v>87.9</v>
      </c>
      <c r="F621" s="9">
        <f t="shared" si="395"/>
        <v>95</v>
      </c>
      <c r="G621" s="19">
        <f>'расчёт зарплаты'!K34</f>
        <v>30976</v>
      </c>
      <c r="H621" s="19">
        <f t="shared" si="391"/>
        <v>37245542.400000006</v>
      </c>
      <c r="I621" s="19"/>
      <c r="J621" s="19"/>
      <c r="K621" s="19"/>
      <c r="L621" s="19"/>
    </row>
    <row r="622" spans="1:13" x14ac:dyDescent="0.3">
      <c r="A622" s="4"/>
      <c r="B622" s="5" t="s">
        <v>16</v>
      </c>
      <c r="C622" s="9">
        <f t="shared" ref="C622:F622" si="396">C590+C560+C530+C499+C468+C437+C407+C377+C347+C317+C287+C256+C226+C196+C166+C136+C106+C76+C44+C13</f>
        <v>165</v>
      </c>
      <c r="D622" s="9">
        <f t="shared" si="396"/>
        <v>161</v>
      </c>
      <c r="E622" s="9">
        <f t="shared" si="396"/>
        <v>157.85</v>
      </c>
      <c r="F622" s="9">
        <f t="shared" si="396"/>
        <v>161</v>
      </c>
      <c r="G622" s="19">
        <f>'расчёт зарплаты'!K8</f>
        <v>28600</v>
      </c>
      <c r="H622" s="19">
        <f t="shared" si="391"/>
        <v>54714660</v>
      </c>
      <c r="I622" s="19"/>
      <c r="J622" s="19"/>
      <c r="K622" s="19"/>
      <c r="L622" s="19"/>
    </row>
    <row r="623" spans="1:13" ht="42" x14ac:dyDescent="0.3">
      <c r="A623" s="4"/>
      <c r="B623" s="5" t="s">
        <v>17</v>
      </c>
      <c r="C623" s="9">
        <f t="shared" ref="C623:F623" si="397">C591+C561+C531+C500+C469+C438+C408+C378+C348+C318+C288+C257+C227+C197+C167+C137+C107+C77+C45+C14</f>
        <v>35</v>
      </c>
      <c r="D623" s="9">
        <f t="shared" si="397"/>
        <v>29.5</v>
      </c>
      <c r="E623" s="9">
        <f t="shared" si="397"/>
        <v>23.05</v>
      </c>
      <c r="F623" s="9">
        <f t="shared" si="397"/>
        <v>22.5</v>
      </c>
      <c r="G623" s="19">
        <f>'расчёт зарплаты'!K10</f>
        <v>28208</v>
      </c>
      <c r="H623" s="19">
        <f t="shared" si="391"/>
        <v>8893982.4000000004</v>
      </c>
      <c r="I623" s="19"/>
      <c r="J623" s="19"/>
      <c r="K623" s="19"/>
      <c r="L623" s="19"/>
    </row>
    <row r="624" spans="1:13" ht="28.2" x14ac:dyDescent="0.3">
      <c r="A624" s="4"/>
      <c r="B624" s="5" t="s">
        <v>18</v>
      </c>
      <c r="C624" s="9">
        <f t="shared" ref="C624:F624" si="398">C592+C562+C532+C501+C470+C439+C409+C379+C349+C319+C289+C258+C228+C198+C168+C138+C108+C78+C46+C15</f>
        <v>29.25</v>
      </c>
      <c r="D624" s="9">
        <f t="shared" si="398"/>
        <v>27</v>
      </c>
      <c r="E624" s="9">
        <f t="shared" si="398"/>
        <v>26</v>
      </c>
      <c r="F624" s="9">
        <f t="shared" si="398"/>
        <v>26</v>
      </c>
      <c r="G624" s="19">
        <f>'расчёт зарплаты'!K20</f>
        <v>31648</v>
      </c>
      <c r="H624" s="19">
        <f t="shared" ref="H624:H627" si="399">E624*G624*12+ ((D624-E624)*G624/2*12)</f>
        <v>10064064</v>
      </c>
      <c r="I624" s="19"/>
      <c r="J624" s="19"/>
      <c r="K624" s="19"/>
      <c r="L624" s="19"/>
    </row>
    <row r="625" spans="1:13" ht="46.2" customHeight="1" x14ac:dyDescent="0.3">
      <c r="A625" s="4"/>
      <c r="B625" s="5" t="s">
        <v>91</v>
      </c>
      <c r="C625" s="9">
        <f t="shared" ref="C625:F625" si="400">C593+C563+C533+C502+C471+C440+C410+C380+C350+C320+C290+C259+C229+C199+C169+C139+C109+C79+C47+C16</f>
        <v>4</v>
      </c>
      <c r="D625" s="9">
        <f t="shared" si="400"/>
        <v>2</v>
      </c>
      <c r="E625" s="9">
        <f t="shared" si="400"/>
        <v>2</v>
      </c>
      <c r="F625" s="9">
        <f t="shared" si="400"/>
        <v>2</v>
      </c>
      <c r="G625" s="19">
        <f>'расчёт зарплаты'!K10</f>
        <v>28208</v>
      </c>
      <c r="H625" s="19">
        <f t="shared" si="399"/>
        <v>676992</v>
      </c>
      <c r="I625" s="19"/>
      <c r="J625" s="19"/>
      <c r="K625" s="19"/>
      <c r="L625" s="19"/>
    </row>
    <row r="626" spans="1:13" x14ac:dyDescent="0.3">
      <c r="A626" s="4"/>
      <c r="B626" s="5" t="s">
        <v>20</v>
      </c>
      <c r="C626" s="9">
        <f t="shared" ref="C626:F626" si="401">C594+C564+C534+C503+C472+C441+C411+C381+C351+C321+C291+C260+C230+C200+C170+C140+C110+C80+C48+C17</f>
        <v>2.5</v>
      </c>
      <c r="D626" s="9">
        <f t="shared" si="401"/>
        <v>2.5</v>
      </c>
      <c r="E626" s="9">
        <f t="shared" si="401"/>
        <v>2.5</v>
      </c>
      <c r="F626" s="9">
        <f t="shared" si="401"/>
        <v>3</v>
      </c>
      <c r="G626" s="19">
        <f>'расчёт зарплаты'!K34</f>
        <v>30976</v>
      </c>
      <c r="H626" s="19">
        <f t="shared" si="399"/>
        <v>929280</v>
      </c>
      <c r="I626" s="19"/>
      <c r="J626" s="19"/>
      <c r="K626" s="19"/>
      <c r="L626" s="19"/>
    </row>
    <row r="627" spans="1:13" ht="39.6" x14ac:dyDescent="0.3">
      <c r="A627" s="4"/>
      <c r="B627" s="6" t="s">
        <v>21</v>
      </c>
      <c r="C627" s="9">
        <f t="shared" ref="C627:F627" si="402">C595+C565+C535+C504+C473+C442+C412+C382+C352+C322+C292+C261+C231+C201+C171+C141+C111+C81+C49+C18</f>
        <v>10.5</v>
      </c>
      <c r="D627" s="9">
        <f t="shared" si="402"/>
        <v>10.25</v>
      </c>
      <c r="E627" s="9">
        <f t="shared" si="402"/>
        <v>9.8000000000000007</v>
      </c>
      <c r="F627" s="9">
        <f t="shared" si="402"/>
        <v>10</v>
      </c>
      <c r="G627" s="19">
        <f>'расчёт зарплаты'!K44</f>
        <v>45056</v>
      </c>
      <c r="H627" s="19">
        <f t="shared" si="399"/>
        <v>5420236.8000000007</v>
      </c>
      <c r="I627" s="19"/>
      <c r="J627" s="19"/>
      <c r="K627" s="19"/>
      <c r="L627" s="19"/>
    </row>
    <row r="628" spans="1:13" x14ac:dyDescent="0.3">
      <c r="A628" s="4"/>
      <c r="B628" s="5" t="s">
        <v>22</v>
      </c>
      <c r="C628" s="9">
        <f t="shared" ref="C628:F628" si="403">C596+C566+C536+C505+C474+C443+C413+C383+C353+C323+C293+C262+C232+C202+C172+C142+C112+C82+C50+C19</f>
        <v>0</v>
      </c>
      <c r="D628" s="9">
        <f t="shared" si="403"/>
        <v>0</v>
      </c>
      <c r="E628" s="9">
        <f t="shared" si="403"/>
        <v>0</v>
      </c>
      <c r="F628" s="9">
        <f t="shared" si="403"/>
        <v>0</v>
      </c>
      <c r="G628" s="19">
        <v>24736.48</v>
      </c>
      <c r="H628" s="19">
        <f t="shared" ref="H628" si="404">E628*G628*12</f>
        <v>0</v>
      </c>
      <c r="I628" s="19"/>
      <c r="J628" s="19"/>
      <c r="K628" s="19"/>
      <c r="L628" s="19"/>
    </row>
    <row r="629" spans="1:13" x14ac:dyDescent="0.3">
      <c r="A629" s="38" t="s">
        <v>57</v>
      </c>
      <c r="B629" s="39"/>
      <c r="C629" s="41">
        <f>C630+C631+C632</f>
        <v>177</v>
      </c>
      <c r="D629" s="41">
        <f t="shared" ref="D629" si="405">D630+D631+D632</f>
        <v>149.25</v>
      </c>
      <c r="E629" s="41">
        <f t="shared" ref="E629" si="406">E630+E631+E632</f>
        <v>120.7</v>
      </c>
      <c r="F629" s="41">
        <f t="shared" ref="F629" si="407">F630+F631+F632</f>
        <v>120</v>
      </c>
      <c r="G629" s="41"/>
      <c r="H629" s="42">
        <f t="shared" ref="H629" si="408">H630+H631+H632</f>
        <v>44886970.799999997</v>
      </c>
      <c r="I629" s="42">
        <f t="shared" ref="I629" si="409">I630+I631+I632</f>
        <v>0</v>
      </c>
      <c r="J629" s="42">
        <f t="shared" ref="J629" si="410">J630+J631+J632</f>
        <v>0</v>
      </c>
      <c r="K629" s="42">
        <f t="shared" ref="K629" si="411">K630+K631+K632</f>
        <v>0</v>
      </c>
      <c r="L629" s="42">
        <f t="shared" ref="L629" si="412">L630+L631+L632</f>
        <v>0</v>
      </c>
      <c r="M629" s="34"/>
    </row>
    <row r="630" spans="1:13" x14ac:dyDescent="0.3">
      <c r="A630" s="4"/>
      <c r="B630" s="5" t="s">
        <v>11</v>
      </c>
      <c r="C630" s="9">
        <f t="shared" ref="C630:F630" si="413">C598+C568+C538+C507+C476+C445+C415+C385+C355+C325+C295+C264+C234+C204+C174+C144+C114+C84+C52+C21</f>
        <v>40.75</v>
      </c>
      <c r="D630" s="9">
        <f t="shared" si="413"/>
        <v>30.75</v>
      </c>
      <c r="E630" s="9">
        <f t="shared" si="413"/>
        <v>22</v>
      </c>
      <c r="F630" s="9">
        <f t="shared" si="413"/>
        <v>24</v>
      </c>
      <c r="G630" s="19">
        <f>'расчёт зарплаты'!K26</f>
        <v>27300</v>
      </c>
      <c r="H630" s="19">
        <f t="shared" ref="H630:H633" si="414">E630*G630*12+ ((D630-E630)*G630/2*12)</f>
        <v>8640450</v>
      </c>
      <c r="I630" s="19"/>
      <c r="J630" s="19"/>
      <c r="K630" s="19"/>
      <c r="L630" s="19"/>
    </row>
    <row r="631" spans="1:13" x14ac:dyDescent="0.3">
      <c r="A631" s="4"/>
      <c r="B631" s="5" t="s">
        <v>12</v>
      </c>
      <c r="C631" s="9">
        <f t="shared" ref="C631:F631" si="415">C599+C569+C539+C508+C477+C446+C416+C386+C356+C326+C296+C265+C235+C205+C175+C145+C115+C85+C53+C22</f>
        <v>52.5</v>
      </c>
      <c r="D631" s="9">
        <f t="shared" si="415"/>
        <v>49.5</v>
      </c>
      <c r="E631" s="9">
        <f t="shared" si="415"/>
        <v>47</v>
      </c>
      <c r="F631" s="9">
        <f t="shared" si="415"/>
        <v>47</v>
      </c>
      <c r="G631" s="19">
        <f>'расчёт зарплаты'!K26</f>
        <v>27300</v>
      </c>
      <c r="H631" s="19">
        <f t="shared" si="414"/>
        <v>15806700</v>
      </c>
      <c r="I631" s="19"/>
      <c r="J631" s="19"/>
      <c r="K631" s="19"/>
      <c r="L631" s="19"/>
    </row>
    <row r="632" spans="1:13" ht="28.2" x14ac:dyDescent="0.3">
      <c r="A632" s="4"/>
      <c r="B632" s="5" t="s">
        <v>19</v>
      </c>
      <c r="C632" s="9">
        <f t="shared" ref="C632:F632" si="416">C600+C570+C540+C509+C478+C447+C417+C387+C357+C327+C297+C266+C236+C206+C176+C146+C116+C86+C54+C23</f>
        <v>83.75</v>
      </c>
      <c r="D632" s="9">
        <f t="shared" si="416"/>
        <v>69</v>
      </c>
      <c r="E632" s="9">
        <f t="shared" si="416"/>
        <v>51.7</v>
      </c>
      <c r="F632" s="9">
        <f t="shared" si="416"/>
        <v>49</v>
      </c>
      <c r="G632" s="19">
        <f>'расчёт зарплаты'!K40</f>
        <v>28224</v>
      </c>
      <c r="H632" s="19">
        <f t="shared" si="414"/>
        <v>20439820.800000001</v>
      </c>
      <c r="I632" s="19"/>
      <c r="J632" s="19"/>
      <c r="K632" s="19"/>
      <c r="L632" s="19"/>
    </row>
    <row r="633" spans="1:13" x14ac:dyDescent="0.3">
      <c r="A633" s="83" t="s">
        <v>23</v>
      </c>
      <c r="B633" s="83"/>
      <c r="C633" s="8">
        <f t="shared" ref="C633:F633" si="417">C634+C641</f>
        <v>253</v>
      </c>
      <c r="D633" s="8">
        <f t="shared" si="417"/>
        <v>232.16</v>
      </c>
      <c r="E633" s="8">
        <f t="shared" si="417"/>
        <v>186.1</v>
      </c>
      <c r="F633" s="8">
        <f t="shared" si="417"/>
        <v>193.5</v>
      </c>
      <c r="G633" s="19"/>
      <c r="H633" s="19">
        <f t="shared" si="414"/>
        <v>0</v>
      </c>
      <c r="I633" s="19"/>
      <c r="J633" s="20">
        <f>H634+H641</f>
        <v>63352152</v>
      </c>
      <c r="K633" s="19"/>
      <c r="L633" s="19"/>
    </row>
    <row r="634" spans="1:13" x14ac:dyDescent="0.3">
      <c r="A634" s="84" t="s">
        <v>24</v>
      </c>
      <c r="B634" s="84"/>
      <c r="C634" s="8">
        <f t="shared" ref="C634:F634" si="418">C635+C636+C637+C638+C640</f>
        <v>172.5</v>
      </c>
      <c r="D634" s="8">
        <f t="shared" si="418"/>
        <v>156.41</v>
      </c>
      <c r="E634" s="8">
        <f t="shared" si="418"/>
        <v>127.1</v>
      </c>
      <c r="F634" s="8">
        <f t="shared" si="418"/>
        <v>133</v>
      </c>
      <c r="G634" s="20"/>
      <c r="H634" s="20">
        <f>H635+H636+H637+H638+H640</f>
        <v>42095064</v>
      </c>
      <c r="I634" s="20">
        <f t="shared" ref="I634" si="419">I635+I636+I637+I638+I640</f>
        <v>0</v>
      </c>
      <c r="J634" s="20">
        <f t="shared" ref="J634" si="420">J635+J636+J637+J638+J640</f>
        <v>0</v>
      </c>
      <c r="K634" s="20">
        <f t="shared" ref="K634" si="421">K635+K636+K637+K638+K640</f>
        <v>0</v>
      </c>
      <c r="L634" s="20">
        <f t="shared" ref="L634" si="422">L635+L636+L637+L638+L640</f>
        <v>0</v>
      </c>
    </row>
    <row r="635" spans="1:13" x14ac:dyDescent="0.3">
      <c r="A635" s="4"/>
      <c r="B635" s="5" t="s">
        <v>25</v>
      </c>
      <c r="C635" s="9">
        <f t="shared" ref="C635:F635" si="423">C603+C573+C543+C512+C481+C450+C420+C390+C360+C330+C300+C269+C239+C209+C179+C149+C119+C89+C57+C26</f>
        <v>6</v>
      </c>
      <c r="D635" s="9">
        <f t="shared" si="423"/>
        <v>5</v>
      </c>
      <c r="E635" s="9">
        <f t="shared" si="423"/>
        <v>4</v>
      </c>
      <c r="F635" s="9">
        <f t="shared" si="423"/>
        <v>4</v>
      </c>
      <c r="G635" s="19">
        <f>'расчёт зарплаты'!K14</f>
        <v>33792</v>
      </c>
      <c r="H635" s="19">
        <f>E635*G635*12</f>
        <v>1622016</v>
      </c>
      <c r="I635" s="19"/>
      <c r="J635" s="19"/>
      <c r="K635" s="19"/>
      <c r="L635" s="19"/>
    </row>
    <row r="636" spans="1:13" x14ac:dyDescent="0.3">
      <c r="A636" s="4"/>
      <c r="B636" s="5" t="s">
        <v>26</v>
      </c>
      <c r="C636" s="9">
        <f t="shared" ref="C636:F636" si="424">C604+C574+C544+C513+C482+C451+C421+C391+C361+C331+C301+C270+C240+C210+C180+C150+C120+C90+C58+C27</f>
        <v>0</v>
      </c>
      <c r="D636" s="9">
        <f t="shared" si="424"/>
        <v>0</v>
      </c>
      <c r="E636" s="9">
        <f t="shared" si="424"/>
        <v>0</v>
      </c>
      <c r="F636" s="9">
        <f t="shared" si="424"/>
        <v>0</v>
      </c>
      <c r="G636" s="19">
        <f>'расчёт зарплаты'!K16</f>
        <v>36608</v>
      </c>
      <c r="H636" s="19">
        <f t="shared" ref="H636:H640" si="425">E636*G636*12</f>
        <v>0</v>
      </c>
      <c r="I636" s="19"/>
      <c r="J636" s="19"/>
      <c r="K636" s="19"/>
      <c r="L636" s="19"/>
    </row>
    <row r="637" spans="1:13" x14ac:dyDescent="0.3">
      <c r="A637" s="4"/>
      <c r="B637" s="5" t="s">
        <v>27</v>
      </c>
      <c r="C637" s="9">
        <f t="shared" ref="C637:F637" si="426">C605+C575+C545+C514+C483+C452+C422+C392+C362+C332+C302+C271+C241+C211+C181+C151+C121+C91+C59+C28</f>
        <v>1</v>
      </c>
      <c r="D637" s="9">
        <f t="shared" si="426"/>
        <v>1</v>
      </c>
      <c r="E637" s="9">
        <f t="shared" si="426"/>
        <v>1</v>
      </c>
      <c r="F637" s="9">
        <f t="shared" si="426"/>
        <v>1</v>
      </c>
      <c r="G637" s="19">
        <f>'расчёт зарплаты'!K18</f>
        <v>39424</v>
      </c>
      <c r="H637" s="19">
        <f t="shared" si="425"/>
        <v>473088</v>
      </c>
      <c r="I637" s="19"/>
      <c r="J637" s="19"/>
      <c r="K637" s="19"/>
      <c r="L637" s="19"/>
    </row>
    <row r="638" spans="1:13" ht="28.2" x14ac:dyDescent="0.3">
      <c r="A638" s="4"/>
      <c r="B638" s="5" t="s">
        <v>28</v>
      </c>
      <c r="C638" s="9">
        <f>C606+C576+C546+C515+C484+C453+C423+C393+C363+C333+C303+C272+C242+C212+C182+C152+C122+C92+C60+C30</f>
        <v>70</v>
      </c>
      <c r="D638" s="9">
        <f t="shared" ref="D638:F638" si="427">D606+D576+D546+D515+D484+D453+D423+D393+D363+D333+D303+D272+D242+D212+D182+D152+D122+D92+D60+D30</f>
        <v>66</v>
      </c>
      <c r="E638" s="9">
        <f t="shared" si="427"/>
        <v>54.5</v>
      </c>
      <c r="F638" s="9">
        <f t="shared" si="427"/>
        <v>55</v>
      </c>
      <c r="G638" s="19">
        <f>'расчёт зарплаты'!K26</f>
        <v>27300</v>
      </c>
      <c r="H638" s="19">
        <f t="shared" si="425"/>
        <v>17854200</v>
      </c>
      <c r="I638" s="19"/>
      <c r="J638" s="19"/>
      <c r="K638" s="19"/>
      <c r="L638" s="19"/>
    </row>
    <row r="639" spans="1:13" x14ac:dyDescent="0.3">
      <c r="A639" s="4"/>
      <c r="B639" s="5" t="s">
        <v>84</v>
      </c>
      <c r="C639" s="9">
        <f>C29</f>
        <v>8</v>
      </c>
      <c r="D639" s="9">
        <f t="shared" ref="D639:F639" si="428">D29</f>
        <v>8</v>
      </c>
      <c r="E639" s="9">
        <f t="shared" si="428"/>
        <v>8</v>
      </c>
      <c r="F639" s="9">
        <f t="shared" si="428"/>
        <v>8</v>
      </c>
      <c r="G639" s="19">
        <f>'расчёт зарплаты'!K36</f>
        <v>45056</v>
      </c>
      <c r="H639" s="19">
        <f t="shared" si="425"/>
        <v>4325376</v>
      </c>
      <c r="I639" s="19"/>
      <c r="J639" s="19"/>
      <c r="K639" s="19"/>
      <c r="L639" s="19"/>
    </row>
    <row r="640" spans="1:13" x14ac:dyDescent="0.3">
      <c r="A640" s="4"/>
      <c r="B640" s="5" t="s">
        <v>29</v>
      </c>
      <c r="C640" s="9">
        <f>C607+C577+C547+C516+C485+C454+C424+C394+C364+C334+C304+C273+C243+C213+C183+C153+C123+C93+C61+C31</f>
        <v>95.5</v>
      </c>
      <c r="D640" s="9">
        <f t="shared" ref="D640:F640" si="429">D607+D577+D547+D516+D485+D454+D424+D394+D364+D334+D304+D273+D243+D213+D183+D153+D123+D93+D61+D31</f>
        <v>84.41</v>
      </c>
      <c r="E640" s="9">
        <f t="shared" si="429"/>
        <v>67.599999999999994</v>
      </c>
      <c r="F640" s="9">
        <f t="shared" si="429"/>
        <v>73</v>
      </c>
      <c r="G640" s="19">
        <f>'расчёт зарплаты'!K26</f>
        <v>27300</v>
      </c>
      <c r="H640" s="19">
        <f t="shared" si="425"/>
        <v>22145759.999999996</v>
      </c>
      <c r="I640" s="19"/>
      <c r="J640" s="19"/>
      <c r="K640" s="19"/>
      <c r="L640" s="19"/>
    </row>
    <row r="641" spans="1:12" x14ac:dyDescent="0.3">
      <c r="A641" s="84" t="s">
        <v>30</v>
      </c>
      <c r="B641" s="84"/>
      <c r="C641" s="8">
        <f t="shared" ref="C641:F641" si="430">C642+C643+C644</f>
        <v>80.5</v>
      </c>
      <c r="D641" s="8">
        <f t="shared" si="430"/>
        <v>75.75</v>
      </c>
      <c r="E641" s="8">
        <f t="shared" si="430"/>
        <v>59</v>
      </c>
      <c r="F641" s="8">
        <f t="shared" si="430"/>
        <v>60.5</v>
      </c>
      <c r="G641" s="20"/>
      <c r="H641" s="20">
        <f>H642+H643+H644</f>
        <v>21257088</v>
      </c>
      <c r="I641" s="20">
        <f t="shared" ref="I641" si="431">I642+I643+I644</f>
        <v>0</v>
      </c>
      <c r="J641" s="20">
        <f t="shared" ref="J641" si="432">J642+J643+J644</f>
        <v>0</v>
      </c>
      <c r="K641" s="20">
        <f t="shared" ref="K641" si="433">K642+K643+K644</f>
        <v>0</v>
      </c>
      <c r="L641" s="20">
        <f t="shared" ref="L641" si="434">L642+L643+L644</f>
        <v>0</v>
      </c>
    </row>
    <row r="642" spans="1:12" x14ac:dyDescent="0.3">
      <c r="A642" s="4"/>
      <c r="B642" s="5" t="s">
        <v>31</v>
      </c>
      <c r="C642" s="9">
        <f>C609+C579+C549+C518+C487+C456+C426+C396+C366+C336+C306+C275+C245+C215+C185+C155+C125+C95+C63+C33</f>
        <v>35.5</v>
      </c>
      <c r="D642" s="9">
        <f t="shared" ref="D642:F642" si="435">D609+D579+D549+D518+D487+D456+D426+D396+D366+D336+D306+D275+D245+D215+D185+D155+D125+D95+D63+D33</f>
        <v>34.5</v>
      </c>
      <c r="E642" s="9">
        <f t="shared" si="435"/>
        <v>32</v>
      </c>
      <c r="F642" s="9">
        <f t="shared" si="435"/>
        <v>33</v>
      </c>
      <c r="G642" s="19">
        <f>'расчёт зарплаты'!K34</f>
        <v>30976</v>
      </c>
      <c r="H642" s="19">
        <f>E642*G642*12</f>
        <v>11894784</v>
      </c>
      <c r="I642" s="19"/>
      <c r="J642" s="19"/>
      <c r="K642" s="19"/>
      <c r="L642" s="19"/>
    </row>
    <row r="643" spans="1:12" x14ac:dyDescent="0.3">
      <c r="A643" s="4"/>
      <c r="B643" s="5" t="s">
        <v>32</v>
      </c>
      <c r="C643" s="9">
        <f t="shared" ref="C643:F644" si="436">C610+C580+C550+C519+C488+C457+C427+C397+C367+C337+C307+C276+C246+C216+C186+C156+C126+C96+C64+C34</f>
        <v>2</v>
      </c>
      <c r="D643" s="9">
        <f t="shared" si="436"/>
        <v>2</v>
      </c>
      <c r="E643" s="9">
        <f t="shared" si="436"/>
        <v>1</v>
      </c>
      <c r="F643" s="9">
        <f t="shared" si="436"/>
        <v>1</v>
      </c>
      <c r="G643" s="19">
        <f>'расчёт зарплаты'!K38</f>
        <v>28896</v>
      </c>
      <c r="H643" s="19">
        <f t="shared" ref="H643:H644" si="437">E643*G643*12</f>
        <v>346752</v>
      </c>
      <c r="I643" s="19"/>
      <c r="J643" s="19"/>
      <c r="K643" s="19"/>
      <c r="L643" s="19"/>
    </row>
    <row r="644" spans="1:12" x14ac:dyDescent="0.3">
      <c r="A644" s="4"/>
      <c r="B644" s="5" t="s">
        <v>33</v>
      </c>
      <c r="C644" s="9">
        <f t="shared" si="436"/>
        <v>43</v>
      </c>
      <c r="D644" s="9">
        <f t="shared" si="436"/>
        <v>39.25</v>
      </c>
      <c r="E644" s="9">
        <f t="shared" si="436"/>
        <v>26</v>
      </c>
      <c r="F644" s="9">
        <f t="shared" si="436"/>
        <v>26.5</v>
      </c>
      <c r="G644" s="19">
        <f>'расчёт зарплаты'!K38</f>
        <v>28896</v>
      </c>
      <c r="H644" s="19">
        <f t="shared" si="437"/>
        <v>9015552</v>
      </c>
      <c r="I644" s="19"/>
      <c r="J644" s="19"/>
      <c r="K644" s="19"/>
      <c r="L644" s="19"/>
    </row>
    <row r="646" spans="1:12" ht="14.4" customHeight="1" x14ac:dyDescent="0.3"/>
    <row r="647" spans="1:12" ht="14.4" customHeight="1" x14ac:dyDescent="0.3"/>
    <row r="662" ht="14.4" customHeight="1" x14ac:dyDescent="0.3"/>
    <row r="663" ht="14.4" customHeight="1" x14ac:dyDescent="0.3"/>
    <row r="669" ht="14.4" customHeight="1" x14ac:dyDescent="0.3"/>
    <row r="674" ht="14.4" customHeight="1" x14ac:dyDescent="0.3"/>
    <row r="675" ht="14.4" customHeight="1" x14ac:dyDescent="0.3"/>
    <row r="690" ht="14.4" customHeight="1" x14ac:dyDescent="0.3"/>
    <row r="691" ht="14.4" customHeight="1" x14ac:dyDescent="0.3"/>
    <row r="697" ht="14.4" customHeight="1" x14ac:dyDescent="0.3"/>
    <row r="702" ht="14.4" customHeight="1" x14ac:dyDescent="0.3"/>
    <row r="703" ht="14.4" customHeight="1" x14ac:dyDescent="0.3"/>
    <row r="718" ht="14.4" customHeight="1" x14ac:dyDescent="0.3"/>
    <row r="719" ht="14.4" customHeight="1" x14ac:dyDescent="0.3"/>
    <row r="725" ht="14.4" customHeight="1" x14ac:dyDescent="0.3"/>
    <row r="730" ht="14.4" customHeight="1" x14ac:dyDescent="0.3"/>
    <row r="731" ht="14.4" customHeight="1" x14ac:dyDescent="0.3"/>
    <row r="746" ht="14.4" customHeight="1" x14ac:dyDescent="0.3"/>
    <row r="747" ht="14.4" customHeight="1" x14ac:dyDescent="0.3"/>
    <row r="753" ht="14.4" customHeight="1" x14ac:dyDescent="0.3"/>
    <row r="758" ht="14.4" customHeight="1" x14ac:dyDescent="0.3"/>
    <row r="759" ht="14.4" customHeight="1" x14ac:dyDescent="0.3"/>
    <row r="774" ht="14.4" customHeight="1" x14ac:dyDescent="0.3"/>
    <row r="775" ht="14.4" customHeight="1" x14ac:dyDescent="0.3"/>
    <row r="781" ht="14.4" customHeight="1" x14ac:dyDescent="0.3"/>
  </sheetData>
  <mergeCells count="126">
    <mergeCell ref="A36:L36"/>
    <mergeCell ref="A37:B37"/>
    <mergeCell ref="A38:B38"/>
    <mergeCell ref="A55:B55"/>
    <mergeCell ref="A56:B56"/>
    <mergeCell ref="A62:B62"/>
    <mergeCell ref="A5:L5"/>
    <mergeCell ref="A6:B6"/>
    <mergeCell ref="A7:B7"/>
    <mergeCell ref="A24:B24"/>
    <mergeCell ref="A25:B25"/>
    <mergeCell ref="A32:B32"/>
    <mergeCell ref="A98:L98"/>
    <mergeCell ref="A99:B99"/>
    <mergeCell ref="A100:B100"/>
    <mergeCell ref="A117:B117"/>
    <mergeCell ref="A118:B118"/>
    <mergeCell ref="A124:B124"/>
    <mergeCell ref="A66:L66"/>
    <mergeCell ref="A67:B67"/>
    <mergeCell ref="A68:B68"/>
    <mergeCell ref="A87:B87"/>
    <mergeCell ref="A88:B88"/>
    <mergeCell ref="A94:B94"/>
    <mergeCell ref="A158:L158"/>
    <mergeCell ref="A159:B159"/>
    <mergeCell ref="A160:B160"/>
    <mergeCell ref="A177:B177"/>
    <mergeCell ref="A178:B178"/>
    <mergeCell ref="A184:B184"/>
    <mergeCell ref="A128:L128"/>
    <mergeCell ref="A129:B129"/>
    <mergeCell ref="A130:B130"/>
    <mergeCell ref="A147:B147"/>
    <mergeCell ref="A148:B148"/>
    <mergeCell ref="A154:B154"/>
    <mergeCell ref="A218:L218"/>
    <mergeCell ref="A219:B219"/>
    <mergeCell ref="A220:B220"/>
    <mergeCell ref="A237:B237"/>
    <mergeCell ref="A238:B238"/>
    <mergeCell ref="A244:B244"/>
    <mergeCell ref="A188:L188"/>
    <mergeCell ref="A189:B189"/>
    <mergeCell ref="A190:B190"/>
    <mergeCell ref="A207:B207"/>
    <mergeCell ref="A208:B208"/>
    <mergeCell ref="A214:B214"/>
    <mergeCell ref="A278:L278"/>
    <mergeCell ref="A279:B279"/>
    <mergeCell ref="A280:B280"/>
    <mergeCell ref="A298:B298"/>
    <mergeCell ref="A299:B299"/>
    <mergeCell ref="A305:B305"/>
    <mergeCell ref="A248:L248"/>
    <mergeCell ref="A249:B249"/>
    <mergeCell ref="A250:B250"/>
    <mergeCell ref="A267:B267"/>
    <mergeCell ref="A268:B268"/>
    <mergeCell ref="A274:B274"/>
    <mergeCell ref="A339:L339"/>
    <mergeCell ref="A340:B340"/>
    <mergeCell ref="A341:B341"/>
    <mergeCell ref="A358:B358"/>
    <mergeCell ref="A359:B359"/>
    <mergeCell ref="A365:B365"/>
    <mergeCell ref="A309:L309"/>
    <mergeCell ref="A310:B310"/>
    <mergeCell ref="A311:B311"/>
    <mergeCell ref="A328:B328"/>
    <mergeCell ref="A329:B329"/>
    <mergeCell ref="A335:B335"/>
    <mergeCell ref="A429:L429"/>
    <mergeCell ref="A430:B430"/>
    <mergeCell ref="A431:B431"/>
    <mergeCell ref="A448:B448"/>
    <mergeCell ref="A449:B449"/>
    <mergeCell ref="A455:B455"/>
    <mergeCell ref="A369:L369"/>
    <mergeCell ref="A370:B370"/>
    <mergeCell ref="A371:B371"/>
    <mergeCell ref="A388:B388"/>
    <mergeCell ref="A389:B389"/>
    <mergeCell ref="A395:B395"/>
    <mergeCell ref="A399:L399"/>
    <mergeCell ref="A400:B400"/>
    <mergeCell ref="A401:B401"/>
    <mergeCell ref="A418:B418"/>
    <mergeCell ref="A419:B419"/>
    <mergeCell ref="A425:B425"/>
    <mergeCell ref="A510:B510"/>
    <mergeCell ref="A511:B511"/>
    <mergeCell ref="A517:B517"/>
    <mergeCell ref="A459:L459"/>
    <mergeCell ref="A460:B460"/>
    <mergeCell ref="A461:B461"/>
    <mergeCell ref="A479:B479"/>
    <mergeCell ref="A480:B480"/>
    <mergeCell ref="A486:B486"/>
    <mergeCell ref="A490:L490"/>
    <mergeCell ref="A491:B491"/>
    <mergeCell ref="A492:B492"/>
    <mergeCell ref="A633:B633"/>
    <mergeCell ref="A634:B634"/>
    <mergeCell ref="A641:B641"/>
    <mergeCell ref="A582:L582"/>
    <mergeCell ref="A583:B583"/>
    <mergeCell ref="A584:B584"/>
    <mergeCell ref="A601:B601"/>
    <mergeCell ref="A602:B602"/>
    <mergeCell ref="A608:B608"/>
    <mergeCell ref="A612:L612"/>
    <mergeCell ref="A613:B613"/>
    <mergeCell ref="A614:B614"/>
    <mergeCell ref="A552:L552"/>
    <mergeCell ref="A553:B553"/>
    <mergeCell ref="A554:B554"/>
    <mergeCell ref="A571:B571"/>
    <mergeCell ref="A572:B572"/>
    <mergeCell ref="A578:B578"/>
    <mergeCell ref="A521:L521"/>
    <mergeCell ref="A522:B522"/>
    <mergeCell ref="A523:B523"/>
    <mergeCell ref="A541:B541"/>
    <mergeCell ref="A542:B542"/>
    <mergeCell ref="A548:B5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4" sqref="A4"/>
    </sheetView>
  </sheetViews>
  <sheetFormatPr defaultRowHeight="14.4" x14ac:dyDescent="0.3"/>
  <cols>
    <col min="1" max="1" width="23.109375" customWidth="1"/>
    <col min="2" max="2" width="18.6640625" customWidth="1"/>
    <col min="3" max="3" width="17.109375" customWidth="1"/>
    <col min="4" max="4" width="15.33203125" customWidth="1"/>
  </cols>
  <sheetData>
    <row r="1" spans="1:4" ht="18" x14ac:dyDescent="0.35">
      <c r="A1" s="50" t="s">
        <v>99</v>
      </c>
    </row>
    <row r="3" spans="1:4" ht="39" customHeight="1" x14ac:dyDescent="0.3">
      <c r="A3" s="46" t="s">
        <v>95</v>
      </c>
      <c r="B3" s="47" t="s">
        <v>96</v>
      </c>
      <c r="C3" s="47" t="s">
        <v>97</v>
      </c>
      <c r="D3" s="47" t="s">
        <v>98</v>
      </c>
    </row>
    <row r="4" spans="1:4" ht="15.6" x14ac:dyDescent="0.3">
      <c r="A4" s="48">
        <v>458283000</v>
      </c>
      <c r="B4" s="49">
        <f>A4*9.89%</f>
        <v>45324188.700000003</v>
      </c>
      <c r="C4" s="49">
        <f>'по учр'!H629</f>
        <v>44886970.799999997</v>
      </c>
      <c r="D4" s="49">
        <f>C4-B4</f>
        <v>-437217.90000000596</v>
      </c>
    </row>
    <row r="5" spans="1:4" ht="15.6" x14ac:dyDescent="0.3">
      <c r="A5" s="45"/>
      <c r="B5" s="45"/>
      <c r="C5" s="45"/>
      <c r="D5" s="45"/>
    </row>
    <row r="6" spans="1:4" ht="15.6" x14ac:dyDescent="0.3">
      <c r="A6" s="45"/>
      <c r="B6" s="45"/>
      <c r="C6" s="45"/>
      <c r="D6" s="45"/>
    </row>
    <row r="7" spans="1:4" ht="15.6" x14ac:dyDescent="0.3">
      <c r="A7" s="45"/>
      <c r="B7" s="45"/>
      <c r="C7" s="45"/>
      <c r="D7" s="45"/>
    </row>
    <row r="8" spans="1:4" ht="15.6" x14ac:dyDescent="0.3">
      <c r="A8" s="45"/>
      <c r="B8" s="45"/>
      <c r="C8" s="45"/>
      <c r="D8" s="45"/>
    </row>
    <row r="9" spans="1:4" ht="15.6" x14ac:dyDescent="0.3">
      <c r="A9" s="45"/>
      <c r="B9" s="45"/>
      <c r="C9" s="45"/>
      <c r="D9" s="45"/>
    </row>
    <row r="10" spans="1:4" ht="15.6" x14ac:dyDescent="0.3">
      <c r="A10" s="45"/>
      <c r="B10" s="45"/>
      <c r="C10" s="45"/>
      <c r="D10" s="45"/>
    </row>
    <row r="11" spans="1:4" x14ac:dyDescent="0.3">
      <c r="A11" s="44"/>
      <c r="B11" s="44"/>
      <c r="C11" s="44"/>
      <c r="D11" s="44"/>
    </row>
    <row r="12" spans="1:4" x14ac:dyDescent="0.3">
      <c r="A12" s="44"/>
      <c r="B12" s="44"/>
      <c r="C12" s="44"/>
      <c r="D12" s="44"/>
    </row>
    <row r="13" spans="1:4" x14ac:dyDescent="0.3">
      <c r="A13" s="44"/>
      <c r="B13" s="44"/>
      <c r="C13" s="44"/>
      <c r="D13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zoomScale="110" zoomScaleNormal="11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6" sqref="F6:I6"/>
    </sheetView>
  </sheetViews>
  <sheetFormatPr defaultColWidth="9.109375" defaultRowHeight="13.2" x14ac:dyDescent="0.25"/>
  <cols>
    <col min="1" max="1" width="22.77734375" style="51" customWidth="1"/>
    <col min="2" max="2" width="10.109375" style="51" hidden="1" customWidth="1"/>
    <col min="3" max="4" width="14.33203125" style="51" hidden="1" customWidth="1"/>
    <col min="5" max="5" width="14.33203125" style="51" customWidth="1"/>
    <col min="6" max="6" width="14.109375" style="51" customWidth="1"/>
    <col min="7" max="7" width="8.109375" style="51" customWidth="1"/>
    <col min="8" max="8" width="13.33203125" style="51" hidden="1" customWidth="1"/>
    <col min="9" max="9" width="8.33203125" style="51" hidden="1" customWidth="1"/>
    <col min="10" max="10" width="14.5546875" style="51" hidden="1" customWidth="1"/>
    <col min="11" max="11" width="12.33203125" style="51" hidden="1" customWidth="1"/>
    <col min="12" max="12" width="13.88671875" style="51" customWidth="1"/>
    <col min="13" max="13" width="14.5546875" style="51" customWidth="1"/>
    <col min="14" max="14" width="15.109375" style="51" customWidth="1"/>
    <col min="15" max="15" width="15.21875" style="51" customWidth="1"/>
    <col min="16" max="256" width="9.109375" style="51"/>
    <col min="257" max="257" width="22.77734375" style="51" customWidth="1"/>
    <col min="258" max="260" width="0" style="51" hidden="1" customWidth="1"/>
    <col min="261" max="261" width="14.33203125" style="51" customWidth="1"/>
    <col min="262" max="262" width="14.109375" style="51" customWidth="1"/>
    <col min="263" max="263" width="8.109375" style="51" customWidth="1"/>
    <col min="264" max="264" width="13.33203125" style="51" customWidth="1"/>
    <col min="265" max="265" width="8.33203125" style="51" customWidth="1"/>
    <col min="266" max="267" width="0" style="51" hidden="1" customWidth="1"/>
    <col min="268" max="268" width="13.88671875" style="51" customWidth="1"/>
    <col min="269" max="269" width="14.5546875" style="51" customWidth="1"/>
    <col min="270" max="270" width="15.109375" style="51" customWidth="1"/>
    <col min="271" max="271" width="15.21875" style="51" customWidth="1"/>
    <col min="272" max="512" width="9.109375" style="51"/>
    <col min="513" max="513" width="22.77734375" style="51" customWidth="1"/>
    <col min="514" max="516" width="0" style="51" hidden="1" customWidth="1"/>
    <col min="517" max="517" width="14.33203125" style="51" customWidth="1"/>
    <col min="518" max="518" width="14.109375" style="51" customWidth="1"/>
    <col min="519" max="519" width="8.109375" style="51" customWidth="1"/>
    <col min="520" max="520" width="13.33203125" style="51" customWidth="1"/>
    <col min="521" max="521" width="8.33203125" style="51" customWidth="1"/>
    <col min="522" max="523" width="0" style="51" hidden="1" customWidth="1"/>
    <col min="524" max="524" width="13.88671875" style="51" customWidth="1"/>
    <col min="525" max="525" width="14.5546875" style="51" customWidth="1"/>
    <col min="526" max="526" width="15.109375" style="51" customWidth="1"/>
    <col min="527" max="527" width="15.21875" style="51" customWidth="1"/>
    <col min="528" max="768" width="9.109375" style="51"/>
    <col min="769" max="769" width="22.77734375" style="51" customWidth="1"/>
    <col min="770" max="772" width="0" style="51" hidden="1" customWidth="1"/>
    <col min="773" max="773" width="14.33203125" style="51" customWidth="1"/>
    <col min="774" max="774" width="14.109375" style="51" customWidth="1"/>
    <col min="775" max="775" width="8.109375" style="51" customWidth="1"/>
    <col min="776" max="776" width="13.33203125" style="51" customWidth="1"/>
    <col min="777" max="777" width="8.33203125" style="51" customWidth="1"/>
    <col min="778" max="779" width="0" style="51" hidden="1" customWidth="1"/>
    <col min="780" max="780" width="13.88671875" style="51" customWidth="1"/>
    <col min="781" max="781" width="14.5546875" style="51" customWidth="1"/>
    <col min="782" max="782" width="15.109375" style="51" customWidth="1"/>
    <col min="783" max="783" width="15.21875" style="51" customWidth="1"/>
    <col min="784" max="1024" width="9.109375" style="51"/>
    <col min="1025" max="1025" width="22.77734375" style="51" customWidth="1"/>
    <col min="1026" max="1028" width="0" style="51" hidden="1" customWidth="1"/>
    <col min="1029" max="1029" width="14.33203125" style="51" customWidth="1"/>
    <col min="1030" max="1030" width="14.109375" style="51" customWidth="1"/>
    <col min="1031" max="1031" width="8.109375" style="51" customWidth="1"/>
    <col min="1032" max="1032" width="13.33203125" style="51" customWidth="1"/>
    <col min="1033" max="1033" width="8.33203125" style="51" customWidth="1"/>
    <col min="1034" max="1035" width="0" style="51" hidden="1" customWidth="1"/>
    <col min="1036" max="1036" width="13.88671875" style="51" customWidth="1"/>
    <col min="1037" max="1037" width="14.5546875" style="51" customWidth="1"/>
    <col min="1038" max="1038" width="15.109375" style="51" customWidth="1"/>
    <col min="1039" max="1039" width="15.21875" style="51" customWidth="1"/>
    <col min="1040" max="1280" width="9.109375" style="51"/>
    <col min="1281" max="1281" width="22.77734375" style="51" customWidth="1"/>
    <col min="1282" max="1284" width="0" style="51" hidden="1" customWidth="1"/>
    <col min="1285" max="1285" width="14.33203125" style="51" customWidth="1"/>
    <col min="1286" max="1286" width="14.109375" style="51" customWidth="1"/>
    <col min="1287" max="1287" width="8.109375" style="51" customWidth="1"/>
    <col min="1288" max="1288" width="13.33203125" style="51" customWidth="1"/>
    <col min="1289" max="1289" width="8.33203125" style="51" customWidth="1"/>
    <col min="1290" max="1291" width="0" style="51" hidden="1" customWidth="1"/>
    <col min="1292" max="1292" width="13.88671875" style="51" customWidth="1"/>
    <col min="1293" max="1293" width="14.5546875" style="51" customWidth="1"/>
    <col min="1294" max="1294" width="15.109375" style="51" customWidth="1"/>
    <col min="1295" max="1295" width="15.21875" style="51" customWidth="1"/>
    <col min="1296" max="1536" width="9.109375" style="51"/>
    <col min="1537" max="1537" width="22.77734375" style="51" customWidth="1"/>
    <col min="1538" max="1540" width="0" style="51" hidden="1" customWidth="1"/>
    <col min="1541" max="1541" width="14.33203125" style="51" customWidth="1"/>
    <col min="1542" max="1542" width="14.109375" style="51" customWidth="1"/>
    <col min="1543" max="1543" width="8.109375" style="51" customWidth="1"/>
    <col min="1544" max="1544" width="13.33203125" style="51" customWidth="1"/>
    <col min="1545" max="1545" width="8.33203125" style="51" customWidth="1"/>
    <col min="1546" max="1547" width="0" style="51" hidden="1" customWidth="1"/>
    <col min="1548" max="1548" width="13.88671875" style="51" customWidth="1"/>
    <col min="1549" max="1549" width="14.5546875" style="51" customWidth="1"/>
    <col min="1550" max="1550" width="15.109375" style="51" customWidth="1"/>
    <col min="1551" max="1551" width="15.21875" style="51" customWidth="1"/>
    <col min="1552" max="1792" width="9.109375" style="51"/>
    <col min="1793" max="1793" width="22.77734375" style="51" customWidth="1"/>
    <col min="1794" max="1796" width="0" style="51" hidden="1" customWidth="1"/>
    <col min="1797" max="1797" width="14.33203125" style="51" customWidth="1"/>
    <col min="1798" max="1798" width="14.109375" style="51" customWidth="1"/>
    <col min="1799" max="1799" width="8.109375" style="51" customWidth="1"/>
    <col min="1800" max="1800" width="13.33203125" style="51" customWidth="1"/>
    <col min="1801" max="1801" width="8.33203125" style="51" customWidth="1"/>
    <col min="1802" max="1803" width="0" style="51" hidden="1" customWidth="1"/>
    <col min="1804" max="1804" width="13.88671875" style="51" customWidth="1"/>
    <col min="1805" max="1805" width="14.5546875" style="51" customWidth="1"/>
    <col min="1806" max="1806" width="15.109375" style="51" customWidth="1"/>
    <col min="1807" max="1807" width="15.21875" style="51" customWidth="1"/>
    <col min="1808" max="2048" width="9.109375" style="51"/>
    <col min="2049" max="2049" width="22.77734375" style="51" customWidth="1"/>
    <col min="2050" max="2052" width="0" style="51" hidden="1" customWidth="1"/>
    <col min="2053" max="2053" width="14.33203125" style="51" customWidth="1"/>
    <col min="2054" max="2054" width="14.109375" style="51" customWidth="1"/>
    <col min="2055" max="2055" width="8.109375" style="51" customWidth="1"/>
    <col min="2056" max="2056" width="13.33203125" style="51" customWidth="1"/>
    <col min="2057" max="2057" width="8.33203125" style="51" customWidth="1"/>
    <col min="2058" max="2059" width="0" style="51" hidden="1" customWidth="1"/>
    <col min="2060" max="2060" width="13.88671875" style="51" customWidth="1"/>
    <col min="2061" max="2061" width="14.5546875" style="51" customWidth="1"/>
    <col min="2062" max="2062" width="15.109375" style="51" customWidth="1"/>
    <col min="2063" max="2063" width="15.21875" style="51" customWidth="1"/>
    <col min="2064" max="2304" width="9.109375" style="51"/>
    <col min="2305" max="2305" width="22.77734375" style="51" customWidth="1"/>
    <col min="2306" max="2308" width="0" style="51" hidden="1" customWidth="1"/>
    <col min="2309" max="2309" width="14.33203125" style="51" customWidth="1"/>
    <col min="2310" max="2310" width="14.109375" style="51" customWidth="1"/>
    <col min="2311" max="2311" width="8.109375" style="51" customWidth="1"/>
    <col min="2312" max="2312" width="13.33203125" style="51" customWidth="1"/>
    <col min="2313" max="2313" width="8.33203125" style="51" customWidth="1"/>
    <col min="2314" max="2315" width="0" style="51" hidden="1" customWidth="1"/>
    <col min="2316" max="2316" width="13.88671875" style="51" customWidth="1"/>
    <col min="2317" max="2317" width="14.5546875" style="51" customWidth="1"/>
    <col min="2318" max="2318" width="15.109375" style="51" customWidth="1"/>
    <col min="2319" max="2319" width="15.21875" style="51" customWidth="1"/>
    <col min="2320" max="2560" width="9.109375" style="51"/>
    <col min="2561" max="2561" width="22.77734375" style="51" customWidth="1"/>
    <col min="2562" max="2564" width="0" style="51" hidden="1" customWidth="1"/>
    <col min="2565" max="2565" width="14.33203125" style="51" customWidth="1"/>
    <col min="2566" max="2566" width="14.109375" style="51" customWidth="1"/>
    <col min="2567" max="2567" width="8.109375" style="51" customWidth="1"/>
    <col min="2568" max="2568" width="13.33203125" style="51" customWidth="1"/>
    <col min="2569" max="2569" width="8.33203125" style="51" customWidth="1"/>
    <col min="2570" max="2571" width="0" style="51" hidden="1" customWidth="1"/>
    <col min="2572" max="2572" width="13.88671875" style="51" customWidth="1"/>
    <col min="2573" max="2573" width="14.5546875" style="51" customWidth="1"/>
    <col min="2574" max="2574" width="15.109375" style="51" customWidth="1"/>
    <col min="2575" max="2575" width="15.21875" style="51" customWidth="1"/>
    <col min="2576" max="2816" width="9.109375" style="51"/>
    <col min="2817" max="2817" width="22.77734375" style="51" customWidth="1"/>
    <col min="2818" max="2820" width="0" style="51" hidden="1" customWidth="1"/>
    <col min="2821" max="2821" width="14.33203125" style="51" customWidth="1"/>
    <col min="2822" max="2822" width="14.109375" style="51" customWidth="1"/>
    <col min="2823" max="2823" width="8.109375" style="51" customWidth="1"/>
    <col min="2824" max="2824" width="13.33203125" style="51" customWidth="1"/>
    <col min="2825" max="2825" width="8.33203125" style="51" customWidth="1"/>
    <col min="2826" max="2827" width="0" style="51" hidden="1" customWidth="1"/>
    <col min="2828" max="2828" width="13.88671875" style="51" customWidth="1"/>
    <col min="2829" max="2829" width="14.5546875" style="51" customWidth="1"/>
    <col min="2830" max="2830" width="15.109375" style="51" customWidth="1"/>
    <col min="2831" max="2831" width="15.21875" style="51" customWidth="1"/>
    <col min="2832" max="3072" width="9.109375" style="51"/>
    <col min="3073" max="3073" width="22.77734375" style="51" customWidth="1"/>
    <col min="3074" max="3076" width="0" style="51" hidden="1" customWidth="1"/>
    <col min="3077" max="3077" width="14.33203125" style="51" customWidth="1"/>
    <col min="3078" max="3078" width="14.109375" style="51" customWidth="1"/>
    <col min="3079" max="3079" width="8.109375" style="51" customWidth="1"/>
    <col min="3080" max="3080" width="13.33203125" style="51" customWidth="1"/>
    <col min="3081" max="3081" width="8.33203125" style="51" customWidth="1"/>
    <col min="3082" max="3083" width="0" style="51" hidden="1" customWidth="1"/>
    <col min="3084" max="3084" width="13.88671875" style="51" customWidth="1"/>
    <col min="3085" max="3085" width="14.5546875" style="51" customWidth="1"/>
    <col min="3086" max="3086" width="15.109375" style="51" customWidth="1"/>
    <col min="3087" max="3087" width="15.21875" style="51" customWidth="1"/>
    <col min="3088" max="3328" width="9.109375" style="51"/>
    <col min="3329" max="3329" width="22.77734375" style="51" customWidth="1"/>
    <col min="3330" max="3332" width="0" style="51" hidden="1" customWidth="1"/>
    <col min="3333" max="3333" width="14.33203125" style="51" customWidth="1"/>
    <col min="3334" max="3334" width="14.109375" style="51" customWidth="1"/>
    <col min="3335" max="3335" width="8.109375" style="51" customWidth="1"/>
    <col min="3336" max="3336" width="13.33203125" style="51" customWidth="1"/>
    <col min="3337" max="3337" width="8.33203125" style="51" customWidth="1"/>
    <col min="3338" max="3339" width="0" style="51" hidden="1" customWidth="1"/>
    <col min="3340" max="3340" width="13.88671875" style="51" customWidth="1"/>
    <col min="3341" max="3341" width="14.5546875" style="51" customWidth="1"/>
    <col min="3342" max="3342" width="15.109375" style="51" customWidth="1"/>
    <col min="3343" max="3343" width="15.21875" style="51" customWidth="1"/>
    <col min="3344" max="3584" width="9.109375" style="51"/>
    <col min="3585" max="3585" width="22.77734375" style="51" customWidth="1"/>
    <col min="3586" max="3588" width="0" style="51" hidden="1" customWidth="1"/>
    <col min="3589" max="3589" width="14.33203125" style="51" customWidth="1"/>
    <col min="3590" max="3590" width="14.109375" style="51" customWidth="1"/>
    <col min="3591" max="3591" width="8.109375" style="51" customWidth="1"/>
    <col min="3592" max="3592" width="13.33203125" style="51" customWidth="1"/>
    <col min="3593" max="3593" width="8.33203125" style="51" customWidth="1"/>
    <col min="3594" max="3595" width="0" style="51" hidden="1" customWidth="1"/>
    <col min="3596" max="3596" width="13.88671875" style="51" customWidth="1"/>
    <col min="3597" max="3597" width="14.5546875" style="51" customWidth="1"/>
    <col min="3598" max="3598" width="15.109375" style="51" customWidth="1"/>
    <col min="3599" max="3599" width="15.21875" style="51" customWidth="1"/>
    <col min="3600" max="3840" width="9.109375" style="51"/>
    <col min="3841" max="3841" width="22.77734375" style="51" customWidth="1"/>
    <col min="3842" max="3844" width="0" style="51" hidden="1" customWidth="1"/>
    <col min="3845" max="3845" width="14.33203125" style="51" customWidth="1"/>
    <col min="3846" max="3846" width="14.109375" style="51" customWidth="1"/>
    <col min="3847" max="3847" width="8.109375" style="51" customWidth="1"/>
    <col min="3848" max="3848" width="13.33203125" style="51" customWidth="1"/>
    <col min="3849" max="3849" width="8.33203125" style="51" customWidth="1"/>
    <col min="3850" max="3851" width="0" style="51" hidden="1" customWidth="1"/>
    <col min="3852" max="3852" width="13.88671875" style="51" customWidth="1"/>
    <col min="3853" max="3853" width="14.5546875" style="51" customWidth="1"/>
    <col min="3854" max="3854" width="15.109375" style="51" customWidth="1"/>
    <col min="3855" max="3855" width="15.21875" style="51" customWidth="1"/>
    <col min="3856" max="4096" width="9.109375" style="51"/>
    <col min="4097" max="4097" width="22.77734375" style="51" customWidth="1"/>
    <col min="4098" max="4100" width="0" style="51" hidden="1" customWidth="1"/>
    <col min="4101" max="4101" width="14.33203125" style="51" customWidth="1"/>
    <col min="4102" max="4102" width="14.109375" style="51" customWidth="1"/>
    <col min="4103" max="4103" width="8.109375" style="51" customWidth="1"/>
    <col min="4104" max="4104" width="13.33203125" style="51" customWidth="1"/>
    <col min="4105" max="4105" width="8.33203125" style="51" customWidth="1"/>
    <col min="4106" max="4107" width="0" style="51" hidden="1" customWidth="1"/>
    <col min="4108" max="4108" width="13.88671875" style="51" customWidth="1"/>
    <col min="4109" max="4109" width="14.5546875" style="51" customWidth="1"/>
    <col min="4110" max="4110" width="15.109375" style="51" customWidth="1"/>
    <col min="4111" max="4111" width="15.21875" style="51" customWidth="1"/>
    <col min="4112" max="4352" width="9.109375" style="51"/>
    <col min="4353" max="4353" width="22.77734375" style="51" customWidth="1"/>
    <col min="4354" max="4356" width="0" style="51" hidden="1" customWidth="1"/>
    <col min="4357" max="4357" width="14.33203125" style="51" customWidth="1"/>
    <col min="4358" max="4358" width="14.109375" style="51" customWidth="1"/>
    <col min="4359" max="4359" width="8.109375" style="51" customWidth="1"/>
    <col min="4360" max="4360" width="13.33203125" style="51" customWidth="1"/>
    <col min="4361" max="4361" width="8.33203125" style="51" customWidth="1"/>
    <col min="4362" max="4363" width="0" style="51" hidden="1" customWidth="1"/>
    <col min="4364" max="4364" width="13.88671875" style="51" customWidth="1"/>
    <col min="4365" max="4365" width="14.5546875" style="51" customWidth="1"/>
    <col min="4366" max="4366" width="15.109375" style="51" customWidth="1"/>
    <col min="4367" max="4367" width="15.21875" style="51" customWidth="1"/>
    <col min="4368" max="4608" width="9.109375" style="51"/>
    <col min="4609" max="4609" width="22.77734375" style="51" customWidth="1"/>
    <col min="4610" max="4612" width="0" style="51" hidden="1" customWidth="1"/>
    <col min="4613" max="4613" width="14.33203125" style="51" customWidth="1"/>
    <col min="4614" max="4614" width="14.109375" style="51" customWidth="1"/>
    <col min="4615" max="4615" width="8.109375" style="51" customWidth="1"/>
    <col min="4616" max="4616" width="13.33203125" style="51" customWidth="1"/>
    <col min="4617" max="4617" width="8.33203125" style="51" customWidth="1"/>
    <col min="4618" max="4619" width="0" style="51" hidden="1" customWidth="1"/>
    <col min="4620" max="4620" width="13.88671875" style="51" customWidth="1"/>
    <col min="4621" max="4621" width="14.5546875" style="51" customWidth="1"/>
    <col min="4622" max="4622" width="15.109375" style="51" customWidth="1"/>
    <col min="4623" max="4623" width="15.21875" style="51" customWidth="1"/>
    <col min="4624" max="4864" width="9.109375" style="51"/>
    <col min="4865" max="4865" width="22.77734375" style="51" customWidth="1"/>
    <col min="4866" max="4868" width="0" style="51" hidden="1" customWidth="1"/>
    <col min="4869" max="4869" width="14.33203125" style="51" customWidth="1"/>
    <col min="4870" max="4870" width="14.109375" style="51" customWidth="1"/>
    <col min="4871" max="4871" width="8.109375" style="51" customWidth="1"/>
    <col min="4872" max="4872" width="13.33203125" style="51" customWidth="1"/>
    <col min="4873" max="4873" width="8.33203125" style="51" customWidth="1"/>
    <col min="4874" max="4875" width="0" style="51" hidden="1" customWidth="1"/>
    <col min="4876" max="4876" width="13.88671875" style="51" customWidth="1"/>
    <col min="4877" max="4877" width="14.5546875" style="51" customWidth="1"/>
    <col min="4878" max="4878" width="15.109375" style="51" customWidth="1"/>
    <col min="4879" max="4879" width="15.21875" style="51" customWidth="1"/>
    <col min="4880" max="5120" width="9.109375" style="51"/>
    <col min="5121" max="5121" width="22.77734375" style="51" customWidth="1"/>
    <col min="5122" max="5124" width="0" style="51" hidden="1" customWidth="1"/>
    <col min="5125" max="5125" width="14.33203125" style="51" customWidth="1"/>
    <col min="5126" max="5126" width="14.109375" style="51" customWidth="1"/>
    <col min="5127" max="5127" width="8.109375" style="51" customWidth="1"/>
    <col min="5128" max="5128" width="13.33203125" style="51" customWidth="1"/>
    <col min="5129" max="5129" width="8.33203125" style="51" customWidth="1"/>
    <col min="5130" max="5131" width="0" style="51" hidden="1" customWidth="1"/>
    <col min="5132" max="5132" width="13.88671875" style="51" customWidth="1"/>
    <col min="5133" max="5133" width="14.5546875" style="51" customWidth="1"/>
    <col min="5134" max="5134" width="15.109375" style="51" customWidth="1"/>
    <col min="5135" max="5135" width="15.21875" style="51" customWidth="1"/>
    <col min="5136" max="5376" width="9.109375" style="51"/>
    <col min="5377" max="5377" width="22.77734375" style="51" customWidth="1"/>
    <col min="5378" max="5380" width="0" style="51" hidden="1" customWidth="1"/>
    <col min="5381" max="5381" width="14.33203125" style="51" customWidth="1"/>
    <col min="5382" max="5382" width="14.109375" style="51" customWidth="1"/>
    <col min="5383" max="5383" width="8.109375" style="51" customWidth="1"/>
    <col min="5384" max="5384" width="13.33203125" style="51" customWidth="1"/>
    <col min="5385" max="5385" width="8.33203125" style="51" customWidth="1"/>
    <col min="5386" max="5387" width="0" style="51" hidden="1" customWidth="1"/>
    <col min="5388" max="5388" width="13.88671875" style="51" customWidth="1"/>
    <col min="5389" max="5389" width="14.5546875" style="51" customWidth="1"/>
    <col min="5390" max="5390" width="15.109375" style="51" customWidth="1"/>
    <col min="5391" max="5391" width="15.21875" style="51" customWidth="1"/>
    <col min="5392" max="5632" width="9.109375" style="51"/>
    <col min="5633" max="5633" width="22.77734375" style="51" customWidth="1"/>
    <col min="5634" max="5636" width="0" style="51" hidden="1" customWidth="1"/>
    <col min="5637" max="5637" width="14.33203125" style="51" customWidth="1"/>
    <col min="5638" max="5638" width="14.109375" style="51" customWidth="1"/>
    <col min="5639" max="5639" width="8.109375" style="51" customWidth="1"/>
    <col min="5640" max="5640" width="13.33203125" style="51" customWidth="1"/>
    <col min="5641" max="5641" width="8.33203125" style="51" customWidth="1"/>
    <col min="5642" max="5643" width="0" style="51" hidden="1" customWidth="1"/>
    <col min="5644" max="5644" width="13.88671875" style="51" customWidth="1"/>
    <col min="5645" max="5645" width="14.5546875" style="51" customWidth="1"/>
    <col min="5646" max="5646" width="15.109375" style="51" customWidth="1"/>
    <col min="5647" max="5647" width="15.21875" style="51" customWidth="1"/>
    <col min="5648" max="5888" width="9.109375" style="51"/>
    <col min="5889" max="5889" width="22.77734375" style="51" customWidth="1"/>
    <col min="5890" max="5892" width="0" style="51" hidden="1" customWidth="1"/>
    <col min="5893" max="5893" width="14.33203125" style="51" customWidth="1"/>
    <col min="5894" max="5894" width="14.109375" style="51" customWidth="1"/>
    <col min="5895" max="5895" width="8.109375" style="51" customWidth="1"/>
    <col min="5896" max="5896" width="13.33203125" style="51" customWidth="1"/>
    <col min="5897" max="5897" width="8.33203125" style="51" customWidth="1"/>
    <col min="5898" max="5899" width="0" style="51" hidden="1" customWidth="1"/>
    <col min="5900" max="5900" width="13.88671875" style="51" customWidth="1"/>
    <col min="5901" max="5901" width="14.5546875" style="51" customWidth="1"/>
    <col min="5902" max="5902" width="15.109375" style="51" customWidth="1"/>
    <col min="5903" max="5903" width="15.21875" style="51" customWidth="1"/>
    <col min="5904" max="6144" width="9.109375" style="51"/>
    <col min="6145" max="6145" width="22.77734375" style="51" customWidth="1"/>
    <col min="6146" max="6148" width="0" style="51" hidden="1" customWidth="1"/>
    <col min="6149" max="6149" width="14.33203125" style="51" customWidth="1"/>
    <col min="6150" max="6150" width="14.109375" style="51" customWidth="1"/>
    <col min="6151" max="6151" width="8.109375" style="51" customWidth="1"/>
    <col min="6152" max="6152" width="13.33203125" style="51" customWidth="1"/>
    <col min="6153" max="6153" width="8.33203125" style="51" customWidth="1"/>
    <col min="6154" max="6155" width="0" style="51" hidden="1" customWidth="1"/>
    <col min="6156" max="6156" width="13.88671875" style="51" customWidth="1"/>
    <col min="6157" max="6157" width="14.5546875" style="51" customWidth="1"/>
    <col min="6158" max="6158" width="15.109375" style="51" customWidth="1"/>
    <col min="6159" max="6159" width="15.21875" style="51" customWidth="1"/>
    <col min="6160" max="6400" width="9.109375" style="51"/>
    <col min="6401" max="6401" width="22.77734375" style="51" customWidth="1"/>
    <col min="6402" max="6404" width="0" style="51" hidden="1" customWidth="1"/>
    <col min="6405" max="6405" width="14.33203125" style="51" customWidth="1"/>
    <col min="6406" max="6406" width="14.109375" style="51" customWidth="1"/>
    <col min="6407" max="6407" width="8.109375" style="51" customWidth="1"/>
    <col min="6408" max="6408" width="13.33203125" style="51" customWidth="1"/>
    <col min="6409" max="6409" width="8.33203125" style="51" customWidth="1"/>
    <col min="6410" max="6411" width="0" style="51" hidden="1" customWidth="1"/>
    <col min="6412" max="6412" width="13.88671875" style="51" customWidth="1"/>
    <col min="6413" max="6413" width="14.5546875" style="51" customWidth="1"/>
    <col min="6414" max="6414" width="15.109375" style="51" customWidth="1"/>
    <col min="6415" max="6415" width="15.21875" style="51" customWidth="1"/>
    <col min="6416" max="6656" width="9.109375" style="51"/>
    <col min="6657" max="6657" width="22.77734375" style="51" customWidth="1"/>
    <col min="6658" max="6660" width="0" style="51" hidden="1" customWidth="1"/>
    <col min="6661" max="6661" width="14.33203125" style="51" customWidth="1"/>
    <col min="6662" max="6662" width="14.109375" style="51" customWidth="1"/>
    <col min="6663" max="6663" width="8.109375" style="51" customWidth="1"/>
    <col min="6664" max="6664" width="13.33203125" style="51" customWidth="1"/>
    <col min="6665" max="6665" width="8.33203125" style="51" customWidth="1"/>
    <col min="6666" max="6667" width="0" style="51" hidden="1" customWidth="1"/>
    <col min="6668" max="6668" width="13.88671875" style="51" customWidth="1"/>
    <col min="6669" max="6669" width="14.5546875" style="51" customWidth="1"/>
    <col min="6670" max="6670" width="15.109375" style="51" customWidth="1"/>
    <col min="6671" max="6671" width="15.21875" style="51" customWidth="1"/>
    <col min="6672" max="6912" width="9.109375" style="51"/>
    <col min="6913" max="6913" width="22.77734375" style="51" customWidth="1"/>
    <col min="6914" max="6916" width="0" style="51" hidden="1" customWidth="1"/>
    <col min="6917" max="6917" width="14.33203125" style="51" customWidth="1"/>
    <col min="6918" max="6918" width="14.109375" style="51" customWidth="1"/>
    <col min="6919" max="6919" width="8.109375" style="51" customWidth="1"/>
    <col min="6920" max="6920" width="13.33203125" style="51" customWidth="1"/>
    <col min="6921" max="6921" width="8.33203125" style="51" customWidth="1"/>
    <col min="6922" max="6923" width="0" style="51" hidden="1" customWidth="1"/>
    <col min="6924" max="6924" width="13.88671875" style="51" customWidth="1"/>
    <col min="6925" max="6925" width="14.5546875" style="51" customWidth="1"/>
    <col min="6926" max="6926" width="15.109375" style="51" customWidth="1"/>
    <col min="6927" max="6927" width="15.21875" style="51" customWidth="1"/>
    <col min="6928" max="7168" width="9.109375" style="51"/>
    <col min="7169" max="7169" width="22.77734375" style="51" customWidth="1"/>
    <col min="7170" max="7172" width="0" style="51" hidden="1" customWidth="1"/>
    <col min="7173" max="7173" width="14.33203125" style="51" customWidth="1"/>
    <col min="7174" max="7174" width="14.109375" style="51" customWidth="1"/>
    <col min="7175" max="7175" width="8.109375" style="51" customWidth="1"/>
    <col min="7176" max="7176" width="13.33203125" style="51" customWidth="1"/>
    <col min="7177" max="7177" width="8.33203125" style="51" customWidth="1"/>
    <col min="7178" max="7179" width="0" style="51" hidden="1" customWidth="1"/>
    <col min="7180" max="7180" width="13.88671875" style="51" customWidth="1"/>
    <col min="7181" max="7181" width="14.5546875" style="51" customWidth="1"/>
    <col min="7182" max="7182" width="15.109375" style="51" customWidth="1"/>
    <col min="7183" max="7183" width="15.21875" style="51" customWidth="1"/>
    <col min="7184" max="7424" width="9.109375" style="51"/>
    <col min="7425" max="7425" width="22.77734375" style="51" customWidth="1"/>
    <col min="7426" max="7428" width="0" style="51" hidden="1" customWidth="1"/>
    <col min="7429" max="7429" width="14.33203125" style="51" customWidth="1"/>
    <col min="7430" max="7430" width="14.109375" style="51" customWidth="1"/>
    <col min="7431" max="7431" width="8.109375" style="51" customWidth="1"/>
    <col min="7432" max="7432" width="13.33203125" style="51" customWidth="1"/>
    <col min="7433" max="7433" width="8.33203125" style="51" customWidth="1"/>
    <col min="7434" max="7435" width="0" style="51" hidden="1" customWidth="1"/>
    <col min="7436" max="7436" width="13.88671875" style="51" customWidth="1"/>
    <col min="7437" max="7437" width="14.5546875" style="51" customWidth="1"/>
    <col min="7438" max="7438" width="15.109375" style="51" customWidth="1"/>
    <col min="7439" max="7439" width="15.21875" style="51" customWidth="1"/>
    <col min="7440" max="7680" width="9.109375" style="51"/>
    <col min="7681" max="7681" width="22.77734375" style="51" customWidth="1"/>
    <col min="7682" max="7684" width="0" style="51" hidden="1" customWidth="1"/>
    <col min="7685" max="7685" width="14.33203125" style="51" customWidth="1"/>
    <col min="7686" max="7686" width="14.109375" style="51" customWidth="1"/>
    <col min="7687" max="7687" width="8.109375" style="51" customWidth="1"/>
    <col min="7688" max="7688" width="13.33203125" style="51" customWidth="1"/>
    <col min="7689" max="7689" width="8.33203125" style="51" customWidth="1"/>
    <col min="7690" max="7691" width="0" style="51" hidden="1" customWidth="1"/>
    <col min="7692" max="7692" width="13.88671875" style="51" customWidth="1"/>
    <col min="7693" max="7693" width="14.5546875" style="51" customWidth="1"/>
    <col min="7694" max="7694" width="15.109375" style="51" customWidth="1"/>
    <col min="7695" max="7695" width="15.21875" style="51" customWidth="1"/>
    <col min="7696" max="7936" width="9.109375" style="51"/>
    <col min="7937" max="7937" width="22.77734375" style="51" customWidth="1"/>
    <col min="7938" max="7940" width="0" style="51" hidden="1" customWidth="1"/>
    <col min="7941" max="7941" width="14.33203125" style="51" customWidth="1"/>
    <col min="7942" max="7942" width="14.109375" style="51" customWidth="1"/>
    <col min="7943" max="7943" width="8.109375" style="51" customWidth="1"/>
    <col min="7944" max="7944" width="13.33203125" style="51" customWidth="1"/>
    <col min="7945" max="7945" width="8.33203125" style="51" customWidth="1"/>
    <col min="7946" max="7947" width="0" style="51" hidden="1" customWidth="1"/>
    <col min="7948" max="7948" width="13.88671875" style="51" customWidth="1"/>
    <col min="7949" max="7949" width="14.5546875" style="51" customWidth="1"/>
    <col min="7950" max="7950" width="15.109375" style="51" customWidth="1"/>
    <col min="7951" max="7951" width="15.21875" style="51" customWidth="1"/>
    <col min="7952" max="8192" width="9.109375" style="51"/>
    <col min="8193" max="8193" width="22.77734375" style="51" customWidth="1"/>
    <col min="8194" max="8196" width="0" style="51" hidden="1" customWidth="1"/>
    <col min="8197" max="8197" width="14.33203125" style="51" customWidth="1"/>
    <col min="8198" max="8198" width="14.109375" style="51" customWidth="1"/>
    <col min="8199" max="8199" width="8.109375" style="51" customWidth="1"/>
    <col min="8200" max="8200" width="13.33203125" style="51" customWidth="1"/>
    <col min="8201" max="8201" width="8.33203125" style="51" customWidth="1"/>
    <col min="8202" max="8203" width="0" style="51" hidden="1" customWidth="1"/>
    <col min="8204" max="8204" width="13.88671875" style="51" customWidth="1"/>
    <col min="8205" max="8205" width="14.5546875" style="51" customWidth="1"/>
    <col min="8206" max="8206" width="15.109375" style="51" customWidth="1"/>
    <col min="8207" max="8207" width="15.21875" style="51" customWidth="1"/>
    <col min="8208" max="8448" width="9.109375" style="51"/>
    <col min="8449" max="8449" width="22.77734375" style="51" customWidth="1"/>
    <col min="8450" max="8452" width="0" style="51" hidden="1" customWidth="1"/>
    <col min="8453" max="8453" width="14.33203125" style="51" customWidth="1"/>
    <col min="8454" max="8454" width="14.109375" style="51" customWidth="1"/>
    <col min="8455" max="8455" width="8.109375" style="51" customWidth="1"/>
    <col min="8456" max="8456" width="13.33203125" style="51" customWidth="1"/>
    <col min="8457" max="8457" width="8.33203125" style="51" customWidth="1"/>
    <col min="8458" max="8459" width="0" style="51" hidden="1" customWidth="1"/>
    <col min="8460" max="8460" width="13.88671875" style="51" customWidth="1"/>
    <col min="8461" max="8461" width="14.5546875" style="51" customWidth="1"/>
    <col min="8462" max="8462" width="15.109375" style="51" customWidth="1"/>
    <col min="8463" max="8463" width="15.21875" style="51" customWidth="1"/>
    <col min="8464" max="8704" width="9.109375" style="51"/>
    <col min="8705" max="8705" width="22.77734375" style="51" customWidth="1"/>
    <col min="8706" max="8708" width="0" style="51" hidden="1" customWidth="1"/>
    <col min="8709" max="8709" width="14.33203125" style="51" customWidth="1"/>
    <col min="8710" max="8710" width="14.109375" style="51" customWidth="1"/>
    <col min="8711" max="8711" width="8.109375" style="51" customWidth="1"/>
    <col min="8712" max="8712" width="13.33203125" style="51" customWidth="1"/>
    <col min="8713" max="8713" width="8.33203125" style="51" customWidth="1"/>
    <col min="8714" max="8715" width="0" style="51" hidden="1" customWidth="1"/>
    <col min="8716" max="8716" width="13.88671875" style="51" customWidth="1"/>
    <col min="8717" max="8717" width="14.5546875" style="51" customWidth="1"/>
    <col min="8718" max="8718" width="15.109375" style="51" customWidth="1"/>
    <col min="8719" max="8719" width="15.21875" style="51" customWidth="1"/>
    <col min="8720" max="8960" width="9.109375" style="51"/>
    <col min="8961" max="8961" width="22.77734375" style="51" customWidth="1"/>
    <col min="8962" max="8964" width="0" style="51" hidden="1" customWidth="1"/>
    <col min="8965" max="8965" width="14.33203125" style="51" customWidth="1"/>
    <col min="8966" max="8966" width="14.109375" style="51" customWidth="1"/>
    <col min="8967" max="8967" width="8.109375" style="51" customWidth="1"/>
    <col min="8968" max="8968" width="13.33203125" style="51" customWidth="1"/>
    <col min="8969" max="8969" width="8.33203125" style="51" customWidth="1"/>
    <col min="8970" max="8971" width="0" style="51" hidden="1" customWidth="1"/>
    <col min="8972" max="8972" width="13.88671875" style="51" customWidth="1"/>
    <col min="8973" max="8973" width="14.5546875" style="51" customWidth="1"/>
    <col min="8974" max="8974" width="15.109375" style="51" customWidth="1"/>
    <col min="8975" max="8975" width="15.21875" style="51" customWidth="1"/>
    <col min="8976" max="9216" width="9.109375" style="51"/>
    <col min="9217" max="9217" width="22.77734375" style="51" customWidth="1"/>
    <col min="9218" max="9220" width="0" style="51" hidden="1" customWidth="1"/>
    <col min="9221" max="9221" width="14.33203125" style="51" customWidth="1"/>
    <col min="9222" max="9222" width="14.109375" style="51" customWidth="1"/>
    <col min="9223" max="9223" width="8.109375" style="51" customWidth="1"/>
    <col min="9224" max="9224" width="13.33203125" style="51" customWidth="1"/>
    <col min="9225" max="9225" width="8.33203125" style="51" customWidth="1"/>
    <col min="9226" max="9227" width="0" style="51" hidden="1" customWidth="1"/>
    <col min="9228" max="9228" width="13.88671875" style="51" customWidth="1"/>
    <col min="9229" max="9229" width="14.5546875" style="51" customWidth="1"/>
    <col min="9230" max="9230" width="15.109375" style="51" customWidth="1"/>
    <col min="9231" max="9231" width="15.21875" style="51" customWidth="1"/>
    <col min="9232" max="9472" width="9.109375" style="51"/>
    <col min="9473" max="9473" width="22.77734375" style="51" customWidth="1"/>
    <col min="9474" max="9476" width="0" style="51" hidden="1" customWidth="1"/>
    <col min="9477" max="9477" width="14.33203125" style="51" customWidth="1"/>
    <col min="9478" max="9478" width="14.109375" style="51" customWidth="1"/>
    <col min="9479" max="9479" width="8.109375" style="51" customWidth="1"/>
    <col min="9480" max="9480" width="13.33203125" style="51" customWidth="1"/>
    <col min="9481" max="9481" width="8.33203125" style="51" customWidth="1"/>
    <col min="9482" max="9483" width="0" style="51" hidden="1" customWidth="1"/>
    <col min="9484" max="9484" width="13.88671875" style="51" customWidth="1"/>
    <col min="9485" max="9485" width="14.5546875" style="51" customWidth="1"/>
    <col min="9486" max="9486" width="15.109375" style="51" customWidth="1"/>
    <col min="9487" max="9487" width="15.21875" style="51" customWidth="1"/>
    <col min="9488" max="9728" width="9.109375" style="51"/>
    <col min="9729" max="9729" width="22.77734375" style="51" customWidth="1"/>
    <col min="9730" max="9732" width="0" style="51" hidden="1" customWidth="1"/>
    <col min="9733" max="9733" width="14.33203125" style="51" customWidth="1"/>
    <col min="9734" max="9734" width="14.109375" style="51" customWidth="1"/>
    <col min="9735" max="9735" width="8.109375" style="51" customWidth="1"/>
    <col min="9736" max="9736" width="13.33203125" style="51" customWidth="1"/>
    <col min="9737" max="9737" width="8.33203125" style="51" customWidth="1"/>
    <col min="9738" max="9739" width="0" style="51" hidden="1" customWidth="1"/>
    <col min="9740" max="9740" width="13.88671875" style="51" customWidth="1"/>
    <col min="9741" max="9741" width="14.5546875" style="51" customWidth="1"/>
    <col min="9742" max="9742" width="15.109375" style="51" customWidth="1"/>
    <col min="9743" max="9743" width="15.21875" style="51" customWidth="1"/>
    <col min="9744" max="9984" width="9.109375" style="51"/>
    <col min="9985" max="9985" width="22.77734375" style="51" customWidth="1"/>
    <col min="9986" max="9988" width="0" style="51" hidden="1" customWidth="1"/>
    <col min="9989" max="9989" width="14.33203125" style="51" customWidth="1"/>
    <col min="9990" max="9990" width="14.109375" style="51" customWidth="1"/>
    <col min="9991" max="9991" width="8.109375" style="51" customWidth="1"/>
    <col min="9992" max="9992" width="13.33203125" style="51" customWidth="1"/>
    <col min="9993" max="9993" width="8.33203125" style="51" customWidth="1"/>
    <col min="9994" max="9995" width="0" style="51" hidden="1" customWidth="1"/>
    <col min="9996" max="9996" width="13.88671875" style="51" customWidth="1"/>
    <col min="9997" max="9997" width="14.5546875" style="51" customWidth="1"/>
    <col min="9998" max="9998" width="15.109375" style="51" customWidth="1"/>
    <col min="9999" max="9999" width="15.21875" style="51" customWidth="1"/>
    <col min="10000" max="10240" width="9.109375" style="51"/>
    <col min="10241" max="10241" width="22.77734375" style="51" customWidth="1"/>
    <col min="10242" max="10244" width="0" style="51" hidden="1" customWidth="1"/>
    <col min="10245" max="10245" width="14.33203125" style="51" customWidth="1"/>
    <col min="10246" max="10246" width="14.109375" style="51" customWidth="1"/>
    <col min="10247" max="10247" width="8.109375" style="51" customWidth="1"/>
    <col min="10248" max="10248" width="13.33203125" style="51" customWidth="1"/>
    <col min="10249" max="10249" width="8.33203125" style="51" customWidth="1"/>
    <col min="10250" max="10251" width="0" style="51" hidden="1" customWidth="1"/>
    <col min="10252" max="10252" width="13.88671875" style="51" customWidth="1"/>
    <col min="10253" max="10253" width="14.5546875" style="51" customWidth="1"/>
    <col min="10254" max="10254" width="15.109375" style="51" customWidth="1"/>
    <col min="10255" max="10255" width="15.21875" style="51" customWidth="1"/>
    <col min="10256" max="10496" width="9.109375" style="51"/>
    <col min="10497" max="10497" width="22.77734375" style="51" customWidth="1"/>
    <col min="10498" max="10500" width="0" style="51" hidden="1" customWidth="1"/>
    <col min="10501" max="10501" width="14.33203125" style="51" customWidth="1"/>
    <col min="10502" max="10502" width="14.109375" style="51" customWidth="1"/>
    <col min="10503" max="10503" width="8.109375" style="51" customWidth="1"/>
    <col min="10504" max="10504" width="13.33203125" style="51" customWidth="1"/>
    <col min="10505" max="10505" width="8.33203125" style="51" customWidth="1"/>
    <col min="10506" max="10507" width="0" style="51" hidden="1" customWidth="1"/>
    <col min="10508" max="10508" width="13.88671875" style="51" customWidth="1"/>
    <col min="10509" max="10509" width="14.5546875" style="51" customWidth="1"/>
    <col min="10510" max="10510" width="15.109375" style="51" customWidth="1"/>
    <col min="10511" max="10511" width="15.21875" style="51" customWidth="1"/>
    <col min="10512" max="10752" width="9.109375" style="51"/>
    <col min="10753" max="10753" width="22.77734375" style="51" customWidth="1"/>
    <col min="10754" max="10756" width="0" style="51" hidden="1" customWidth="1"/>
    <col min="10757" max="10757" width="14.33203125" style="51" customWidth="1"/>
    <col min="10758" max="10758" width="14.109375" style="51" customWidth="1"/>
    <col min="10759" max="10759" width="8.109375" style="51" customWidth="1"/>
    <col min="10760" max="10760" width="13.33203125" style="51" customWidth="1"/>
    <col min="10761" max="10761" width="8.33203125" style="51" customWidth="1"/>
    <col min="10762" max="10763" width="0" style="51" hidden="1" customWidth="1"/>
    <col min="10764" max="10764" width="13.88671875" style="51" customWidth="1"/>
    <col min="10765" max="10765" width="14.5546875" style="51" customWidth="1"/>
    <col min="10766" max="10766" width="15.109375" style="51" customWidth="1"/>
    <col min="10767" max="10767" width="15.21875" style="51" customWidth="1"/>
    <col min="10768" max="11008" width="9.109375" style="51"/>
    <col min="11009" max="11009" width="22.77734375" style="51" customWidth="1"/>
    <col min="11010" max="11012" width="0" style="51" hidden="1" customWidth="1"/>
    <col min="11013" max="11013" width="14.33203125" style="51" customWidth="1"/>
    <col min="11014" max="11014" width="14.109375" style="51" customWidth="1"/>
    <col min="11015" max="11015" width="8.109375" style="51" customWidth="1"/>
    <col min="11016" max="11016" width="13.33203125" style="51" customWidth="1"/>
    <col min="11017" max="11017" width="8.33203125" style="51" customWidth="1"/>
    <col min="11018" max="11019" width="0" style="51" hidden="1" customWidth="1"/>
    <col min="11020" max="11020" width="13.88671875" style="51" customWidth="1"/>
    <col min="11021" max="11021" width="14.5546875" style="51" customWidth="1"/>
    <col min="11022" max="11022" width="15.109375" style="51" customWidth="1"/>
    <col min="11023" max="11023" width="15.21875" style="51" customWidth="1"/>
    <col min="11024" max="11264" width="9.109375" style="51"/>
    <col min="11265" max="11265" width="22.77734375" style="51" customWidth="1"/>
    <col min="11266" max="11268" width="0" style="51" hidden="1" customWidth="1"/>
    <col min="11269" max="11269" width="14.33203125" style="51" customWidth="1"/>
    <col min="11270" max="11270" width="14.109375" style="51" customWidth="1"/>
    <col min="11271" max="11271" width="8.109375" style="51" customWidth="1"/>
    <col min="11272" max="11272" width="13.33203125" style="51" customWidth="1"/>
    <col min="11273" max="11273" width="8.33203125" style="51" customWidth="1"/>
    <col min="11274" max="11275" width="0" style="51" hidden="1" customWidth="1"/>
    <col min="11276" max="11276" width="13.88671875" style="51" customWidth="1"/>
    <col min="11277" max="11277" width="14.5546875" style="51" customWidth="1"/>
    <col min="11278" max="11278" width="15.109375" style="51" customWidth="1"/>
    <col min="11279" max="11279" width="15.21875" style="51" customWidth="1"/>
    <col min="11280" max="11520" width="9.109375" style="51"/>
    <col min="11521" max="11521" width="22.77734375" style="51" customWidth="1"/>
    <col min="11522" max="11524" width="0" style="51" hidden="1" customWidth="1"/>
    <col min="11525" max="11525" width="14.33203125" style="51" customWidth="1"/>
    <col min="11526" max="11526" width="14.109375" style="51" customWidth="1"/>
    <col min="11527" max="11527" width="8.109375" style="51" customWidth="1"/>
    <col min="11528" max="11528" width="13.33203125" style="51" customWidth="1"/>
    <col min="11529" max="11529" width="8.33203125" style="51" customWidth="1"/>
    <col min="11530" max="11531" width="0" style="51" hidden="1" customWidth="1"/>
    <col min="11532" max="11532" width="13.88671875" style="51" customWidth="1"/>
    <col min="11533" max="11533" width="14.5546875" style="51" customWidth="1"/>
    <col min="11534" max="11534" width="15.109375" style="51" customWidth="1"/>
    <col min="11535" max="11535" width="15.21875" style="51" customWidth="1"/>
    <col min="11536" max="11776" width="9.109375" style="51"/>
    <col min="11777" max="11777" width="22.77734375" style="51" customWidth="1"/>
    <col min="11778" max="11780" width="0" style="51" hidden="1" customWidth="1"/>
    <col min="11781" max="11781" width="14.33203125" style="51" customWidth="1"/>
    <col min="11782" max="11782" width="14.109375" style="51" customWidth="1"/>
    <col min="11783" max="11783" width="8.109375" style="51" customWidth="1"/>
    <col min="11784" max="11784" width="13.33203125" style="51" customWidth="1"/>
    <col min="11785" max="11785" width="8.33203125" style="51" customWidth="1"/>
    <col min="11786" max="11787" width="0" style="51" hidden="1" customWidth="1"/>
    <col min="11788" max="11788" width="13.88671875" style="51" customWidth="1"/>
    <col min="11789" max="11789" width="14.5546875" style="51" customWidth="1"/>
    <col min="11790" max="11790" width="15.109375" style="51" customWidth="1"/>
    <col min="11791" max="11791" width="15.21875" style="51" customWidth="1"/>
    <col min="11792" max="12032" width="9.109375" style="51"/>
    <col min="12033" max="12033" width="22.77734375" style="51" customWidth="1"/>
    <col min="12034" max="12036" width="0" style="51" hidden="1" customWidth="1"/>
    <col min="12037" max="12037" width="14.33203125" style="51" customWidth="1"/>
    <col min="12038" max="12038" width="14.109375" style="51" customWidth="1"/>
    <col min="12039" max="12039" width="8.109375" style="51" customWidth="1"/>
    <col min="12040" max="12040" width="13.33203125" style="51" customWidth="1"/>
    <col min="12041" max="12041" width="8.33203125" style="51" customWidth="1"/>
    <col min="12042" max="12043" width="0" style="51" hidden="1" customWidth="1"/>
    <col min="12044" max="12044" width="13.88671875" style="51" customWidth="1"/>
    <col min="12045" max="12045" width="14.5546875" style="51" customWidth="1"/>
    <col min="12046" max="12046" width="15.109375" style="51" customWidth="1"/>
    <col min="12047" max="12047" width="15.21875" style="51" customWidth="1"/>
    <col min="12048" max="12288" width="9.109375" style="51"/>
    <col min="12289" max="12289" width="22.77734375" style="51" customWidth="1"/>
    <col min="12290" max="12292" width="0" style="51" hidden="1" customWidth="1"/>
    <col min="12293" max="12293" width="14.33203125" style="51" customWidth="1"/>
    <col min="12294" max="12294" width="14.109375" style="51" customWidth="1"/>
    <col min="12295" max="12295" width="8.109375" style="51" customWidth="1"/>
    <col min="12296" max="12296" width="13.33203125" style="51" customWidth="1"/>
    <col min="12297" max="12297" width="8.33203125" style="51" customWidth="1"/>
    <col min="12298" max="12299" width="0" style="51" hidden="1" customWidth="1"/>
    <col min="12300" max="12300" width="13.88671875" style="51" customWidth="1"/>
    <col min="12301" max="12301" width="14.5546875" style="51" customWidth="1"/>
    <col min="12302" max="12302" width="15.109375" style="51" customWidth="1"/>
    <col min="12303" max="12303" width="15.21875" style="51" customWidth="1"/>
    <col min="12304" max="12544" width="9.109375" style="51"/>
    <col min="12545" max="12545" width="22.77734375" style="51" customWidth="1"/>
    <col min="12546" max="12548" width="0" style="51" hidden="1" customWidth="1"/>
    <col min="12549" max="12549" width="14.33203125" style="51" customWidth="1"/>
    <col min="12550" max="12550" width="14.109375" style="51" customWidth="1"/>
    <col min="12551" max="12551" width="8.109375" style="51" customWidth="1"/>
    <col min="12552" max="12552" width="13.33203125" style="51" customWidth="1"/>
    <col min="12553" max="12553" width="8.33203125" style="51" customWidth="1"/>
    <col min="12554" max="12555" width="0" style="51" hidden="1" customWidth="1"/>
    <col min="12556" max="12556" width="13.88671875" style="51" customWidth="1"/>
    <col min="12557" max="12557" width="14.5546875" style="51" customWidth="1"/>
    <col min="12558" max="12558" width="15.109375" style="51" customWidth="1"/>
    <col min="12559" max="12559" width="15.21875" style="51" customWidth="1"/>
    <col min="12560" max="12800" width="9.109375" style="51"/>
    <col min="12801" max="12801" width="22.77734375" style="51" customWidth="1"/>
    <col min="12802" max="12804" width="0" style="51" hidden="1" customWidth="1"/>
    <col min="12805" max="12805" width="14.33203125" style="51" customWidth="1"/>
    <col min="12806" max="12806" width="14.109375" style="51" customWidth="1"/>
    <col min="12807" max="12807" width="8.109375" style="51" customWidth="1"/>
    <col min="12808" max="12808" width="13.33203125" style="51" customWidth="1"/>
    <col min="12809" max="12809" width="8.33203125" style="51" customWidth="1"/>
    <col min="12810" max="12811" width="0" style="51" hidden="1" customWidth="1"/>
    <col min="12812" max="12812" width="13.88671875" style="51" customWidth="1"/>
    <col min="12813" max="12813" width="14.5546875" style="51" customWidth="1"/>
    <col min="12814" max="12814" width="15.109375" style="51" customWidth="1"/>
    <col min="12815" max="12815" width="15.21875" style="51" customWidth="1"/>
    <col min="12816" max="13056" width="9.109375" style="51"/>
    <col min="13057" max="13057" width="22.77734375" style="51" customWidth="1"/>
    <col min="13058" max="13060" width="0" style="51" hidden="1" customWidth="1"/>
    <col min="13061" max="13061" width="14.33203125" style="51" customWidth="1"/>
    <col min="13062" max="13062" width="14.109375" style="51" customWidth="1"/>
    <col min="13063" max="13063" width="8.109375" style="51" customWidth="1"/>
    <col min="13064" max="13064" width="13.33203125" style="51" customWidth="1"/>
    <col min="13065" max="13065" width="8.33203125" style="51" customWidth="1"/>
    <col min="13066" max="13067" width="0" style="51" hidden="1" customWidth="1"/>
    <col min="13068" max="13068" width="13.88671875" style="51" customWidth="1"/>
    <col min="13069" max="13069" width="14.5546875" style="51" customWidth="1"/>
    <col min="13070" max="13070" width="15.109375" style="51" customWidth="1"/>
    <col min="13071" max="13071" width="15.21875" style="51" customWidth="1"/>
    <col min="13072" max="13312" width="9.109375" style="51"/>
    <col min="13313" max="13313" width="22.77734375" style="51" customWidth="1"/>
    <col min="13314" max="13316" width="0" style="51" hidden="1" customWidth="1"/>
    <col min="13317" max="13317" width="14.33203125" style="51" customWidth="1"/>
    <col min="13318" max="13318" width="14.109375" style="51" customWidth="1"/>
    <col min="13319" max="13319" width="8.109375" style="51" customWidth="1"/>
    <col min="13320" max="13320" width="13.33203125" style="51" customWidth="1"/>
    <col min="13321" max="13321" width="8.33203125" style="51" customWidth="1"/>
    <col min="13322" max="13323" width="0" style="51" hidden="1" customWidth="1"/>
    <col min="13324" max="13324" width="13.88671875" style="51" customWidth="1"/>
    <col min="13325" max="13325" width="14.5546875" style="51" customWidth="1"/>
    <col min="13326" max="13326" width="15.109375" style="51" customWidth="1"/>
    <col min="13327" max="13327" width="15.21875" style="51" customWidth="1"/>
    <col min="13328" max="13568" width="9.109375" style="51"/>
    <col min="13569" max="13569" width="22.77734375" style="51" customWidth="1"/>
    <col min="13570" max="13572" width="0" style="51" hidden="1" customWidth="1"/>
    <col min="13573" max="13573" width="14.33203125" style="51" customWidth="1"/>
    <col min="13574" max="13574" width="14.109375" style="51" customWidth="1"/>
    <col min="13575" max="13575" width="8.109375" style="51" customWidth="1"/>
    <col min="13576" max="13576" width="13.33203125" style="51" customWidth="1"/>
    <col min="13577" max="13577" width="8.33203125" style="51" customWidth="1"/>
    <col min="13578" max="13579" width="0" style="51" hidden="1" customWidth="1"/>
    <col min="13580" max="13580" width="13.88671875" style="51" customWidth="1"/>
    <col min="13581" max="13581" width="14.5546875" style="51" customWidth="1"/>
    <col min="13582" max="13582" width="15.109375" style="51" customWidth="1"/>
    <col min="13583" max="13583" width="15.21875" style="51" customWidth="1"/>
    <col min="13584" max="13824" width="9.109375" style="51"/>
    <col min="13825" max="13825" width="22.77734375" style="51" customWidth="1"/>
    <col min="13826" max="13828" width="0" style="51" hidden="1" customWidth="1"/>
    <col min="13829" max="13829" width="14.33203125" style="51" customWidth="1"/>
    <col min="13830" max="13830" width="14.109375" style="51" customWidth="1"/>
    <col min="13831" max="13831" width="8.109375" style="51" customWidth="1"/>
    <col min="13832" max="13832" width="13.33203125" style="51" customWidth="1"/>
    <col min="13833" max="13833" width="8.33203125" style="51" customWidth="1"/>
    <col min="13834" max="13835" width="0" style="51" hidden="1" customWidth="1"/>
    <col min="13836" max="13836" width="13.88671875" style="51" customWidth="1"/>
    <col min="13837" max="13837" width="14.5546875" style="51" customWidth="1"/>
    <col min="13838" max="13838" width="15.109375" style="51" customWidth="1"/>
    <col min="13839" max="13839" width="15.21875" style="51" customWidth="1"/>
    <col min="13840" max="14080" width="9.109375" style="51"/>
    <col min="14081" max="14081" width="22.77734375" style="51" customWidth="1"/>
    <col min="14082" max="14084" width="0" style="51" hidden="1" customWidth="1"/>
    <col min="14085" max="14085" width="14.33203125" style="51" customWidth="1"/>
    <col min="14086" max="14086" width="14.109375" style="51" customWidth="1"/>
    <col min="14087" max="14087" width="8.109375" style="51" customWidth="1"/>
    <col min="14088" max="14088" width="13.33203125" style="51" customWidth="1"/>
    <col min="14089" max="14089" width="8.33203125" style="51" customWidth="1"/>
    <col min="14090" max="14091" width="0" style="51" hidden="1" customWidth="1"/>
    <col min="14092" max="14092" width="13.88671875" style="51" customWidth="1"/>
    <col min="14093" max="14093" width="14.5546875" style="51" customWidth="1"/>
    <col min="14094" max="14094" width="15.109375" style="51" customWidth="1"/>
    <col min="14095" max="14095" width="15.21875" style="51" customWidth="1"/>
    <col min="14096" max="14336" width="9.109375" style="51"/>
    <col min="14337" max="14337" width="22.77734375" style="51" customWidth="1"/>
    <col min="14338" max="14340" width="0" style="51" hidden="1" customWidth="1"/>
    <col min="14341" max="14341" width="14.33203125" style="51" customWidth="1"/>
    <col min="14342" max="14342" width="14.109375" style="51" customWidth="1"/>
    <col min="14343" max="14343" width="8.109375" style="51" customWidth="1"/>
    <col min="14344" max="14344" width="13.33203125" style="51" customWidth="1"/>
    <col min="14345" max="14345" width="8.33203125" style="51" customWidth="1"/>
    <col min="14346" max="14347" width="0" style="51" hidden="1" customWidth="1"/>
    <col min="14348" max="14348" width="13.88671875" style="51" customWidth="1"/>
    <col min="14349" max="14349" width="14.5546875" style="51" customWidth="1"/>
    <col min="14350" max="14350" width="15.109375" style="51" customWidth="1"/>
    <col min="14351" max="14351" width="15.21875" style="51" customWidth="1"/>
    <col min="14352" max="14592" width="9.109375" style="51"/>
    <col min="14593" max="14593" width="22.77734375" style="51" customWidth="1"/>
    <col min="14594" max="14596" width="0" style="51" hidden="1" customWidth="1"/>
    <col min="14597" max="14597" width="14.33203125" style="51" customWidth="1"/>
    <col min="14598" max="14598" width="14.109375" style="51" customWidth="1"/>
    <col min="14599" max="14599" width="8.109375" style="51" customWidth="1"/>
    <col min="14600" max="14600" width="13.33203125" style="51" customWidth="1"/>
    <col min="14601" max="14601" width="8.33203125" style="51" customWidth="1"/>
    <col min="14602" max="14603" width="0" style="51" hidden="1" customWidth="1"/>
    <col min="14604" max="14604" width="13.88671875" style="51" customWidth="1"/>
    <col min="14605" max="14605" width="14.5546875" style="51" customWidth="1"/>
    <col min="14606" max="14606" width="15.109375" style="51" customWidth="1"/>
    <col min="14607" max="14607" width="15.21875" style="51" customWidth="1"/>
    <col min="14608" max="14848" width="9.109375" style="51"/>
    <col min="14849" max="14849" width="22.77734375" style="51" customWidth="1"/>
    <col min="14850" max="14852" width="0" style="51" hidden="1" customWidth="1"/>
    <col min="14853" max="14853" width="14.33203125" style="51" customWidth="1"/>
    <col min="14854" max="14854" width="14.109375" style="51" customWidth="1"/>
    <col min="14855" max="14855" width="8.109375" style="51" customWidth="1"/>
    <col min="14856" max="14856" width="13.33203125" style="51" customWidth="1"/>
    <col min="14857" max="14857" width="8.33203125" style="51" customWidth="1"/>
    <col min="14858" max="14859" width="0" style="51" hidden="1" customWidth="1"/>
    <col min="14860" max="14860" width="13.88671875" style="51" customWidth="1"/>
    <col min="14861" max="14861" width="14.5546875" style="51" customWidth="1"/>
    <col min="14862" max="14862" width="15.109375" style="51" customWidth="1"/>
    <col min="14863" max="14863" width="15.21875" style="51" customWidth="1"/>
    <col min="14864" max="15104" width="9.109375" style="51"/>
    <col min="15105" max="15105" width="22.77734375" style="51" customWidth="1"/>
    <col min="15106" max="15108" width="0" style="51" hidden="1" customWidth="1"/>
    <col min="15109" max="15109" width="14.33203125" style="51" customWidth="1"/>
    <col min="15110" max="15110" width="14.109375" style="51" customWidth="1"/>
    <col min="15111" max="15111" width="8.109375" style="51" customWidth="1"/>
    <col min="15112" max="15112" width="13.33203125" style="51" customWidth="1"/>
    <col min="15113" max="15113" width="8.33203125" style="51" customWidth="1"/>
    <col min="15114" max="15115" width="0" style="51" hidden="1" customWidth="1"/>
    <col min="15116" max="15116" width="13.88671875" style="51" customWidth="1"/>
    <col min="15117" max="15117" width="14.5546875" style="51" customWidth="1"/>
    <col min="15118" max="15118" width="15.109375" style="51" customWidth="1"/>
    <col min="15119" max="15119" width="15.21875" style="51" customWidth="1"/>
    <col min="15120" max="15360" width="9.109375" style="51"/>
    <col min="15361" max="15361" width="22.77734375" style="51" customWidth="1"/>
    <col min="15362" max="15364" width="0" style="51" hidden="1" customWidth="1"/>
    <col min="15365" max="15365" width="14.33203125" style="51" customWidth="1"/>
    <col min="15366" max="15366" width="14.109375" style="51" customWidth="1"/>
    <col min="15367" max="15367" width="8.109375" style="51" customWidth="1"/>
    <col min="15368" max="15368" width="13.33203125" style="51" customWidth="1"/>
    <col min="15369" max="15369" width="8.33203125" style="51" customWidth="1"/>
    <col min="15370" max="15371" width="0" style="51" hidden="1" customWidth="1"/>
    <col min="15372" max="15372" width="13.88671875" style="51" customWidth="1"/>
    <col min="15373" max="15373" width="14.5546875" style="51" customWidth="1"/>
    <col min="15374" max="15374" width="15.109375" style="51" customWidth="1"/>
    <col min="15375" max="15375" width="15.21875" style="51" customWidth="1"/>
    <col min="15376" max="15616" width="9.109375" style="51"/>
    <col min="15617" max="15617" width="22.77734375" style="51" customWidth="1"/>
    <col min="15618" max="15620" width="0" style="51" hidden="1" customWidth="1"/>
    <col min="15621" max="15621" width="14.33203125" style="51" customWidth="1"/>
    <col min="15622" max="15622" width="14.109375" style="51" customWidth="1"/>
    <col min="15623" max="15623" width="8.109375" style="51" customWidth="1"/>
    <col min="15624" max="15624" width="13.33203125" style="51" customWidth="1"/>
    <col min="15625" max="15625" width="8.33203125" style="51" customWidth="1"/>
    <col min="15626" max="15627" width="0" style="51" hidden="1" customWidth="1"/>
    <col min="15628" max="15628" width="13.88671875" style="51" customWidth="1"/>
    <col min="15629" max="15629" width="14.5546875" style="51" customWidth="1"/>
    <col min="15630" max="15630" width="15.109375" style="51" customWidth="1"/>
    <col min="15631" max="15631" width="15.21875" style="51" customWidth="1"/>
    <col min="15632" max="15872" width="9.109375" style="51"/>
    <col min="15873" max="15873" width="22.77734375" style="51" customWidth="1"/>
    <col min="15874" max="15876" width="0" style="51" hidden="1" customWidth="1"/>
    <col min="15877" max="15877" width="14.33203125" style="51" customWidth="1"/>
    <col min="15878" max="15878" width="14.109375" style="51" customWidth="1"/>
    <col min="15879" max="15879" width="8.109375" style="51" customWidth="1"/>
    <col min="15880" max="15880" width="13.33203125" style="51" customWidth="1"/>
    <col min="15881" max="15881" width="8.33203125" style="51" customWidth="1"/>
    <col min="15882" max="15883" width="0" style="51" hidden="1" customWidth="1"/>
    <col min="15884" max="15884" width="13.88671875" style="51" customWidth="1"/>
    <col min="15885" max="15885" width="14.5546875" style="51" customWidth="1"/>
    <col min="15886" max="15886" width="15.109375" style="51" customWidth="1"/>
    <col min="15887" max="15887" width="15.21875" style="51" customWidth="1"/>
    <col min="15888" max="16128" width="9.109375" style="51"/>
    <col min="16129" max="16129" width="22.77734375" style="51" customWidth="1"/>
    <col min="16130" max="16132" width="0" style="51" hidden="1" customWidth="1"/>
    <col min="16133" max="16133" width="14.33203125" style="51" customWidth="1"/>
    <col min="16134" max="16134" width="14.109375" style="51" customWidth="1"/>
    <col min="16135" max="16135" width="8.109375" style="51" customWidth="1"/>
    <col min="16136" max="16136" width="13.33203125" style="51" customWidth="1"/>
    <col min="16137" max="16137" width="8.33203125" style="51" customWidth="1"/>
    <col min="16138" max="16139" width="0" style="51" hidden="1" customWidth="1"/>
    <col min="16140" max="16140" width="13.88671875" style="51" customWidth="1"/>
    <col min="16141" max="16141" width="14.5546875" style="51" customWidth="1"/>
    <col min="16142" max="16142" width="15.109375" style="51" customWidth="1"/>
    <col min="16143" max="16143" width="15.21875" style="51" customWidth="1"/>
    <col min="16144" max="16384" width="9.109375" style="51"/>
  </cols>
  <sheetData>
    <row r="1" spans="1:14" ht="7.5" customHeight="1" x14ac:dyDescent="0.25"/>
    <row r="2" spans="1:14" ht="26.25" hidden="1" customHeight="1" x14ac:dyDescent="0.25"/>
    <row r="3" spans="1:14" ht="7.5" customHeight="1" x14ac:dyDescent="0.25"/>
    <row r="4" spans="1:14" ht="54" customHeight="1" x14ac:dyDescent="0.25">
      <c r="A4" s="90" t="s">
        <v>100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</row>
    <row r="5" spans="1:14" ht="4.8" customHeight="1" x14ac:dyDescent="0.25">
      <c r="F5" s="52"/>
      <c r="G5" s="52"/>
      <c r="H5" s="52"/>
      <c r="I5" s="52"/>
    </row>
    <row r="6" spans="1:14" ht="22.65" customHeight="1" x14ac:dyDescent="0.25">
      <c r="A6" s="91" t="s">
        <v>101</v>
      </c>
      <c r="B6" s="91" t="s">
        <v>102</v>
      </c>
      <c r="C6" s="94" t="s">
        <v>103</v>
      </c>
      <c r="D6" s="94" t="s">
        <v>104</v>
      </c>
      <c r="E6" s="94" t="s">
        <v>95</v>
      </c>
      <c r="F6" s="96" t="s">
        <v>105</v>
      </c>
      <c r="G6" s="97"/>
      <c r="H6" s="97"/>
      <c r="I6" s="97"/>
      <c r="L6" s="98" t="s">
        <v>106</v>
      </c>
      <c r="M6" s="99" t="s">
        <v>107</v>
      </c>
      <c r="N6" s="100" t="s">
        <v>98</v>
      </c>
    </row>
    <row r="7" spans="1:14" ht="58.2" customHeight="1" x14ac:dyDescent="0.25">
      <c r="A7" s="92"/>
      <c r="B7" s="93"/>
      <c r="C7" s="95"/>
      <c r="D7" s="95"/>
      <c r="E7" s="95"/>
      <c r="F7" s="53" t="s">
        <v>108</v>
      </c>
      <c r="G7" s="54" t="s">
        <v>109</v>
      </c>
      <c r="H7" s="53" t="s">
        <v>110</v>
      </c>
      <c r="I7" s="54" t="s">
        <v>109</v>
      </c>
      <c r="L7" s="98"/>
      <c r="M7" s="99"/>
      <c r="N7" s="101"/>
    </row>
    <row r="8" spans="1:14" ht="11.7" customHeight="1" x14ac:dyDescent="0.25">
      <c r="A8" s="55">
        <v>1</v>
      </c>
      <c r="B8" s="55"/>
      <c r="C8" s="55"/>
      <c r="D8" s="55"/>
      <c r="E8" s="55">
        <v>2</v>
      </c>
      <c r="F8" s="55">
        <v>3</v>
      </c>
      <c r="G8" s="55">
        <v>4</v>
      </c>
      <c r="H8" s="55">
        <v>5</v>
      </c>
      <c r="I8" s="55">
        <v>6</v>
      </c>
      <c r="L8" s="56"/>
      <c r="M8" s="56"/>
      <c r="N8" s="56"/>
    </row>
    <row r="9" spans="1:14" x14ac:dyDescent="0.25">
      <c r="A9" s="57" t="s">
        <v>111</v>
      </c>
      <c r="B9" s="58">
        <f>783+22</f>
        <v>805</v>
      </c>
      <c r="C9" s="59">
        <v>29123366.399999999</v>
      </c>
      <c r="D9" s="59">
        <v>200000</v>
      </c>
      <c r="E9" s="59">
        <f>C9+D9</f>
        <v>29323366.399999999</v>
      </c>
      <c r="F9" s="60">
        <v>3798240</v>
      </c>
      <c r="G9" s="59">
        <f t="shared" ref="G9:G30" si="0">F9/C9*100</f>
        <v>13.041898892567586</v>
      </c>
      <c r="H9" s="59">
        <v>1147068.48</v>
      </c>
      <c r="I9" s="59">
        <f t="shared" ref="I9:I30" si="1">H9/C9*100</f>
        <v>3.9386534655554106</v>
      </c>
      <c r="J9" s="61" t="e">
        <f>#REF!+#REF!</f>
        <v>#REF!</v>
      </c>
      <c r="L9" s="62">
        <v>4237884</v>
      </c>
      <c r="M9" s="62">
        <v>204036.5</v>
      </c>
      <c r="N9" s="63">
        <f>F9+M9-L9</f>
        <v>-235607.5</v>
      </c>
    </row>
    <row r="10" spans="1:14" x14ac:dyDescent="0.25">
      <c r="A10" s="57" t="s">
        <v>112</v>
      </c>
      <c r="B10" s="58">
        <f>736+2</f>
        <v>738</v>
      </c>
      <c r="C10" s="59">
        <v>27652608</v>
      </c>
      <c r="D10" s="59">
        <v>200000</v>
      </c>
      <c r="E10" s="59">
        <f t="shared" ref="E10:E26" si="2">C10+D10</f>
        <v>27852608</v>
      </c>
      <c r="F10" s="60">
        <v>2236800</v>
      </c>
      <c r="G10" s="59">
        <f t="shared" si="0"/>
        <v>8.088929622840638</v>
      </c>
      <c r="H10" s="59">
        <v>675513.6</v>
      </c>
      <c r="I10" s="59">
        <f t="shared" si="1"/>
        <v>2.4428567460978727</v>
      </c>
      <c r="J10" s="61" t="e">
        <f>#REF!+#REF!</f>
        <v>#REF!</v>
      </c>
      <c r="L10" s="62">
        <v>2495808</v>
      </c>
      <c r="M10" s="62">
        <v>74297.799999999988</v>
      </c>
      <c r="N10" s="63">
        <f t="shared" ref="N10:N26" si="3">F10+M10-L10</f>
        <v>-184710.20000000019</v>
      </c>
    </row>
    <row r="11" spans="1:14" x14ac:dyDescent="0.25">
      <c r="A11" s="57" t="s">
        <v>113</v>
      </c>
      <c r="B11" s="58">
        <f>337+4</f>
        <v>341</v>
      </c>
      <c r="C11" s="59">
        <v>13042944</v>
      </c>
      <c r="D11" s="59">
        <v>0</v>
      </c>
      <c r="E11" s="59">
        <f t="shared" si="2"/>
        <v>13042944</v>
      </c>
      <c r="F11" s="60">
        <v>1156320</v>
      </c>
      <c r="G11" s="59">
        <f t="shared" si="0"/>
        <v>8.8654831301890127</v>
      </c>
      <c r="H11" s="59">
        <v>349208.64</v>
      </c>
      <c r="I11" s="59">
        <f t="shared" si="1"/>
        <v>2.6773759053170818</v>
      </c>
      <c r="J11" s="61" t="e">
        <f>#REF!+#REF!</f>
        <v>#REF!</v>
      </c>
      <c r="L11" s="62">
        <v>1290240</v>
      </c>
      <c r="M11" s="62">
        <v>53557.899999999994</v>
      </c>
      <c r="N11" s="63">
        <f t="shared" si="3"/>
        <v>-80362.100000000093</v>
      </c>
    </row>
    <row r="12" spans="1:14" x14ac:dyDescent="0.25">
      <c r="A12" s="57" t="s">
        <v>114</v>
      </c>
      <c r="B12" s="58">
        <f>514+1</f>
        <v>515</v>
      </c>
      <c r="C12" s="59">
        <v>19936512</v>
      </c>
      <c r="D12" s="59">
        <v>180000</v>
      </c>
      <c r="E12" s="59">
        <f t="shared" si="2"/>
        <v>20116512</v>
      </c>
      <c r="F12" s="60">
        <v>1336320</v>
      </c>
      <c r="G12" s="59">
        <f t="shared" si="0"/>
        <v>6.7028776147001032</v>
      </c>
      <c r="H12" s="59">
        <v>403568.64000000001</v>
      </c>
      <c r="I12" s="59">
        <f t="shared" si="1"/>
        <v>2.0242690396394316</v>
      </c>
      <c r="J12" s="61" t="e">
        <f>#REF!+#REF!</f>
        <v>#REF!</v>
      </c>
      <c r="L12" s="62">
        <v>1490832</v>
      </c>
      <c r="M12" s="62">
        <v>42838.25</v>
      </c>
      <c r="N12" s="63">
        <f t="shared" si="3"/>
        <v>-111673.75</v>
      </c>
    </row>
    <row r="13" spans="1:14" x14ac:dyDescent="0.25">
      <c r="A13" s="57" t="s">
        <v>115</v>
      </c>
      <c r="B13" s="58">
        <f>674+5</f>
        <v>679</v>
      </c>
      <c r="C13" s="59">
        <v>25185024</v>
      </c>
      <c r="D13" s="59">
        <v>250000</v>
      </c>
      <c r="E13" s="59">
        <f t="shared" si="2"/>
        <v>25435024</v>
      </c>
      <c r="F13" s="60">
        <v>1931040</v>
      </c>
      <c r="G13" s="59">
        <f t="shared" si="0"/>
        <v>7.6674137773305286</v>
      </c>
      <c r="H13" s="59">
        <v>583174.07999999996</v>
      </c>
      <c r="I13" s="59">
        <f t="shared" si="1"/>
        <v>2.3155589607538194</v>
      </c>
      <c r="J13" s="61" t="e">
        <f>#REF!+#REF!</f>
        <v>#REF!</v>
      </c>
      <c r="L13" s="62">
        <v>1990548</v>
      </c>
      <c r="M13" s="62">
        <v>82273.649999999994</v>
      </c>
      <c r="N13" s="63">
        <f t="shared" si="3"/>
        <v>22765.649999999907</v>
      </c>
    </row>
    <row r="14" spans="1:14" x14ac:dyDescent="0.25">
      <c r="A14" s="57" t="s">
        <v>116</v>
      </c>
      <c r="B14" s="58">
        <f>845+5</f>
        <v>850</v>
      </c>
      <c r="C14" s="59">
        <v>32168678.399999999</v>
      </c>
      <c r="D14" s="59">
        <v>260000</v>
      </c>
      <c r="E14" s="59">
        <f t="shared" si="2"/>
        <v>32428678.399999999</v>
      </c>
      <c r="F14" s="60">
        <v>2009280</v>
      </c>
      <c r="G14" s="59">
        <f t="shared" si="0"/>
        <v>6.2460756858447759</v>
      </c>
      <c r="H14" s="59">
        <v>606802.56000000006</v>
      </c>
      <c r="I14" s="59">
        <f t="shared" si="1"/>
        <v>1.8863148571251223</v>
      </c>
      <c r="J14" s="61" t="e">
        <f>#REF!+#REF!</f>
        <v>#REF!</v>
      </c>
      <c r="L14" s="62">
        <v>2241792</v>
      </c>
      <c r="M14" s="62">
        <v>112926.19999999998</v>
      </c>
      <c r="N14" s="63">
        <f t="shared" si="3"/>
        <v>-119585.79999999981</v>
      </c>
    </row>
    <row r="15" spans="1:14" x14ac:dyDescent="0.25">
      <c r="A15" s="57" t="s">
        <v>117</v>
      </c>
      <c r="B15" s="58">
        <f>354+4</f>
        <v>358</v>
      </c>
      <c r="C15" s="59">
        <v>13512960</v>
      </c>
      <c r="D15" s="59">
        <v>200000</v>
      </c>
      <c r="E15" s="59">
        <f t="shared" si="2"/>
        <v>13712960</v>
      </c>
      <c r="F15" s="60">
        <v>1416960</v>
      </c>
      <c r="G15" s="59">
        <f t="shared" si="0"/>
        <v>10.485933503836318</v>
      </c>
      <c r="H15" s="59">
        <v>427921.91999999998</v>
      </c>
      <c r="I15" s="59">
        <f t="shared" si="1"/>
        <v>3.1667519181585675</v>
      </c>
      <c r="J15" s="61" t="e">
        <f>#REF!+#REF!</f>
        <v>#REF!</v>
      </c>
      <c r="L15" s="62">
        <v>1581048</v>
      </c>
      <c r="M15" s="62">
        <v>48971.45</v>
      </c>
      <c r="N15" s="63">
        <f t="shared" si="3"/>
        <v>-115116.55000000005</v>
      </c>
    </row>
    <row r="16" spans="1:14" x14ac:dyDescent="0.25">
      <c r="A16" s="57" t="s">
        <v>118</v>
      </c>
      <c r="B16" s="58">
        <f>774+51</f>
        <v>825</v>
      </c>
      <c r="C16" s="59">
        <v>25185024</v>
      </c>
      <c r="D16" s="59">
        <v>0</v>
      </c>
      <c r="E16" s="59">
        <f t="shared" si="2"/>
        <v>25185024</v>
      </c>
      <c r="F16" s="59">
        <v>3279360</v>
      </c>
      <c r="G16" s="59">
        <f t="shared" si="0"/>
        <v>13.021071570152168</v>
      </c>
      <c r="H16" s="59">
        <v>990366.71999999997</v>
      </c>
      <c r="I16" s="59">
        <f t="shared" si="1"/>
        <v>3.9323636141859541</v>
      </c>
      <c r="J16" s="61" t="e">
        <f>#REF!+#REF!</f>
        <v>#REF!</v>
      </c>
      <c r="L16" s="62">
        <v>3659040</v>
      </c>
      <c r="M16" s="62">
        <v>804538.65</v>
      </c>
      <c r="N16" s="63">
        <f t="shared" si="3"/>
        <v>424858.64999999991</v>
      </c>
    </row>
    <row r="17" spans="1:14" x14ac:dyDescent="0.25">
      <c r="A17" s="57" t="s">
        <v>119</v>
      </c>
      <c r="B17" s="58">
        <f>462+3</f>
        <v>465</v>
      </c>
      <c r="C17" s="59">
        <v>16967577.600000001</v>
      </c>
      <c r="D17" s="59">
        <v>0</v>
      </c>
      <c r="E17" s="59">
        <f t="shared" si="2"/>
        <v>16967577.600000001</v>
      </c>
      <c r="F17" s="59">
        <v>1796160</v>
      </c>
      <c r="G17" s="59">
        <f t="shared" si="0"/>
        <v>10.585836365940651</v>
      </c>
      <c r="H17" s="59">
        <v>542440.31999999995</v>
      </c>
      <c r="I17" s="59">
        <f t="shared" si="1"/>
        <v>3.1969225825140759</v>
      </c>
      <c r="J17" s="61" t="e">
        <f>#REF!+#REF!</f>
        <v>#REF!</v>
      </c>
      <c r="L17" s="62">
        <v>1922508</v>
      </c>
      <c r="M17" s="62">
        <v>94203.800000000017</v>
      </c>
      <c r="N17" s="63">
        <f t="shared" si="3"/>
        <v>-32144.199999999953</v>
      </c>
    </row>
    <row r="18" spans="1:14" x14ac:dyDescent="0.25">
      <c r="A18" s="57" t="s">
        <v>120</v>
      </c>
      <c r="B18" s="58">
        <f>301+3</f>
        <v>304</v>
      </c>
      <c r="C18" s="59">
        <v>11358720</v>
      </c>
      <c r="D18" s="59">
        <v>180000</v>
      </c>
      <c r="E18" s="59">
        <f t="shared" si="2"/>
        <v>11538720</v>
      </c>
      <c r="F18" s="59">
        <v>744000</v>
      </c>
      <c r="G18" s="59">
        <f t="shared" si="0"/>
        <v>6.5500338066260984</v>
      </c>
      <c r="H18" s="59">
        <v>224688</v>
      </c>
      <c r="I18" s="59">
        <f t="shared" si="1"/>
        <v>1.9781102096010819</v>
      </c>
      <c r="J18" s="61" t="e">
        <f>#REF!+#REF!</f>
        <v>#REF!</v>
      </c>
      <c r="L18" s="62">
        <v>830088</v>
      </c>
      <c r="M18" s="62">
        <v>39018.449999999997</v>
      </c>
      <c r="N18" s="63">
        <f t="shared" si="3"/>
        <v>-47069.550000000047</v>
      </c>
    </row>
    <row r="19" spans="1:14" x14ac:dyDescent="0.25">
      <c r="A19" s="57" t="s">
        <v>121</v>
      </c>
      <c r="B19" s="58">
        <f>95+1</f>
        <v>96</v>
      </c>
      <c r="C19" s="59">
        <v>3564288</v>
      </c>
      <c r="D19" s="59">
        <v>0</v>
      </c>
      <c r="E19" s="59">
        <f t="shared" si="2"/>
        <v>3564288</v>
      </c>
      <c r="F19" s="59">
        <v>597120</v>
      </c>
      <c r="G19" s="59">
        <f t="shared" si="0"/>
        <v>16.752854988149103</v>
      </c>
      <c r="H19" s="59">
        <v>180330.23999999999</v>
      </c>
      <c r="I19" s="59">
        <f t="shared" si="1"/>
        <v>5.0593622064210297</v>
      </c>
      <c r="J19" s="61" t="e">
        <f>#REF!+#REF!</f>
        <v>#REF!</v>
      </c>
      <c r="L19" s="62">
        <v>666288</v>
      </c>
      <c r="M19" s="62">
        <v>23860.299999999996</v>
      </c>
      <c r="N19" s="63">
        <f t="shared" si="3"/>
        <v>-45307.699999999953</v>
      </c>
    </row>
    <row r="20" spans="1:14" x14ac:dyDescent="0.25">
      <c r="A20" s="57" t="s">
        <v>122</v>
      </c>
      <c r="B20" s="58">
        <f>480+5</f>
        <v>485</v>
      </c>
      <c r="C20" s="59">
        <v>18115200</v>
      </c>
      <c r="D20" s="59">
        <v>200000</v>
      </c>
      <c r="E20" s="59">
        <f t="shared" si="2"/>
        <v>18315200</v>
      </c>
      <c r="F20" s="59">
        <v>1485600</v>
      </c>
      <c r="G20" s="59">
        <f t="shared" si="0"/>
        <v>8.2008479067302602</v>
      </c>
      <c r="H20" s="59">
        <v>448651.2</v>
      </c>
      <c r="I20" s="59">
        <f t="shared" si="1"/>
        <v>2.4766560678325384</v>
      </c>
      <c r="J20" s="61" t="e">
        <f>#REF!+#REF!</f>
        <v>#REF!</v>
      </c>
      <c r="L20" s="62">
        <v>1657404</v>
      </c>
      <c r="M20" s="62">
        <v>88958.3</v>
      </c>
      <c r="N20" s="63">
        <f t="shared" si="3"/>
        <v>-82845.699999999953</v>
      </c>
    </row>
    <row r="21" spans="1:14" x14ac:dyDescent="0.25">
      <c r="A21" s="57" t="s">
        <v>123</v>
      </c>
      <c r="B21" s="58">
        <f>380+2</f>
        <v>382</v>
      </c>
      <c r="C21" s="59">
        <v>13865472</v>
      </c>
      <c r="D21" s="59">
        <v>170000</v>
      </c>
      <c r="E21" s="59">
        <f t="shared" si="2"/>
        <v>14035472</v>
      </c>
      <c r="F21" s="59">
        <v>1717920</v>
      </c>
      <c r="G21" s="59">
        <f t="shared" si="0"/>
        <v>12.389913592555667</v>
      </c>
      <c r="H21" s="59">
        <v>518811.84</v>
      </c>
      <c r="I21" s="59">
        <f t="shared" si="1"/>
        <v>3.7417539049518114</v>
      </c>
      <c r="J21" s="61" t="e">
        <f>#REF!+#REF!</f>
        <v>#REF!</v>
      </c>
      <c r="L21" s="62">
        <v>1753164</v>
      </c>
      <c r="M21" s="62">
        <v>65878.099999999991</v>
      </c>
      <c r="N21" s="63">
        <f t="shared" si="3"/>
        <v>30634.100000000093</v>
      </c>
    </row>
    <row r="22" spans="1:14" x14ac:dyDescent="0.25">
      <c r="A22" s="57" t="s">
        <v>124</v>
      </c>
      <c r="B22" s="58">
        <f>652+14</f>
        <v>666</v>
      </c>
      <c r="C22" s="59">
        <v>24184281.600000001</v>
      </c>
      <c r="D22" s="59">
        <v>200000</v>
      </c>
      <c r="E22" s="59">
        <f t="shared" si="2"/>
        <v>24384281.600000001</v>
      </c>
      <c r="F22" s="59">
        <v>2475456</v>
      </c>
      <c r="G22" s="59">
        <f t="shared" si="0"/>
        <v>10.235805391878996</v>
      </c>
      <c r="H22" s="59">
        <v>747587.71</v>
      </c>
      <c r="I22" s="59">
        <f t="shared" si="1"/>
        <v>3.0912132200776226</v>
      </c>
      <c r="J22" s="61" t="e">
        <f>#REF!+#REF!</f>
        <v>#REF!</v>
      </c>
      <c r="L22" s="62">
        <v>2761516.8</v>
      </c>
      <c r="M22" s="62">
        <v>142583.44999999998</v>
      </c>
      <c r="N22" s="63">
        <f t="shared" si="3"/>
        <v>-143477.34999999963</v>
      </c>
    </row>
    <row r="23" spans="1:14" x14ac:dyDescent="0.25">
      <c r="A23" s="57" t="s">
        <v>125</v>
      </c>
      <c r="B23" s="58">
        <f>428+20</f>
        <v>448</v>
      </c>
      <c r="C23" s="59">
        <v>15894374.4</v>
      </c>
      <c r="D23" s="59">
        <v>165000</v>
      </c>
      <c r="E23" s="59">
        <f t="shared" si="2"/>
        <v>16059374.4</v>
      </c>
      <c r="F23" s="59">
        <v>2160960</v>
      </c>
      <c r="G23" s="59">
        <f t="shared" si="0"/>
        <v>13.595753727809507</v>
      </c>
      <c r="H23" s="59">
        <v>652609.92000000004</v>
      </c>
      <c r="I23" s="59">
        <f t="shared" si="1"/>
        <v>4.1059176257984715</v>
      </c>
      <c r="J23" s="61" t="e">
        <f>#REF!+#REF!</f>
        <v>#REF!</v>
      </c>
      <c r="L23" s="62">
        <v>2411136</v>
      </c>
      <c r="M23" s="62">
        <v>140458.35</v>
      </c>
      <c r="N23" s="63">
        <f t="shared" si="3"/>
        <v>-109717.64999999991</v>
      </c>
    </row>
    <row r="24" spans="1:14" x14ac:dyDescent="0.25">
      <c r="A24" s="57" t="s">
        <v>126</v>
      </c>
      <c r="B24" s="58">
        <f>1617+31</f>
        <v>1648</v>
      </c>
      <c r="C24" s="59">
        <v>61621056</v>
      </c>
      <c r="D24" s="59">
        <v>0</v>
      </c>
      <c r="E24" s="59">
        <f t="shared" si="2"/>
        <v>61621056</v>
      </c>
      <c r="F24" s="59">
        <v>4708320</v>
      </c>
      <c r="G24" s="59">
        <f t="shared" si="0"/>
        <v>7.6407648710207106</v>
      </c>
      <c r="H24" s="59">
        <v>1421912.64</v>
      </c>
      <c r="I24" s="59">
        <f t="shared" si="1"/>
        <v>2.3075109910482543</v>
      </c>
      <c r="J24" s="61" t="e">
        <f>#REF!+#REF!</f>
        <v>#REF!</v>
      </c>
      <c r="L24" s="62">
        <v>4516848</v>
      </c>
      <c r="M24" s="62">
        <v>313909.54999999993</v>
      </c>
      <c r="N24" s="63">
        <f t="shared" si="3"/>
        <v>505381.54999999981</v>
      </c>
    </row>
    <row r="25" spans="1:14" x14ac:dyDescent="0.25">
      <c r="A25" s="57" t="s">
        <v>127</v>
      </c>
      <c r="B25" s="58">
        <f>252</f>
        <v>252</v>
      </c>
      <c r="C25" s="59">
        <v>9674496</v>
      </c>
      <c r="D25" s="59">
        <v>0</v>
      </c>
      <c r="E25" s="59">
        <f t="shared" si="2"/>
        <v>9674496</v>
      </c>
      <c r="F25" s="59">
        <v>1497600</v>
      </c>
      <c r="G25" s="59">
        <f t="shared" si="0"/>
        <v>15.479876160990713</v>
      </c>
      <c r="H25" s="59">
        <v>452275.20000000001</v>
      </c>
      <c r="I25" s="59">
        <f t="shared" si="1"/>
        <v>4.6749226006191957</v>
      </c>
      <c r="J25" s="61" t="e">
        <f>#REF!+#REF!</f>
        <v>#REF!</v>
      </c>
      <c r="L25" s="62">
        <v>1671264</v>
      </c>
      <c r="M25" s="62">
        <v>18144.049999999996</v>
      </c>
      <c r="N25" s="63">
        <f t="shared" si="3"/>
        <v>-155519.94999999995</v>
      </c>
    </row>
    <row r="26" spans="1:14" x14ac:dyDescent="0.25">
      <c r="A26" s="57" t="s">
        <v>128</v>
      </c>
      <c r="B26" s="58">
        <f>121+1</f>
        <v>122</v>
      </c>
      <c r="C26" s="59">
        <v>4641408</v>
      </c>
      <c r="D26" s="59">
        <v>0</v>
      </c>
      <c r="E26" s="59">
        <f t="shared" si="2"/>
        <v>4641408</v>
      </c>
      <c r="F26" s="59">
        <v>376800</v>
      </c>
      <c r="G26" s="59">
        <f t="shared" si="0"/>
        <v>8.1182261934309601</v>
      </c>
      <c r="H26" s="59">
        <v>113793.60000000001</v>
      </c>
      <c r="I26" s="59">
        <f t="shared" si="1"/>
        <v>2.4517043104161496</v>
      </c>
      <c r="J26" s="61" t="e">
        <f>#REF!+#REF!</f>
        <v>#REF!</v>
      </c>
      <c r="L26" s="62">
        <v>420588</v>
      </c>
      <c r="M26" s="62">
        <v>21883.15</v>
      </c>
      <c r="N26" s="63">
        <f t="shared" si="3"/>
        <v>-21904.849999999977</v>
      </c>
    </row>
    <row r="27" spans="1:14" s="69" customFormat="1" x14ac:dyDescent="0.25">
      <c r="A27" s="64" t="s">
        <v>129</v>
      </c>
      <c r="B27" s="65">
        <f>SUM(B9:B26)</f>
        <v>9979</v>
      </c>
      <c r="C27" s="66">
        <f>SUM(C9:C26)</f>
        <v>365693990.39999998</v>
      </c>
      <c r="D27" s="66">
        <f>SUM(D9:D26)</f>
        <v>2205000</v>
      </c>
      <c r="E27" s="66">
        <f>SUM(E9:E26)</f>
        <v>367898990.39999998</v>
      </c>
      <c r="F27" s="66">
        <f>SUM(F9:F26)</f>
        <v>34724256</v>
      </c>
      <c r="G27" s="59">
        <f t="shared" si="0"/>
        <v>9.4954406994816178</v>
      </c>
      <c r="H27" s="66">
        <f>SUM(H9:H26)</f>
        <v>10486725.310000001</v>
      </c>
      <c r="I27" s="59">
        <f t="shared" si="1"/>
        <v>2.8676230906965432</v>
      </c>
      <c r="J27" s="61" t="e">
        <f>#REF!+#REF!</f>
        <v>#REF!</v>
      </c>
      <c r="K27" s="67">
        <f>F27+H27</f>
        <v>45210981.310000002</v>
      </c>
      <c r="L27" s="68"/>
      <c r="M27" s="68"/>
      <c r="N27" s="68"/>
    </row>
    <row r="28" spans="1:14" ht="25.5" customHeight="1" x14ac:dyDescent="0.25">
      <c r="A28" s="70" t="s">
        <v>130</v>
      </c>
      <c r="B28" s="71">
        <f>806+4</f>
        <v>810</v>
      </c>
      <c r="C28" s="72">
        <v>29416800</v>
      </c>
      <c r="D28" s="72">
        <v>1125000</v>
      </c>
      <c r="E28" s="72">
        <f>C28+D28</f>
        <v>30541800</v>
      </c>
      <c r="F28" s="72">
        <v>2220500</v>
      </c>
      <c r="G28" s="59">
        <f t="shared" si="0"/>
        <v>7.5484077125996034</v>
      </c>
      <c r="H28" s="72">
        <v>670440</v>
      </c>
      <c r="I28" s="59">
        <f t="shared" si="1"/>
        <v>2.2791058170841154</v>
      </c>
      <c r="J28" s="61" t="e">
        <f>#REF!+#REF!</f>
        <v>#REF!</v>
      </c>
      <c r="L28" s="62">
        <v>1991934</v>
      </c>
      <c r="M28" s="62">
        <f>62233.15+472.02</f>
        <v>62705.17</v>
      </c>
      <c r="N28" s="63">
        <f>F28-L28</f>
        <v>228566</v>
      </c>
    </row>
    <row r="29" spans="1:14" ht="27" customHeight="1" x14ac:dyDescent="0.25">
      <c r="A29" s="70" t="s">
        <v>131</v>
      </c>
      <c r="B29" s="71">
        <f>1679+9</f>
        <v>1688</v>
      </c>
      <c r="C29" s="72">
        <v>57842740.780000001</v>
      </c>
      <c r="D29" s="72">
        <v>2000000</v>
      </c>
      <c r="E29" s="72">
        <f>C29+D29</f>
        <v>59842740.780000001</v>
      </c>
      <c r="F29" s="72">
        <v>7000000</v>
      </c>
      <c r="G29" s="59">
        <f t="shared" si="0"/>
        <v>12.101777864613835</v>
      </c>
      <c r="H29" s="72">
        <v>2114000</v>
      </c>
      <c r="I29" s="59">
        <f t="shared" si="1"/>
        <v>3.6547369151133782</v>
      </c>
      <c r="J29" s="61" t="e">
        <f>#REF!+#REF!</f>
        <v>#REF!</v>
      </c>
      <c r="L29" s="62">
        <v>5297040</v>
      </c>
      <c r="M29" s="62">
        <v>231891.44999999995</v>
      </c>
      <c r="N29" s="63">
        <f>F29-L29</f>
        <v>1702960</v>
      </c>
    </row>
    <row r="30" spans="1:14" s="75" customFormat="1" ht="27.9" customHeight="1" x14ac:dyDescent="0.25">
      <c r="A30" s="73" t="s">
        <v>132</v>
      </c>
      <c r="B30" s="74">
        <f>B27+B28+B29</f>
        <v>12477</v>
      </c>
      <c r="C30" s="73">
        <f>C27+C28+C29</f>
        <v>452953531.17999995</v>
      </c>
      <c r="D30" s="73">
        <f>D27+D28+D29</f>
        <v>5330000</v>
      </c>
      <c r="E30" s="73">
        <f>E27+E28+E29</f>
        <v>458283531.17999995</v>
      </c>
      <c r="F30" s="73">
        <f>F27+F28+F29</f>
        <v>43944756</v>
      </c>
      <c r="G30" s="59">
        <f t="shared" si="0"/>
        <v>9.701824353928421</v>
      </c>
      <c r="H30" s="73">
        <f>H27+H28+H29</f>
        <v>13271165.310000001</v>
      </c>
      <c r="I30" s="59">
        <f t="shared" si="1"/>
        <v>2.9299176176918138</v>
      </c>
      <c r="L30" s="73">
        <f>SUM(L9:L29)</f>
        <v>44886970.799999997</v>
      </c>
      <c r="M30" s="73">
        <f>SUM(M9:M29)</f>
        <v>2666934.5199999996</v>
      </c>
      <c r="N30" s="73">
        <f>SUM(N9:N29)</f>
        <v>1430123.1</v>
      </c>
    </row>
    <row r="31" spans="1:14" x14ac:dyDescent="0.25">
      <c r="F31" s="61"/>
      <c r="H31" s="61"/>
    </row>
    <row r="32" spans="1:14" ht="7.8" customHeight="1" x14ac:dyDescent="0.25">
      <c r="F32" s="61"/>
      <c r="G32" s="61"/>
      <c r="H32" s="61"/>
    </row>
    <row r="33" spans="2:8" ht="7.8" customHeight="1" x14ac:dyDescent="0.25"/>
    <row r="34" spans="2:8" ht="7.8" customHeight="1" x14ac:dyDescent="0.25"/>
    <row r="35" spans="2:8" x14ac:dyDescent="0.25">
      <c r="F35" s="61"/>
      <c r="G35" s="61"/>
    </row>
    <row r="36" spans="2:8" ht="13.8" x14ac:dyDescent="0.25">
      <c r="B36" s="76"/>
      <c r="C36" s="76"/>
      <c r="D36" s="76"/>
      <c r="E36" s="76"/>
      <c r="F36" s="61"/>
      <c r="H36" s="61"/>
    </row>
    <row r="40" spans="2:8" ht="89.25" customHeight="1" x14ac:dyDescent="0.25"/>
    <row r="41" spans="2:8" x14ac:dyDescent="0.25">
      <c r="B41" s="77"/>
    </row>
    <row r="42" spans="2:8" x14ac:dyDescent="0.25">
      <c r="B42" s="77"/>
    </row>
    <row r="43" spans="2:8" x14ac:dyDescent="0.25">
      <c r="B43" s="77"/>
    </row>
    <row r="44" spans="2:8" x14ac:dyDescent="0.25">
      <c r="B44" s="77"/>
    </row>
  </sheetData>
  <mergeCells count="10">
    <mergeCell ref="A4:N4"/>
    <mergeCell ref="A6:A7"/>
    <mergeCell ref="B6:B7"/>
    <mergeCell ref="C6:C7"/>
    <mergeCell ref="D6:D7"/>
    <mergeCell ref="E6:E7"/>
    <mergeCell ref="F6:I6"/>
    <mergeCell ref="L6:L7"/>
    <mergeCell ref="M6:M7"/>
    <mergeCell ref="N6:N7"/>
  </mergeCells>
  <pageMargins left="0.70866141732283472" right="0.11811023622047245" top="0.15748031496062992" bottom="0.15748031496062992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расчёт зарплаты</vt:lpstr>
      <vt:lpstr>по учр</vt:lpstr>
      <vt:lpstr>ожид по зарплате от родплаты</vt:lpstr>
      <vt:lpstr>2023</vt:lpstr>
      <vt:lpstr>'2023'!Заголовки_для_печати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2020-12-04T10:46:41Z</cp:lastPrinted>
  <dcterms:created xsi:type="dcterms:W3CDTF">2020-11-18T03:01:02Z</dcterms:created>
  <dcterms:modified xsi:type="dcterms:W3CDTF">2023-01-19T07:39:00Z</dcterms:modified>
</cp:coreProperties>
</file>