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с 01.01.2024\"/>
    </mc:Choice>
  </mc:AlternateContent>
  <bookViews>
    <workbookView xWindow="0" yWindow="0" windowWidth="23040" windowHeight="9384" tabRatio="544" activeTab="2"/>
  </bookViews>
  <sheets>
    <sheet name="расчёт зарплаты" sheetId="1" r:id="rId1"/>
    <sheet name="потр вспомог" sheetId="2" r:id="rId2"/>
    <sheet name="город" sheetId="3" r:id="rId3"/>
    <sheet name="распределение бюджета 2024" sheetId="6" r:id="rId4"/>
  </sheets>
  <definedNames>
    <definedName name="_xlnm.Print_Titles" localSheetId="3">'распределение бюджета 2024'!$A:$A,'распределение бюджета 2024'!$6:$8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3" l="1"/>
  <c r="B6" i="3" l="1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5" i="3"/>
  <c r="E11" i="6" l="1"/>
  <c r="E12" i="6"/>
  <c r="E10" i="6"/>
  <c r="D135" i="2" l="1"/>
  <c r="E15" i="6"/>
  <c r="E16" i="6"/>
  <c r="E17" i="6"/>
  <c r="F27" i="6" l="1"/>
  <c r="I27" i="6" s="1"/>
  <c r="E27" i="6"/>
  <c r="H27" i="6" s="1"/>
  <c r="F26" i="6"/>
  <c r="E26" i="6"/>
  <c r="H26" i="6" s="1"/>
  <c r="F25" i="6"/>
  <c r="I25" i="6" s="1"/>
  <c r="E25" i="6"/>
  <c r="G25" i="6" s="1"/>
  <c r="E22" i="6"/>
  <c r="F22" i="6"/>
  <c r="F21" i="6"/>
  <c r="F20" i="6"/>
  <c r="B28" i="6"/>
  <c r="D27" i="6"/>
  <c r="D26" i="6"/>
  <c r="J27" i="6" l="1"/>
  <c r="F28" i="6"/>
  <c r="E28" i="6"/>
  <c r="G26" i="6"/>
  <c r="G28" i="6"/>
  <c r="H25" i="6"/>
  <c r="I26" i="6"/>
  <c r="I28" i="6" s="1"/>
  <c r="G27" i="6"/>
  <c r="C28" i="6"/>
  <c r="D25" i="6"/>
  <c r="D28" i="6" s="1"/>
  <c r="H28" i="6" l="1"/>
  <c r="J25" i="6"/>
  <c r="J26" i="6"/>
  <c r="E498" i="2"/>
  <c r="D498" i="2"/>
  <c r="D474" i="2"/>
  <c r="E474" i="2"/>
  <c r="D450" i="2"/>
  <c r="D426" i="2"/>
  <c r="D354" i="2"/>
  <c r="D353" i="2"/>
  <c r="D351" i="2"/>
  <c r="D329" i="2"/>
  <c r="D256" i="2"/>
  <c r="D231" i="2"/>
  <c r="D183" i="2"/>
  <c r="H138" i="2"/>
  <c r="H18" i="2"/>
  <c r="D18" i="2"/>
  <c r="D13" i="2"/>
  <c r="D15" i="2"/>
  <c r="J28" i="6" l="1"/>
  <c r="B27" i="3"/>
  <c r="B24" i="3" l="1"/>
  <c r="H251" i="2" l="1"/>
  <c r="G251" i="2"/>
  <c r="H372" i="2"/>
  <c r="H373" i="2"/>
  <c r="G373" i="2"/>
  <c r="G397" i="2"/>
  <c r="H397" i="2" s="1"/>
  <c r="H469" i="2"/>
  <c r="G469" i="2"/>
  <c r="H524" i="2"/>
  <c r="F350" i="2"/>
  <c r="I524" i="2" l="1"/>
  <c r="J524" i="2" s="1"/>
  <c r="C536" i="2" l="1"/>
  <c r="D558" i="2" l="1"/>
  <c r="E558" i="2"/>
  <c r="F558" i="2"/>
  <c r="C558" i="2"/>
  <c r="D557" i="2"/>
  <c r="E557" i="2"/>
  <c r="F557" i="2"/>
  <c r="C557" i="2"/>
  <c r="D556" i="2"/>
  <c r="E556" i="2"/>
  <c r="F556" i="2"/>
  <c r="C556" i="2"/>
  <c r="D555" i="2"/>
  <c r="E555" i="2"/>
  <c r="F555" i="2"/>
  <c r="C555" i="2"/>
  <c r="D554" i="2"/>
  <c r="E554" i="2"/>
  <c r="F554" i="2"/>
  <c r="C554" i="2"/>
  <c r="D553" i="2"/>
  <c r="E553" i="2"/>
  <c r="F553" i="2"/>
  <c r="C553" i="2"/>
  <c r="D552" i="2"/>
  <c r="E552" i="2"/>
  <c r="F552" i="2"/>
  <c r="C552" i="2"/>
  <c r="D551" i="2"/>
  <c r="E551" i="2"/>
  <c r="F551" i="2"/>
  <c r="C551" i="2"/>
  <c r="D550" i="2"/>
  <c r="E550" i="2"/>
  <c r="F550" i="2"/>
  <c r="C550" i="2"/>
  <c r="D549" i="2"/>
  <c r="D548" i="2" s="1"/>
  <c r="E549" i="2"/>
  <c r="F549" i="2"/>
  <c r="C549" i="2"/>
  <c r="C548" i="2" s="1"/>
  <c r="D547" i="2"/>
  <c r="E547" i="2"/>
  <c r="F547" i="2"/>
  <c r="C547" i="2"/>
  <c r="D546" i="2"/>
  <c r="E546" i="2"/>
  <c r="F546" i="2"/>
  <c r="C546" i="2"/>
  <c r="D545" i="2"/>
  <c r="E545" i="2"/>
  <c r="F545" i="2"/>
  <c r="C545" i="2"/>
  <c r="D544" i="2"/>
  <c r="E544" i="2"/>
  <c r="F544" i="2"/>
  <c r="C544" i="2"/>
  <c r="D543" i="2"/>
  <c r="E543" i="2"/>
  <c r="F543" i="2"/>
  <c r="C543" i="2"/>
  <c r="D542" i="2"/>
  <c r="E542" i="2"/>
  <c r="F542" i="2"/>
  <c r="C542" i="2"/>
  <c r="C539" i="2"/>
  <c r="D537" i="2"/>
  <c r="E537" i="2"/>
  <c r="F537" i="2"/>
  <c r="D539" i="2"/>
  <c r="E539" i="2"/>
  <c r="F539" i="2"/>
  <c r="C537" i="2"/>
  <c r="C535" i="2" s="1"/>
  <c r="G518" i="2"/>
  <c r="D502" i="2"/>
  <c r="E502" i="2"/>
  <c r="F502" i="2"/>
  <c r="C502" i="2"/>
  <c r="D478" i="2"/>
  <c r="E478" i="2"/>
  <c r="F478" i="2"/>
  <c r="C478" i="2"/>
  <c r="D454" i="2"/>
  <c r="E454" i="2"/>
  <c r="F454" i="2"/>
  <c r="C454" i="2"/>
  <c r="D430" i="2"/>
  <c r="E430" i="2"/>
  <c r="F430" i="2"/>
  <c r="C430" i="2"/>
  <c r="D406" i="2"/>
  <c r="E406" i="2"/>
  <c r="F406" i="2"/>
  <c r="C406" i="2"/>
  <c r="D382" i="2"/>
  <c r="E382" i="2"/>
  <c r="F382" i="2"/>
  <c r="C382" i="2"/>
  <c r="D357" i="2"/>
  <c r="E357" i="2"/>
  <c r="F357" i="2"/>
  <c r="C357" i="2"/>
  <c r="D333" i="2"/>
  <c r="E333" i="2"/>
  <c r="F333" i="2"/>
  <c r="C333" i="2"/>
  <c r="H46" i="1"/>
  <c r="I46" i="1" s="1"/>
  <c r="F46" i="1"/>
  <c r="D46" i="1"/>
  <c r="D308" i="2"/>
  <c r="E308" i="2"/>
  <c r="F308" i="2"/>
  <c r="C308" i="2"/>
  <c r="D284" i="2"/>
  <c r="E284" i="2"/>
  <c r="F284" i="2"/>
  <c r="C284" i="2"/>
  <c r="H306" i="2"/>
  <c r="I306" i="2" s="1"/>
  <c r="H303" i="2"/>
  <c r="I303" i="2" s="1"/>
  <c r="J303" i="2" s="1"/>
  <c r="H302" i="2"/>
  <c r="I302" i="2" s="1"/>
  <c r="F301" i="2"/>
  <c r="E301" i="2"/>
  <c r="D301" i="2"/>
  <c r="C301" i="2"/>
  <c r="H298" i="2"/>
  <c r="F295" i="2"/>
  <c r="F536" i="2" s="1"/>
  <c r="E295" i="2"/>
  <c r="E536" i="2" s="1"/>
  <c r="D295" i="2"/>
  <c r="D536" i="2" s="1"/>
  <c r="C295" i="2"/>
  <c r="D541" i="2" l="1"/>
  <c r="D535" i="2"/>
  <c r="F535" i="2"/>
  <c r="F541" i="2"/>
  <c r="F548" i="2"/>
  <c r="E535" i="2"/>
  <c r="E541" i="2"/>
  <c r="E548" i="2"/>
  <c r="J46" i="1"/>
  <c r="K46" i="1" s="1"/>
  <c r="J302" i="2"/>
  <c r="E300" i="2"/>
  <c r="E294" i="2" s="1"/>
  <c r="F300" i="2"/>
  <c r="F294" i="2" s="1"/>
  <c r="C300" i="2"/>
  <c r="C294" i="2" s="1"/>
  <c r="D300" i="2"/>
  <c r="D294" i="2" s="1"/>
  <c r="J306" i="2"/>
  <c r="D260" i="2"/>
  <c r="E260" i="2"/>
  <c r="F260" i="2"/>
  <c r="C260" i="2"/>
  <c r="D235" i="2"/>
  <c r="E235" i="2"/>
  <c r="F235" i="2"/>
  <c r="C235" i="2"/>
  <c r="J44" i="1"/>
  <c r="I44" i="1"/>
  <c r="K44" i="1" s="1"/>
  <c r="H44" i="1"/>
  <c r="D44" i="1"/>
  <c r="G557" i="2" l="1"/>
  <c r="H557" i="2" s="1"/>
  <c r="I557" i="2" s="1"/>
  <c r="J557" i="2" s="1"/>
  <c r="G365" i="2"/>
  <c r="H365" i="2" s="1"/>
  <c r="I365" i="2" s="1"/>
  <c r="J365" i="2" s="1"/>
  <c r="G316" i="2"/>
  <c r="H316" i="2" s="1"/>
  <c r="I316" i="2" s="1"/>
  <c r="J316" i="2" s="1"/>
  <c r="G552" i="2"/>
  <c r="H552" i="2" s="1"/>
  <c r="G243" i="2"/>
  <c r="H243" i="2" s="1"/>
  <c r="I243" i="2" s="1"/>
  <c r="J243" i="2" s="1"/>
  <c r="I552" i="2" l="1"/>
  <c r="J552" i="2" s="1"/>
  <c r="D211" i="2"/>
  <c r="E211" i="2"/>
  <c r="F211" i="2"/>
  <c r="C211" i="2"/>
  <c r="D187" i="2"/>
  <c r="E187" i="2"/>
  <c r="F187" i="2"/>
  <c r="C187" i="2"/>
  <c r="D163" i="2"/>
  <c r="E163" i="2"/>
  <c r="F163" i="2"/>
  <c r="C163" i="2"/>
  <c r="D139" i="2"/>
  <c r="E139" i="2"/>
  <c r="F139" i="2"/>
  <c r="C139" i="2"/>
  <c r="D115" i="2"/>
  <c r="E115" i="2"/>
  <c r="F115" i="2"/>
  <c r="C115" i="2"/>
  <c r="D91" i="2"/>
  <c r="E91" i="2"/>
  <c r="F91" i="2"/>
  <c r="C91" i="2"/>
  <c r="D67" i="2"/>
  <c r="E67" i="2"/>
  <c r="F67" i="2"/>
  <c r="C67" i="2"/>
  <c r="D43" i="2"/>
  <c r="E43" i="2"/>
  <c r="F43" i="2"/>
  <c r="C43" i="2"/>
  <c r="D19" i="2"/>
  <c r="E19" i="2"/>
  <c r="F19" i="2"/>
  <c r="C19" i="2"/>
  <c r="H32" i="1" l="1"/>
  <c r="F32" i="1"/>
  <c r="J32" i="1" s="1"/>
  <c r="I32" i="1" l="1"/>
  <c r="K32" i="1"/>
  <c r="G556" i="2" l="1"/>
  <c r="H556" i="2" s="1"/>
  <c r="I556" i="2" s="1"/>
  <c r="J556" i="2" s="1"/>
  <c r="G413" i="2"/>
  <c r="H413" i="2" s="1"/>
  <c r="I413" i="2" s="1"/>
  <c r="J413" i="2" s="1"/>
  <c r="G340" i="2"/>
  <c r="H340" i="2" s="1"/>
  <c r="I340" i="2" s="1"/>
  <c r="J340" i="2" s="1"/>
  <c r="G315" i="2"/>
  <c r="H315" i="2" s="1"/>
  <c r="I315" i="2" s="1"/>
  <c r="J315" i="2" s="1"/>
  <c r="G291" i="2"/>
  <c r="H291" i="2" s="1"/>
  <c r="I291" i="2" s="1"/>
  <c r="J291" i="2" s="1"/>
  <c r="G437" i="2"/>
  <c r="H437" i="2" s="1"/>
  <c r="I437" i="2" s="1"/>
  <c r="J437" i="2" s="1"/>
  <c r="G389" i="2"/>
  <c r="H389" i="2" s="1"/>
  <c r="I389" i="2" s="1"/>
  <c r="J389" i="2" s="1"/>
  <c r="G364" i="2"/>
  <c r="H364" i="2" s="1"/>
  <c r="I364" i="2" s="1"/>
  <c r="J364" i="2" s="1"/>
  <c r="G485" i="2"/>
  <c r="H485" i="2" s="1"/>
  <c r="G122" i="2"/>
  <c r="H122" i="2" s="1"/>
  <c r="I122" i="2" s="1"/>
  <c r="J122" i="2" s="1"/>
  <c r="G461" i="2"/>
  <c r="H461" i="2" s="1"/>
  <c r="G509" i="2"/>
  <c r="H509" i="2" s="1"/>
  <c r="G242" i="2"/>
  <c r="H242" i="2" s="1"/>
  <c r="I242" i="2" s="1"/>
  <c r="J242" i="2" s="1"/>
  <c r="G267" i="2"/>
  <c r="H267" i="2" s="1"/>
  <c r="I267" i="2" s="1"/>
  <c r="J267" i="2" s="1"/>
  <c r="G218" i="2"/>
  <c r="H218" i="2" s="1"/>
  <c r="I218" i="2" s="1"/>
  <c r="J218" i="2" s="1"/>
  <c r="G194" i="2"/>
  <c r="H194" i="2" s="1"/>
  <c r="I194" i="2" s="1"/>
  <c r="J194" i="2" s="1"/>
  <c r="G74" i="2"/>
  <c r="H74" i="2" s="1"/>
  <c r="I74" i="2" s="1"/>
  <c r="J74" i="2" s="1"/>
  <c r="G26" i="2"/>
  <c r="H26" i="2" s="1"/>
  <c r="G170" i="2"/>
  <c r="H170" i="2" s="1"/>
  <c r="I170" i="2" s="1"/>
  <c r="J170" i="2" s="1"/>
  <c r="G146" i="2"/>
  <c r="H146" i="2" s="1"/>
  <c r="I146" i="2" s="1"/>
  <c r="J146" i="2" s="1"/>
  <c r="G98" i="2"/>
  <c r="H98" i="2" s="1"/>
  <c r="I98" i="2" s="1"/>
  <c r="J98" i="2" s="1"/>
  <c r="G50" i="2"/>
  <c r="H50" i="2" s="1"/>
  <c r="I50" i="2" s="1"/>
  <c r="J50" i="2" s="1"/>
  <c r="I26" i="2" l="1"/>
  <c r="J26" i="2" s="1"/>
  <c r="H19" i="2"/>
  <c r="I509" i="2"/>
  <c r="J509" i="2" s="1"/>
  <c r="I461" i="2"/>
  <c r="J461" i="2" s="1"/>
  <c r="I485" i="2"/>
  <c r="J485" i="2" s="1"/>
  <c r="S26" i="3" l="1"/>
  <c r="R26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5" i="3"/>
  <c r="R27" i="3" l="1"/>
  <c r="T26" i="3"/>
  <c r="L26" i="3"/>
  <c r="O26" i="3" s="1"/>
  <c r="E26" i="3"/>
  <c r="F26" i="3"/>
  <c r="H27" i="3"/>
  <c r="G26" i="3" l="1"/>
  <c r="M26" i="3"/>
  <c r="N26" i="3" l="1"/>
  <c r="P26" i="3"/>
  <c r="Q26" i="3" s="1"/>
  <c r="K16" i="6" l="1"/>
  <c r="E21" i="6" l="1"/>
  <c r="H21" i="6" s="1"/>
  <c r="H22" i="6"/>
  <c r="E20" i="6"/>
  <c r="H20" i="6" s="1"/>
  <c r="D513" i="2" l="1"/>
  <c r="E513" i="2"/>
  <c r="F513" i="2"/>
  <c r="C513" i="2"/>
  <c r="H42" i="1"/>
  <c r="F42" i="1"/>
  <c r="D42" i="1"/>
  <c r="I42" i="1" l="1"/>
  <c r="J42" i="1"/>
  <c r="K42" i="1" l="1"/>
  <c r="G516" i="2" l="1"/>
  <c r="H516" i="2" s="1"/>
  <c r="I516" i="2" s="1"/>
  <c r="J516" i="2" s="1"/>
  <c r="G539" i="2"/>
  <c r="H539" i="2" s="1"/>
  <c r="I539" i="2" l="1"/>
  <c r="J539" i="2" s="1"/>
  <c r="H17" i="6" l="1"/>
  <c r="H10" i="6"/>
  <c r="H11" i="6"/>
  <c r="H12" i="6"/>
  <c r="L23" i="6" l="1"/>
  <c r="K23" i="6"/>
  <c r="E23" i="6"/>
  <c r="B23" i="6"/>
  <c r="O22" i="6"/>
  <c r="R22" i="6" s="1"/>
  <c r="N22" i="6"/>
  <c r="Q22" i="6" s="1"/>
  <c r="M22" i="6"/>
  <c r="G22" i="6"/>
  <c r="O21" i="6"/>
  <c r="R21" i="6" s="1"/>
  <c r="N21" i="6"/>
  <c r="Q21" i="6" s="1"/>
  <c r="M21" i="6"/>
  <c r="I21" i="6"/>
  <c r="J21" i="6" s="1"/>
  <c r="G21" i="6"/>
  <c r="D21" i="6"/>
  <c r="O20" i="6"/>
  <c r="R20" i="6" s="1"/>
  <c r="N20" i="6"/>
  <c r="Q20" i="6" s="1"/>
  <c r="M20" i="6"/>
  <c r="H23" i="6"/>
  <c r="E18" i="6"/>
  <c r="B18" i="6"/>
  <c r="N16" i="6"/>
  <c r="Q16" i="6" s="1"/>
  <c r="H16" i="6"/>
  <c r="F16" i="6"/>
  <c r="I16" i="6" s="1"/>
  <c r="D16" i="6"/>
  <c r="H15" i="6"/>
  <c r="K13" i="6"/>
  <c r="E13" i="6"/>
  <c r="B13" i="6"/>
  <c r="N12" i="6"/>
  <c r="Q12" i="6" s="1"/>
  <c r="N11" i="6"/>
  <c r="Q11" i="6" s="1"/>
  <c r="N10" i="6"/>
  <c r="Q10" i="6" s="1"/>
  <c r="H13" i="6"/>
  <c r="M23" i="6" l="1"/>
  <c r="B29" i="6"/>
  <c r="E29" i="6"/>
  <c r="O23" i="6"/>
  <c r="P22" i="6"/>
  <c r="S21" i="6"/>
  <c r="H18" i="6"/>
  <c r="H29" i="6" s="1"/>
  <c r="I22" i="6"/>
  <c r="J22" i="6" s="1"/>
  <c r="G16" i="6"/>
  <c r="Q23" i="6"/>
  <c r="S20" i="6"/>
  <c r="S23" i="6" s="1"/>
  <c r="Q13" i="6"/>
  <c r="R23" i="6"/>
  <c r="S22" i="6"/>
  <c r="N23" i="6"/>
  <c r="D20" i="6"/>
  <c r="C23" i="6"/>
  <c r="J16" i="6"/>
  <c r="P20" i="6"/>
  <c r="P21" i="6"/>
  <c r="N13" i="6"/>
  <c r="D22" i="6"/>
  <c r="P23" i="6" l="1"/>
  <c r="G20" i="6"/>
  <c r="G23" i="6" s="1"/>
  <c r="F23" i="6"/>
  <c r="D23" i="6"/>
  <c r="I20" i="6"/>
  <c r="I23" i="6" l="1"/>
  <c r="J20" i="6"/>
  <c r="J23" i="6" s="1"/>
  <c r="M10" i="6" l="1"/>
  <c r="O10" i="6"/>
  <c r="P10" i="6" l="1"/>
  <c r="R10" i="6"/>
  <c r="S10" i="6" s="1"/>
  <c r="O11" i="6"/>
  <c r="M11" i="6"/>
  <c r="D11" i="6"/>
  <c r="F11" i="6"/>
  <c r="I11" i="6" l="1"/>
  <c r="G11" i="6"/>
  <c r="P11" i="6"/>
  <c r="R11" i="6"/>
  <c r="S11" i="6" l="1"/>
  <c r="J11" i="6"/>
  <c r="K17" i="6" l="1"/>
  <c r="N17" i="6" s="1"/>
  <c r="Q17" i="6" s="1"/>
  <c r="K15" i="6"/>
  <c r="K18" i="6" l="1"/>
  <c r="K29" i="6" s="1"/>
  <c r="N15" i="6"/>
  <c r="N18" i="6" s="1"/>
  <c r="N29" i="6" s="1"/>
  <c r="Q15" i="6" l="1"/>
  <c r="Q18" i="6" s="1"/>
  <c r="Q29" i="6" s="1"/>
  <c r="K28" i="3" l="1"/>
  <c r="G28" i="3"/>
  <c r="S25" i="3" l="1"/>
  <c r="T25" i="3" s="1"/>
  <c r="L25" i="3"/>
  <c r="F25" i="3"/>
  <c r="E25" i="3"/>
  <c r="C15" i="6"/>
  <c r="G25" i="3" l="1"/>
  <c r="O25" i="3"/>
  <c r="M25" i="3"/>
  <c r="N25" i="3" s="1"/>
  <c r="L16" i="6"/>
  <c r="D15" i="6"/>
  <c r="F15" i="6"/>
  <c r="L15" i="6"/>
  <c r="P25" i="3" l="1"/>
  <c r="Q25" i="3" s="1"/>
  <c r="O16" i="6"/>
  <c r="M16" i="6"/>
  <c r="I15" i="6"/>
  <c r="J15" i="6" s="1"/>
  <c r="G15" i="6"/>
  <c r="O15" i="6"/>
  <c r="M15" i="6"/>
  <c r="D54" i="2"/>
  <c r="E54" i="2"/>
  <c r="F54" i="2"/>
  <c r="C54" i="2"/>
  <c r="D60" i="2"/>
  <c r="E60" i="2"/>
  <c r="F60" i="2"/>
  <c r="C60" i="2"/>
  <c r="R16" i="6" l="1"/>
  <c r="S16" i="6" s="1"/>
  <c r="P16" i="6"/>
  <c r="C541" i="2"/>
  <c r="D59" i="2"/>
  <c r="D53" i="2" s="1"/>
  <c r="F59" i="2"/>
  <c r="E59" i="2"/>
  <c r="E53" i="2" s="1"/>
  <c r="F53" i="2"/>
  <c r="R15" i="6"/>
  <c r="P15" i="6"/>
  <c r="D540" i="2" l="1"/>
  <c r="D534" i="2" s="1"/>
  <c r="C540" i="2"/>
  <c r="C534" i="2" s="1"/>
  <c r="F540" i="2"/>
  <c r="F534" i="2" s="1"/>
  <c r="S15" i="6"/>
  <c r="E540" i="2"/>
  <c r="E534" i="2" s="1"/>
  <c r="F526" i="2" l="1"/>
  <c r="E526" i="2"/>
  <c r="D526" i="2"/>
  <c r="C526" i="2"/>
  <c r="C59" i="2"/>
  <c r="C53" i="2" s="1"/>
  <c r="F519" i="2"/>
  <c r="E519" i="2"/>
  <c r="D519" i="2"/>
  <c r="C519" i="2"/>
  <c r="F495" i="2"/>
  <c r="F494" i="2" s="1"/>
  <c r="E495" i="2"/>
  <c r="E494" i="2" s="1"/>
  <c r="D495" i="2"/>
  <c r="C495" i="2"/>
  <c r="C494" i="2" s="1"/>
  <c r="F471" i="2"/>
  <c r="E471" i="2"/>
  <c r="D471" i="2"/>
  <c r="C471" i="2"/>
  <c r="F447" i="2"/>
  <c r="E447" i="2"/>
  <c r="D447" i="2"/>
  <c r="C447" i="2"/>
  <c r="F423" i="2"/>
  <c r="F422" i="2" s="1"/>
  <c r="E423" i="2"/>
  <c r="D423" i="2"/>
  <c r="C423" i="2"/>
  <c r="F399" i="2"/>
  <c r="F398" i="2" s="1"/>
  <c r="E399" i="2"/>
  <c r="E398" i="2" s="1"/>
  <c r="D399" i="2"/>
  <c r="C399" i="2"/>
  <c r="C398" i="2" s="1"/>
  <c r="F375" i="2"/>
  <c r="E375" i="2"/>
  <c r="D375" i="2"/>
  <c r="C375" i="2"/>
  <c r="F349" i="2"/>
  <c r="E350" i="2"/>
  <c r="D350" i="2"/>
  <c r="C350" i="2"/>
  <c r="F326" i="2"/>
  <c r="E326" i="2"/>
  <c r="E325" i="2" s="1"/>
  <c r="D326" i="2"/>
  <c r="C326" i="2"/>
  <c r="F277" i="2"/>
  <c r="F276" i="2" s="1"/>
  <c r="E277" i="2"/>
  <c r="E276" i="2" s="1"/>
  <c r="D277" i="2"/>
  <c r="D276" i="2" s="1"/>
  <c r="C277" i="2"/>
  <c r="C276" i="2" s="1"/>
  <c r="F253" i="2"/>
  <c r="F252" i="2" s="1"/>
  <c r="E253" i="2"/>
  <c r="E252" i="2" s="1"/>
  <c r="D253" i="2"/>
  <c r="D252" i="2" s="1"/>
  <c r="C253" i="2"/>
  <c r="C252" i="2" s="1"/>
  <c r="F228" i="2"/>
  <c r="E228" i="2"/>
  <c r="D228" i="2"/>
  <c r="D227" i="2" s="1"/>
  <c r="C228" i="2"/>
  <c r="F204" i="2"/>
  <c r="E204" i="2"/>
  <c r="D204" i="2"/>
  <c r="C204" i="2"/>
  <c r="F180" i="2"/>
  <c r="E180" i="2"/>
  <c r="E179" i="2" s="1"/>
  <c r="D180" i="2"/>
  <c r="D179" i="2" s="1"/>
  <c r="C180" i="2"/>
  <c r="F156" i="2"/>
  <c r="F155" i="2" s="1"/>
  <c r="E156" i="2"/>
  <c r="E155" i="2" s="1"/>
  <c r="D156" i="2"/>
  <c r="D155" i="2" s="1"/>
  <c r="C156" i="2"/>
  <c r="F132" i="2"/>
  <c r="E132" i="2"/>
  <c r="D132" i="2"/>
  <c r="D131" i="2" s="1"/>
  <c r="C132" i="2"/>
  <c r="F108" i="2"/>
  <c r="E108" i="2"/>
  <c r="E107" i="2" s="1"/>
  <c r="D108" i="2"/>
  <c r="D107" i="2" s="1"/>
  <c r="C108" i="2"/>
  <c r="F84" i="2"/>
  <c r="E84" i="2"/>
  <c r="E83" i="2" s="1"/>
  <c r="D84" i="2"/>
  <c r="D83" i="2" s="1"/>
  <c r="C84" i="2"/>
  <c r="F36" i="2"/>
  <c r="F35" i="2" s="1"/>
  <c r="E36" i="2"/>
  <c r="E35" i="2" s="1"/>
  <c r="D36" i="2"/>
  <c r="D35" i="2" s="1"/>
  <c r="C36" i="2"/>
  <c r="C35" i="2" s="1"/>
  <c r="F489" i="2"/>
  <c r="E489" i="2"/>
  <c r="D489" i="2"/>
  <c r="C489" i="2"/>
  <c r="F465" i="2"/>
  <c r="E465" i="2"/>
  <c r="D465" i="2"/>
  <c r="C465" i="2"/>
  <c r="F441" i="2"/>
  <c r="E441" i="2"/>
  <c r="D441" i="2"/>
  <c r="C441" i="2"/>
  <c r="F417" i="2"/>
  <c r="E417" i="2"/>
  <c r="D417" i="2"/>
  <c r="C417" i="2"/>
  <c r="F416" i="2"/>
  <c r="F393" i="2"/>
  <c r="E393" i="2"/>
  <c r="D393" i="2"/>
  <c r="C393" i="2"/>
  <c r="F369" i="2"/>
  <c r="E369" i="2"/>
  <c r="D369" i="2"/>
  <c r="C369" i="2"/>
  <c r="F344" i="2"/>
  <c r="E344" i="2"/>
  <c r="D344" i="2"/>
  <c r="C344" i="2"/>
  <c r="F320" i="2"/>
  <c r="E320" i="2"/>
  <c r="D320" i="2"/>
  <c r="C320" i="2"/>
  <c r="F271" i="2"/>
  <c r="E271" i="2"/>
  <c r="D271" i="2"/>
  <c r="C271" i="2"/>
  <c r="C270" i="2" s="1"/>
  <c r="F247" i="2"/>
  <c r="E247" i="2"/>
  <c r="D247" i="2"/>
  <c r="C247" i="2"/>
  <c r="F222" i="2"/>
  <c r="E222" i="2"/>
  <c r="D222" i="2"/>
  <c r="C222" i="2"/>
  <c r="F198" i="2"/>
  <c r="E198" i="2"/>
  <c r="D198" i="2"/>
  <c r="C198" i="2"/>
  <c r="F174" i="2"/>
  <c r="E174" i="2"/>
  <c r="D174" i="2"/>
  <c r="C174" i="2"/>
  <c r="F150" i="2"/>
  <c r="E150" i="2"/>
  <c r="D150" i="2"/>
  <c r="C150" i="2"/>
  <c r="F126" i="2"/>
  <c r="E126" i="2"/>
  <c r="D126" i="2"/>
  <c r="C126" i="2"/>
  <c r="F102" i="2"/>
  <c r="E102" i="2"/>
  <c r="D102" i="2"/>
  <c r="C102" i="2"/>
  <c r="F78" i="2"/>
  <c r="E78" i="2"/>
  <c r="D78" i="2"/>
  <c r="C78" i="2"/>
  <c r="F30" i="2"/>
  <c r="E30" i="2"/>
  <c r="D30" i="2"/>
  <c r="C30" i="2"/>
  <c r="D12" i="2"/>
  <c r="E12" i="2"/>
  <c r="F12" i="2"/>
  <c r="C12" i="2"/>
  <c r="D6" i="2"/>
  <c r="E6" i="2"/>
  <c r="F6" i="2"/>
  <c r="C6" i="2"/>
  <c r="I518" i="2"/>
  <c r="H518" i="2"/>
  <c r="H505" i="2"/>
  <c r="I505" i="2" s="1"/>
  <c r="H504" i="2"/>
  <c r="I504" i="2" s="1"/>
  <c r="H503" i="2"/>
  <c r="H497" i="2"/>
  <c r="H496" i="2"/>
  <c r="H492" i="2"/>
  <c r="H482" i="2"/>
  <c r="H480" i="2"/>
  <c r="I480" i="2" s="1"/>
  <c r="H479" i="2"/>
  <c r="H473" i="2"/>
  <c r="H472" i="2"/>
  <c r="H468" i="2"/>
  <c r="H459" i="2"/>
  <c r="H456" i="2"/>
  <c r="H452" i="2"/>
  <c r="I452" i="2" s="1"/>
  <c r="H448" i="2"/>
  <c r="I448" i="2" s="1"/>
  <c r="J448" i="2" s="1"/>
  <c r="H444" i="2"/>
  <c r="H438" i="2"/>
  <c r="H435" i="2"/>
  <c r="I435" i="2" s="1"/>
  <c r="H425" i="2"/>
  <c r="I425" i="2" s="1"/>
  <c r="H424" i="2"/>
  <c r="I424" i="2" s="1"/>
  <c r="H420" i="2"/>
  <c r="H414" i="2"/>
  <c r="H411" i="2"/>
  <c r="I411" i="2" s="1"/>
  <c r="H409" i="2"/>
  <c r="I409" i="2" s="1"/>
  <c r="J409" i="2" s="1"/>
  <c r="H408" i="2"/>
  <c r="H407" i="2"/>
  <c r="H401" i="2"/>
  <c r="I401" i="2" s="1"/>
  <c r="H400" i="2"/>
  <c r="H396" i="2"/>
  <c r="H384" i="2"/>
  <c r="H377" i="2"/>
  <c r="H376" i="2"/>
  <c r="I376" i="2" s="1"/>
  <c r="J376" i="2" s="1"/>
  <c r="H347" i="2"/>
  <c r="H341" i="2"/>
  <c r="H338" i="2"/>
  <c r="I338" i="2" s="1"/>
  <c r="J338" i="2" s="1"/>
  <c r="I331" i="2"/>
  <c r="H328" i="2"/>
  <c r="I328" i="2" s="1"/>
  <c r="H327" i="2"/>
  <c r="H323" i="2"/>
  <c r="H287" i="2"/>
  <c r="I287" i="2" s="1"/>
  <c r="J287" i="2" s="1"/>
  <c r="H286" i="2"/>
  <c r="H285" i="2"/>
  <c r="H282" i="2"/>
  <c r="I282" i="2" s="1"/>
  <c r="J282" i="2" s="1"/>
  <c r="H279" i="2"/>
  <c r="H278" i="2"/>
  <c r="I278" i="2" s="1"/>
  <c r="J278" i="2" s="1"/>
  <c r="H274" i="2"/>
  <c r="H268" i="2"/>
  <c r="I268" i="2" s="1"/>
  <c r="H263" i="2"/>
  <c r="I263" i="2" s="1"/>
  <c r="H262" i="2"/>
  <c r="H261" i="2"/>
  <c r="H255" i="2"/>
  <c r="H254" i="2"/>
  <c r="H250" i="2"/>
  <c r="H238" i="2"/>
  <c r="H237" i="2"/>
  <c r="I237" i="2" s="1"/>
  <c r="J237" i="2" s="1"/>
  <c r="H233" i="2"/>
  <c r="I233" i="2" s="1"/>
  <c r="H230" i="2"/>
  <c r="H229" i="2"/>
  <c r="H225" i="2"/>
  <c r="H219" i="2"/>
  <c r="I219" i="2" s="1"/>
  <c r="H214" i="2"/>
  <c r="I214" i="2" s="1"/>
  <c r="H213" i="2"/>
  <c r="I213" i="2" s="1"/>
  <c r="J213" i="2" s="1"/>
  <c r="H205" i="2"/>
  <c r="H201" i="2"/>
  <c r="H195" i="2"/>
  <c r="I195" i="2" s="1"/>
  <c r="J195" i="2" s="1"/>
  <c r="H189" i="2"/>
  <c r="I189" i="2" s="1"/>
  <c r="H185" i="2"/>
  <c r="I185" i="2" s="1"/>
  <c r="H182" i="2"/>
  <c r="H181" i="2"/>
  <c r="I181" i="2" s="1"/>
  <c r="H177" i="2"/>
  <c r="H166" i="2"/>
  <c r="H165" i="2"/>
  <c r="H153" i="2"/>
  <c r="H147" i="2"/>
  <c r="H137" i="2"/>
  <c r="I137" i="2" s="1"/>
  <c r="H134" i="2"/>
  <c r="H133" i="2"/>
  <c r="I133" i="2" s="1"/>
  <c r="J133" i="2" s="1"/>
  <c r="H129" i="2"/>
  <c r="H123" i="2"/>
  <c r="H114" i="2"/>
  <c r="H113" i="2"/>
  <c r="H105" i="2"/>
  <c r="H93" i="2"/>
  <c r="I93" i="2" s="1"/>
  <c r="J93" i="2" s="1"/>
  <c r="H89" i="2"/>
  <c r="H86" i="2"/>
  <c r="H85" i="2"/>
  <c r="H81" i="2"/>
  <c r="H65" i="2"/>
  <c r="I65" i="2" s="1"/>
  <c r="J65" i="2" s="1"/>
  <c r="H57" i="2"/>
  <c r="H33" i="2"/>
  <c r="H9" i="2"/>
  <c r="H40" i="1"/>
  <c r="F40" i="1"/>
  <c r="D40" i="1"/>
  <c r="H38" i="1"/>
  <c r="F38" i="1"/>
  <c r="I38" i="1" s="1"/>
  <c r="D38" i="1"/>
  <c r="H36" i="1"/>
  <c r="F36" i="1"/>
  <c r="D36" i="1"/>
  <c r="H34" i="1"/>
  <c r="F34" i="1"/>
  <c r="D34" i="1"/>
  <c r="H30" i="1"/>
  <c r="F30" i="1"/>
  <c r="D30" i="1"/>
  <c r="H28" i="1"/>
  <c r="F28" i="1"/>
  <c r="D28" i="1"/>
  <c r="H26" i="1"/>
  <c r="F26" i="1"/>
  <c r="D26" i="1"/>
  <c r="H24" i="1"/>
  <c r="F24" i="1"/>
  <c r="D24" i="1"/>
  <c r="H22" i="1"/>
  <c r="F22" i="1"/>
  <c r="D22" i="1"/>
  <c r="H20" i="1"/>
  <c r="F20" i="1"/>
  <c r="D20" i="1"/>
  <c r="H18" i="1"/>
  <c r="F18" i="1"/>
  <c r="D18" i="1"/>
  <c r="H16" i="1"/>
  <c r="F16" i="1"/>
  <c r="D16" i="1"/>
  <c r="H14" i="1"/>
  <c r="F14" i="1"/>
  <c r="D14" i="1"/>
  <c r="H12" i="1"/>
  <c r="F12" i="1"/>
  <c r="D12" i="1"/>
  <c r="H10" i="1"/>
  <c r="F10" i="1"/>
  <c r="D10" i="1"/>
  <c r="H8" i="1"/>
  <c r="F8" i="1"/>
  <c r="D8" i="1"/>
  <c r="H6" i="1"/>
  <c r="F6" i="1"/>
  <c r="D6" i="1"/>
  <c r="F149" i="2" l="1"/>
  <c r="F270" i="2"/>
  <c r="D125" i="2"/>
  <c r="I261" i="2"/>
  <c r="J261" i="2" s="1"/>
  <c r="I34" i="1"/>
  <c r="F29" i="2"/>
  <c r="J12" i="1"/>
  <c r="J30" i="1"/>
  <c r="J38" i="1"/>
  <c r="F392" i="2"/>
  <c r="C392" i="2"/>
  <c r="D422" i="2"/>
  <c r="D416" i="2" s="1"/>
  <c r="D494" i="2"/>
  <c r="D488" i="2" s="1"/>
  <c r="E270" i="2"/>
  <c r="E392" i="2"/>
  <c r="E488" i="2"/>
  <c r="D518" i="2"/>
  <c r="D512" i="2" s="1"/>
  <c r="F488" i="2"/>
  <c r="C246" i="2"/>
  <c r="F518" i="2"/>
  <c r="F512" i="2" s="1"/>
  <c r="D101" i="2"/>
  <c r="D149" i="2"/>
  <c r="D270" i="2"/>
  <c r="C325" i="2"/>
  <c r="C319" i="2" s="1"/>
  <c r="C470" i="2"/>
  <c r="C464" i="2" s="1"/>
  <c r="C518" i="2"/>
  <c r="J505" i="2"/>
  <c r="D173" i="2"/>
  <c r="E101" i="2"/>
  <c r="I28" i="1"/>
  <c r="I12" i="1"/>
  <c r="K12" i="1" s="1"/>
  <c r="J8" i="1"/>
  <c r="D29" i="2"/>
  <c r="E470" i="2"/>
  <c r="E464" i="2" s="1"/>
  <c r="D446" i="2"/>
  <c r="D440" i="2" s="1"/>
  <c r="E349" i="2"/>
  <c r="E343" i="2" s="1"/>
  <c r="D349" i="2"/>
  <c r="D343" i="2" s="1"/>
  <c r="F343" i="2"/>
  <c r="F246" i="2"/>
  <c r="E246" i="2"/>
  <c r="D246" i="2"/>
  <c r="E149" i="2"/>
  <c r="F131" i="2"/>
  <c r="F125" i="2" s="1"/>
  <c r="F107" i="2"/>
  <c r="F101" i="2" s="1"/>
  <c r="F83" i="2"/>
  <c r="F77" i="2" s="1"/>
  <c r="E77" i="2"/>
  <c r="D77" i="2"/>
  <c r="I20" i="1"/>
  <c r="I16" i="1"/>
  <c r="J14" i="1"/>
  <c r="J34" i="1"/>
  <c r="I472" i="2"/>
  <c r="J24" i="1"/>
  <c r="J16" i="1"/>
  <c r="E518" i="2"/>
  <c r="E512" i="2" s="1"/>
  <c r="C488" i="2"/>
  <c r="D470" i="2"/>
  <c r="F470" i="2"/>
  <c r="F464" i="2" s="1"/>
  <c r="F446" i="2"/>
  <c r="F440" i="2" s="1"/>
  <c r="E446" i="2"/>
  <c r="E440" i="2" s="1"/>
  <c r="C446" i="2"/>
  <c r="C440" i="2" s="1"/>
  <c r="E422" i="2"/>
  <c r="C422" i="2"/>
  <c r="C416" i="2" s="1"/>
  <c r="D398" i="2"/>
  <c r="E374" i="2"/>
  <c r="D374" i="2"/>
  <c r="D368" i="2" s="1"/>
  <c r="F374" i="2"/>
  <c r="F368" i="2" s="1"/>
  <c r="C374" i="2"/>
  <c r="C368" i="2" s="1"/>
  <c r="C349" i="2"/>
  <c r="C343" i="2" s="1"/>
  <c r="D325" i="2"/>
  <c r="D319" i="2" s="1"/>
  <c r="F325" i="2"/>
  <c r="F319" i="2" s="1"/>
  <c r="F227" i="2"/>
  <c r="F221" i="2" s="1"/>
  <c r="E227" i="2"/>
  <c r="E221" i="2" s="1"/>
  <c r="C227" i="2"/>
  <c r="C221" i="2" s="1"/>
  <c r="D221" i="2"/>
  <c r="C203" i="2"/>
  <c r="C197" i="2" s="1"/>
  <c r="D203" i="2"/>
  <c r="D197" i="2" s="1"/>
  <c r="E203" i="2"/>
  <c r="E197" i="2" s="1"/>
  <c r="F203" i="2"/>
  <c r="F197" i="2" s="1"/>
  <c r="C179" i="2"/>
  <c r="C173" i="2" s="1"/>
  <c r="F179" i="2"/>
  <c r="F173" i="2" s="1"/>
  <c r="E173" i="2"/>
  <c r="C155" i="2"/>
  <c r="C149" i="2" s="1"/>
  <c r="E131" i="2"/>
  <c r="E125" i="2" s="1"/>
  <c r="C131" i="2"/>
  <c r="C125" i="2" s="1"/>
  <c r="C107" i="2"/>
  <c r="C101" i="2" s="1"/>
  <c r="C83" i="2"/>
  <c r="C77" i="2" s="1"/>
  <c r="E29" i="2"/>
  <c r="C29" i="2"/>
  <c r="E11" i="2"/>
  <c r="E5" i="2" s="1"/>
  <c r="D11" i="2"/>
  <c r="D5" i="2" s="1"/>
  <c r="F11" i="2"/>
  <c r="F5" i="2" s="1"/>
  <c r="C11" i="2"/>
  <c r="C5" i="2" s="1"/>
  <c r="J452" i="2"/>
  <c r="J435" i="2"/>
  <c r="J425" i="2"/>
  <c r="I408" i="2"/>
  <c r="J408" i="2" s="1"/>
  <c r="I407" i="2"/>
  <c r="J407" i="2" s="1"/>
  <c r="I384" i="2"/>
  <c r="J384" i="2" s="1"/>
  <c r="I255" i="2"/>
  <c r="J255" i="2" s="1"/>
  <c r="I254" i="2"/>
  <c r="J254" i="2" s="1"/>
  <c r="I230" i="2"/>
  <c r="J230" i="2" s="1"/>
  <c r="J219" i="2"/>
  <c r="J214" i="2"/>
  <c r="J185" i="2"/>
  <c r="J181" i="2"/>
  <c r="I134" i="2"/>
  <c r="J134" i="2" s="1"/>
  <c r="I114" i="2"/>
  <c r="J114" i="2" s="1"/>
  <c r="I113" i="2"/>
  <c r="J113" i="2" s="1"/>
  <c r="I86" i="2"/>
  <c r="J86" i="2" s="1"/>
  <c r="C512" i="2"/>
  <c r="I147" i="2"/>
  <c r="J147" i="2" s="1"/>
  <c r="I165" i="2"/>
  <c r="J165" i="2" s="1"/>
  <c r="I85" i="2"/>
  <c r="J85" i="2" s="1"/>
  <c r="I89" i="2"/>
  <c r="J89" i="2" s="1"/>
  <c r="I123" i="2"/>
  <c r="J123" i="2" s="1"/>
  <c r="I182" i="2"/>
  <c r="J182" i="2" s="1"/>
  <c r="I229" i="2"/>
  <c r="J229" i="2" s="1"/>
  <c r="I262" i="2"/>
  <c r="J262" i="2" s="1"/>
  <c r="I279" i="2"/>
  <c r="J279" i="2" s="1"/>
  <c r="I327" i="2"/>
  <c r="J327" i="2" s="1"/>
  <c r="I497" i="2"/>
  <c r="J497" i="2" s="1"/>
  <c r="J504" i="2"/>
  <c r="J233" i="2"/>
  <c r="J137" i="2"/>
  <c r="I166" i="2"/>
  <c r="J166" i="2" s="1"/>
  <c r="I205" i="2"/>
  <c r="J205" i="2" s="1"/>
  <c r="I238" i="2"/>
  <c r="J238" i="2" s="1"/>
  <c r="J263" i="2"/>
  <c r="I286" i="2"/>
  <c r="J286" i="2" s="1"/>
  <c r="J328" i="2"/>
  <c r="I377" i="2"/>
  <c r="J377" i="2" s="1"/>
  <c r="J401" i="2"/>
  <c r="J411" i="2"/>
  <c r="J424" i="2"/>
  <c r="J189" i="2"/>
  <c r="I285" i="2"/>
  <c r="J285" i="2" s="1"/>
  <c r="I456" i="2"/>
  <c r="J456" i="2" s="1"/>
  <c r="I479" i="2"/>
  <c r="J268" i="2"/>
  <c r="I341" i="2"/>
  <c r="J341" i="2" s="1"/>
  <c r="I473" i="2"/>
  <c r="J473" i="2" s="1"/>
  <c r="J480" i="2"/>
  <c r="J331" i="2"/>
  <c r="I400" i="2"/>
  <c r="J400" i="2" s="1"/>
  <c r="I438" i="2"/>
  <c r="J438" i="2" s="1"/>
  <c r="I503" i="2"/>
  <c r="J503" i="2" s="1"/>
  <c r="I414" i="2"/>
  <c r="J414" i="2" s="1"/>
  <c r="I459" i="2"/>
  <c r="J459" i="2" s="1"/>
  <c r="I482" i="2"/>
  <c r="J482" i="2" s="1"/>
  <c r="I496" i="2"/>
  <c r="J36" i="1"/>
  <c r="J28" i="1"/>
  <c r="K28" i="1" s="1"/>
  <c r="J26" i="1"/>
  <c r="I24" i="1"/>
  <c r="J22" i="1"/>
  <c r="J20" i="1"/>
  <c r="J18" i="1"/>
  <c r="J10" i="1"/>
  <c r="I8" i="1"/>
  <c r="K8" i="1" s="1"/>
  <c r="J6" i="1"/>
  <c r="K38" i="1"/>
  <c r="K34" i="1"/>
  <c r="I6" i="1"/>
  <c r="I10" i="1"/>
  <c r="I14" i="1"/>
  <c r="I18" i="1"/>
  <c r="I22" i="1"/>
  <c r="I26" i="1"/>
  <c r="I30" i="1"/>
  <c r="I36" i="1"/>
  <c r="I40" i="1"/>
  <c r="J40" i="1"/>
  <c r="G536" i="2" l="1"/>
  <c r="G514" i="2"/>
  <c r="H514" i="2" s="1"/>
  <c r="G296" i="2"/>
  <c r="H296" i="2" s="1"/>
  <c r="G481" i="2"/>
  <c r="H481" i="2" s="1"/>
  <c r="I481" i="2" s="1"/>
  <c r="G551" i="2"/>
  <c r="H551" i="2" s="1"/>
  <c r="I551" i="2" s="1"/>
  <c r="J551" i="2" s="1"/>
  <c r="G529" i="2"/>
  <c r="H529" i="2" s="1"/>
  <c r="I529" i="2" s="1"/>
  <c r="J529" i="2" s="1"/>
  <c r="G311" i="2"/>
  <c r="H311" i="2" s="1"/>
  <c r="G336" i="2"/>
  <c r="H336" i="2" s="1"/>
  <c r="I336" i="2" s="1"/>
  <c r="J336" i="2" s="1"/>
  <c r="G142" i="2"/>
  <c r="H142" i="2" s="1"/>
  <c r="I142" i="2" s="1"/>
  <c r="J142" i="2" s="1"/>
  <c r="G70" i="2"/>
  <c r="H70" i="2" s="1"/>
  <c r="I70" i="2" s="1"/>
  <c r="J70" i="2" s="1"/>
  <c r="G554" i="2"/>
  <c r="H554" i="2" s="1"/>
  <c r="I554" i="2" s="1"/>
  <c r="J554" i="2" s="1"/>
  <c r="G531" i="2"/>
  <c r="H531" i="2" s="1"/>
  <c r="G387" i="2"/>
  <c r="H387" i="2" s="1"/>
  <c r="I387" i="2" s="1"/>
  <c r="J387" i="2" s="1"/>
  <c r="G289" i="2"/>
  <c r="H289" i="2" s="1"/>
  <c r="I289" i="2" s="1"/>
  <c r="J289" i="2" s="1"/>
  <c r="G313" i="2"/>
  <c r="H313" i="2" s="1"/>
  <c r="I313" i="2" s="1"/>
  <c r="J313" i="2" s="1"/>
  <c r="K30" i="1"/>
  <c r="K14" i="1"/>
  <c r="G14" i="2" s="1"/>
  <c r="H14" i="2" s="1"/>
  <c r="I14" i="2" s="1"/>
  <c r="J14" i="2" s="1"/>
  <c r="G542" i="2"/>
  <c r="H542" i="2" s="1"/>
  <c r="G520" i="2"/>
  <c r="H520" i="2" s="1"/>
  <c r="I520" i="2" s="1"/>
  <c r="J520" i="2" s="1"/>
  <c r="K20" i="1"/>
  <c r="K16" i="1"/>
  <c r="G207" i="2" s="1"/>
  <c r="H207" i="2" s="1"/>
  <c r="G474" i="2"/>
  <c r="H474" i="2" s="1"/>
  <c r="G498" i="2"/>
  <c r="H498" i="2" s="1"/>
  <c r="G466" i="2"/>
  <c r="H466" i="2" s="1"/>
  <c r="G490" i="2"/>
  <c r="H490" i="2" s="1"/>
  <c r="G449" i="2"/>
  <c r="H449" i="2" s="1"/>
  <c r="I449" i="2" s="1"/>
  <c r="J449" i="2" s="1"/>
  <c r="G62" i="2"/>
  <c r="H62" i="2" s="1"/>
  <c r="I62" i="2" s="1"/>
  <c r="J62" i="2" s="1"/>
  <c r="G110" i="2"/>
  <c r="H110" i="2" s="1"/>
  <c r="I110" i="2" s="1"/>
  <c r="J110" i="2" s="1"/>
  <c r="G206" i="2"/>
  <c r="H206" i="2" s="1"/>
  <c r="G38" i="2"/>
  <c r="H38" i="2" s="1"/>
  <c r="I38" i="2" s="1"/>
  <c r="J38" i="2" s="1"/>
  <c r="G157" i="2"/>
  <c r="H157" i="2" s="1"/>
  <c r="I157" i="2" s="1"/>
  <c r="J157" i="2" s="1"/>
  <c r="G61" i="2"/>
  <c r="H61" i="2" s="1"/>
  <c r="I61" i="2" s="1"/>
  <c r="J61" i="2" s="1"/>
  <c r="G351" i="2"/>
  <c r="H351" i="2" s="1"/>
  <c r="G109" i="2"/>
  <c r="H109" i="2" s="1"/>
  <c r="G37" i="2"/>
  <c r="H37" i="2" s="1"/>
  <c r="I37" i="2" s="1"/>
  <c r="J37" i="2" s="1"/>
  <c r="G13" i="2"/>
  <c r="H13" i="2" s="1"/>
  <c r="G507" i="2"/>
  <c r="H507" i="2" s="1"/>
  <c r="I507" i="2" s="1"/>
  <c r="J507" i="2" s="1"/>
  <c r="G483" i="2"/>
  <c r="H483" i="2" s="1"/>
  <c r="I483" i="2" s="1"/>
  <c r="J483" i="2" s="1"/>
  <c r="J496" i="2"/>
  <c r="J479" i="2"/>
  <c r="J472" i="2"/>
  <c r="G192" i="2"/>
  <c r="H192" i="2" s="1"/>
  <c r="I192" i="2" s="1"/>
  <c r="J192" i="2" s="1"/>
  <c r="G120" i="2"/>
  <c r="H120" i="2" s="1"/>
  <c r="I120" i="2" s="1"/>
  <c r="J120" i="2" s="1"/>
  <c r="G48" i="2"/>
  <c r="H48" i="2" s="1"/>
  <c r="I48" i="2" s="1"/>
  <c r="J48" i="2" s="1"/>
  <c r="G24" i="2"/>
  <c r="H24" i="2" s="1"/>
  <c r="I24" i="2" s="1"/>
  <c r="J24" i="2" s="1"/>
  <c r="G265" i="2"/>
  <c r="H265" i="2" s="1"/>
  <c r="I265" i="2" s="1"/>
  <c r="J265" i="2" s="1"/>
  <c r="G216" i="2"/>
  <c r="H216" i="2" s="1"/>
  <c r="I216" i="2" s="1"/>
  <c r="J216" i="2" s="1"/>
  <c r="G96" i="2"/>
  <c r="H96" i="2" s="1"/>
  <c r="I96" i="2" s="1"/>
  <c r="J96" i="2" s="1"/>
  <c r="G168" i="2"/>
  <c r="H168" i="2" s="1"/>
  <c r="G144" i="2"/>
  <c r="H144" i="2" s="1"/>
  <c r="I144" i="2" s="1"/>
  <c r="J144" i="2" s="1"/>
  <c r="G362" i="2"/>
  <c r="H362" i="2" s="1"/>
  <c r="I362" i="2" s="1"/>
  <c r="J362" i="2" s="1"/>
  <c r="G240" i="2"/>
  <c r="H240" i="2" s="1"/>
  <c r="I240" i="2" s="1"/>
  <c r="J240" i="2" s="1"/>
  <c r="G72" i="2"/>
  <c r="H72" i="2" s="1"/>
  <c r="I72" i="2" s="1"/>
  <c r="J72" i="2" s="1"/>
  <c r="K36" i="1"/>
  <c r="G457" i="2"/>
  <c r="H457" i="2" s="1"/>
  <c r="I457" i="2" s="1"/>
  <c r="J457" i="2" s="1"/>
  <c r="G118" i="2"/>
  <c r="H118" i="2" s="1"/>
  <c r="I118" i="2" s="1"/>
  <c r="J118" i="2" s="1"/>
  <c r="G94" i="2"/>
  <c r="H94" i="2" s="1"/>
  <c r="I94" i="2" s="1"/>
  <c r="J94" i="2" s="1"/>
  <c r="G433" i="2"/>
  <c r="H433" i="2" s="1"/>
  <c r="G190" i="2"/>
  <c r="H190" i="2" s="1"/>
  <c r="I190" i="2" s="1"/>
  <c r="J190" i="2" s="1"/>
  <c r="G22" i="2"/>
  <c r="H22" i="2" s="1"/>
  <c r="I22" i="2" s="1"/>
  <c r="J22" i="2" s="1"/>
  <c r="G385" i="2"/>
  <c r="H385" i="2" s="1"/>
  <c r="I385" i="2" s="1"/>
  <c r="J385" i="2" s="1"/>
  <c r="G360" i="2"/>
  <c r="H360" i="2" s="1"/>
  <c r="G46" i="2"/>
  <c r="H46" i="2" s="1"/>
  <c r="I46" i="2" s="1"/>
  <c r="J46" i="2" s="1"/>
  <c r="K6" i="1"/>
  <c r="K24" i="1"/>
  <c r="G418" i="2"/>
  <c r="H418" i="2" s="1"/>
  <c r="G394" i="2"/>
  <c r="H394" i="2" s="1"/>
  <c r="G321" i="2"/>
  <c r="H321" i="2" s="1"/>
  <c r="G175" i="2"/>
  <c r="H175" i="2" s="1"/>
  <c r="G103" i="2"/>
  <c r="H103" i="2" s="1"/>
  <c r="G79" i="2"/>
  <c r="H79" i="2" s="1"/>
  <c r="G55" i="2"/>
  <c r="H55" i="2" s="1"/>
  <c r="G199" i="2"/>
  <c r="H199" i="2" s="1"/>
  <c r="G151" i="2"/>
  <c r="H151" i="2" s="1"/>
  <c r="G7" i="2"/>
  <c r="H7" i="2" s="1"/>
  <c r="G370" i="2"/>
  <c r="H370" i="2" s="1"/>
  <c r="G272" i="2"/>
  <c r="H272" i="2" s="1"/>
  <c r="G223" i="2"/>
  <c r="H223" i="2" s="1"/>
  <c r="G127" i="2"/>
  <c r="H127" i="2" s="1"/>
  <c r="G442" i="2"/>
  <c r="H442" i="2" s="1"/>
  <c r="G345" i="2"/>
  <c r="H345" i="2" s="1"/>
  <c r="G248" i="2"/>
  <c r="H248" i="2" s="1"/>
  <c r="G31" i="2"/>
  <c r="H31" i="2" s="1"/>
  <c r="K22" i="1"/>
  <c r="H258" i="2"/>
  <c r="I258" i="2" s="1"/>
  <c r="J258" i="2" s="1"/>
  <c r="H209" i="2"/>
  <c r="I209" i="2" s="1"/>
  <c r="J209" i="2" s="1"/>
  <c r="H17" i="2"/>
  <c r="I17" i="2" s="1"/>
  <c r="J17" i="2" s="1"/>
  <c r="H380" i="2"/>
  <c r="I380" i="2" s="1"/>
  <c r="J380" i="2" s="1"/>
  <c r="K18" i="1"/>
  <c r="G426" i="2"/>
  <c r="H426" i="2" s="1"/>
  <c r="G402" i="2"/>
  <c r="H402" i="2" s="1"/>
  <c r="G256" i="2"/>
  <c r="H256" i="2" s="1"/>
  <c r="G135" i="2"/>
  <c r="H135" i="2" s="1"/>
  <c r="G63" i="2"/>
  <c r="H63" i="2" s="1"/>
  <c r="G353" i="2"/>
  <c r="H353" i="2" s="1"/>
  <c r="G111" i="2"/>
  <c r="H111" i="2" s="1"/>
  <c r="G15" i="2"/>
  <c r="H15" i="2" s="1"/>
  <c r="G450" i="2"/>
  <c r="H450" i="2" s="1"/>
  <c r="G378" i="2"/>
  <c r="H378" i="2" s="1"/>
  <c r="G329" i="2"/>
  <c r="H329" i="2" s="1"/>
  <c r="G231" i="2"/>
  <c r="H231" i="2" s="1"/>
  <c r="G159" i="2"/>
  <c r="H159" i="2" s="1"/>
  <c r="G280" i="2"/>
  <c r="H280" i="2" s="1"/>
  <c r="G183" i="2"/>
  <c r="H183" i="2" s="1"/>
  <c r="G87" i="2"/>
  <c r="H87" i="2" s="1"/>
  <c r="G39" i="2"/>
  <c r="H39" i="2" s="1"/>
  <c r="D464" i="2"/>
  <c r="E416" i="2"/>
  <c r="D392" i="2"/>
  <c r="E368" i="2"/>
  <c r="E319" i="2"/>
  <c r="K40" i="1"/>
  <c r="K26" i="1"/>
  <c r="K10" i="1"/>
  <c r="H247" i="2" l="1"/>
  <c r="J481" i="2"/>
  <c r="G27" i="2"/>
  <c r="H27" i="2" s="1"/>
  <c r="G558" i="2"/>
  <c r="H558" i="2" s="1"/>
  <c r="G317" i="2"/>
  <c r="H317" i="2" s="1"/>
  <c r="I317" i="2" s="1"/>
  <c r="J317" i="2" s="1"/>
  <c r="G75" i="2"/>
  <c r="H75" i="2" s="1"/>
  <c r="I75" i="2" s="1"/>
  <c r="J75" i="2" s="1"/>
  <c r="I296" i="2"/>
  <c r="J296" i="2" s="1"/>
  <c r="G537" i="2"/>
  <c r="H537" i="2" s="1"/>
  <c r="I537" i="2" s="1"/>
  <c r="J537" i="2" s="1"/>
  <c r="G515" i="2"/>
  <c r="H515" i="2" s="1"/>
  <c r="H513" i="2" s="1"/>
  <c r="G297" i="2"/>
  <c r="H297" i="2" s="1"/>
  <c r="I297" i="2" s="1"/>
  <c r="J297" i="2" s="1"/>
  <c r="G506" i="2"/>
  <c r="H506" i="2" s="1"/>
  <c r="I506" i="2" s="1"/>
  <c r="J506" i="2" s="1"/>
  <c r="G553" i="2"/>
  <c r="H553" i="2" s="1"/>
  <c r="I553" i="2" s="1"/>
  <c r="J553" i="2" s="1"/>
  <c r="G312" i="2"/>
  <c r="H312" i="2" s="1"/>
  <c r="I312" i="2" s="1"/>
  <c r="J312" i="2" s="1"/>
  <c r="G530" i="2"/>
  <c r="H530" i="2" s="1"/>
  <c r="I530" i="2" s="1"/>
  <c r="J530" i="2" s="1"/>
  <c r="G71" i="2"/>
  <c r="H71" i="2" s="1"/>
  <c r="I71" i="2" s="1"/>
  <c r="J71" i="2" s="1"/>
  <c r="G550" i="2"/>
  <c r="H550" i="2" s="1"/>
  <c r="I550" i="2" s="1"/>
  <c r="J550" i="2" s="1"/>
  <c r="G432" i="2"/>
  <c r="H432" i="2" s="1"/>
  <c r="I432" i="2" s="1"/>
  <c r="J432" i="2" s="1"/>
  <c r="G335" i="2"/>
  <c r="H335" i="2" s="1"/>
  <c r="I335" i="2" s="1"/>
  <c r="J335" i="2" s="1"/>
  <c r="G528" i="2"/>
  <c r="H528" i="2" s="1"/>
  <c r="I528" i="2" s="1"/>
  <c r="J528" i="2" s="1"/>
  <c r="G310" i="2"/>
  <c r="H310" i="2" s="1"/>
  <c r="I310" i="2" s="1"/>
  <c r="J310" i="2" s="1"/>
  <c r="G141" i="2"/>
  <c r="H141" i="2" s="1"/>
  <c r="G545" i="2"/>
  <c r="H545" i="2" s="1"/>
  <c r="I545" i="2" s="1"/>
  <c r="J545" i="2" s="1"/>
  <c r="G305" i="2"/>
  <c r="H305" i="2" s="1"/>
  <c r="I305" i="2" s="1"/>
  <c r="J305" i="2" s="1"/>
  <c r="G523" i="2"/>
  <c r="H523" i="2" s="1"/>
  <c r="I523" i="2" s="1"/>
  <c r="J523" i="2" s="1"/>
  <c r="G140" i="2"/>
  <c r="I140" i="2" s="1"/>
  <c r="J140" i="2" s="1"/>
  <c r="G549" i="2"/>
  <c r="H549" i="2" s="1"/>
  <c r="G527" i="2"/>
  <c r="H527" i="2" s="1"/>
  <c r="G309" i="2"/>
  <c r="H309" i="2" s="1"/>
  <c r="G431" i="2"/>
  <c r="H431" i="2" s="1"/>
  <c r="G158" i="2"/>
  <c r="H158" i="2" s="1"/>
  <c r="H500" i="2"/>
  <c r="I500" i="2" s="1"/>
  <c r="J500" i="2" s="1"/>
  <c r="G546" i="2"/>
  <c r="H546" i="2" s="1"/>
  <c r="I546" i="2" s="1"/>
  <c r="J546" i="2" s="1"/>
  <c r="I531" i="2"/>
  <c r="J531" i="2" s="1"/>
  <c r="G547" i="2"/>
  <c r="H547" i="2" s="1"/>
  <c r="I547" i="2" s="1"/>
  <c r="J547" i="2" s="1"/>
  <c r="G525" i="2"/>
  <c r="H525" i="2" s="1"/>
  <c r="G307" i="2"/>
  <c r="H307" i="2" s="1"/>
  <c r="I542" i="2"/>
  <c r="I514" i="2"/>
  <c r="J514" i="2" s="1"/>
  <c r="G555" i="2"/>
  <c r="H555" i="2" s="1"/>
  <c r="I555" i="2" s="1"/>
  <c r="J555" i="2" s="1"/>
  <c r="G388" i="2"/>
  <c r="H388" i="2" s="1"/>
  <c r="G363" i="2"/>
  <c r="H363" i="2" s="1"/>
  <c r="I363" i="2" s="1"/>
  <c r="J363" i="2" s="1"/>
  <c r="G532" i="2"/>
  <c r="H532" i="2" s="1"/>
  <c r="I532" i="2" s="1"/>
  <c r="J532" i="2" s="1"/>
  <c r="G314" i="2"/>
  <c r="H314" i="2" s="1"/>
  <c r="I314" i="2" s="1"/>
  <c r="J314" i="2" s="1"/>
  <c r="I311" i="2"/>
  <c r="J311" i="2" s="1"/>
  <c r="G544" i="2"/>
  <c r="H544" i="2" s="1"/>
  <c r="I544" i="2" s="1"/>
  <c r="J544" i="2" s="1"/>
  <c r="G522" i="2"/>
  <c r="H522" i="2" s="1"/>
  <c r="I522" i="2" s="1"/>
  <c r="J522" i="2" s="1"/>
  <c r="G304" i="2"/>
  <c r="H304" i="2" s="1"/>
  <c r="G543" i="2"/>
  <c r="H543" i="2" s="1"/>
  <c r="I543" i="2" s="1"/>
  <c r="J543" i="2" s="1"/>
  <c r="G352" i="2"/>
  <c r="H352" i="2" s="1"/>
  <c r="I352" i="2" s="1"/>
  <c r="J352" i="2" s="1"/>
  <c r="G521" i="2"/>
  <c r="H521" i="2" s="1"/>
  <c r="H536" i="2"/>
  <c r="H41" i="2"/>
  <c r="I41" i="2" s="1"/>
  <c r="J41" i="2" s="1"/>
  <c r="I428" i="2"/>
  <c r="J428" i="2" s="1"/>
  <c r="H476" i="2"/>
  <c r="I476" i="2" s="1"/>
  <c r="J476" i="2" s="1"/>
  <c r="H161" i="2"/>
  <c r="I161" i="2" s="1"/>
  <c r="J161" i="2" s="1"/>
  <c r="G404" i="2"/>
  <c r="H404" i="2" s="1"/>
  <c r="I404" i="2" s="1"/>
  <c r="J404" i="2" s="1"/>
  <c r="H355" i="2"/>
  <c r="I355" i="2" s="1"/>
  <c r="J355" i="2" s="1"/>
  <c r="G462" i="2"/>
  <c r="H462" i="2" s="1"/>
  <c r="I462" i="2" s="1"/>
  <c r="G477" i="2"/>
  <c r="H477" i="2" s="1"/>
  <c r="I477" i="2" s="1"/>
  <c r="J477" i="2" s="1"/>
  <c r="G501" i="2"/>
  <c r="H501" i="2" s="1"/>
  <c r="I501" i="2" s="1"/>
  <c r="J501" i="2" s="1"/>
  <c r="G453" i="2"/>
  <c r="H453" i="2" s="1"/>
  <c r="I453" i="2" s="1"/>
  <c r="J453" i="2" s="1"/>
  <c r="G475" i="2"/>
  <c r="H475" i="2" s="1"/>
  <c r="I475" i="2" s="1"/>
  <c r="J475" i="2" s="1"/>
  <c r="G499" i="2"/>
  <c r="H499" i="2" s="1"/>
  <c r="I498" i="2"/>
  <c r="I474" i="2"/>
  <c r="I490" i="2"/>
  <c r="J490" i="2" s="1"/>
  <c r="I466" i="2"/>
  <c r="J466" i="2" s="1"/>
  <c r="I158" i="2"/>
  <c r="J158" i="2" s="1"/>
  <c r="I206" i="2"/>
  <c r="J206" i="2" s="1"/>
  <c r="I109" i="2"/>
  <c r="J109" i="2" s="1"/>
  <c r="I351" i="2"/>
  <c r="J351" i="2" s="1"/>
  <c r="I13" i="2"/>
  <c r="J13" i="2" s="1"/>
  <c r="G45" i="2"/>
  <c r="H45" i="2" s="1"/>
  <c r="I45" i="2" s="1"/>
  <c r="J45" i="2" s="1"/>
  <c r="G359" i="2"/>
  <c r="I359" i="2" s="1"/>
  <c r="J359" i="2" s="1"/>
  <c r="G69" i="2"/>
  <c r="H69" i="2" s="1"/>
  <c r="I69" i="2" s="1"/>
  <c r="J69" i="2" s="1"/>
  <c r="G21" i="2"/>
  <c r="H21" i="2" s="1"/>
  <c r="I21" i="2" s="1"/>
  <c r="J21" i="2" s="1"/>
  <c r="G117" i="2"/>
  <c r="H117" i="2" s="1"/>
  <c r="I117" i="2" s="1"/>
  <c r="J117" i="2" s="1"/>
  <c r="G484" i="2"/>
  <c r="H484" i="2" s="1"/>
  <c r="G508" i="2"/>
  <c r="H508" i="2" s="1"/>
  <c r="G292" i="2"/>
  <c r="H292" i="2" s="1"/>
  <c r="I292" i="2" s="1"/>
  <c r="G486" i="2"/>
  <c r="H486" i="2" s="1"/>
  <c r="G510" i="2"/>
  <c r="H510" i="2" s="1"/>
  <c r="G171" i="2"/>
  <c r="H171" i="2" s="1"/>
  <c r="G99" i="2"/>
  <c r="H99" i="2" s="1"/>
  <c r="I99" i="2" s="1"/>
  <c r="G390" i="2"/>
  <c r="H390" i="2" s="1"/>
  <c r="I390" i="2" s="1"/>
  <c r="J390" i="2" s="1"/>
  <c r="G366" i="2"/>
  <c r="H366" i="2" s="1"/>
  <c r="I366" i="2" s="1"/>
  <c r="G244" i="2"/>
  <c r="H244" i="2" s="1"/>
  <c r="I244" i="2" s="1"/>
  <c r="G491" i="2"/>
  <c r="G467" i="2"/>
  <c r="H467" i="2" s="1"/>
  <c r="H465" i="2" s="1"/>
  <c r="G419" i="2"/>
  <c r="H419" i="2" s="1"/>
  <c r="H417" i="2" s="1"/>
  <c r="C21" i="3" s="1"/>
  <c r="D21" i="3" s="1"/>
  <c r="E21" i="3" s="1"/>
  <c r="G249" i="2"/>
  <c r="H249" i="2" s="1"/>
  <c r="I249" i="2" s="1"/>
  <c r="J249" i="2" s="1"/>
  <c r="G176" i="2"/>
  <c r="H176" i="2" s="1"/>
  <c r="H174" i="2" s="1"/>
  <c r="C12" i="3" s="1"/>
  <c r="D12" i="3" s="1"/>
  <c r="E12" i="3" s="1"/>
  <c r="G128" i="2"/>
  <c r="H128" i="2" s="1"/>
  <c r="I128" i="2" s="1"/>
  <c r="J128" i="2" s="1"/>
  <c r="G104" i="2"/>
  <c r="H104" i="2" s="1"/>
  <c r="I104" i="2" s="1"/>
  <c r="J104" i="2" s="1"/>
  <c r="G8" i="2"/>
  <c r="H8" i="2" s="1"/>
  <c r="G395" i="2"/>
  <c r="H395" i="2" s="1"/>
  <c r="G346" i="2"/>
  <c r="H346" i="2" s="1"/>
  <c r="H344" i="2" s="1"/>
  <c r="C18" i="3" s="1"/>
  <c r="D18" i="3" s="1"/>
  <c r="E18" i="3" s="1"/>
  <c r="G224" i="2"/>
  <c r="H224" i="2" s="1"/>
  <c r="G80" i="2"/>
  <c r="H80" i="2" s="1"/>
  <c r="G56" i="2"/>
  <c r="H56" i="2" s="1"/>
  <c r="H54" i="2" s="1"/>
  <c r="C7" i="3" s="1"/>
  <c r="D7" i="3" s="1"/>
  <c r="E7" i="3" s="1"/>
  <c r="G32" i="2"/>
  <c r="H32" i="2" s="1"/>
  <c r="I32" i="2" s="1"/>
  <c r="J32" i="2" s="1"/>
  <c r="G371" i="2"/>
  <c r="H371" i="2" s="1"/>
  <c r="G322" i="2"/>
  <c r="H322" i="2" s="1"/>
  <c r="G443" i="2"/>
  <c r="H443" i="2" s="1"/>
  <c r="H441" i="2" s="1"/>
  <c r="C22" i="3" s="1"/>
  <c r="D22" i="3" s="1"/>
  <c r="E22" i="3" s="1"/>
  <c r="G273" i="2"/>
  <c r="H273" i="2" s="1"/>
  <c r="G200" i="2"/>
  <c r="H200" i="2" s="1"/>
  <c r="H198" i="2" s="1"/>
  <c r="C13" i="3" s="1"/>
  <c r="D13" i="3" s="1"/>
  <c r="E13" i="3" s="1"/>
  <c r="G152" i="2"/>
  <c r="H152" i="2" s="1"/>
  <c r="I152" i="2" s="1"/>
  <c r="J152" i="2" s="1"/>
  <c r="I168" i="2"/>
  <c r="J168" i="2" s="1"/>
  <c r="G460" i="2"/>
  <c r="H460" i="2" s="1"/>
  <c r="G339" i="2"/>
  <c r="H339" i="2" s="1"/>
  <c r="G266" i="2"/>
  <c r="H266" i="2" s="1"/>
  <c r="I266" i="2" s="1"/>
  <c r="J266" i="2" s="1"/>
  <c r="G49" i="2"/>
  <c r="H49" i="2" s="1"/>
  <c r="I49" i="2" s="1"/>
  <c r="J49" i="2" s="1"/>
  <c r="G412" i="2"/>
  <c r="H412" i="2" s="1"/>
  <c r="G169" i="2"/>
  <c r="G121" i="2"/>
  <c r="H121" i="2" s="1"/>
  <c r="I121" i="2" s="1"/>
  <c r="J121" i="2" s="1"/>
  <c r="G25" i="2"/>
  <c r="H25" i="2" s="1"/>
  <c r="I25" i="2" s="1"/>
  <c r="J25" i="2" s="1"/>
  <c r="G290" i="2"/>
  <c r="H290" i="2" s="1"/>
  <c r="G217" i="2"/>
  <c r="H217" i="2" s="1"/>
  <c r="I217" i="2" s="1"/>
  <c r="J217" i="2" s="1"/>
  <c r="G193" i="2"/>
  <c r="H193" i="2" s="1"/>
  <c r="I193" i="2" s="1"/>
  <c r="J193" i="2" s="1"/>
  <c r="G145" i="2"/>
  <c r="H145" i="2" s="1"/>
  <c r="G73" i="2"/>
  <c r="H73" i="2" s="1"/>
  <c r="G436" i="2"/>
  <c r="H436" i="2" s="1"/>
  <c r="I436" i="2" s="1"/>
  <c r="J436" i="2" s="1"/>
  <c r="G241" i="2"/>
  <c r="H241" i="2" s="1"/>
  <c r="I241" i="2" s="1"/>
  <c r="J241" i="2" s="1"/>
  <c r="G97" i="2"/>
  <c r="H97" i="2" s="1"/>
  <c r="I97" i="2" s="1"/>
  <c r="J97" i="2" s="1"/>
  <c r="G410" i="2"/>
  <c r="H410" i="2" s="1"/>
  <c r="G143" i="2"/>
  <c r="H143" i="2" s="1"/>
  <c r="G119" i="2"/>
  <c r="H119" i="2" s="1"/>
  <c r="I119" i="2" s="1"/>
  <c r="J119" i="2" s="1"/>
  <c r="G458" i="2"/>
  <c r="H458" i="2" s="1"/>
  <c r="G434" i="2"/>
  <c r="H434" i="2" s="1"/>
  <c r="G361" i="2"/>
  <c r="H361" i="2" s="1"/>
  <c r="I361" i="2" s="1"/>
  <c r="J361" i="2" s="1"/>
  <c r="G288" i="2"/>
  <c r="H288" i="2" s="1"/>
  <c r="I288" i="2" s="1"/>
  <c r="J288" i="2" s="1"/>
  <c r="G264" i="2"/>
  <c r="H264" i="2" s="1"/>
  <c r="G239" i="2"/>
  <c r="H239" i="2" s="1"/>
  <c r="G215" i="2"/>
  <c r="H215" i="2" s="1"/>
  <c r="I215" i="2" s="1"/>
  <c r="J215" i="2" s="1"/>
  <c r="G47" i="2"/>
  <c r="H47" i="2" s="1"/>
  <c r="I47" i="2" s="1"/>
  <c r="J47" i="2" s="1"/>
  <c r="G95" i="2"/>
  <c r="H95" i="2" s="1"/>
  <c r="I95" i="2" s="1"/>
  <c r="J95" i="2" s="1"/>
  <c r="G23" i="2"/>
  <c r="H23" i="2" s="1"/>
  <c r="I23" i="2" s="1"/>
  <c r="J23" i="2" s="1"/>
  <c r="G386" i="2"/>
  <c r="H386" i="2" s="1"/>
  <c r="I386" i="2" s="1"/>
  <c r="J386" i="2" s="1"/>
  <c r="G337" i="2"/>
  <c r="H337" i="2" s="1"/>
  <c r="G191" i="2"/>
  <c r="H191" i="2" s="1"/>
  <c r="G167" i="2"/>
  <c r="H167" i="2" s="1"/>
  <c r="I167" i="2" s="1"/>
  <c r="J167" i="2" s="1"/>
  <c r="I360" i="2"/>
  <c r="J360" i="2" s="1"/>
  <c r="I433" i="2"/>
  <c r="G51" i="2"/>
  <c r="H51" i="2" s="1"/>
  <c r="I51" i="2" s="1"/>
  <c r="G116" i="2"/>
  <c r="H116" i="2" s="1"/>
  <c r="G92" i="2"/>
  <c r="H92" i="2" s="1"/>
  <c r="G358" i="2"/>
  <c r="H358" i="2" s="1"/>
  <c r="G68" i="2"/>
  <c r="H68" i="2" s="1"/>
  <c r="G334" i="2"/>
  <c r="H334" i="2" s="1"/>
  <c r="G236" i="2"/>
  <c r="H236" i="2" s="1"/>
  <c r="I236" i="2" s="1"/>
  <c r="J236" i="2" s="1"/>
  <c r="G188" i="2"/>
  <c r="H188" i="2" s="1"/>
  <c r="G44" i="2"/>
  <c r="H44" i="2" s="1"/>
  <c r="I44" i="2" s="1"/>
  <c r="J44" i="2" s="1"/>
  <c r="G20" i="2"/>
  <c r="H20" i="2" s="1"/>
  <c r="I20" i="2" s="1"/>
  <c r="J20" i="2" s="1"/>
  <c r="G455" i="2"/>
  <c r="H455" i="2" s="1"/>
  <c r="I455" i="2" s="1"/>
  <c r="J455" i="2" s="1"/>
  <c r="G383" i="2"/>
  <c r="H383" i="2" s="1"/>
  <c r="I383" i="2" s="1"/>
  <c r="J383" i="2" s="1"/>
  <c r="G212" i="2"/>
  <c r="H212" i="2" s="1"/>
  <c r="G164" i="2"/>
  <c r="H164" i="2" s="1"/>
  <c r="I27" i="2"/>
  <c r="I248" i="2"/>
  <c r="I223" i="2"/>
  <c r="I151" i="2"/>
  <c r="J151" i="2" s="1"/>
  <c r="I103" i="2"/>
  <c r="J103" i="2" s="1"/>
  <c r="I418" i="2"/>
  <c r="I345" i="2"/>
  <c r="I272" i="2"/>
  <c r="I199" i="2"/>
  <c r="J199" i="2" s="1"/>
  <c r="I175" i="2"/>
  <c r="I442" i="2"/>
  <c r="I370" i="2"/>
  <c r="J370" i="2" s="1"/>
  <c r="I55" i="2"/>
  <c r="I321" i="2"/>
  <c r="I31" i="2"/>
  <c r="I127" i="2"/>
  <c r="I7" i="2"/>
  <c r="I79" i="2"/>
  <c r="J79" i="2" s="1"/>
  <c r="I394" i="2"/>
  <c r="J394" i="2" s="1"/>
  <c r="G283" i="2"/>
  <c r="H283" i="2" s="1"/>
  <c r="I283" i="2" s="1"/>
  <c r="J283" i="2" s="1"/>
  <c r="G66" i="2"/>
  <c r="H66" i="2" s="1"/>
  <c r="I66" i="2" s="1"/>
  <c r="J66" i="2" s="1"/>
  <c r="G42" i="2"/>
  <c r="H42" i="2" s="1"/>
  <c r="I42" i="2" s="1"/>
  <c r="J42" i="2" s="1"/>
  <c r="G429" i="2"/>
  <c r="H429" i="2" s="1"/>
  <c r="G381" i="2"/>
  <c r="H381" i="2" s="1"/>
  <c r="I381" i="2" s="1"/>
  <c r="J381" i="2" s="1"/>
  <c r="G332" i="2"/>
  <c r="H332" i="2" s="1"/>
  <c r="I332" i="2" s="1"/>
  <c r="J332" i="2" s="1"/>
  <c r="G210" i="2"/>
  <c r="H210" i="2" s="1"/>
  <c r="G90" i="2"/>
  <c r="H90" i="2" s="1"/>
  <c r="I90" i="2" s="1"/>
  <c r="J90" i="2" s="1"/>
  <c r="G405" i="2"/>
  <c r="H405" i="2" s="1"/>
  <c r="G356" i="2"/>
  <c r="H356" i="2" s="1"/>
  <c r="G259" i="2"/>
  <c r="H259" i="2" s="1"/>
  <c r="I259" i="2" s="1"/>
  <c r="J259" i="2" s="1"/>
  <c r="G234" i="2"/>
  <c r="H234" i="2" s="1"/>
  <c r="I234" i="2" s="1"/>
  <c r="J234" i="2" s="1"/>
  <c r="G186" i="2"/>
  <c r="H186" i="2" s="1"/>
  <c r="I186" i="2" s="1"/>
  <c r="J186" i="2" s="1"/>
  <c r="G162" i="2"/>
  <c r="H162" i="2" s="1"/>
  <c r="G138" i="2"/>
  <c r="I138" i="2" s="1"/>
  <c r="J138" i="2" s="1"/>
  <c r="G18" i="2"/>
  <c r="I18" i="2" s="1"/>
  <c r="J18" i="2" s="1"/>
  <c r="G354" i="2"/>
  <c r="H354" i="2" s="1"/>
  <c r="G330" i="2"/>
  <c r="H330" i="2" s="1"/>
  <c r="I330" i="2" s="1"/>
  <c r="J330" i="2" s="1"/>
  <c r="G281" i="2"/>
  <c r="H281" i="2" s="1"/>
  <c r="I281" i="2" s="1"/>
  <c r="J281" i="2" s="1"/>
  <c r="G257" i="2"/>
  <c r="H257" i="2" s="1"/>
  <c r="I257" i="2" s="1"/>
  <c r="J257" i="2" s="1"/>
  <c r="G184" i="2"/>
  <c r="H184" i="2" s="1"/>
  <c r="I184" i="2" s="1"/>
  <c r="J184" i="2" s="1"/>
  <c r="G112" i="2"/>
  <c r="H112" i="2" s="1"/>
  <c r="I112" i="2" s="1"/>
  <c r="J112" i="2" s="1"/>
  <c r="G88" i="2"/>
  <c r="H88" i="2" s="1"/>
  <c r="I88" i="2" s="1"/>
  <c r="J88" i="2" s="1"/>
  <c r="G64" i="2"/>
  <c r="H64" i="2" s="1"/>
  <c r="I64" i="2" s="1"/>
  <c r="J64" i="2" s="1"/>
  <c r="G451" i="2"/>
  <c r="H451" i="2" s="1"/>
  <c r="G403" i="2"/>
  <c r="H403" i="2" s="1"/>
  <c r="I403" i="2" s="1"/>
  <c r="J403" i="2" s="1"/>
  <c r="G232" i="2"/>
  <c r="H232" i="2" s="1"/>
  <c r="I232" i="2" s="1"/>
  <c r="J232" i="2" s="1"/>
  <c r="G427" i="2"/>
  <c r="H427" i="2" s="1"/>
  <c r="I427" i="2" s="1"/>
  <c r="J427" i="2" s="1"/>
  <c r="G379" i="2"/>
  <c r="H379" i="2" s="1"/>
  <c r="I379" i="2" s="1"/>
  <c r="J379" i="2" s="1"/>
  <c r="G208" i="2"/>
  <c r="H208" i="2" s="1"/>
  <c r="I208" i="2" s="1"/>
  <c r="J208" i="2" s="1"/>
  <c r="G160" i="2"/>
  <c r="H160" i="2" s="1"/>
  <c r="G40" i="2"/>
  <c r="H40" i="2" s="1"/>
  <c r="I40" i="2" s="1"/>
  <c r="J40" i="2" s="1"/>
  <c r="G136" i="2"/>
  <c r="H136" i="2" s="1"/>
  <c r="I136" i="2" s="1"/>
  <c r="J136" i="2" s="1"/>
  <c r="G16" i="2"/>
  <c r="H16" i="2" s="1"/>
  <c r="I16" i="2" s="1"/>
  <c r="J16" i="2" s="1"/>
  <c r="I183" i="2"/>
  <c r="I329" i="2"/>
  <c r="I111" i="2"/>
  <c r="H108" i="2"/>
  <c r="I207" i="2"/>
  <c r="I280" i="2"/>
  <c r="I378" i="2"/>
  <c r="I353" i="2"/>
  <c r="I256" i="2"/>
  <c r="I39" i="2"/>
  <c r="I159" i="2"/>
  <c r="I450" i="2"/>
  <c r="I63" i="2"/>
  <c r="I402" i="2"/>
  <c r="I87" i="2"/>
  <c r="I231" i="2"/>
  <c r="I15" i="2"/>
  <c r="I135" i="2"/>
  <c r="I426" i="2"/>
  <c r="H393" i="2" l="1"/>
  <c r="C20" i="3" s="1"/>
  <c r="D20" i="3" s="1"/>
  <c r="E20" i="3" s="1"/>
  <c r="H369" i="2"/>
  <c r="C19" i="3" s="1"/>
  <c r="D19" i="3" s="1"/>
  <c r="E19" i="3" s="1"/>
  <c r="H260" i="2"/>
  <c r="J295" i="2"/>
  <c r="G535" i="2"/>
  <c r="H253" i="2"/>
  <c r="I541" i="2"/>
  <c r="I536" i="2"/>
  <c r="I535" i="2" s="1"/>
  <c r="H535" i="2"/>
  <c r="H301" i="2"/>
  <c r="I304" i="2"/>
  <c r="I388" i="2"/>
  <c r="J388" i="2" s="1"/>
  <c r="J382" i="2" s="1"/>
  <c r="I307" i="2"/>
  <c r="J307" i="2" s="1"/>
  <c r="I549" i="2"/>
  <c r="I548" i="2" s="1"/>
  <c r="H548" i="2"/>
  <c r="H295" i="2"/>
  <c r="I558" i="2"/>
  <c r="J558" i="2" s="1"/>
  <c r="I521" i="2"/>
  <c r="J521" i="2" s="1"/>
  <c r="J542" i="2"/>
  <c r="J541" i="2" s="1"/>
  <c r="I525" i="2"/>
  <c r="J525" i="2" s="1"/>
  <c r="I431" i="2"/>
  <c r="J431" i="2" s="1"/>
  <c r="I141" i="2"/>
  <c r="J141" i="2" s="1"/>
  <c r="I515" i="2"/>
  <c r="I513" i="2" s="1"/>
  <c r="I295" i="2"/>
  <c r="I527" i="2"/>
  <c r="J527" i="2" s="1"/>
  <c r="J526" i="2" s="1"/>
  <c r="H541" i="2"/>
  <c r="I309" i="2"/>
  <c r="H308" i="2"/>
  <c r="J272" i="2"/>
  <c r="J102" i="2"/>
  <c r="H271" i="2"/>
  <c r="C16" i="3" s="1"/>
  <c r="D16" i="3" s="1"/>
  <c r="E16" i="3" s="1"/>
  <c r="H169" i="2"/>
  <c r="H163" i="2" s="1"/>
  <c r="H187" i="2"/>
  <c r="H350" i="2"/>
  <c r="H357" i="2"/>
  <c r="I471" i="2"/>
  <c r="S18" i="3"/>
  <c r="T18" i="3" s="1"/>
  <c r="L18" i="3"/>
  <c r="O18" i="3" s="1"/>
  <c r="P18" i="3" s="1"/>
  <c r="Q18" i="3" s="1"/>
  <c r="S12" i="3"/>
  <c r="T12" i="3" s="1"/>
  <c r="L12" i="3"/>
  <c r="O12" i="3" s="1"/>
  <c r="P12" i="3" s="1"/>
  <c r="Q12" i="3" s="1"/>
  <c r="S22" i="3"/>
  <c r="T22" i="3" s="1"/>
  <c r="L22" i="3"/>
  <c r="O22" i="3" s="1"/>
  <c r="P22" i="3" s="1"/>
  <c r="Q22" i="3" s="1"/>
  <c r="S7" i="3"/>
  <c r="T7" i="3" s="1"/>
  <c r="L7" i="3"/>
  <c r="O7" i="3" s="1"/>
  <c r="P7" i="3" s="1"/>
  <c r="Q7" i="3" s="1"/>
  <c r="S13" i="3"/>
  <c r="T13" i="3" s="1"/>
  <c r="L13" i="3"/>
  <c r="O13" i="3" s="1"/>
  <c r="P13" i="3" s="1"/>
  <c r="Q13" i="3" s="1"/>
  <c r="S21" i="3"/>
  <c r="T21" i="3" s="1"/>
  <c r="L21" i="3"/>
  <c r="O21" i="3" s="1"/>
  <c r="P21" i="3" s="1"/>
  <c r="Q21" i="3" s="1"/>
  <c r="I171" i="2"/>
  <c r="J171" i="2" s="1"/>
  <c r="I180" i="2"/>
  <c r="H375" i="2"/>
  <c r="H447" i="2"/>
  <c r="H471" i="2"/>
  <c r="H30" i="2"/>
  <c r="C6" i="3" s="1"/>
  <c r="H495" i="2"/>
  <c r="H494" i="2" s="1"/>
  <c r="H180" i="2"/>
  <c r="H126" i="2"/>
  <c r="C10" i="3" s="1"/>
  <c r="D10" i="3" s="1"/>
  <c r="E10" i="3" s="1"/>
  <c r="H156" i="2"/>
  <c r="I84" i="2"/>
  <c r="I499" i="2"/>
  <c r="I495" i="2" s="1"/>
  <c r="I494" i="2" s="1"/>
  <c r="H399" i="2"/>
  <c r="H12" i="2"/>
  <c r="J474" i="2"/>
  <c r="J471" i="2" s="1"/>
  <c r="J498" i="2"/>
  <c r="J150" i="2"/>
  <c r="I508" i="2"/>
  <c r="J508" i="2" s="1"/>
  <c r="H235" i="2"/>
  <c r="I484" i="2"/>
  <c r="J484" i="2" s="1"/>
  <c r="I510" i="2"/>
  <c r="J510" i="2" s="1"/>
  <c r="I486" i="2"/>
  <c r="J486" i="2" s="1"/>
  <c r="H478" i="2"/>
  <c r="I322" i="2"/>
  <c r="J322" i="2" s="1"/>
  <c r="I80" i="2"/>
  <c r="J80" i="2" s="1"/>
  <c r="J78" i="2" s="1"/>
  <c r="I8" i="2"/>
  <c r="J8" i="2" s="1"/>
  <c r="H150" i="2"/>
  <c r="C11" i="3" s="1"/>
  <c r="D11" i="3" s="1"/>
  <c r="E11" i="3" s="1"/>
  <c r="I200" i="2"/>
  <c r="J200" i="2" s="1"/>
  <c r="J198" i="2" s="1"/>
  <c r="I371" i="2"/>
  <c r="I369" i="2" s="1"/>
  <c r="I224" i="2"/>
  <c r="I222" i="2" s="1"/>
  <c r="I419" i="2"/>
  <c r="I417" i="2" s="1"/>
  <c r="H320" i="2"/>
  <c r="C17" i="3" s="1"/>
  <c r="D17" i="3" s="1"/>
  <c r="E17" i="3" s="1"/>
  <c r="H102" i="2"/>
  <c r="C9" i="3" s="1"/>
  <c r="D9" i="3" s="1"/>
  <c r="E9" i="3" s="1"/>
  <c r="I150" i="2"/>
  <c r="C15" i="3"/>
  <c r="D15" i="3" s="1"/>
  <c r="E15" i="3" s="1"/>
  <c r="I273" i="2"/>
  <c r="J273" i="2" s="1"/>
  <c r="I346" i="2"/>
  <c r="J346" i="2" s="1"/>
  <c r="I467" i="2"/>
  <c r="I465" i="2" s="1"/>
  <c r="C23" i="3"/>
  <c r="D23" i="3" s="1"/>
  <c r="E23" i="3" s="1"/>
  <c r="H78" i="2"/>
  <c r="C8" i="3" s="1"/>
  <c r="D8" i="3" s="1"/>
  <c r="E8" i="3" s="1"/>
  <c r="H6" i="2"/>
  <c r="C5" i="3" s="1"/>
  <c r="D5" i="3" s="1"/>
  <c r="E5" i="3" s="1"/>
  <c r="I30" i="2"/>
  <c r="I102" i="2"/>
  <c r="H222" i="2"/>
  <c r="C14" i="3" s="1"/>
  <c r="D14" i="3" s="1"/>
  <c r="E14" i="3" s="1"/>
  <c r="I443" i="2"/>
  <c r="J443" i="2" s="1"/>
  <c r="I56" i="2"/>
  <c r="I54" i="2" s="1"/>
  <c r="I395" i="2"/>
  <c r="I393" i="2" s="1"/>
  <c r="I176" i="2"/>
  <c r="I174" i="2" s="1"/>
  <c r="G489" i="2"/>
  <c r="H491" i="2"/>
  <c r="H382" i="2"/>
  <c r="I339" i="2"/>
  <c r="J339" i="2" s="1"/>
  <c r="I73" i="2"/>
  <c r="J73" i="2" s="1"/>
  <c r="I290" i="2"/>
  <c r="I284" i="2" s="1"/>
  <c r="I412" i="2"/>
  <c r="J412" i="2" s="1"/>
  <c r="I460" i="2"/>
  <c r="J460" i="2" s="1"/>
  <c r="H430" i="2"/>
  <c r="H454" i="2"/>
  <c r="I145" i="2"/>
  <c r="J145" i="2" s="1"/>
  <c r="H284" i="2"/>
  <c r="I264" i="2"/>
  <c r="H91" i="2"/>
  <c r="I337" i="2"/>
  <c r="J337" i="2" s="1"/>
  <c r="I191" i="2"/>
  <c r="J191" i="2" s="1"/>
  <c r="I458" i="2"/>
  <c r="J458" i="2" s="1"/>
  <c r="I143" i="2"/>
  <c r="J143" i="2" s="1"/>
  <c r="H139" i="2"/>
  <c r="I239" i="2"/>
  <c r="J239" i="2" s="1"/>
  <c r="I434" i="2"/>
  <c r="J434" i="2" s="1"/>
  <c r="H406" i="2"/>
  <c r="I410" i="2"/>
  <c r="J433" i="2"/>
  <c r="J462" i="2"/>
  <c r="H211" i="2"/>
  <c r="I212" i="2"/>
  <c r="H67" i="2"/>
  <c r="I68" i="2"/>
  <c r="H43" i="2"/>
  <c r="I188" i="2"/>
  <c r="I187" i="2" s="1"/>
  <c r="I358" i="2"/>
  <c r="I357" i="2" s="1"/>
  <c r="I92" i="2"/>
  <c r="J92" i="2" s="1"/>
  <c r="I164" i="2"/>
  <c r="J164" i="2" s="1"/>
  <c r="H333" i="2"/>
  <c r="I334" i="2"/>
  <c r="I116" i="2"/>
  <c r="I115" i="2" s="1"/>
  <c r="H115" i="2"/>
  <c r="H107" i="2" s="1"/>
  <c r="H132" i="2"/>
  <c r="H228" i="2"/>
  <c r="H277" i="2"/>
  <c r="I277" i="2"/>
  <c r="J27" i="2"/>
  <c r="J19" i="2" s="1"/>
  <c r="I19" i="2"/>
  <c r="J51" i="2"/>
  <c r="J43" i="2" s="1"/>
  <c r="I43" i="2"/>
  <c r="J244" i="2"/>
  <c r="J292" i="2"/>
  <c r="J366" i="2"/>
  <c r="J99" i="2"/>
  <c r="J175" i="2"/>
  <c r="F21" i="3"/>
  <c r="I126" i="2"/>
  <c r="J127" i="2"/>
  <c r="J126" i="2" s="1"/>
  <c r="J55" i="2"/>
  <c r="F13" i="3"/>
  <c r="J345" i="2"/>
  <c r="I247" i="2"/>
  <c r="J248" i="2"/>
  <c r="J247" i="2" s="1"/>
  <c r="J7" i="2"/>
  <c r="F7" i="3"/>
  <c r="J442" i="2"/>
  <c r="J223" i="2"/>
  <c r="J31" i="2"/>
  <c r="J30" i="2" s="1"/>
  <c r="J321" i="2"/>
  <c r="F22" i="3"/>
  <c r="F12" i="3"/>
  <c r="F18" i="3"/>
  <c r="J418" i="2"/>
  <c r="I429" i="2"/>
  <c r="I423" i="2" s="1"/>
  <c r="H84" i="2"/>
  <c r="I210" i="2"/>
  <c r="J210" i="2" s="1"/>
  <c r="I162" i="2"/>
  <c r="J162" i="2" s="1"/>
  <c r="I356" i="2"/>
  <c r="J356" i="2" s="1"/>
  <c r="I405" i="2"/>
  <c r="I399" i="2" s="1"/>
  <c r="H36" i="2"/>
  <c r="I160" i="2"/>
  <c r="J160" i="2" s="1"/>
  <c r="H423" i="2"/>
  <c r="H60" i="2"/>
  <c r="H204" i="2"/>
  <c r="H326" i="2"/>
  <c r="I451" i="2"/>
  <c r="I447" i="2" s="1"/>
  <c r="I354" i="2"/>
  <c r="J354" i="2" s="1"/>
  <c r="J231" i="2"/>
  <c r="J228" i="2" s="1"/>
  <c r="I228" i="2"/>
  <c r="J450" i="2"/>
  <c r="J39" i="2"/>
  <c r="J36" i="2" s="1"/>
  <c r="I36" i="2"/>
  <c r="J353" i="2"/>
  <c r="J280" i="2"/>
  <c r="J277" i="2" s="1"/>
  <c r="J426" i="2"/>
  <c r="J87" i="2"/>
  <c r="J84" i="2" s="1"/>
  <c r="J402" i="2"/>
  <c r="J183" i="2"/>
  <c r="J180" i="2" s="1"/>
  <c r="J15" i="2"/>
  <c r="J12" i="2" s="1"/>
  <c r="I12" i="2"/>
  <c r="J63" i="2"/>
  <c r="J60" i="2" s="1"/>
  <c r="I60" i="2"/>
  <c r="J159" i="2"/>
  <c r="J256" i="2"/>
  <c r="J253" i="2" s="1"/>
  <c r="I253" i="2"/>
  <c r="J378" i="2"/>
  <c r="J375" i="2" s="1"/>
  <c r="I375" i="2"/>
  <c r="J111" i="2"/>
  <c r="J108" i="2" s="1"/>
  <c r="I108" i="2"/>
  <c r="J135" i="2"/>
  <c r="J132" i="2" s="1"/>
  <c r="I132" i="2"/>
  <c r="J207" i="2"/>
  <c r="J329" i="2"/>
  <c r="J326" i="2" s="1"/>
  <c r="I326" i="2"/>
  <c r="F6" i="3" l="1"/>
  <c r="D6" i="3"/>
  <c r="E6" i="3" s="1"/>
  <c r="S19" i="3"/>
  <c r="T19" i="3" s="1"/>
  <c r="F19" i="3"/>
  <c r="G19" i="3" s="1"/>
  <c r="L19" i="3"/>
  <c r="O19" i="3" s="1"/>
  <c r="P19" i="3" s="1"/>
  <c r="Q19" i="3" s="1"/>
  <c r="S20" i="3"/>
  <c r="T20" i="3" s="1"/>
  <c r="F20" i="3"/>
  <c r="G20" i="3" s="1"/>
  <c r="L20" i="3"/>
  <c r="O20" i="3" s="1"/>
  <c r="P20" i="3" s="1"/>
  <c r="Q20" i="3" s="1"/>
  <c r="H540" i="2"/>
  <c r="H534" i="2" s="1"/>
  <c r="I382" i="2"/>
  <c r="I374" i="2" s="1"/>
  <c r="J536" i="2"/>
  <c r="J535" i="2" s="1"/>
  <c r="J549" i="2"/>
  <c r="J548" i="2" s="1"/>
  <c r="J540" i="2" s="1"/>
  <c r="J519" i="2"/>
  <c r="J518" i="2" s="1"/>
  <c r="J309" i="2"/>
  <c r="J308" i="2" s="1"/>
  <c r="I308" i="2"/>
  <c r="J304" i="2"/>
  <c r="J301" i="2" s="1"/>
  <c r="I301" i="2"/>
  <c r="J515" i="2"/>
  <c r="J513" i="2" s="1"/>
  <c r="H300" i="2"/>
  <c r="I540" i="2"/>
  <c r="I534" i="2" s="1"/>
  <c r="I271" i="2"/>
  <c r="J271" i="2"/>
  <c r="S16" i="3"/>
  <c r="T16" i="3" s="1"/>
  <c r="L16" i="3"/>
  <c r="O16" i="3" s="1"/>
  <c r="P16" i="3" s="1"/>
  <c r="Q16" i="3" s="1"/>
  <c r="F16" i="3"/>
  <c r="I16" i="3"/>
  <c r="H349" i="2"/>
  <c r="I169" i="2"/>
  <c r="J169" i="2" s="1"/>
  <c r="J163" i="2" s="1"/>
  <c r="I91" i="2"/>
  <c r="I83" i="2" s="1"/>
  <c r="J499" i="2"/>
  <c r="J495" i="2" s="1"/>
  <c r="J374" i="2"/>
  <c r="H374" i="2"/>
  <c r="H446" i="2"/>
  <c r="H155" i="2"/>
  <c r="I6" i="3"/>
  <c r="S14" i="3"/>
  <c r="T14" i="3" s="1"/>
  <c r="L14" i="3"/>
  <c r="O14" i="3" s="1"/>
  <c r="P14" i="3" s="1"/>
  <c r="Q14" i="3" s="1"/>
  <c r="S8" i="3"/>
  <c r="T8" i="3" s="1"/>
  <c r="L8" i="3"/>
  <c r="O8" i="3" s="1"/>
  <c r="P8" i="3" s="1"/>
  <c r="Q8" i="3" s="1"/>
  <c r="S17" i="3"/>
  <c r="T17" i="3" s="1"/>
  <c r="L17" i="3"/>
  <c r="M17" i="3" s="1"/>
  <c r="N17" i="3" s="1"/>
  <c r="S23" i="3"/>
  <c r="T23" i="3" s="1"/>
  <c r="L23" i="3"/>
  <c r="O23" i="3" s="1"/>
  <c r="P23" i="3" s="1"/>
  <c r="Q23" i="3" s="1"/>
  <c r="S15" i="3"/>
  <c r="T15" i="3" s="1"/>
  <c r="L15" i="3"/>
  <c r="O15" i="3" s="1"/>
  <c r="P15" i="3" s="1"/>
  <c r="Q15" i="3" s="1"/>
  <c r="S11" i="3"/>
  <c r="T11" i="3" s="1"/>
  <c r="L11" i="3"/>
  <c r="O11" i="3" s="1"/>
  <c r="P11" i="3" s="1"/>
  <c r="Q11" i="3" s="1"/>
  <c r="S6" i="3"/>
  <c r="T6" i="3" s="1"/>
  <c r="L6" i="3"/>
  <c r="M6" i="3" s="1"/>
  <c r="N6" i="3" s="1"/>
  <c r="S5" i="3"/>
  <c r="L5" i="3"/>
  <c r="S9" i="3"/>
  <c r="T9" i="3" s="1"/>
  <c r="L9" i="3"/>
  <c r="O9" i="3" s="1"/>
  <c r="P9" i="3" s="1"/>
  <c r="S10" i="3"/>
  <c r="T10" i="3" s="1"/>
  <c r="L10" i="3"/>
  <c r="O10" i="3" s="1"/>
  <c r="F11" i="3"/>
  <c r="I14" i="3"/>
  <c r="I478" i="2"/>
  <c r="I470" i="2" s="1"/>
  <c r="H470" i="2"/>
  <c r="J451" i="2"/>
  <c r="J447" i="2" s="1"/>
  <c r="H179" i="2"/>
  <c r="H11" i="2"/>
  <c r="H5" i="2" s="1"/>
  <c r="F10" i="3"/>
  <c r="I344" i="2"/>
  <c r="I10" i="3"/>
  <c r="F9" i="3"/>
  <c r="G18" i="3"/>
  <c r="H398" i="2"/>
  <c r="I17" i="3"/>
  <c r="F17" i="3"/>
  <c r="H227" i="2"/>
  <c r="I198" i="2"/>
  <c r="J176" i="2"/>
  <c r="J174" i="2" s="1"/>
  <c r="I8" i="3"/>
  <c r="J8" i="3" s="1"/>
  <c r="K8" i="3" s="1"/>
  <c r="F8" i="3"/>
  <c r="I78" i="2"/>
  <c r="J429" i="2"/>
  <c r="J423" i="2" s="1"/>
  <c r="I204" i="2"/>
  <c r="J56" i="2"/>
  <c r="J54" i="2" s="1"/>
  <c r="F14" i="3"/>
  <c r="F5" i="3"/>
  <c r="I11" i="3"/>
  <c r="I15" i="3"/>
  <c r="J430" i="2"/>
  <c r="I430" i="2"/>
  <c r="I422" i="2" s="1"/>
  <c r="J290" i="2"/>
  <c r="J284" i="2" s="1"/>
  <c r="J276" i="2" s="1"/>
  <c r="J502" i="2"/>
  <c r="H325" i="2"/>
  <c r="J478" i="2"/>
  <c r="J470" i="2" s="1"/>
  <c r="H276" i="2"/>
  <c r="J419" i="2"/>
  <c r="J417" i="2" s="1"/>
  <c r="J371" i="2"/>
  <c r="J369" i="2" s="1"/>
  <c r="J224" i="2"/>
  <c r="J222" i="2" s="1"/>
  <c r="J6" i="2"/>
  <c r="I441" i="2"/>
  <c r="I6" i="2"/>
  <c r="I320" i="2"/>
  <c r="F15" i="3"/>
  <c r="J344" i="2"/>
  <c r="J467" i="2"/>
  <c r="J465" i="2" s="1"/>
  <c r="J320" i="2"/>
  <c r="J441" i="2"/>
  <c r="H489" i="2"/>
  <c r="C24" i="3" s="1"/>
  <c r="I491" i="2"/>
  <c r="J395" i="2"/>
  <c r="J393" i="2" s="1"/>
  <c r="F23" i="3"/>
  <c r="J405" i="2"/>
  <c r="J399" i="2" s="1"/>
  <c r="H422" i="2"/>
  <c r="H35" i="2"/>
  <c r="H59" i="2"/>
  <c r="J35" i="2"/>
  <c r="J29" i="2" s="1"/>
  <c r="H203" i="2"/>
  <c r="J454" i="2"/>
  <c r="J139" i="2"/>
  <c r="J131" i="2" s="1"/>
  <c r="J125" i="2" s="1"/>
  <c r="I454" i="2"/>
  <c r="I446" i="2" s="1"/>
  <c r="H83" i="2"/>
  <c r="I35" i="2"/>
  <c r="H252" i="2"/>
  <c r="H131" i="2"/>
  <c r="I139" i="2"/>
  <c r="I131" i="2" s="1"/>
  <c r="I235" i="2"/>
  <c r="I227" i="2" s="1"/>
  <c r="J410" i="2"/>
  <c r="J406" i="2" s="1"/>
  <c r="I406" i="2"/>
  <c r="I398" i="2" s="1"/>
  <c r="J235" i="2"/>
  <c r="J227" i="2" s="1"/>
  <c r="J264" i="2"/>
  <c r="J260" i="2" s="1"/>
  <c r="J252" i="2" s="1"/>
  <c r="J246" i="2" s="1"/>
  <c r="I260" i="2"/>
  <c r="I252" i="2" s="1"/>
  <c r="J188" i="2"/>
  <c r="I179" i="2"/>
  <c r="J334" i="2"/>
  <c r="J333" i="2" s="1"/>
  <c r="J325" i="2" s="1"/>
  <c r="I333" i="2"/>
  <c r="I325" i="2" s="1"/>
  <c r="J212" i="2"/>
  <c r="J211" i="2" s="1"/>
  <c r="I211" i="2"/>
  <c r="J116" i="2"/>
  <c r="J115" i="2" s="1"/>
  <c r="J107" i="2" s="1"/>
  <c r="J101" i="2" s="1"/>
  <c r="J358" i="2"/>
  <c r="J357" i="2" s="1"/>
  <c r="J91" i="2"/>
  <c r="J83" i="2" s="1"/>
  <c r="J77" i="2" s="1"/>
  <c r="I107" i="2"/>
  <c r="J68" i="2"/>
  <c r="J67" i="2" s="1"/>
  <c r="J59" i="2" s="1"/>
  <c r="I67" i="2"/>
  <c r="I59" i="2" s="1"/>
  <c r="I276" i="2"/>
  <c r="I11" i="2"/>
  <c r="J11" i="2"/>
  <c r="I19" i="3"/>
  <c r="J19" i="3" s="1"/>
  <c r="K19" i="3" s="1"/>
  <c r="I7" i="3"/>
  <c r="M7" i="3"/>
  <c r="N7" i="3" s="1"/>
  <c r="G7" i="3"/>
  <c r="I13" i="3"/>
  <c r="M13" i="3"/>
  <c r="N13" i="3" s="1"/>
  <c r="G13" i="3"/>
  <c r="G21" i="3"/>
  <c r="I21" i="3"/>
  <c r="J21" i="3" s="1"/>
  <c r="K21" i="3" s="1"/>
  <c r="M21" i="3"/>
  <c r="N21" i="3" s="1"/>
  <c r="M22" i="3"/>
  <c r="N22" i="3" s="1"/>
  <c r="G22" i="3"/>
  <c r="I22" i="3"/>
  <c r="J22" i="3" s="1"/>
  <c r="K22" i="3" s="1"/>
  <c r="I18" i="3"/>
  <c r="M18" i="3"/>
  <c r="N18" i="3" s="1"/>
  <c r="I20" i="3"/>
  <c r="J20" i="3" s="1"/>
  <c r="K20" i="3" s="1"/>
  <c r="G12" i="3"/>
  <c r="M12" i="3"/>
  <c r="N12" i="3" s="1"/>
  <c r="I12" i="3"/>
  <c r="J204" i="2"/>
  <c r="I350" i="2"/>
  <c r="I349" i="2" s="1"/>
  <c r="I156" i="2"/>
  <c r="J350" i="2"/>
  <c r="J156" i="2"/>
  <c r="C27" i="3" l="1"/>
  <c r="D24" i="3"/>
  <c r="E24" i="3" s="1"/>
  <c r="E27" i="3" s="1"/>
  <c r="M20" i="3"/>
  <c r="N20" i="3" s="1"/>
  <c r="M19" i="3"/>
  <c r="N19" i="3" s="1"/>
  <c r="I300" i="2"/>
  <c r="J300" i="2"/>
  <c r="J294" i="2" s="1"/>
  <c r="J534" i="2"/>
  <c r="G6" i="3"/>
  <c r="G16" i="3"/>
  <c r="J270" i="2"/>
  <c r="I163" i="2"/>
  <c r="J187" i="2"/>
  <c r="J179" i="2" s="1"/>
  <c r="J173" i="2" s="1"/>
  <c r="M11" i="3"/>
  <c r="N11" i="3" s="1"/>
  <c r="J368" i="2"/>
  <c r="J5" i="2"/>
  <c r="O17" i="3"/>
  <c r="P17" i="3" s="1"/>
  <c r="Q17" i="3" s="1"/>
  <c r="M10" i="3"/>
  <c r="N10" i="3" s="1"/>
  <c r="J422" i="2"/>
  <c r="J416" i="2" s="1"/>
  <c r="M9" i="3"/>
  <c r="N9" i="3" s="1"/>
  <c r="G14" i="3"/>
  <c r="S24" i="3"/>
  <c r="T24" i="3" s="1"/>
  <c r="L24" i="3"/>
  <c r="L27" i="3" s="1"/>
  <c r="G15" i="3"/>
  <c r="T5" i="3"/>
  <c r="S27" i="3"/>
  <c r="J155" i="2"/>
  <c r="J149" i="2" s="1"/>
  <c r="O5" i="3"/>
  <c r="P5" i="3" s="1"/>
  <c r="I5" i="3"/>
  <c r="J5" i="3" s="1"/>
  <c r="Q9" i="3"/>
  <c r="G11" i="3"/>
  <c r="M8" i="3"/>
  <c r="N8" i="3" s="1"/>
  <c r="P10" i="3"/>
  <c r="Q10" i="3" s="1"/>
  <c r="O6" i="3"/>
  <c r="P6" i="3" s="1"/>
  <c r="Q6" i="3" s="1"/>
  <c r="G10" i="3"/>
  <c r="G8" i="3"/>
  <c r="G9" i="3"/>
  <c r="I203" i="2"/>
  <c r="I9" i="3"/>
  <c r="J9" i="3" s="1"/>
  <c r="K9" i="3" s="1"/>
  <c r="M14" i="3"/>
  <c r="N14" i="3" s="1"/>
  <c r="I5" i="2"/>
  <c r="G17" i="3"/>
  <c r="J319" i="2"/>
  <c r="M15" i="3"/>
  <c r="N15" i="3" s="1"/>
  <c r="J494" i="2"/>
  <c r="J464" i="2"/>
  <c r="J53" i="2"/>
  <c r="J221" i="2"/>
  <c r="J446" i="2"/>
  <c r="J440" i="2" s="1"/>
  <c r="M23" i="3"/>
  <c r="N23" i="3" s="1"/>
  <c r="I23" i="3"/>
  <c r="J23" i="3" s="1"/>
  <c r="K23" i="3" s="1"/>
  <c r="G23" i="3"/>
  <c r="F24" i="3"/>
  <c r="F27" i="3" s="1"/>
  <c r="C17" i="6"/>
  <c r="M5" i="3"/>
  <c r="G5" i="3"/>
  <c r="J491" i="2"/>
  <c r="J489" i="2" s="1"/>
  <c r="I489" i="2"/>
  <c r="J398" i="2"/>
  <c r="J392" i="2" s="1"/>
  <c r="J203" i="2"/>
  <c r="J197" i="2" s="1"/>
  <c r="I155" i="2"/>
  <c r="J349" i="2"/>
  <c r="J343" i="2" s="1"/>
  <c r="M16" i="3"/>
  <c r="N16" i="3" s="1"/>
  <c r="J15" i="3"/>
  <c r="K15" i="3" s="1"/>
  <c r="J16" i="3"/>
  <c r="K16" i="3" s="1"/>
  <c r="J17" i="3"/>
  <c r="K17" i="3" s="1"/>
  <c r="J7" i="3"/>
  <c r="K7" i="3" s="1"/>
  <c r="J10" i="3"/>
  <c r="K10" i="3" s="1"/>
  <c r="J12" i="3"/>
  <c r="K12" i="3" s="1"/>
  <c r="J14" i="3"/>
  <c r="K14" i="3" s="1"/>
  <c r="J11" i="3"/>
  <c r="K11" i="3" s="1"/>
  <c r="J18" i="3"/>
  <c r="K18" i="3" s="1"/>
  <c r="J6" i="3"/>
  <c r="K6" i="3" s="1"/>
  <c r="J13" i="3"/>
  <c r="K13" i="3" s="1"/>
  <c r="T27" i="3" l="1"/>
  <c r="O24" i="3"/>
  <c r="P24" i="3" s="1"/>
  <c r="Q24" i="3" s="1"/>
  <c r="F29" i="3"/>
  <c r="Q5" i="3"/>
  <c r="J488" i="2"/>
  <c r="F17" i="6"/>
  <c r="I17" i="6" s="1"/>
  <c r="C18" i="6"/>
  <c r="D17" i="6"/>
  <c r="D18" i="6" s="1"/>
  <c r="N5" i="3"/>
  <c r="G24" i="3"/>
  <c r="G27" i="3" s="1"/>
  <c r="I24" i="3"/>
  <c r="J24" i="3" s="1"/>
  <c r="K24" i="3" s="1"/>
  <c r="M24" i="3"/>
  <c r="N24" i="3" s="1"/>
  <c r="K5" i="3"/>
  <c r="T29" i="3" l="1"/>
  <c r="U27" i="3"/>
  <c r="U29" i="3" s="1"/>
  <c r="P27" i="3"/>
  <c r="L17" i="6"/>
  <c r="O17" i="6" s="1"/>
  <c r="K27" i="3"/>
  <c r="I27" i="3"/>
  <c r="I29" i="3" s="1"/>
  <c r="O27" i="3"/>
  <c r="Q27" i="3"/>
  <c r="J27" i="3"/>
  <c r="J29" i="3" s="1"/>
  <c r="M27" i="3"/>
  <c r="N27" i="3"/>
  <c r="E29" i="3"/>
  <c r="G29" i="3" s="1"/>
  <c r="J17" i="6"/>
  <c r="J18" i="6" s="1"/>
  <c r="I18" i="6"/>
  <c r="G17" i="6"/>
  <c r="G18" i="6" s="1"/>
  <c r="F18" i="6"/>
  <c r="M17" i="6" l="1"/>
  <c r="M18" i="6" s="1"/>
  <c r="L18" i="6"/>
  <c r="K29" i="3"/>
  <c r="R17" i="6"/>
  <c r="P17" i="6"/>
  <c r="P18" i="6" s="1"/>
  <c r="O18" i="6"/>
  <c r="S17" i="6" l="1"/>
  <c r="S18" i="6" s="1"/>
  <c r="R18" i="6"/>
  <c r="D10" i="6" l="1"/>
  <c r="F10" i="6"/>
  <c r="I10" i="6" s="1"/>
  <c r="J10" i="6" l="1"/>
  <c r="G10" i="6"/>
  <c r="D12" i="6" l="1"/>
  <c r="D13" i="6" s="1"/>
  <c r="D29" i="6" s="1"/>
  <c r="F12" i="6"/>
  <c r="I12" i="6" s="1"/>
  <c r="C13" i="6"/>
  <c r="C29" i="6" s="1"/>
  <c r="O12" i="6" l="1"/>
  <c r="O13" i="6" s="1"/>
  <c r="L13" i="6"/>
  <c r="L29" i="6" s="1"/>
  <c r="M12" i="6"/>
  <c r="M13" i="6" s="1"/>
  <c r="M29" i="6" s="1"/>
  <c r="R12" i="6"/>
  <c r="J12" i="6"/>
  <c r="J13" i="6" s="1"/>
  <c r="J29" i="6" s="1"/>
  <c r="I13" i="6"/>
  <c r="I29" i="6" s="1"/>
  <c r="G12" i="6"/>
  <c r="G13" i="6" s="1"/>
  <c r="G29" i="6" s="1"/>
  <c r="F13" i="6"/>
  <c r="F29" i="6" s="1"/>
  <c r="S12" i="6" l="1"/>
  <c r="S13" i="6" s="1"/>
  <c r="S29" i="6" s="1"/>
  <c r="R13" i="6"/>
  <c r="R29" i="6" s="1"/>
  <c r="P12" i="6"/>
  <c r="P13" i="6" s="1"/>
  <c r="P29" i="6" s="1"/>
  <c r="O29" i="6"/>
</calcChain>
</file>

<file path=xl/comments1.xml><?xml version="1.0" encoding="utf-8"?>
<comments xmlns="http://schemas.openxmlformats.org/spreadsheetml/2006/main">
  <authors>
    <author>admin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пересчитала на 7 месяцев
</t>
        </r>
      </text>
    </comment>
    <comment ref="H138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пересчитала на 7 мес
</t>
        </r>
      </text>
    </comment>
    <comment ref="H1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Совмещает за по АХР, предусмотрено в ауп</t>
        </r>
      </text>
    </comment>
    <comment ref="H2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Зам по АХР совмещает 1 ставку рабочего. Зарплата учтена в ФОТ АУП)</t>
        </r>
      </text>
    </comment>
    <comment ref="H359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совмещает главбух в фонде АУП
</t>
        </r>
      </text>
    </comment>
    <comment ref="D4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466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фактически работает завхоз и внеш. Совместитель устроенные на 0,5 ставки каждая фактически работают на 1 ставку сторожа каждая
</t>
        </r>
      </text>
    </comment>
  </commentList>
</comments>
</file>

<file path=xl/comments2.xml><?xml version="1.0" encoding="utf-8"?>
<comments xmlns="http://schemas.openxmlformats.org/spreadsheetml/2006/main">
  <authors>
    <author>Avdeeva</author>
  </authors>
  <commentList>
    <comment ref="H4" authorId="0" shapeId="0">
      <text>
        <r>
          <rPr>
            <b/>
            <sz val="9"/>
            <color indexed="81"/>
            <rFont val="Tahoma"/>
            <family val="2"/>
            <charset val="204"/>
          </rPr>
          <t>Avdeeva:</t>
        </r>
        <r>
          <rPr>
            <sz val="9"/>
            <color indexed="81"/>
            <rFont val="Tahoma"/>
            <family val="2"/>
            <charset val="204"/>
          </rPr>
          <t xml:space="preserve">
По анализу за 10 мес. 2021 года
</t>
        </r>
      </text>
    </comment>
  </commentList>
</comments>
</file>

<file path=xl/sharedStrings.xml><?xml version="1.0" encoding="utf-8"?>
<sst xmlns="http://schemas.openxmlformats.org/spreadsheetml/2006/main" count="689" uniqueCount="108">
  <si>
    <t>Должностной оклад</t>
  </si>
  <si>
    <t>Доплата по учреждению</t>
  </si>
  <si>
    <t>Компенсационные выплаты</t>
  </si>
  <si>
    <t>Стимулирующие выплаты</t>
  </si>
  <si>
    <t>Районный коэффициент</t>
  </si>
  <si>
    <t xml:space="preserve">Дальневосточный коэффициент </t>
  </si>
  <si>
    <t>Итого начисленная зарплата</t>
  </si>
  <si>
    <t>%</t>
  </si>
  <si>
    <t>сумма</t>
  </si>
  <si>
    <t xml:space="preserve">Заведующий библиотекой </t>
  </si>
  <si>
    <t>город</t>
  </si>
  <si>
    <t xml:space="preserve">Сторож </t>
  </si>
  <si>
    <t>Рабочий по комплексному обслуживанию и ремонту зданий</t>
  </si>
  <si>
    <t xml:space="preserve">зам по ахр </t>
  </si>
  <si>
    <t>гл бухгалтер</t>
  </si>
  <si>
    <t xml:space="preserve">Бухгалтер </t>
  </si>
  <si>
    <t>область</t>
  </si>
  <si>
    <t>Ведущий бухгалтер</t>
  </si>
  <si>
    <t xml:space="preserve">Уборщик производственных и служебных помещений </t>
  </si>
  <si>
    <t xml:space="preserve">Дворник </t>
  </si>
  <si>
    <t xml:space="preserve">Вахтер </t>
  </si>
  <si>
    <t xml:space="preserve">Гардеробщик </t>
  </si>
  <si>
    <t>Инженер (электроник, програмист)</t>
  </si>
  <si>
    <t>Экономист</t>
  </si>
  <si>
    <t xml:space="preserve">Заведующий хозяйством </t>
  </si>
  <si>
    <t xml:space="preserve">Лаборант </t>
  </si>
  <si>
    <t xml:space="preserve">Секретарь </t>
  </si>
  <si>
    <t>Секретарь машинистка</t>
  </si>
  <si>
    <t xml:space="preserve">Делопроизводитель </t>
  </si>
  <si>
    <t>Наименование должности</t>
  </si>
  <si>
    <t xml:space="preserve">количество штатных единиц </t>
  </si>
  <si>
    <t xml:space="preserve">занятые штатные единицы </t>
  </si>
  <si>
    <t>среднесписочная численность работников за январь-сентябрь 2020 год</t>
  </si>
  <si>
    <t>численность работников, чел.</t>
  </si>
  <si>
    <t>Потребность на 211</t>
  </si>
  <si>
    <t>Потребность на 213</t>
  </si>
  <si>
    <t>Итого</t>
  </si>
  <si>
    <t>МАОУ "Гимназия № 1 г. Благовещенска"</t>
  </si>
  <si>
    <t xml:space="preserve">Вспомогательный персонал </t>
  </si>
  <si>
    <t>городской бюджет</t>
  </si>
  <si>
    <t>Заведующий учебной частью</t>
  </si>
  <si>
    <t>областной бюджет</t>
  </si>
  <si>
    <t>Персонал, численность которого зависит от количества зданий и помещений</t>
  </si>
  <si>
    <t>Персонал, численность которого не зависит от количества зданий и помещений</t>
  </si>
  <si>
    <t>МАОУ "Школа № 2 г. Благовещенска"</t>
  </si>
  <si>
    <t>МАОУ "Алексеевская гимназия г. Благовещенска"</t>
  </si>
  <si>
    <t>МАОУ "Школа № 5 г. Благовещенска"</t>
  </si>
  <si>
    <t>МАОУ "Лицей № 6 г. Благовещенска"</t>
  </si>
  <si>
    <t>МАОУ "Школа № 10 г. Благовещенска"</t>
  </si>
  <si>
    <t>МАОУ "Лицей № 11 г. Благовещенска"</t>
  </si>
  <si>
    <t>МАОУ "Школа № 12 г. Благовещенска"</t>
  </si>
  <si>
    <t>МАОУ "Школа № 13 г. Благовещенска"</t>
  </si>
  <si>
    <t>МАОУ "Школа № 14 г. Благовещенска"</t>
  </si>
  <si>
    <t>МАОУ "Школа № 15 г. Благовещенска"</t>
  </si>
  <si>
    <t>МАОУ "Школа № 16 г. Благовещенска"</t>
  </si>
  <si>
    <t>МАОУ "Школа № 17 г. Благовещенска"</t>
  </si>
  <si>
    <t>МАОУ "Школа № 22 г. Благовещенска"</t>
  </si>
  <si>
    <t>МАОУ "Школа № 23 г. Благовещенска"</t>
  </si>
  <si>
    <t>МАОУ "Школа № 24 г. Благовещенска"</t>
  </si>
  <si>
    <t>МАОУ "Гимназия № 25 г. Благовещенска"</t>
  </si>
  <si>
    <t>МАОУ "Школа № 26 г. Благовещенска"</t>
  </si>
  <si>
    <t>МАОУ "Школа № 27 г. Благовещенска"</t>
  </si>
  <si>
    <t>МАОУ "Школа № 28 г. Благовещенска"</t>
  </si>
  <si>
    <t>МАОУ "Прогимназия г. Благовещенска"</t>
  </si>
  <si>
    <t>Распределение городских средств</t>
  </si>
  <si>
    <t>Руководящие</t>
  </si>
  <si>
    <t>Вспомогательный персонал</t>
  </si>
  <si>
    <t>Итого 211</t>
  </si>
  <si>
    <t>Итого 213</t>
  </si>
  <si>
    <t>Всего</t>
  </si>
  <si>
    <t>внебюджет</t>
  </si>
  <si>
    <t>МАОУ "Гимназия № 1 г.Благовещенска"</t>
  </si>
  <si>
    <t>МАОУ "Школа № 2 г.Благовещенска"</t>
  </si>
  <si>
    <t>МАОУ "Алексеевская гимназия г.Благовещенска"</t>
  </si>
  <si>
    <t>МАОУ"Лицей № 6 г.Благовещенска"</t>
  </si>
  <si>
    <t>МАОУ "Школа № 10 г.Благовещенска"</t>
  </si>
  <si>
    <t>МАОУ "Лицей  № 11 г. Благовещенска"</t>
  </si>
  <si>
    <t>МАОУ "Школа № 12 г.Благовещенска"</t>
  </si>
  <si>
    <t>МАОУ "Школа № 13 г.Благовещенска"</t>
  </si>
  <si>
    <t>МАОУ "Школа № 14 г.Благовещенска"</t>
  </si>
  <si>
    <t>МАОУ "Школа № 15 г.Благовещенска"</t>
  </si>
  <si>
    <t>Предусмотрено в бюджете</t>
  </si>
  <si>
    <t>Отклонение</t>
  </si>
  <si>
    <t>Городские средства</t>
  </si>
  <si>
    <t>Областные средства</t>
  </si>
  <si>
    <t>Предусмотрено</t>
  </si>
  <si>
    <t>Потребность</t>
  </si>
  <si>
    <t>итого</t>
  </si>
  <si>
    <t>Дошкольные учреждения</t>
  </si>
  <si>
    <t>АУП</t>
  </si>
  <si>
    <t>Педработники</t>
  </si>
  <si>
    <t>Вспомогательный перс</t>
  </si>
  <si>
    <t>ИТОГО</t>
  </si>
  <si>
    <t>Школы</t>
  </si>
  <si>
    <t>Учреждения дополнительного образования</t>
  </si>
  <si>
    <t>ВСЕГО</t>
  </si>
  <si>
    <t>Сокращение ФОТ вспомогательного персонала на 6,5%</t>
  </si>
  <si>
    <t>потребность на школу 1500</t>
  </si>
  <si>
    <t>Специалист по охране труда</t>
  </si>
  <si>
    <t>Таблица по начислению заработной платы в дошкольных учреждениях при установлении новых должностных окладов и процентов с 01.01.2024</t>
  </si>
  <si>
    <t>специалист по охране труда</t>
  </si>
  <si>
    <t>Заведующий структурным подразделением</t>
  </si>
  <si>
    <t>МАОУ "Школа № 16 г. Благовещенска" (1 корпус)</t>
  </si>
  <si>
    <t>МАОУ "Школа № 16 г. Благовещенска" (2 корпус)</t>
  </si>
  <si>
    <t>Ассистент (помощник) по оказанию технической помощи инвалидам и лицам с ОВЗ</t>
  </si>
  <si>
    <t xml:space="preserve">Размер заработной платы в 2024 году </t>
  </si>
  <si>
    <t>ОБЛАСТЬ!</t>
  </si>
  <si>
    <t>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</si>
</sst>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6" formatCode="_-* #,##0.000000000\ _₽_-;\-* #,##0.000000000\ _₽_-;_-* &quot;-&quot;??\ _₽_-;_-@_-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70C0"/>
      <name val="Arial Cyr"/>
      <charset val="204"/>
    </font>
    <font>
      <sz val="10"/>
      <color rgb="FF00B050"/>
      <name val="Arial Cyr"/>
      <charset val="204"/>
    </font>
    <font>
      <sz val="10"/>
      <color rgb="FFFF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164" fontId="7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1" xfId="0" applyBorder="1"/>
    <xf numFmtId="164" fontId="0" fillId="0" borderId="1" xfId="1" applyFont="1" applyBorder="1"/>
    <xf numFmtId="9" fontId="0" fillId="0" borderId="1" xfId="0" applyNumberFormat="1" applyBorder="1"/>
    <xf numFmtId="0" fontId="0" fillId="0" borderId="1" xfId="0" applyFill="1" applyBorder="1" applyAlignment="1">
      <alignment horizontal="center" vertical="center" wrapText="1"/>
    </xf>
    <xf numFmtId="164" fontId="8" fillId="0" borderId="1" xfId="1" applyFont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0" borderId="1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5" borderId="0" xfId="1" applyFont="1" applyFill="1"/>
    <xf numFmtId="164" fontId="0" fillId="5" borderId="1" xfId="0" applyNumberFormat="1" applyFill="1" applyBorder="1"/>
    <xf numFmtId="164" fontId="0" fillId="0" borderId="0" xfId="1" applyFont="1"/>
    <xf numFmtId="0" fontId="8" fillId="0" borderId="1" xfId="0" applyFont="1" applyBorder="1"/>
    <xf numFmtId="164" fontId="8" fillId="0" borderId="1" xfId="0" applyNumberFormat="1" applyFont="1" applyBorder="1"/>
    <xf numFmtId="164" fontId="8" fillId="0" borderId="2" xfId="0" applyNumberFormat="1" applyFont="1" applyBorder="1"/>
    <xf numFmtId="0" fontId="0" fillId="0" borderId="5" xfId="0" applyFont="1" applyFill="1" applyBorder="1"/>
    <xf numFmtId="0" fontId="0" fillId="4" borderId="1" xfId="0" applyFont="1" applyFill="1" applyBorder="1"/>
    <xf numFmtId="164" fontId="0" fillId="4" borderId="1" xfId="0" applyNumberFormat="1" applyFill="1" applyBorder="1"/>
    <xf numFmtId="43" fontId="0" fillId="0" borderId="0" xfId="0" applyNumberFormat="1"/>
    <xf numFmtId="0" fontId="6" fillId="7" borderId="2" xfId="0" applyFont="1" applyFill="1" applyBorder="1" applyAlignment="1"/>
    <xf numFmtId="0" fontId="6" fillId="7" borderId="3" xfId="0" applyFont="1" applyFill="1" applyBorder="1" applyAlignment="1"/>
    <xf numFmtId="0" fontId="6" fillId="7" borderId="4" xfId="0" applyFont="1" applyFill="1" applyBorder="1" applyAlignment="1"/>
    <xf numFmtId="0" fontId="6" fillId="5" borderId="2" xfId="0" applyFont="1" applyFill="1" applyBorder="1" applyAlignment="1"/>
    <xf numFmtId="0" fontId="6" fillId="5" borderId="3" xfId="0" applyFont="1" applyFill="1" applyBorder="1" applyAlignment="1"/>
    <xf numFmtId="0" fontId="6" fillId="5" borderId="4" xfId="0" applyFont="1" applyFill="1" applyBorder="1" applyAlignment="1"/>
    <xf numFmtId="0" fontId="6" fillId="0" borderId="1" xfId="0" applyFont="1" applyBorder="1" applyAlignment="1">
      <alignment horizontal="center"/>
    </xf>
    <xf numFmtId="0" fontId="6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164" fontId="0" fillId="0" borderId="1" xfId="7" applyFont="1" applyBorder="1"/>
    <xf numFmtId="0" fontId="8" fillId="0" borderId="1" xfId="0" applyFont="1" applyBorder="1" applyAlignment="1">
      <alignment wrapText="1"/>
    </xf>
    <xf numFmtId="164" fontId="8" fillId="0" borderId="1" xfId="7" applyFont="1" applyBorder="1"/>
    <xf numFmtId="0" fontId="8" fillId="7" borderId="1" xfId="0" applyFont="1" applyFill="1" applyBorder="1"/>
    <xf numFmtId="164" fontId="8" fillId="7" borderId="1" xfId="7" applyFont="1" applyFill="1" applyBorder="1"/>
    <xf numFmtId="0" fontId="0" fillId="0" borderId="1" xfId="0" applyBorder="1" applyAlignment="1">
      <alignment horizontal="center" vertical="center" wrapText="1"/>
    </xf>
    <xf numFmtId="164" fontId="0" fillId="5" borderId="1" xfId="1" applyFont="1" applyFill="1" applyBorder="1"/>
    <xf numFmtId="0" fontId="6" fillId="8" borderId="1" xfId="0" applyFont="1" applyFill="1" applyBorder="1" applyAlignment="1">
      <alignment horizontal="center"/>
    </xf>
    <xf numFmtId="164" fontId="8" fillId="8" borderId="1" xfId="7" applyFont="1" applyFill="1" applyBorder="1"/>
    <xf numFmtId="166" fontId="0" fillId="0" borderId="0" xfId="0" applyNumberFormat="1"/>
    <xf numFmtId="164" fontId="0" fillId="0" borderId="2" xfId="1" applyFont="1" applyBorder="1"/>
    <xf numFmtId="0" fontId="0" fillId="0" borderId="2" xfId="0" applyBorder="1"/>
    <xf numFmtId="164" fontId="0" fillId="0" borderId="0" xfId="0" applyNumberFormat="1"/>
    <xf numFmtId="43" fontId="0" fillId="2" borderId="0" xfId="0" applyNumberFormat="1" applyFill="1"/>
    <xf numFmtId="43" fontId="0" fillId="0" borderId="1" xfId="0" applyNumberFormat="1" applyBorder="1"/>
    <xf numFmtId="164" fontId="0" fillId="0" borderId="3" xfId="1" applyFont="1" applyBorder="1"/>
    <xf numFmtId="0" fontId="0" fillId="0" borderId="3" xfId="0" applyBorder="1"/>
    <xf numFmtId="9" fontId="0" fillId="0" borderId="3" xfId="0" applyNumberFormat="1" applyBorder="1"/>
    <xf numFmtId="164" fontId="0" fillId="0" borderId="4" xfId="1" applyFont="1" applyBorder="1"/>
    <xf numFmtId="9" fontId="8" fillId="0" borderId="3" xfId="0" applyNumberFormat="1" applyFont="1" applyBorder="1"/>
    <xf numFmtId="164" fontId="8" fillId="0" borderId="3" xfId="1" applyFont="1" applyBorder="1"/>
    <xf numFmtId="0" fontId="14" fillId="0" borderId="1" xfId="0" applyFont="1" applyBorder="1"/>
    <xf numFmtId="0" fontId="14" fillId="4" borderId="1" xfId="0" applyFont="1" applyFill="1" applyBorder="1"/>
    <xf numFmtId="4" fontId="0" fillId="0" borderId="1" xfId="0" applyNumberFormat="1" applyBorder="1"/>
    <xf numFmtId="0" fontId="8" fillId="0" borderId="3" xfId="0" applyFont="1" applyBorder="1"/>
    <xf numFmtId="0" fontId="0" fillId="0" borderId="4" xfId="0" applyBorder="1"/>
    <xf numFmtId="0" fontId="15" fillId="0" borderId="1" xfId="0" applyFont="1" applyBorder="1"/>
    <xf numFmtId="0" fontId="14" fillId="4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2" borderId="1" xfId="0" applyFont="1" applyFill="1" applyBorder="1"/>
    <xf numFmtId="0" fontId="0" fillId="9" borderId="1" xfId="0" applyFill="1" applyBorder="1" applyAlignment="1">
      <alignment horizontal="center"/>
    </xf>
    <xf numFmtId="0" fontId="15" fillId="4" borderId="1" xfId="0" applyFont="1" applyFill="1" applyBorder="1"/>
    <xf numFmtId="0" fontId="0" fillId="4" borderId="1" xfId="0" applyFill="1" applyBorder="1"/>
    <xf numFmtId="164" fontId="0" fillId="9" borderId="1" xfId="1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 applyAlignment="1">
      <alignment wrapText="1"/>
    </xf>
    <xf numFmtId="0" fontId="16" fillId="0" borderId="1" xfId="0" applyFont="1" applyBorder="1"/>
    <xf numFmtId="164" fontId="16" fillId="0" borderId="1" xfId="1" applyFont="1" applyBorder="1"/>
    <xf numFmtId="0" fontId="16" fillId="0" borderId="0" xfId="0" applyFont="1"/>
    <xf numFmtId="0" fontId="0" fillId="9" borderId="1" xfId="0" applyFill="1" applyBorder="1" applyAlignment="1">
      <alignment wrapText="1"/>
    </xf>
    <xf numFmtId="0" fontId="14" fillId="9" borderId="1" xfId="0" applyFont="1" applyFill="1" applyBorder="1"/>
    <xf numFmtId="0" fontId="0" fillId="9" borderId="0" xfId="0" applyFill="1"/>
    <xf numFmtId="0" fontId="14" fillId="2" borderId="1" xfId="0" applyFont="1" applyFill="1" applyBorder="1"/>
    <xf numFmtId="164" fontId="0" fillId="2" borderId="1" xfId="1" applyFont="1" applyFill="1" applyBorder="1"/>
    <xf numFmtId="0" fontId="14" fillId="2" borderId="1" xfId="0" applyFont="1" applyFill="1" applyBorder="1" applyAlignment="1">
      <alignment horizontal="center"/>
    </xf>
    <xf numFmtId="164" fontId="8" fillId="4" borderId="1" xfId="7" applyFont="1" applyFill="1" applyBorder="1"/>
    <xf numFmtId="0" fontId="0" fillId="10" borderId="1" xfId="0" applyFill="1" applyBorder="1" applyAlignment="1">
      <alignment horizontal="center" vertical="center" wrapText="1"/>
    </xf>
    <xf numFmtId="164" fontId="0" fillId="10" borderId="1" xfId="0" applyNumberFormat="1" applyFill="1" applyBorder="1"/>
    <xf numFmtId="164" fontId="8" fillId="10" borderId="1" xfId="0" applyNumberFormat="1" applyFont="1" applyFill="1" applyBorder="1"/>
    <xf numFmtId="0" fontId="0" fillId="4" borderId="1" xfId="0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8" fillId="3" borderId="1" xfId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16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0" fillId="0" borderId="1" xfId="0" applyBorder="1" applyAlignment="1"/>
    <xf numFmtId="0" fontId="10" fillId="0" borderId="1" xfId="0" applyFont="1" applyFill="1" applyBorder="1" applyAlignment="1">
      <alignment wrapText="1"/>
    </xf>
    <xf numFmtId="0" fontId="11" fillId="0" borderId="1" xfId="0" applyFont="1" applyBorder="1" applyAlignment="1"/>
    <xf numFmtId="0" fontId="11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0" fillId="5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8" fillId="4" borderId="1" xfId="0" applyNumberFormat="1" applyFont="1" applyFill="1" applyBorder="1"/>
  </cellXfs>
  <cellStyles count="26">
    <cellStyle name="Обычный" xfId="0" builtinId="0"/>
    <cellStyle name="Обычный 2" xfId="2"/>
    <cellStyle name="Обычный 2 2" xfId="9"/>
    <cellStyle name="Обычный 2 3" xfId="15"/>
    <cellStyle name="Обычный 2 4" xfId="21"/>
    <cellStyle name="Обычный 3" xfId="8"/>
    <cellStyle name="Обычный 4" xfId="14"/>
    <cellStyle name="Обычный 5" xfId="20"/>
    <cellStyle name="Финансовый" xfId="1" builtinId="3"/>
    <cellStyle name="Финансовый 2" xfId="3"/>
    <cellStyle name="Финансовый 2 2" xfId="7"/>
    <cellStyle name="Финансовый 2 3" xfId="10"/>
    <cellStyle name="Финансовый 2 4" xfId="16"/>
    <cellStyle name="Финансовый 2 5" xfId="22"/>
    <cellStyle name="Финансовый 3" xfId="5"/>
    <cellStyle name="Финансовый 3 2" xfId="12"/>
    <cellStyle name="Финансовый 3 3" xfId="18"/>
    <cellStyle name="Финансовый 3 4" xfId="24"/>
    <cellStyle name="Финансовый 4" xfId="4"/>
    <cellStyle name="Финансовый 4 2" xfId="11"/>
    <cellStyle name="Финансовый 4 3" xfId="17"/>
    <cellStyle name="Финансовый 4 4" xfId="23"/>
    <cellStyle name="Финансовый 5" xfId="6"/>
    <cellStyle name="Финансовый 5 2" xfId="13"/>
    <cellStyle name="Финансовый 5 3" xfId="19"/>
    <cellStyle name="Финансовый 5 4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3"/>
  <sheetViews>
    <sheetView workbookViewId="0">
      <selection activeCell="A9" sqref="A9:K9"/>
    </sheetView>
  </sheetViews>
  <sheetFormatPr defaultRowHeight="13.2" x14ac:dyDescent="0.25"/>
  <cols>
    <col min="1" max="1" width="7.88671875" customWidth="1"/>
    <col min="2" max="4" width="14.33203125" customWidth="1"/>
    <col min="5" max="5" width="12.33203125" customWidth="1"/>
    <col min="6" max="6" width="11.109375" customWidth="1"/>
    <col min="7" max="7" width="9" customWidth="1"/>
    <col min="8" max="8" width="13.6640625" customWidth="1"/>
    <col min="9" max="9" width="15.6640625" customWidth="1"/>
    <col min="10" max="10" width="14.44140625" customWidth="1"/>
    <col min="11" max="11" width="13.6640625" customWidth="1"/>
  </cols>
  <sheetData>
    <row r="1" spans="1:21" ht="27.6" customHeight="1" x14ac:dyDescent="0.25">
      <c r="A1" s="98" t="s">
        <v>99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3" spans="1:21" ht="39.6" x14ac:dyDescent="0.25">
      <c r="A3" s="1"/>
      <c r="B3" s="1" t="s">
        <v>0</v>
      </c>
      <c r="C3" s="99" t="s">
        <v>1</v>
      </c>
      <c r="D3" s="99"/>
      <c r="E3" s="99" t="s">
        <v>2</v>
      </c>
      <c r="F3" s="99"/>
      <c r="G3" s="99" t="s">
        <v>3</v>
      </c>
      <c r="H3" s="99"/>
      <c r="I3" s="1" t="s">
        <v>4</v>
      </c>
      <c r="J3" s="1" t="s">
        <v>5</v>
      </c>
      <c r="K3" s="1" t="s">
        <v>6</v>
      </c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x14ac:dyDescent="0.25">
      <c r="A4" s="1"/>
      <c r="B4" s="1"/>
      <c r="C4" s="1" t="s">
        <v>7</v>
      </c>
      <c r="D4" s="1" t="s">
        <v>8</v>
      </c>
      <c r="E4" s="1" t="s">
        <v>7</v>
      </c>
      <c r="F4" s="1" t="s">
        <v>8</v>
      </c>
      <c r="G4" s="1" t="s">
        <v>7</v>
      </c>
      <c r="H4" s="1" t="s">
        <v>8</v>
      </c>
      <c r="I4" s="1"/>
      <c r="J4" s="1"/>
      <c r="K4" s="1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x14ac:dyDescent="0.25">
      <c r="A5" s="100" t="s">
        <v>9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M5" s="3" t="s">
        <v>10</v>
      </c>
    </row>
    <row r="6" spans="1:21" x14ac:dyDescent="0.25">
      <c r="A6" s="4"/>
      <c r="B6" s="5">
        <v>13100</v>
      </c>
      <c r="C6" s="6">
        <v>1</v>
      </c>
      <c r="D6" s="5">
        <f>B6*C6</f>
        <v>13100</v>
      </c>
      <c r="E6" s="6">
        <v>0.1</v>
      </c>
      <c r="F6" s="5">
        <f>B6*E6</f>
        <v>1310</v>
      </c>
      <c r="G6" s="6">
        <v>0.1</v>
      </c>
      <c r="H6" s="5">
        <f>B6*G6</f>
        <v>1310</v>
      </c>
      <c r="I6" s="5">
        <f>(B6+F6+D6+H6)*30%</f>
        <v>8646</v>
      </c>
      <c r="J6" s="5">
        <f>(B6+F6+D6+H6)*30%</f>
        <v>8646</v>
      </c>
      <c r="K6" s="5">
        <f>B6+F6+I6+J6+H6+D6</f>
        <v>46112</v>
      </c>
    </row>
    <row r="7" spans="1:21" x14ac:dyDescent="0.25">
      <c r="A7" s="101" t="s">
        <v>11</v>
      </c>
      <c r="B7" s="102"/>
      <c r="C7" s="102"/>
      <c r="D7" s="102"/>
      <c r="E7" s="102"/>
      <c r="F7" s="102"/>
      <c r="G7" s="102"/>
      <c r="H7" s="102"/>
      <c r="I7" s="102"/>
      <c r="J7" s="102"/>
      <c r="K7" s="103"/>
      <c r="M7" t="s">
        <v>11</v>
      </c>
    </row>
    <row r="8" spans="1:21" x14ac:dyDescent="0.25">
      <c r="A8" s="4"/>
      <c r="B8" s="5">
        <v>9621</v>
      </c>
      <c r="C8" s="6">
        <v>1</v>
      </c>
      <c r="D8" s="5">
        <f>B8*C8</f>
        <v>9621</v>
      </c>
      <c r="E8" s="6">
        <v>0.15</v>
      </c>
      <c r="F8" s="5">
        <f>B8*E8</f>
        <v>1443.1499999999999</v>
      </c>
      <c r="G8" s="6">
        <v>0.06</v>
      </c>
      <c r="H8" s="5">
        <f>B8*G8</f>
        <v>577.26</v>
      </c>
      <c r="I8" s="5">
        <f>(B8+F8+D8+H8)*30%</f>
        <v>6378.723</v>
      </c>
      <c r="J8" s="5">
        <f>(B8+F8+D8+H8)*30%</f>
        <v>6378.723</v>
      </c>
      <c r="K8" s="5">
        <f>B8+F8+I8+J8+H8+D8</f>
        <v>34019.856</v>
      </c>
      <c r="M8" t="s">
        <v>12</v>
      </c>
    </row>
    <row r="9" spans="1:21" x14ac:dyDescent="0.25">
      <c r="A9" s="104" t="s">
        <v>12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M9" t="s">
        <v>13</v>
      </c>
    </row>
    <row r="10" spans="1:21" x14ac:dyDescent="0.25">
      <c r="A10" s="4"/>
      <c r="B10" s="5">
        <v>10100</v>
      </c>
      <c r="C10" s="6">
        <v>1</v>
      </c>
      <c r="D10" s="5">
        <f>B10*C10</f>
        <v>10100</v>
      </c>
      <c r="E10" s="6"/>
      <c r="F10" s="5">
        <f>B10*E10</f>
        <v>0</v>
      </c>
      <c r="G10" s="6">
        <v>0.1</v>
      </c>
      <c r="H10" s="5">
        <f>B10*G10</f>
        <v>1010</v>
      </c>
      <c r="I10" s="5">
        <f>(B10+F10+D10+H10)*30%</f>
        <v>6363</v>
      </c>
      <c r="J10" s="5">
        <f>(B10+F10+D10+H10)*30%</f>
        <v>6363</v>
      </c>
      <c r="K10" s="5">
        <f>B10+F10+I10+J10+H10+D10</f>
        <v>33936</v>
      </c>
      <c r="M10" t="s">
        <v>14</v>
      </c>
    </row>
    <row r="11" spans="1:21" x14ac:dyDescent="0.25">
      <c r="A11" s="95" t="s">
        <v>15</v>
      </c>
      <c r="B11" s="96"/>
      <c r="C11" s="96"/>
      <c r="D11" s="96"/>
      <c r="E11" s="96"/>
      <c r="F11" s="96"/>
      <c r="G11" s="96"/>
      <c r="H11" s="96"/>
      <c r="I11" s="96"/>
      <c r="J11" s="96"/>
      <c r="K11" s="97"/>
      <c r="M11" s="3" t="s">
        <v>16</v>
      </c>
    </row>
    <row r="12" spans="1:21" x14ac:dyDescent="0.25">
      <c r="A12" s="4"/>
      <c r="B12" s="5">
        <v>11500</v>
      </c>
      <c r="C12" s="6">
        <v>1</v>
      </c>
      <c r="D12" s="5">
        <f>B12*C12</f>
        <v>11500</v>
      </c>
      <c r="E12" s="6"/>
      <c r="F12" s="5">
        <f>B12*E12</f>
        <v>0</v>
      </c>
      <c r="G12" s="6">
        <v>0.2</v>
      </c>
      <c r="H12" s="5">
        <f>B12*G12</f>
        <v>2300</v>
      </c>
      <c r="I12" s="5">
        <f>(B12+F12+D12+H12)*30%</f>
        <v>7590</v>
      </c>
      <c r="J12" s="5">
        <f>(B12+F12+D12+H12)*30%</f>
        <v>7590</v>
      </c>
      <c r="K12" s="5">
        <f>B12+F12+I12+J12+H12+D12</f>
        <v>40480</v>
      </c>
      <c r="M12" t="s">
        <v>15</v>
      </c>
    </row>
    <row r="13" spans="1:21" x14ac:dyDescent="0.25">
      <c r="A13" s="100" t="s">
        <v>17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M13" t="s">
        <v>17</v>
      </c>
    </row>
    <row r="14" spans="1:21" x14ac:dyDescent="0.25">
      <c r="A14" s="4"/>
      <c r="B14" s="5">
        <v>12700</v>
      </c>
      <c r="C14" s="6">
        <v>1</v>
      </c>
      <c r="D14" s="5">
        <f>B14*C14</f>
        <v>12700</v>
      </c>
      <c r="E14" s="6"/>
      <c r="F14" s="5">
        <f>B14*E14</f>
        <v>0</v>
      </c>
      <c r="G14" s="6">
        <v>0.2</v>
      </c>
      <c r="H14" s="5">
        <f>B14*G14</f>
        <v>2540</v>
      </c>
      <c r="I14" s="5">
        <f>(B14+F14+D14+H14)*30%</f>
        <v>8382</v>
      </c>
      <c r="J14" s="5">
        <f>(B14+F14+D14+H14)*30%</f>
        <v>8382</v>
      </c>
      <c r="K14" s="5">
        <f>B14+F14+I14+J14+H14+D14</f>
        <v>44704</v>
      </c>
      <c r="M14" t="s">
        <v>18</v>
      </c>
    </row>
    <row r="15" spans="1:21" x14ac:dyDescent="0.25">
      <c r="A15" s="95" t="s">
        <v>18</v>
      </c>
      <c r="B15" s="96"/>
      <c r="C15" s="96"/>
      <c r="D15" s="96"/>
      <c r="E15" s="96"/>
      <c r="F15" s="96"/>
      <c r="G15" s="96"/>
      <c r="H15" s="96"/>
      <c r="I15" s="96"/>
      <c r="J15" s="96"/>
      <c r="K15" s="97"/>
      <c r="M15" t="s">
        <v>19</v>
      </c>
    </row>
    <row r="16" spans="1:21" x14ac:dyDescent="0.25">
      <c r="A16" s="4"/>
      <c r="B16" s="5">
        <v>9621</v>
      </c>
      <c r="C16" s="6">
        <v>1</v>
      </c>
      <c r="D16" s="5">
        <f>B16*C16</f>
        <v>9621</v>
      </c>
      <c r="E16" s="6"/>
      <c r="F16" s="5">
        <f>B16*E16</f>
        <v>0</v>
      </c>
      <c r="G16" s="6">
        <v>0.05</v>
      </c>
      <c r="H16" s="5">
        <f>B16*G16</f>
        <v>481.05</v>
      </c>
      <c r="I16" s="5">
        <f>(B16+F16+D16+H16)*30%</f>
        <v>5916.915</v>
      </c>
      <c r="J16" s="5">
        <f>(B16+F16+D16+H16)*30%</f>
        <v>5916.915</v>
      </c>
      <c r="K16" s="5">
        <f>B16+F16+I16+J16+H16+D16</f>
        <v>31556.880000000001</v>
      </c>
      <c r="M16" t="s">
        <v>20</v>
      </c>
    </row>
    <row r="17" spans="1:13" x14ac:dyDescent="0.25">
      <c r="A17" s="100" t="s">
        <v>19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M17" t="s">
        <v>21</v>
      </c>
    </row>
    <row r="18" spans="1:13" x14ac:dyDescent="0.25">
      <c r="A18" s="4"/>
      <c r="B18" s="5">
        <v>9621</v>
      </c>
      <c r="C18" s="6">
        <v>1</v>
      </c>
      <c r="D18" s="5">
        <f>B18*C18</f>
        <v>9621</v>
      </c>
      <c r="E18" s="6"/>
      <c r="F18" s="5">
        <f>B18*E18</f>
        <v>0</v>
      </c>
      <c r="G18" s="6">
        <v>0.05</v>
      </c>
      <c r="H18" s="5">
        <f>B18*G18</f>
        <v>481.05</v>
      </c>
      <c r="I18" s="5">
        <f>(B18+F18+D18+H18)*30%</f>
        <v>5916.915</v>
      </c>
      <c r="J18" s="5">
        <f>(B18+F18+D18+H18)*30%</f>
        <v>5916.915</v>
      </c>
      <c r="K18" s="5">
        <f>B18+F18+I18+J18+H18+D18</f>
        <v>31556.880000000001</v>
      </c>
      <c r="M18" t="s">
        <v>9</v>
      </c>
    </row>
    <row r="19" spans="1:13" x14ac:dyDescent="0.25">
      <c r="A19" s="95" t="s">
        <v>20</v>
      </c>
      <c r="B19" s="96"/>
      <c r="C19" s="96"/>
      <c r="D19" s="96"/>
      <c r="E19" s="96"/>
      <c r="F19" s="96"/>
      <c r="G19" s="96"/>
      <c r="H19" s="96"/>
      <c r="I19" s="96"/>
      <c r="J19" s="96"/>
      <c r="K19" s="97"/>
    </row>
    <row r="20" spans="1:13" x14ac:dyDescent="0.25">
      <c r="A20" s="4"/>
      <c r="B20" s="5">
        <v>9621</v>
      </c>
      <c r="C20" s="6">
        <v>1</v>
      </c>
      <c r="D20" s="5">
        <f>B20*C20</f>
        <v>9621</v>
      </c>
      <c r="E20" s="6"/>
      <c r="F20" s="5">
        <f>B20*E20</f>
        <v>0</v>
      </c>
      <c r="G20" s="6">
        <v>0.05</v>
      </c>
      <c r="H20" s="5">
        <f>B20*G20</f>
        <v>481.05</v>
      </c>
      <c r="I20" s="5">
        <f>(B20+F20+D20+H20)*30%</f>
        <v>5916.915</v>
      </c>
      <c r="J20" s="5">
        <f>(B20+F20+D20+H20)*30%</f>
        <v>5916.915</v>
      </c>
      <c r="K20" s="5">
        <f>B20+F20+I20+J20+H20+D20</f>
        <v>31556.880000000001</v>
      </c>
      <c r="M20" t="s">
        <v>22</v>
      </c>
    </row>
    <row r="21" spans="1:13" x14ac:dyDescent="0.25">
      <c r="A21" s="100" t="s">
        <v>21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M21" t="s">
        <v>23</v>
      </c>
    </row>
    <row r="22" spans="1:13" x14ac:dyDescent="0.25">
      <c r="A22" s="4"/>
      <c r="B22" s="5">
        <v>9621</v>
      </c>
      <c r="C22" s="6">
        <v>1</v>
      </c>
      <c r="D22" s="5">
        <f>B22*C22</f>
        <v>9621</v>
      </c>
      <c r="E22" s="6"/>
      <c r="F22" s="5">
        <f>B22*E22</f>
        <v>0</v>
      </c>
      <c r="G22" s="6">
        <v>0.05</v>
      </c>
      <c r="H22" s="5">
        <f>B22*G22</f>
        <v>481.05</v>
      </c>
      <c r="I22" s="5">
        <f>(B22+F22+D22+H22)*30%</f>
        <v>5916.915</v>
      </c>
      <c r="J22" s="5">
        <f>(B22+F22+D22+H22)*30%</f>
        <v>5916.915</v>
      </c>
      <c r="K22" s="5">
        <f>B22+F22+I22+J22+H22+D22</f>
        <v>31556.880000000001</v>
      </c>
      <c r="M22" t="s">
        <v>24</v>
      </c>
    </row>
    <row r="23" spans="1:13" x14ac:dyDescent="0.25">
      <c r="A23" s="95" t="s">
        <v>22</v>
      </c>
      <c r="B23" s="96"/>
      <c r="C23" s="96"/>
      <c r="D23" s="96"/>
      <c r="E23" s="96"/>
      <c r="F23" s="96"/>
      <c r="G23" s="96"/>
      <c r="H23" s="96"/>
      <c r="I23" s="96"/>
      <c r="J23" s="96"/>
      <c r="K23" s="97"/>
      <c r="M23" t="s">
        <v>25</v>
      </c>
    </row>
    <row r="24" spans="1:13" x14ac:dyDescent="0.25">
      <c r="A24" s="4"/>
      <c r="B24" s="5">
        <v>11900</v>
      </c>
      <c r="C24" s="6">
        <v>1</v>
      </c>
      <c r="D24" s="5">
        <f>B24*C24</f>
        <v>11900</v>
      </c>
      <c r="E24" s="6"/>
      <c r="F24" s="5">
        <f>B24*E24</f>
        <v>0</v>
      </c>
      <c r="G24" s="6">
        <v>0.1</v>
      </c>
      <c r="H24" s="5">
        <f>B24*G24</f>
        <v>1190</v>
      </c>
      <c r="I24" s="5">
        <f>(B24+F24+D24+H24)*30%</f>
        <v>7497</v>
      </c>
      <c r="J24" s="5">
        <f>(B24+F24+D24+H24)*30%</f>
        <v>7497</v>
      </c>
      <c r="K24" s="5">
        <f>B24+F24+I24+J24+H24+D24</f>
        <v>39984</v>
      </c>
      <c r="M24" t="s">
        <v>26</v>
      </c>
    </row>
    <row r="25" spans="1:13" x14ac:dyDescent="0.25">
      <c r="A25" s="100" t="s">
        <v>23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M25" t="s">
        <v>27</v>
      </c>
    </row>
    <row r="26" spans="1:13" x14ac:dyDescent="0.25">
      <c r="A26" s="4"/>
      <c r="B26" s="5">
        <v>11500</v>
      </c>
      <c r="C26" s="6">
        <v>1</v>
      </c>
      <c r="D26" s="5">
        <f>B26*C26</f>
        <v>11500</v>
      </c>
      <c r="E26" s="6"/>
      <c r="F26" s="5">
        <f>B26*E26</f>
        <v>0</v>
      </c>
      <c r="G26" s="6">
        <v>0.2</v>
      </c>
      <c r="H26" s="5">
        <f>B26*G26</f>
        <v>2300</v>
      </c>
      <c r="I26" s="5">
        <f>(B26+F26+D26+H26)*30%</f>
        <v>7590</v>
      </c>
      <c r="J26" s="5">
        <f>(B26+F26+D26+H26)*30%</f>
        <v>7590</v>
      </c>
      <c r="K26" s="5">
        <f>B26+F26+I26+J26+H26+D26</f>
        <v>40480</v>
      </c>
      <c r="M26" t="s">
        <v>28</v>
      </c>
    </row>
    <row r="27" spans="1:13" x14ac:dyDescent="0.25">
      <c r="A27" s="95" t="s">
        <v>24</v>
      </c>
      <c r="B27" s="96"/>
      <c r="C27" s="96"/>
      <c r="D27" s="96"/>
      <c r="E27" s="96"/>
      <c r="F27" s="96"/>
      <c r="G27" s="96"/>
      <c r="H27" s="96"/>
      <c r="I27" s="96"/>
      <c r="J27" s="96"/>
      <c r="K27" s="97"/>
      <c r="M27" t="s">
        <v>98</v>
      </c>
    </row>
    <row r="28" spans="1:13" x14ac:dyDescent="0.25">
      <c r="A28" s="4"/>
      <c r="B28" s="5">
        <v>10300</v>
      </c>
      <c r="C28" s="6">
        <v>1</v>
      </c>
      <c r="D28" s="5">
        <f>B28*C28</f>
        <v>10300</v>
      </c>
      <c r="E28" s="6"/>
      <c r="F28" s="5">
        <f>B28*E28</f>
        <v>0</v>
      </c>
      <c r="G28" s="6">
        <v>0.2</v>
      </c>
      <c r="H28" s="5">
        <f>B28*G28</f>
        <v>2060</v>
      </c>
      <c r="I28" s="5">
        <f>(B28+F28+D28+H28)*30%</f>
        <v>6798</v>
      </c>
      <c r="J28" s="5">
        <f>(B28+F28+D28+H28)*30%</f>
        <v>6798</v>
      </c>
      <c r="K28" s="5">
        <f>B28+F28+I28+J28+H28+D28</f>
        <v>36256</v>
      </c>
    </row>
    <row r="29" spans="1:13" hidden="1" x14ac:dyDescent="0.25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</row>
    <row r="30" spans="1:13" hidden="1" x14ac:dyDescent="0.25">
      <c r="A30" s="4"/>
      <c r="B30" s="5"/>
      <c r="C30" s="4">
        <v>1</v>
      </c>
      <c r="D30" s="5">
        <f>B30*C30</f>
        <v>0</v>
      </c>
      <c r="E30" s="6"/>
      <c r="F30" s="5">
        <f>B30*E30</f>
        <v>0</v>
      </c>
      <c r="G30" s="6"/>
      <c r="H30" s="5">
        <f>B30*G30</f>
        <v>0</v>
      </c>
      <c r="I30" s="5">
        <f>(B30+F30+D30+H30)*30%</f>
        <v>0</v>
      </c>
      <c r="J30" s="5">
        <f>(B30+F30+D30+H30)*30%</f>
        <v>0</v>
      </c>
      <c r="K30" s="5">
        <f>B30+F30+I30+J30+H30+D30</f>
        <v>0</v>
      </c>
    </row>
    <row r="31" spans="1:13" x14ac:dyDescent="0.25">
      <c r="A31" s="53"/>
      <c r="B31" s="57"/>
      <c r="C31" s="58"/>
      <c r="D31" s="57"/>
      <c r="E31" s="61" t="s">
        <v>100</v>
      </c>
      <c r="F31" s="62"/>
      <c r="G31" s="61"/>
      <c r="H31" s="57"/>
      <c r="I31" s="57"/>
      <c r="J31" s="57"/>
      <c r="K31" s="60"/>
    </row>
    <row r="32" spans="1:13" x14ac:dyDescent="0.25">
      <c r="A32" s="53"/>
      <c r="B32" s="57">
        <v>10700</v>
      </c>
      <c r="C32" s="59">
        <v>1</v>
      </c>
      <c r="D32" s="57">
        <v>10700</v>
      </c>
      <c r="E32" s="59">
        <v>0.05</v>
      </c>
      <c r="F32" s="57">
        <f>B32*E32</f>
        <v>535</v>
      </c>
      <c r="G32" s="59">
        <v>0.1</v>
      </c>
      <c r="H32" s="57">
        <f>B32*G32</f>
        <v>1070</v>
      </c>
      <c r="I32" s="57">
        <f>(B32+F32+D32+H32)*30%</f>
        <v>6901.5</v>
      </c>
      <c r="J32" s="57">
        <f>(B32+F32+D32+H32)*30%</f>
        <v>6901.5</v>
      </c>
      <c r="K32" s="60">
        <f>B32+F32+I32+J32+H32+D32</f>
        <v>36808</v>
      </c>
    </row>
    <row r="33" spans="1:11" x14ac:dyDescent="0.25">
      <c r="A33" s="95" t="s">
        <v>26</v>
      </c>
      <c r="B33" s="96"/>
      <c r="C33" s="96"/>
      <c r="D33" s="96"/>
      <c r="E33" s="96"/>
      <c r="F33" s="96"/>
      <c r="G33" s="96"/>
      <c r="H33" s="96"/>
      <c r="I33" s="96"/>
      <c r="J33" s="96"/>
      <c r="K33" s="97"/>
    </row>
    <row r="34" spans="1:11" x14ac:dyDescent="0.25">
      <c r="A34" s="4"/>
      <c r="B34" s="5">
        <v>10100</v>
      </c>
      <c r="C34" s="6">
        <v>1</v>
      </c>
      <c r="D34" s="5">
        <f>B34*C34</f>
        <v>10100</v>
      </c>
      <c r="E34" s="6"/>
      <c r="F34" s="5">
        <f>B34*E34</f>
        <v>0</v>
      </c>
      <c r="G34" s="6">
        <v>0.1</v>
      </c>
      <c r="H34" s="5">
        <f>B34*G34</f>
        <v>1010</v>
      </c>
      <c r="I34" s="5">
        <f>(B34+F34+D34+H34)*30%</f>
        <v>6363</v>
      </c>
      <c r="J34" s="5">
        <f>(B34+F34+D34+H34)*30%</f>
        <v>6363</v>
      </c>
      <c r="K34" s="5">
        <f>B34+F34+I34+J34+H34+D34</f>
        <v>33936</v>
      </c>
    </row>
    <row r="35" spans="1:11" x14ac:dyDescent="0.25">
      <c r="A35" s="100" t="s">
        <v>25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</row>
    <row r="36" spans="1:11" x14ac:dyDescent="0.25">
      <c r="A36" s="4"/>
      <c r="B36" s="5">
        <v>10100</v>
      </c>
      <c r="C36" s="6">
        <v>1</v>
      </c>
      <c r="D36" s="5">
        <f>B36*C36</f>
        <v>10100</v>
      </c>
      <c r="E36" s="6"/>
      <c r="F36" s="5">
        <f>B36*E36</f>
        <v>0</v>
      </c>
      <c r="G36" s="6"/>
      <c r="H36" s="5">
        <f>B36*G36</f>
        <v>0</v>
      </c>
      <c r="I36" s="5">
        <f>(B36+F36+D36+H36)*30%</f>
        <v>6060</v>
      </c>
      <c r="J36" s="5">
        <f>(B36+F36+D36+H36)*30%</f>
        <v>6060</v>
      </c>
      <c r="K36" s="5">
        <f>B36+F36+I36+J36+H36+D36</f>
        <v>32320</v>
      </c>
    </row>
    <row r="37" spans="1:11" hidden="1" x14ac:dyDescent="0.25">
      <c r="A37" s="95" t="s">
        <v>27</v>
      </c>
      <c r="B37" s="96"/>
      <c r="C37" s="96"/>
      <c r="D37" s="96"/>
      <c r="E37" s="96"/>
      <c r="F37" s="96"/>
      <c r="G37" s="96"/>
      <c r="H37" s="96"/>
      <c r="I37" s="96"/>
      <c r="J37" s="96"/>
      <c r="K37" s="97"/>
    </row>
    <row r="38" spans="1:11" hidden="1" x14ac:dyDescent="0.25">
      <c r="A38" s="4"/>
      <c r="B38" s="5"/>
      <c r="C38" s="6">
        <v>1</v>
      </c>
      <c r="D38" s="5">
        <f>B38*C38</f>
        <v>0</v>
      </c>
      <c r="E38" s="6"/>
      <c r="F38" s="5">
        <f>B38*E38</f>
        <v>0</v>
      </c>
      <c r="G38" s="6"/>
      <c r="H38" s="5">
        <f>B38*G38</f>
        <v>0</v>
      </c>
      <c r="I38" s="5">
        <f>(B38+F38+D38+H38)*30%</f>
        <v>0</v>
      </c>
      <c r="J38" s="5">
        <f>(B38+F38+D38+H38)*30%</f>
        <v>0</v>
      </c>
      <c r="K38" s="5">
        <f>B38+F38+I38+J38+H38+D38</f>
        <v>0</v>
      </c>
    </row>
    <row r="39" spans="1:11" x14ac:dyDescent="0.25">
      <c r="A39" s="100" t="s">
        <v>28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</row>
    <row r="40" spans="1:11" x14ac:dyDescent="0.25">
      <c r="A40" s="4"/>
      <c r="B40" s="5">
        <v>10100</v>
      </c>
      <c r="C40" s="6">
        <v>1</v>
      </c>
      <c r="D40" s="5">
        <f>B40*C40</f>
        <v>10100</v>
      </c>
      <c r="E40" s="6"/>
      <c r="F40" s="5">
        <f>B40*E40</f>
        <v>0</v>
      </c>
      <c r="G40" s="6">
        <v>0.1</v>
      </c>
      <c r="H40" s="5">
        <f>B40*G40</f>
        <v>1010</v>
      </c>
      <c r="I40" s="5">
        <f>(B40+F40+D40+H40)*30%</f>
        <v>6363</v>
      </c>
      <c r="J40" s="5">
        <f>(B40+F40+D40+H40)*30%</f>
        <v>6363</v>
      </c>
      <c r="K40" s="5">
        <f>B40+F40+I40+J40+H40+D40</f>
        <v>33936</v>
      </c>
    </row>
    <row r="41" spans="1:11" x14ac:dyDescent="0.25">
      <c r="A41" s="95" t="s">
        <v>40</v>
      </c>
      <c r="B41" s="96"/>
      <c r="C41" s="96"/>
      <c r="D41" s="96"/>
      <c r="E41" s="96"/>
      <c r="F41" s="96"/>
      <c r="G41" s="96"/>
      <c r="H41" s="96"/>
      <c r="I41" s="96"/>
      <c r="J41" s="96"/>
      <c r="K41" s="97"/>
    </row>
    <row r="42" spans="1:11" x14ac:dyDescent="0.25">
      <c r="A42" s="4"/>
      <c r="B42" s="5">
        <v>14300</v>
      </c>
      <c r="C42" s="6">
        <v>1</v>
      </c>
      <c r="D42" s="5">
        <f>B42*C42</f>
        <v>14300</v>
      </c>
      <c r="E42" s="6"/>
      <c r="F42" s="5">
        <f>B42*E42</f>
        <v>0</v>
      </c>
      <c r="G42" s="6">
        <v>0.5</v>
      </c>
      <c r="H42" s="5">
        <f>B42*G42</f>
        <v>7150</v>
      </c>
      <c r="I42" s="5">
        <f>(B42+F42+D42+H42)*30%</f>
        <v>10725</v>
      </c>
      <c r="J42" s="5">
        <f>(B42+F42+D42+H42)*30%</f>
        <v>10725</v>
      </c>
      <c r="K42" s="5">
        <f>B42+F42+I42+J42+H42+D42</f>
        <v>57200</v>
      </c>
    </row>
    <row r="43" spans="1:11" x14ac:dyDescent="0.25">
      <c r="A43" s="53"/>
      <c r="B43" s="58"/>
      <c r="C43" s="58"/>
      <c r="D43" s="58"/>
      <c r="E43" s="66" t="s">
        <v>101</v>
      </c>
      <c r="F43" s="66"/>
      <c r="G43" s="66"/>
      <c r="H43" s="66"/>
      <c r="I43" s="58"/>
      <c r="J43" s="58"/>
      <c r="K43" s="67"/>
    </row>
    <row r="44" spans="1:11" x14ac:dyDescent="0.25">
      <c r="A44" s="4"/>
      <c r="B44" s="65">
        <v>14300</v>
      </c>
      <c r="C44" s="6">
        <v>1</v>
      </c>
      <c r="D44" s="65">
        <f>B44*C44</f>
        <v>14300</v>
      </c>
      <c r="E44" s="4"/>
      <c r="F44" s="4"/>
      <c r="G44" s="6">
        <v>0.2</v>
      </c>
      <c r="H44" s="65">
        <f>B44*G44</f>
        <v>2860</v>
      </c>
      <c r="I44" s="65">
        <f>(B44+F44+D44+H44)*30%</f>
        <v>9438</v>
      </c>
      <c r="J44" s="65">
        <f>(B44+F44+D44+H44)*30%</f>
        <v>9438</v>
      </c>
      <c r="K44" s="65">
        <f>B44+F44+I44+J44+H44+D44</f>
        <v>50336</v>
      </c>
    </row>
    <row r="45" spans="1:11" x14ac:dyDescent="0.25">
      <c r="C45" s="3"/>
      <c r="D45" s="3" t="s">
        <v>104</v>
      </c>
      <c r="E45" s="3"/>
      <c r="F45" s="3"/>
      <c r="G45" s="3"/>
      <c r="H45" s="3"/>
      <c r="I45" s="3"/>
    </row>
    <row r="46" spans="1:11" x14ac:dyDescent="0.25">
      <c r="A46" s="4"/>
      <c r="B46" s="65">
        <v>10100</v>
      </c>
      <c r="C46" s="6">
        <v>1</v>
      </c>
      <c r="D46" s="65">
        <f>B46*C46</f>
        <v>10100</v>
      </c>
      <c r="E46" s="4"/>
      <c r="F46" s="4">
        <f>B46*E46</f>
        <v>0</v>
      </c>
      <c r="G46" s="6">
        <v>0.1</v>
      </c>
      <c r="H46" s="65">
        <f>B46*G46</f>
        <v>1010</v>
      </c>
      <c r="I46" s="65">
        <f>(B46+F46+D46+H46)*30%</f>
        <v>6363</v>
      </c>
      <c r="J46" s="65">
        <f>(B46+F46+D46+H46)*30%</f>
        <v>6363</v>
      </c>
      <c r="K46" s="65">
        <f>B46+F46+I46+J46+H46+D46</f>
        <v>33936</v>
      </c>
    </row>
    <row r="283" spans="6:6" x14ac:dyDescent="0.25">
      <c r="F283">
        <v>22.75</v>
      </c>
    </row>
  </sheetData>
  <mergeCells count="22">
    <mergeCell ref="A35:K35"/>
    <mergeCell ref="A37:K37"/>
    <mergeCell ref="A39:K39"/>
    <mergeCell ref="A41:K41"/>
    <mergeCell ref="A21:K21"/>
    <mergeCell ref="A23:K23"/>
    <mergeCell ref="A25:K25"/>
    <mergeCell ref="A27:K27"/>
    <mergeCell ref="A29:K29"/>
    <mergeCell ref="A33:K33"/>
    <mergeCell ref="A19:K19"/>
    <mergeCell ref="A1:K1"/>
    <mergeCell ref="C3:D3"/>
    <mergeCell ref="E3:F3"/>
    <mergeCell ref="G3:H3"/>
    <mergeCell ref="A5:K5"/>
    <mergeCell ref="A7:K7"/>
    <mergeCell ref="A9:K9"/>
    <mergeCell ref="A11:K11"/>
    <mergeCell ref="A13:K13"/>
    <mergeCell ref="A15:K15"/>
    <mergeCell ref="A17:K17"/>
  </mergeCells>
  <pageMargins left="0.31496062992125984" right="0" top="0" bottom="0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K558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56" sqref="E56"/>
    </sheetView>
  </sheetViews>
  <sheetFormatPr defaultRowHeight="13.2" x14ac:dyDescent="0.25"/>
  <cols>
    <col min="1" max="1" width="6.6640625" customWidth="1"/>
    <col min="2" max="2" width="22.6640625" customWidth="1"/>
    <col min="3" max="3" width="12.44140625" customWidth="1"/>
    <col min="4" max="4" width="8.44140625" customWidth="1"/>
    <col min="7" max="7" width="17.88671875" customWidth="1"/>
    <col min="8" max="8" width="17.5546875" customWidth="1"/>
    <col min="9" max="9" width="16.5546875" customWidth="1"/>
    <col min="10" max="10" width="20.109375" customWidth="1"/>
  </cols>
  <sheetData>
    <row r="3" spans="1:10" ht="24.6" customHeight="1" x14ac:dyDescent="0.25">
      <c r="A3" s="4"/>
      <c r="B3" s="4" t="s">
        <v>29</v>
      </c>
      <c r="C3" s="7" t="s">
        <v>30</v>
      </c>
      <c r="D3" s="7" t="s">
        <v>31</v>
      </c>
      <c r="E3" s="7" t="s">
        <v>32</v>
      </c>
      <c r="F3" s="7" t="s">
        <v>33</v>
      </c>
      <c r="G3" s="7" t="s">
        <v>105</v>
      </c>
      <c r="H3" s="7" t="s">
        <v>34</v>
      </c>
      <c r="I3" s="7" t="s">
        <v>35</v>
      </c>
      <c r="J3" s="7" t="s">
        <v>36</v>
      </c>
    </row>
    <row r="4" spans="1:10" x14ac:dyDescent="0.25">
      <c r="A4" s="4"/>
      <c r="B4" s="105" t="s">
        <v>37</v>
      </c>
      <c r="C4" s="105"/>
      <c r="D4" s="105"/>
      <c r="E4" s="105"/>
      <c r="F4" s="105"/>
      <c r="G4" s="105"/>
      <c r="H4" s="105"/>
      <c r="I4" s="105"/>
      <c r="J4" s="105"/>
    </row>
    <row r="5" spans="1:10" ht="13.8" x14ac:dyDescent="0.3">
      <c r="A5" s="106" t="s">
        <v>38</v>
      </c>
      <c r="B5" s="107"/>
      <c r="C5" s="4">
        <f>C6+C11</f>
        <v>41.5</v>
      </c>
      <c r="D5" s="4">
        <f>D6+D11</f>
        <v>32.5</v>
      </c>
      <c r="E5" s="4">
        <f>E6+E11</f>
        <v>25</v>
      </c>
      <c r="F5" s="4">
        <f>F6+F11</f>
        <v>25</v>
      </c>
      <c r="G5" s="5"/>
      <c r="H5" s="8">
        <f>H6+H11</f>
        <v>10883813.232000001</v>
      </c>
      <c r="I5" s="8">
        <f>I6+I11</f>
        <v>3286911.5960639995</v>
      </c>
      <c r="J5" s="8">
        <f>J6+J11</f>
        <v>14170724.828063998</v>
      </c>
    </row>
    <row r="6" spans="1:10" ht="14.4" x14ac:dyDescent="0.3">
      <c r="A6" s="108" t="s">
        <v>39</v>
      </c>
      <c r="B6" s="109"/>
      <c r="C6" s="4">
        <f>C7+C8</f>
        <v>7.5</v>
      </c>
      <c r="D6" s="4">
        <f>D7+D8</f>
        <v>7.5</v>
      </c>
      <c r="E6" s="4">
        <f>E7+E8</f>
        <v>7</v>
      </c>
      <c r="F6" s="4">
        <f>F7+F8</f>
        <v>7</v>
      </c>
      <c r="G6" s="5"/>
      <c r="H6" s="8">
        <f>H7+H8</f>
        <v>2958469.6320000002</v>
      </c>
      <c r="I6" s="8">
        <f>I7+I8</f>
        <v>893457.82886400004</v>
      </c>
      <c r="J6" s="8">
        <f>J7+J8</f>
        <v>3851927.4608640005</v>
      </c>
    </row>
    <row r="7" spans="1:10" x14ac:dyDescent="0.25">
      <c r="A7" s="9">
        <v>2</v>
      </c>
      <c r="B7" s="10" t="s">
        <v>11</v>
      </c>
      <c r="C7" s="68">
        <v>6</v>
      </c>
      <c r="D7" s="68">
        <v>6</v>
      </c>
      <c r="E7" s="68">
        <v>6</v>
      </c>
      <c r="F7" s="68">
        <v>6</v>
      </c>
      <c r="G7" s="5">
        <f>'расчёт зарплаты'!K8</f>
        <v>34019.856</v>
      </c>
      <c r="H7" s="5">
        <f>E7*G7*12+((D7-E7)*G7/2*12)</f>
        <v>2449429.6320000002</v>
      </c>
      <c r="I7" s="5">
        <f>H7*30.2%</f>
        <v>739727.74886400008</v>
      </c>
      <c r="J7" s="5">
        <f>H7+I7</f>
        <v>3189157.3808640004</v>
      </c>
    </row>
    <row r="8" spans="1:10" ht="52.8" x14ac:dyDescent="0.25">
      <c r="A8" s="9">
        <v>3</v>
      </c>
      <c r="B8" s="10" t="s">
        <v>12</v>
      </c>
      <c r="C8" s="63">
        <v>1.5</v>
      </c>
      <c r="D8" s="63">
        <v>1.5</v>
      </c>
      <c r="E8" s="63">
        <v>1</v>
      </c>
      <c r="F8" s="63">
        <v>1</v>
      </c>
      <c r="G8" s="5">
        <f>'расчёт зарплаты'!K10</f>
        <v>33936</v>
      </c>
      <c r="H8" s="5">
        <f>E8*G8*12+((D8-E8)*G8/2*12)</f>
        <v>509040</v>
      </c>
      <c r="I8" s="5">
        <f>H8*30.2%</f>
        <v>153730.07999999999</v>
      </c>
      <c r="J8" s="5">
        <f>H8+I8</f>
        <v>662770.07999999996</v>
      </c>
    </row>
    <row r="9" spans="1:10" ht="26.4" x14ac:dyDescent="0.25">
      <c r="A9" s="9">
        <v>4</v>
      </c>
      <c r="B9" s="10" t="s">
        <v>40</v>
      </c>
      <c r="C9" s="4">
        <v>0</v>
      </c>
      <c r="D9" s="4">
        <v>0</v>
      </c>
      <c r="E9" s="4">
        <v>0</v>
      </c>
      <c r="F9" s="4">
        <v>0</v>
      </c>
      <c r="G9" s="5"/>
      <c r="H9" s="5">
        <f>E9*G9*12+((D9-E9)*G9/2*12)</f>
        <v>0</v>
      </c>
      <c r="I9" s="5"/>
      <c r="J9" s="5"/>
    </row>
    <row r="10" spans="1:10" x14ac:dyDescent="0.25">
      <c r="A10" s="9">
        <v>5</v>
      </c>
      <c r="B10" s="10" t="s">
        <v>20</v>
      </c>
      <c r="C10" s="4"/>
      <c r="D10" s="4"/>
      <c r="E10" s="4"/>
      <c r="F10" s="4"/>
      <c r="G10" s="5"/>
      <c r="H10" s="5"/>
      <c r="I10" s="5"/>
      <c r="J10" s="5"/>
    </row>
    <row r="11" spans="1:10" ht="14.4" x14ac:dyDescent="0.3">
      <c r="A11" s="110" t="s">
        <v>41</v>
      </c>
      <c r="B11" s="110"/>
      <c r="C11" s="4">
        <f>C12+C19</f>
        <v>34</v>
      </c>
      <c r="D11" s="4">
        <f>D12+D19</f>
        <v>25</v>
      </c>
      <c r="E11" s="4">
        <f>E12+E19</f>
        <v>18</v>
      </c>
      <c r="F11" s="4">
        <f>F12+F19</f>
        <v>18</v>
      </c>
      <c r="G11" s="5"/>
      <c r="H11" s="8">
        <f>H12+H19</f>
        <v>7925343.5999999996</v>
      </c>
      <c r="I11" s="8">
        <f>I12+I19</f>
        <v>2393453.7671999997</v>
      </c>
      <c r="J11" s="8">
        <f>J12+J19</f>
        <v>10318797.367199998</v>
      </c>
    </row>
    <row r="12" spans="1:10" ht="14.4" x14ac:dyDescent="0.3">
      <c r="A12" s="111" t="s">
        <v>42</v>
      </c>
      <c r="B12" s="111"/>
      <c r="C12" s="4">
        <f>C13+C14+C15+C16+C17+C18</f>
        <v>29</v>
      </c>
      <c r="D12" s="4">
        <f>D13+D14+D15+D16+D17+D18</f>
        <v>21</v>
      </c>
      <c r="E12" s="4">
        <f>E13+E14+E15+E16+E17+E18</f>
        <v>16</v>
      </c>
      <c r="F12" s="4">
        <f>F13+F14+F15+F16+F17+F18</f>
        <v>16</v>
      </c>
      <c r="G12" s="5"/>
      <c r="H12" s="5">
        <f>SUM(H13:H18)</f>
        <v>6639351.5999999996</v>
      </c>
      <c r="I12" s="5">
        <f>SUM(I13:I18)</f>
        <v>2005084.1831999999</v>
      </c>
      <c r="J12" s="5">
        <f>SUM(J13:J18)</f>
        <v>8644435.7831999976</v>
      </c>
    </row>
    <row r="13" spans="1:10" x14ac:dyDescent="0.25">
      <c r="A13" s="9">
        <v>1</v>
      </c>
      <c r="B13" s="10" t="s">
        <v>15</v>
      </c>
      <c r="C13" s="63">
        <v>3</v>
      </c>
      <c r="D13" s="87">
        <f>2-1</f>
        <v>1</v>
      </c>
      <c r="E13" s="63">
        <v>1</v>
      </c>
      <c r="F13" s="63">
        <v>1</v>
      </c>
      <c r="G13" s="5">
        <f>'расчёт зарплаты'!K12</f>
        <v>40480</v>
      </c>
      <c r="H13" s="5">
        <f>E13*G13*12+((D13-E13)*G13/2*12)</f>
        <v>485760</v>
      </c>
      <c r="I13" s="5">
        <f t="shared" ref="I13:I18" si="0">H13*30.2%</f>
        <v>146699.51999999999</v>
      </c>
      <c r="J13" s="5">
        <f t="shared" ref="J13:J18" si="1">H13+I13</f>
        <v>632459.52000000002</v>
      </c>
    </row>
    <row r="14" spans="1:10" x14ac:dyDescent="0.25">
      <c r="A14" s="9">
        <v>2</v>
      </c>
      <c r="B14" s="10" t="s">
        <v>17</v>
      </c>
      <c r="C14" s="4"/>
      <c r="D14" s="4"/>
      <c r="E14" s="4"/>
      <c r="F14" s="4"/>
      <c r="G14" s="5">
        <f>'расчёт зарплаты'!K14</f>
        <v>44704</v>
      </c>
      <c r="H14" s="5">
        <f>E14*G14*12+((D14-E14)*G14/2*12)</f>
        <v>0</v>
      </c>
      <c r="I14" s="5">
        <f t="shared" si="0"/>
        <v>0</v>
      </c>
      <c r="J14" s="5">
        <f t="shared" si="1"/>
        <v>0</v>
      </c>
    </row>
    <row r="15" spans="1:10" ht="39.6" x14ac:dyDescent="0.25">
      <c r="A15" s="9">
        <v>3</v>
      </c>
      <c r="B15" s="10" t="s">
        <v>18</v>
      </c>
      <c r="C15" s="63">
        <v>19</v>
      </c>
      <c r="D15" s="87">
        <f>17-3</f>
        <v>14</v>
      </c>
      <c r="E15" s="63">
        <v>10</v>
      </c>
      <c r="F15" s="63">
        <v>10</v>
      </c>
      <c r="G15" s="5">
        <f>'расчёт зарплаты'!K16</f>
        <v>31556.880000000001</v>
      </c>
      <c r="H15" s="5">
        <f>E15*G15*12+((D15-E15)*G15/2*12)</f>
        <v>4544190.72</v>
      </c>
      <c r="I15" s="5">
        <f t="shared" si="0"/>
        <v>1372345.5974399999</v>
      </c>
      <c r="J15" s="5">
        <f t="shared" si="1"/>
        <v>5916536.3174399994</v>
      </c>
    </row>
    <row r="16" spans="1:10" x14ac:dyDescent="0.25">
      <c r="A16" s="9">
        <v>4</v>
      </c>
      <c r="B16" s="10" t="s">
        <v>19</v>
      </c>
      <c r="C16" s="63">
        <v>3</v>
      </c>
      <c r="D16" s="63">
        <v>3</v>
      </c>
      <c r="E16" s="63">
        <v>2</v>
      </c>
      <c r="F16" s="63">
        <v>2</v>
      </c>
      <c r="G16" s="5">
        <f>'расчёт зарплаты'!K18</f>
        <v>31556.880000000001</v>
      </c>
      <c r="H16" s="5">
        <f>E16*G16*12+((D16-E16)*G16/2*12)</f>
        <v>946706.4</v>
      </c>
      <c r="I16" s="5">
        <f t="shared" si="0"/>
        <v>285905.33279999997</v>
      </c>
      <c r="J16" s="5">
        <f t="shared" si="1"/>
        <v>1232611.7327999999</v>
      </c>
    </row>
    <row r="17" spans="1:10" x14ac:dyDescent="0.25">
      <c r="A17" s="9"/>
      <c r="B17" s="10"/>
      <c r="C17" s="4"/>
      <c r="D17" s="4"/>
      <c r="E17" s="4"/>
      <c r="F17" s="4"/>
      <c r="G17" s="5"/>
      <c r="H17" s="5">
        <f t="shared" ref="H17:H27" si="2">E17*G17*12+((D17-E17)*G17/2*12)</f>
        <v>0</v>
      </c>
      <c r="I17" s="5">
        <f t="shared" si="0"/>
        <v>0</v>
      </c>
      <c r="J17" s="5">
        <f t="shared" si="1"/>
        <v>0</v>
      </c>
    </row>
    <row r="18" spans="1:10" x14ac:dyDescent="0.25">
      <c r="A18" s="9">
        <v>6</v>
      </c>
      <c r="B18" s="10" t="s">
        <v>21</v>
      </c>
      <c r="C18" s="63">
        <v>4</v>
      </c>
      <c r="D18" s="63">
        <f>4-1</f>
        <v>3</v>
      </c>
      <c r="E18" s="63">
        <v>3</v>
      </c>
      <c r="F18" s="63">
        <v>3</v>
      </c>
      <c r="G18" s="5">
        <f>'расчёт зарплаты'!K22</f>
        <v>31556.880000000001</v>
      </c>
      <c r="H18" s="88">
        <f>E18*G18*7+((D18-E18)*G18/2*7)</f>
        <v>662694.48</v>
      </c>
      <c r="I18" s="5">
        <f t="shared" si="0"/>
        <v>200133.73295999999</v>
      </c>
      <c r="J18" s="5">
        <f t="shared" si="1"/>
        <v>862828.21295999992</v>
      </c>
    </row>
    <row r="19" spans="1:10" ht="14.4" x14ac:dyDescent="0.3">
      <c r="A19" s="111" t="s">
        <v>43</v>
      </c>
      <c r="B19" s="111"/>
      <c r="C19" s="4">
        <f>C20+C21+C22+C23+C24+C25+C26+C27</f>
        <v>5</v>
      </c>
      <c r="D19" s="4">
        <f t="shared" ref="D19:F19" si="3">D20+D21+D22+D23+D24+D25+D26+D27</f>
        <v>4</v>
      </c>
      <c r="E19" s="4">
        <f t="shared" si="3"/>
        <v>2</v>
      </c>
      <c r="F19" s="4">
        <f t="shared" si="3"/>
        <v>2</v>
      </c>
      <c r="G19" s="5"/>
      <c r="H19" s="5">
        <f>SUM(H20:H27)</f>
        <v>1285992</v>
      </c>
      <c r="I19" s="5">
        <f>SUM(I20:I27)</f>
        <v>388369.58400000003</v>
      </c>
      <c r="J19" s="5">
        <f>SUM(J20:J27)</f>
        <v>1674361.584</v>
      </c>
    </row>
    <row r="20" spans="1:10" ht="26.4" x14ac:dyDescent="0.25">
      <c r="A20" s="9">
        <v>1</v>
      </c>
      <c r="B20" s="10" t="s">
        <v>22</v>
      </c>
      <c r="C20" s="63">
        <v>1</v>
      </c>
      <c r="D20" s="63"/>
      <c r="E20" s="63"/>
      <c r="F20" s="63"/>
      <c r="G20" s="5">
        <f>'расчёт зарплаты'!K24</f>
        <v>39984</v>
      </c>
      <c r="H20" s="5">
        <f t="shared" si="2"/>
        <v>0</v>
      </c>
      <c r="I20" s="5">
        <f t="shared" ref="I20:I27" si="4">H20*30.2%</f>
        <v>0</v>
      </c>
      <c r="J20" s="5">
        <f t="shared" ref="J20:J27" si="5">H20+I20</f>
        <v>0</v>
      </c>
    </row>
    <row r="21" spans="1:10" x14ac:dyDescent="0.25">
      <c r="A21" s="9">
        <v>2</v>
      </c>
      <c r="B21" s="10" t="s">
        <v>23</v>
      </c>
      <c r="C21" s="4"/>
      <c r="D21" s="4"/>
      <c r="E21" s="4"/>
      <c r="F21" s="4"/>
      <c r="G21" s="5">
        <f>'расчёт зарплаты'!K26</f>
        <v>40480</v>
      </c>
      <c r="H21" s="5">
        <f t="shared" si="2"/>
        <v>0</v>
      </c>
      <c r="I21" s="5">
        <f t="shared" si="4"/>
        <v>0</v>
      </c>
      <c r="J21" s="5">
        <f t="shared" si="5"/>
        <v>0</v>
      </c>
    </row>
    <row r="22" spans="1:10" ht="26.4" x14ac:dyDescent="0.25">
      <c r="A22" s="9">
        <v>3</v>
      </c>
      <c r="B22" s="10" t="s">
        <v>24</v>
      </c>
      <c r="C22" s="63">
        <v>2</v>
      </c>
      <c r="D22" s="63">
        <v>2</v>
      </c>
      <c r="E22" s="63">
        <v>2</v>
      </c>
      <c r="F22" s="63">
        <v>2</v>
      </c>
      <c r="G22" s="5">
        <f>'расчёт зарплаты'!K28</f>
        <v>36256</v>
      </c>
      <c r="H22" s="5">
        <f t="shared" si="2"/>
        <v>870144</v>
      </c>
      <c r="I22" s="5">
        <f t="shared" si="4"/>
        <v>262783.48800000001</v>
      </c>
      <c r="J22" s="5">
        <f t="shared" si="5"/>
        <v>1132927.4879999999</v>
      </c>
    </row>
    <row r="23" spans="1:10" x14ac:dyDescent="0.25">
      <c r="A23" s="9">
        <v>4</v>
      </c>
      <c r="B23" s="10" t="s">
        <v>25</v>
      </c>
      <c r="C23" s="4"/>
      <c r="D23" s="4"/>
      <c r="E23" s="4"/>
      <c r="F23" s="4"/>
      <c r="G23" s="5">
        <f>'расчёт зарплаты'!K36</f>
        <v>32320</v>
      </c>
      <c r="H23" s="5">
        <f t="shared" si="2"/>
        <v>0</v>
      </c>
      <c r="I23" s="5">
        <f t="shared" si="4"/>
        <v>0</v>
      </c>
      <c r="J23" s="5">
        <f t="shared" si="5"/>
        <v>0</v>
      </c>
    </row>
    <row r="24" spans="1:10" x14ac:dyDescent="0.25">
      <c r="A24" s="9">
        <v>5</v>
      </c>
      <c r="B24" s="10" t="s">
        <v>26</v>
      </c>
      <c r="C24" s="4">
        <v>1</v>
      </c>
      <c r="D24" s="4">
        <v>1</v>
      </c>
      <c r="E24" s="4">
        <v>0</v>
      </c>
      <c r="F24" s="4">
        <v>0</v>
      </c>
      <c r="G24" s="5">
        <f>'расчёт зарплаты'!K34</f>
        <v>33936</v>
      </c>
      <c r="H24" s="5">
        <f t="shared" si="2"/>
        <v>203616</v>
      </c>
      <c r="I24" s="5">
        <f t="shared" si="4"/>
        <v>61492.031999999999</v>
      </c>
      <c r="J24" s="5">
        <f t="shared" si="5"/>
        <v>265108.03200000001</v>
      </c>
    </row>
    <row r="25" spans="1:10" x14ac:dyDescent="0.25">
      <c r="A25" s="9">
        <v>6</v>
      </c>
      <c r="B25" s="10" t="s">
        <v>28</v>
      </c>
      <c r="C25" s="63">
        <v>0.5</v>
      </c>
      <c r="D25" s="63">
        <v>0.5</v>
      </c>
      <c r="E25" s="63">
        <v>0</v>
      </c>
      <c r="F25" s="63">
        <v>0</v>
      </c>
      <c r="G25" s="5">
        <f>'расчёт зарплаты'!K40</f>
        <v>33936</v>
      </c>
      <c r="H25" s="5">
        <f t="shared" si="2"/>
        <v>101808</v>
      </c>
      <c r="I25" s="5">
        <f t="shared" si="4"/>
        <v>30746.016</v>
      </c>
      <c r="J25" s="5">
        <f t="shared" si="5"/>
        <v>132554.016</v>
      </c>
    </row>
    <row r="26" spans="1:10" ht="26.4" x14ac:dyDescent="0.25">
      <c r="A26" s="9"/>
      <c r="B26" s="10" t="s">
        <v>98</v>
      </c>
      <c r="C26" s="63">
        <v>0.5</v>
      </c>
      <c r="D26" s="63">
        <v>0.5</v>
      </c>
      <c r="E26" s="63">
        <v>0</v>
      </c>
      <c r="F26" s="63">
        <v>0</v>
      </c>
      <c r="G26" s="5">
        <f>'расчёт зарплаты'!K32</f>
        <v>36808</v>
      </c>
      <c r="H26" s="5">
        <f t="shared" si="2"/>
        <v>110424</v>
      </c>
      <c r="I26" s="5">
        <f t="shared" si="4"/>
        <v>33348.048000000003</v>
      </c>
      <c r="J26" s="5">
        <f t="shared" si="5"/>
        <v>143772.04800000001</v>
      </c>
    </row>
    <row r="27" spans="1:10" ht="26.4" x14ac:dyDescent="0.25">
      <c r="A27" s="9">
        <v>1</v>
      </c>
      <c r="B27" s="10" t="s">
        <v>9</v>
      </c>
      <c r="C27" s="4"/>
      <c r="D27" s="4"/>
      <c r="E27" s="4"/>
      <c r="F27" s="4"/>
      <c r="G27" s="5">
        <f>'расчёт зарплаты'!K6</f>
        <v>46112</v>
      </c>
      <c r="H27" s="5">
        <f t="shared" si="2"/>
        <v>0</v>
      </c>
      <c r="I27" s="5">
        <f t="shared" si="4"/>
        <v>0</v>
      </c>
      <c r="J27" s="5">
        <f t="shared" si="5"/>
        <v>0</v>
      </c>
    </row>
    <row r="28" spans="1:10" x14ac:dyDescent="0.25">
      <c r="A28" s="4"/>
      <c r="B28" s="105" t="s">
        <v>44</v>
      </c>
      <c r="C28" s="105"/>
      <c r="D28" s="105"/>
      <c r="E28" s="105"/>
      <c r="F28" s="105"/>
      <c r="G28" s="105"/>
      <c r="H28" s="105"/>
      <c r="I28" s="105"/>
      <c r="J28" s="105"/>
    </row>
    <row r="29" spans="1:10" ht="13.95" customHeight="1" x14ac:dyDescent="0.3">
      <c r="A29" s="106" t="s">
        <v>38</v>
      </c>
      <c r="B29" s="107"/>
      <c r="C29" s="4">
        <f>C30+C35</f>
        <v>38.5</v>
      </c>
      <c r="D29" s="4">
        <f>D30+D35</f>
        <v>31.75</v>
      </c>
      <c r="E29" s="4">
        <f>E30+E35</f>
        <v>22.4</v>
      </c>
      <c r="F29" s="4">
        <f>F30+F35</f>
        <v>21</v>
      </c>
      <c r="G29" s="5"/>
      <c r="H29" s="5"/>
      <c r="I29" s="5"/>
      <c r="J29" s="8">
        <f>J30+J35</f>
        <v>13763601.291888</v>
      </c>
    </row>
    <row r="30" spans="1:10" ht="14.4" customHeight="1" x14ac:dyDescent="0.3">
      <c r="A30" s="108" t="s">
        <v>39</v>
      </c>
      <c r="B30" s="109"/>
      <c r="C30" s="4">
        <f>C31+C32</f>
        <v>7.5</v>
      </c>
      <c r="D30" s="4">
        <f>D31+D32</f>
        <v>6.5</v>
      </c>
      <c r="E30" s="4">
        <f>E31+E32</f>
        <v>7</v>
      </c>
      <c r="F30" s="4">
        <f>F31+F32</f>
        <v>6</v>
      </c>
      <c r="G30" s="5"/>
      <c r="H30" s="8">
        <f>H31+H32</f>
        <v>2754853.6320000002</v>
      </c>
      <c r="I30" s="8">
        <f>I31+I32</f>
        <v>831965.79686400003</v>
      </c>
      <c r="J30" s="8">
        <f>J31+J32</f>
        <v>3586819.4288640004</v>
      </c>
    </row>
    <row r="31" spans="1:10" x14ac:dyDescent="0.25">
      <c r="A31" s="9">
        <v>2</v>
      </c>
      <c r="B31" s="10" t="s">
        <v>11</v>
      </c>
      <c r="C31" s="68">
        <v>6</v>
      </c>
      <c r="D31" s="68">
        <v>6</v>
      </c>
      <c r="E31" s="68">
        <v>6</v>
      </c>
      <c r="F31" s="68">
        <v>6</v>
      </c>
      <c r="G31" s="5">
        <f>'расчёт зарплаты'!K8</f>
        <v>34019.856</v>
      </c>
      <c r="H31" s="5">
        <f>E31*G31*12+((D31-E31)*G31/2*12)</f>
        <v>2449429.6320000002</v>
      </c>
      <c r="I31" s="5">
        <f>H31*30.2%</f>
        <v>739727.74886400008</v>
      </c>
      <c r="J31" s="5">
        <f>H31+I31</f>
        <v>3189157.3808640004</v>
      </c>
    </row>
    <row r="32" spans="1:10" ht="52.8" x14ac:dyDescent="0.25">
      <c r="A32" s="9">
        <v>3</v>
      </c>
      <c r="B32" s="10" t="s">
        <v>12</v>
      </c>
      <c r="C32" s="63">
        <v>1.5</v>
      </c>
      <c r="D32" s="63">
        <v>0.5</v>
      </c>
      <c r="E32" s="63">
        <v>1</v>
      </c>
      <c r="F32" s="63">
        <v>0</v>
      </c>
      <c r="G32" s="5">
        <f>'расчёт зарплаты'!K10</f>
        <v>33936</v>
      </c>
      <c r="H32" s="5">
        <f>E32*G32*12+((D32-E32)*G32/2*12)</f>
        <v>305424</v>
      </c>
      <c r="I32" s="5">
        <f>H32*30.2%</f>
        <v>92238.047999999995</v>
      </c>
      <c r="J32" s="5">
        <f>H32+I32</f>
        <v>397662.04800000001</v>
      </c>
    </row>
    <row r="33" spans="1:10" ht="26.4" x14ac:dyDescent="0.25">
      <c r="A33" s="9">
        <v>4</v>
      </c>
      <c r="B33" s="10" t="s">
        <v>40</v>
      </c>
      <c r="C33" s="4"/>
      <c r="D33" s="4"/>
      <c r="E33" s="4"/>
      <c r="F33" s="4"/>
      <c r="G33" s="5"/>
      <c r="H33" s="5">
        <f>E33*G33*12+((D33-E33)*G33/2*12)</f>
        <v>0</v>
      </c>
      <c r="I33" s="5"/>
      <c r="J33" s="5"/>
    </row>
    <row r="34" spans="1:10" x14ac:dyDescent="0.25">
      <c r="A34" s="9">
        <v>5</v>
      </c>
      <c r="B34" s="10" t="s">
        <v>20</v>
      </c>
      <c r="C34" s="4"/>
      <c r="D34" s="4"/>
      <c r="E34" s="4"/>
      <c r="F34" s="4"/>
      <c r="G34" s="5"/>
      <c r="H34" s="5"/>
      <c r="I34" s="5"/>
      <c r="J34" s="5"/>
    </row>
    <row r="35" spans="1:10" ht="14.4" customHeight="1" x14ac:dyDescent="0.3">
      <c r="A35" s="110" t="s">
        <v>41</v>
      </c>
      <c r="B35" s="110"/>
      <c r="C35" s="4">
        <f>C36+C43</f>
        <v>31</v>
      </c>
      <c r="D35" s="4">
        <f>D36+D43</f>
        <v>25.25</v>
      </c>
      <c r="E35" s="4">
        <f>E36+E43</f>
        <v>15.4</v>
      </c>
      <c r="F35" s="4">
        <f>F36+F43</f>
        <v>15</v>
      </c>
      <c r="G35" s="5"/>
      <c r="H35" s="8">
        <f>H36+H43</f>
        <v>7816268.7120000003</v>
      </c>
      <c r="I35" s="8">
        <f>I36+I43</f>
        <v>2360513.1510239998</v>
      </c>
      <c r="J35" s="8">
        <f>J36+J43</f>
        <v>10176781.863024</v>
      </c>
    </row>
    <row r="36" spans="1:10" ht="14.4" customHeight="1" x14ac:dyDescent="0.3">
      <c r="A36" s="111" t="s">
        <v>42</v>
      </c>
      <c r="B36" s="111"/>
      <c r="C36" s="4">
        <f>C37+C38+C39+C40+C41+C42</f>
        <v>26.5</v>
      </c>
      <c r="D36" s="4">
        <f>D37+D38+D39+D40+D41+D42</f>
        <v>20.75</v>
      </c>
      <c r="E36" s="4">
        <f>E37+E38+E39+E40+E41+E42</f>
        <v>13.4</v>
      </c>
      <c r="F36" s="4">
        <f>F37+F38+F39+F40+F41+F42</f>
        <v>13</v>
      </c>
      <c r="G36" s="5"/>
      <c r="H36" s="5">
        <f>SUM(H37:H42)</f>
        <v>6466004.7120000003</v>
      </c>
      <c r="I36" s="5">
        <f>SUM(I37:I42)</f>
        <v>1952733.4230239999</v>
      </c>
      <c r="J36" s="5">
        <f>SUM(J37:J42)</f>
        <v>8418738.135024</v>
      </c>
    </row>
    <row r="37" spans="1:10" x14ac:dyDescent="0.25">
      <c r="A37" s="9">
        <v>1</v>
      </c>
      <c r="B37" s="10" t="s">
        <v>15</v>
      </c>
      <c r="C37" s="4">
        <v>0</v>
      </c>
      <c r="D37" s="4">
        <v>0</v>
      </c>
      <c r="E37" s="4">
        <v>0</v>
      </c>
      <c r="F37" s="4">
        <v>0</v>
      </c>
      <c r="G37" s="5">
        <f>'расчёт зарплаты'!K12</f>
        <v>40480</v>
      </c>
      <c r="H37" s="5">
        <f>E37*G37*12+((D37-E37)*G37/2*12)</f>
        <v>0</v>
      </c>
      <c r="I37" s="5">
        <f t="shared" ref="I37:I42" si="6">H37*30.2%</f>
        <v>0</v>
      </c>
      <c r="J37" s="5">
        <f t="shared" ref="J37:J42" si="7">H37+I37</f>
        <v>0</v>
      </c>
    </row>
    <row r="38" spans="1:10" x14ac:dyDescent="0.25">
      <c r="A38" s="9">
        <v>2</v>
      </c>
      <c r="B38" s="10" t="s">
        <v>17</v>
      </c>
      <c r="C38" s="4">
        <v>0</v>
      </c>
      <c r="D38" s="4">
        <v>0</v>
      </c>
      <c r="E38" s="4">
        <v>0</v>
      </c>
      <c r="F38" s="4">
        <v>0</v>
      </c>
      <c r="G38" s="5">
        <f>'расчёт зарплаты'!K14</f>
        <v>44704</v>
      </c>
      <c r="H38" s="5">
        <f>E38*G38*12+((D38-E38)*G38/2*12)</f>
        <v>0</v>
      </c>
      <c r="I38" s="5">
        <f t="shared" si="6"/>
        <v>0</v>
      </c>
      <c r="J38" s="5">
        <f t="shared" si="7"/>
        <v>0</v>
      </c>
    </row>
    <row r="39" spans="1:10" ht="39.6" x14ac:dyDescent="0.25">
      <c r="A39" s="9">
        <v>3</v>
      </c>
      <c r="B39" s="10" t="s">
        <v>18</v>
      </c>
      <c r="C39" s="64">
        <v>20.5</v>
      </c>
      <c r="D39" s="64">
        <v>15.75</v>
      </c>
      <c r="E39" s="64">
        <v>9.4</v>
      </c>
      <c r="F39" s="64">
        <v>8</v>
      </c>
      <c r="G39" s="5">
        <f>'расчёт зарплаты'!K16</f>
        <v>31556.880000000001</v>
      </c>
      <c r="H39" s="5">
        <f>E39*G39*12+((D39-E39)*G39/2*12)</f>
        <v>4761933.1919999998</v>
      </c>
      <c r="I39" s="5">
        <f t="shared" si="6"/>
        <v>1438103.8239839999</v>
      </c>
      <c r="J39" s="5">
        <f t="shared" si="7"/>
        <v>6200037.0159839997</v>
      </c>
    </row>
    <row r="40" spans="1:10" x14ac:dyDescent="0.25">
      <c r="A40" s="9">
        <v>4</v>
      </c>
      <c r="B40" s="10" t="s">
        <v>19</v>
      </c>
      <c r="C40" s="63">
        <v>2</v>
      </c>
      <c r="D40" s="63">
        <v>2</v>
      </c>
      <c r="E40" s="63">
        <v>2</v>
      </c>
      <c r="F40" s="63">
        <v>2</v>
      </c>
      <c r="G40" s="5">
        <f>'расчёт зарплаты'!K18</f>
        <v>31556.880000000001</v>
      </c>
      <c r="H40" s="5">
        <f>E40*G40*12+((D40-E40)*G40/2*12)</f>
        <v>757365.12</v>
      </c>
      <c r="I40" s="5">
        <f t="shared" si="6"/>
        <v>228724.26624</v>
      </c>
      <c r="J40" s="5">
        <f t="shared" si="7"/>
        <v>986089.38624000002</v>
      </c>
    </row>
    <row r="41" spans="1:10" x14ac:dyDescent="0.25">
      <c r="A41" s="9"/>
      <c r="B41" s="10"/>
      <c r="C41" s="4"/>
      <c r="D41" s="4"/>
      <c r="E41" s="4"/>
      <c r="F41" s="4"/>
      <c r="G41" s="5"/>
      <c r="H41" s="5">
        <f t="shared" ref="H41:H51" si="8">E41*G41*12+((D41-E41)*G41/2*12)</f>
        <v>0</v>
      </c>
      <c r="I41" s="5">
        <f t="shared" si="6"/>
        <v>0</v>
      </c>
      <c r="J41" s="5">
        <f t="shared" si="7"/>
        <v>0</v>
      </c>
    </row>
    <row r="42" spans="1:10" x14ac:dyDescent="0.25">
      <c r="A42" s="9">
        <v>6</v>
      </c>
      <c r="B42" s="10" t="s">
        <v>21</v>
      </c>
      <c r="C42" s="63">
        <v>4</v>
      </c>
      <c r="D42" s="63">
        <v>3</v>
      </c>
      <c r="E42" s="63">
        <v>2</v>
      </c>
      <c r="F42" s="63">
        <v>3</v>
      </c>
      <c r="G42" s="5">
        <f>'расчёт зарплаты'!K22</f>
        <v>31556.880000000001</v>
      </c>
      <c r="H42" s="5">
        <f t="shared" si="8"/>
        <v>946706.4</v>
      </c>
      <c r="I42" s="5">
        <f t="shared" si="6"/>
        <v>285905.33279999997</v>
      </c>
      <c r="J42" s="5">
        <f t="shared" si="7"/>
        <v>1232611.7327999999</v>
      </c>
    </row>
    <row r="43" spans="1:10" ht="14.4" customHeight="1" x14ac:dyDescent="0.3">
      <c r="A43" s="111" t="s">
        <v>43</v>
      </c>
      <c r="B43" s="111"/>
      <c r="C43" s="4">
        <f>C44+C45+C46+C47+C48+C49+C50+C51</f>
        <v>4.5</v>
      </c>
      <c r="D43" s="4">
        <f t="shared" ref="D43:F43" si="9">D44+D45+D46+D47+D48+D49+D50+D51</f>
        <v>4.5</v>
      </c>
      <c r="E43" s="4">
        <f t="shared" si="9"/>
        <v>2</v>
      </c>
      <c r="F43" s="4">
        <f t="shared" si="9"/>
        <v>2</v>
      </c>
      <c r="G43" s="5"/>
      <c r="H43" s="5">
        <f>SUM(H44:H51)</f>
        <v>1350264</v>
      </c>
      <c r="I43" s="5">
        <f>SUM(I44:I51)</f>
        <v>407779.728</v>
      </c>
      <c r="J43" s="5">
        <f>SUM(J44:J51)</f>
        <v>1758043.7280000001</v>
      </c>
    </row>
    <row r="44" spans="1:10" ht="26.4" x14ac:dyDescent="0.25">
      <c r="A44" s="9">
        <v>1</v>
      </c>
      <c r="B44" s="10" t="s">
        <v>22</v>
      </c>
      <c r="C44" s="4">
        <v>0</v>
      </c>
      <c r="D44" s="4">
        <v>0</v>
      </c>
      <c r="E44" s="4">
        <v>0</v>
      </c>
      <c r="F44" s="4">
        <v>0</v>
      </c>
      <c r="G44" s="5">
        <f>'расчёт зарплаты'!K24</f>
        <v>39984</v>
      </c>
      <c r="H44" s="5">
        <f t="shared" si="8"/>
        <v>0</v>
      </c>
      <c r="I44" s="5">
        <f t="shared" ref="I44:I51" si="10">H44*30.2%</f>
        <v>0</v>
      </c>
      <c r="J44" s="5">
        <f t="shared" ref="J44:J51" si="11">H44+I44</f>
        <v>0</v>
      </c>
    </row>
    <row r="45" spans="1:10" x14ac:dyDescent="0.25">
      <c r="A45" s="9">
        <v>2</v>
      </c>
      <c r="B45" s="10" t="s">
        <v>23</v>
      </c>
      <c r="C45" s="4">
        <v>0</v>
      </c>
      <c r="D45" s="4">
        <v>0</v>
      </c>
      <c r="E45" s="4">
        <v>0</v>
      </c>
      <c r="F45" s="4">
        <v>0</v>
      </c>
      <c r="G45" s="5">
        <f>'расчёт зарплаты'!K26</f>
        <v>40480</v>
      </c>
      <c r="H45" s="5">
        <f t="shared" si="8"/>
        <v>0</v>
      </c>
      <c r="I45" s="5">
        <f t="shared" si="10"/>
        <v>0</v>
      </c>
      <c r="J45" s="5">
        <f t="shared" si="11"/>
        <v>0</v>
      </c>
    </row>
    <row r="46" spans="1:10" ht="26.4" x14ac:dyDescent="0.25">
      <c r="A46" s="9">
        <v>3</v>
      </c>
      <c r="B46" s="10" t="s">
        <v>24</v>
      </c>
      <c r="C46" s="63">
        <v>1</v>
      </c>
      <c r="D46" s="63">
        <v>1</v>
      </c>
      <c r="E46" s="63">
        <v>1</v>
      </c>
      <c r="F46" s="63">
        <v>1</v>
      </c>
      <c r="G46" s="5">
        <f>'расчёт зарплаты'!K28</f>
        <v>36256</v>
      </c>
      <c r="H46" s="5">
        <f t="shared" si="8"/>
        <v>435072</v>
      </c>
      <c r="I46" s="5">
        <f t="shared" si="10"/>
        <v>131391.74400000001</v>
      </c>
      <c r="J46" s="5">
        <f t="shared" si="11"/>
        <v>566463.74399999995</v>
      </c>
    </row>
    <row r="47" spans="1:10" x14ac:dyDescent="0.25">
      <c r="A47" s="9">
        <v>4</v>
      </c>
      <c r="B47" s="10" t="s">
        <v>25</v>
      </c>
      <c r="C47" s="63">
        <v>1</v>
      </c>
      <c r="D47" s="63">
        <v>1</v>
      </c>
      <c r="E47" s="63">
        <v>0</v>
      </c>
      <c r="F47" s="63">
        <v>0</v>
      </c>
      <c r="G47" s="5">
        <f>'расчёт зарплаты'!K36</f>
        <v>32320</v>
      </c>
      <c r="H47" s="5">
        <f t="shared" si="8"/>
        <v>193920</v>
      </c>
      <c r="I47" s="5">
        <f t="shared" si="10"/>
        <v>58563.839999999997</v>
      </c>
      <c r="J47" s="5">
        <f t="shared" si="11"/>
        <v>252483.84</v>
      </c>
    </row>
    <row r="48" spans="1:10" x14ac:dyDescent="0.25">
      <c r="A48" s="9">
        <v>5</v>
      </c>
      <c r="B48" s="10" t="s">
        <v>26</v>
      </c>
      <c r="C48" s="63">
        <v>1</v>
      </c>
      <c r="D48" s="63">
        <v>1</v>
      </c>
      <c r="E48" s="63">
        <v>1</v>
      </c>
      <c r="F48" s="63">
        <v>1</v>
      </c>
      <c r="G48" s="5">
        <f>'расчёт зарплаты'!K34</f>
        <v>33936</v>
      </c>
      <c r="H48" s="5">
        <f t="shared" si="8"/>
        <v>407232</v>
      </c>
      <c r="I48" s="5">
        <f t="shared" si="10"/>
        <v>122984.064</v>
      </c>
      <c r="J48" s="5">
        <f t="shared" si="11"/>
        <v>530216.06400000001</v>
      </c>
    </row>
    <row r="49" spans="1:10" x14ac:dyDescent="0.25">
      <c r="A49" s="9">
        <v>6</v>
      </c>
      <c r="B49" s="10" t="s">
        <v>28</v>
      </c>
      <c r="C49" s="63">
        <v>1</v>
      </c>
      <c r="D49" s="63">
        <v>1</v>
      </c>
      <c r="E49" s="63">
        <v>0</v>
      </c>
      <c r="F49" s="63">
        <v>0</v>
      </c>
      <c r="G49" s="5">
        <f>'расчёт зарплаты'!K40</f>
        <v>33936</v>
      </c>
      <c r="H49" s="5">
        <f t="shared" si="8"/>
        <v>203616</v>
      </c>
      <c r="I49" s="5">
        <f t="shared" si="10"/>
        <v>61492.031999999999</v>
      </c>
      <c r="J49" s="5">
        <f t="shared" si="11"/>
        <v>265108.03200000001</v>
      </c>
    </row>
    <row r="50" spans="1:10" ht="26.4" x14ac:dyDescent="0.25">
      <c r="A50" s="9"/>
      <c r="B50" s="10" t="s">
        <v>98</v>
      </c>
      <c r="C50" s="63">
        <v>0.5</v>
      </c>
      <c r="D50" s="63">
        <v>0.5</v>
      </c>
      <c r="E50" s="63">
        <v>0</v>
      </c>
      <c r="F50" s="63">
        <v>0</v>
      </c>
      <c r="G50" s="5">
        <f>'расчёт зарплаты'!K32</f>
        <v>36808</v>
      </c>
      <c r="H50" s="5">
        <f t="shared" si="8"/>
        <v>110424</v>
      </c>
      <c r="I50" s="5">
        <f t="shared" si="10"/>
        <v>33348.048000000003</v>
      </c>
      <c r="J50" s="5">
        <f t="shared" si="11"/>
        <v>143772.04800000001</v>
      </c>
    </row>
    <row r="51" spans="1:10" ht="26.4" x14ac:dyDescent="0.25">
      <c r="A51" s="9">
        <v>1</v>
      </c>
      <c r="B51" s="10" t="s">
        <v>9</v>
      </c>
      <c r="C51" s="4">
        <v>0</v>
      </c>
      <c r="D51" s="4">
        <v>0</v>
      </c>
      <c r="E51" s="4">
        <v>0</v>
      </c>
      <c r="F51" s="4">
        <v>0</v>
      </c>
      <c r="G51" s="5">
        <f>'расчёт зарплаты'!K6</f>
        <v>46112</v>
      </c>
      <c r="H51" s="5">
        <f t="shared" si="8"/>
        <v>0</v>
      </c>
      <c r="I51" s="5">
        <f t="shared" si="10"/>
        <v>0</v>
      </c>
      <c r="J51" s="5">
        <f t="shared" si="11"/>
        <v>0</v>
      </c>
    </row>
    <row r="52" spans="1:10" x14ac:dyDescent="0.25">
      <c r="A52" s="4"/>
      <c r="B52" s="105" t="s">
        <v>45</v>
      </c>
      <c r="C52" s="105"/>
      <c r="D52" s="105"/>
      <c r="E52" s="105"/>
      <c r="F52" s="105"/>
      <c r="G52" s="105"/>
      <c r="H52" s="105"/>
      <c r="I52" s="105"/>
      <c r="J52" s="105"/>
    </row>
    <row r="53" spans="1:10" ht="13.95" customHeight="1" x14ac:dyDescent="0.3">
      <c r="A53" s="106" t="s">
        <v>38</v>
      </c>
      <c r="B53" s="107"/>
      <c r="C53" s="4">
        <f>C54+C59</f>
        <v>31.25</v>
      </c>
      <c r="D53" s="4">
        <f>D54+D59</f>
        <v>25</v>
      </c>
      <c r="E53" s="4">
        <f>E54+E59</f>
        <v>19.100000000000001</v>
      </c>
      <c r="F53" s="4">
        <f>F54+F59</f>
        <v>20</v>
      </c>
      <c r="G53" s="5"/>
      <c r="H53" s="5"/>
      <c r="I53" s="5"/>
      <c r="J53" s="8">
        <f>J54+J59</f>
        <v>11527376.138208002</v>
      </c>
    </row>
    <row r="54" spans="1:10" ht="14.4" customHeight="1" x14ac:dyDescent="0.3">
      <c r="A54" s="108" t="s">
        <v>39</v>
      </c>
      <c r="B54" s="109"/>
      <c r="C54" s="4">
        <f>C55+C56</f>
        <v>4.5</v>
      </c>
      <c r="D54" s="4">
        <f>D55+D56</f>
        <v>4</v>
      </c>
      <c r="E54" s="4">
        <f>E55+E56</f>
        <v>4</v>
      </c>
      <c r="F54" s="4">
        <f>F55+F56</f>
        <v>4</v>
      </c>
      <c r="G54" s="5"/>
      <c r="H54" s="8">
        <f>H55+H56</f>
        <v>1631946.8160000001</v>
      </c>
      <c r="I54" s="8">
        <f>I55+I56</f>
        <v>492847.93843200005</v>
      </c>
      <c r="J54" s="8">
        <f>J55+J56</f>
        <v>2124794.7544320002</v>
      </c>
    </row>
    <row r="55" spans="1:10" x14ac:dyDescent="0.25">
      <c r="A55" s="9">
        <v>2</v>
      </c>
      <c r="B55" s="10" t="s">
        <v>11</v>
      </c>
      <c r="C55" s="68">
        <v>3.5</v>
      </c>
      <c r="D55" s="68">
        <v>3</v>
      </c>
      <c r="E55" s="68">
        <v>3</v>
      </c>
      <c r="F55" s="68">
        <v>3</v>
      </c>
      <c r="G55" s="5">
        <f>'расчёт зарплаты'!K8</f>
        <v>34019.856</v>
      </c>
      <c r="H55" s="5">
        <f>E55*G55*12+((D55-E55)*G55/2*12)</f>
        <v>1224714.8160000001</v>
      </c>
      <c r="I55" s="5">
        <f>H55*30.2%</f>
        <v>369863.87443200004</v>
      </c>
      <c r="J55" s="5">
        <f>H55+I55</f>
        <v>1594578.6904320002</v>
      </c>
    </row>
    <row r="56" spans="1:10" ht="52.8" x14ac:dyDescent="0.25">
      <c r="A56" s="9">
        <v>3</v>
      </c>
      <c r="B56" s="10" t="s">
        <v>12</v>
      </c>
      <c r="C56" s="63">
        <v>1</v>
      </c>
      <c r="D56" s="63">
        <v>1</v>
      </c>
      <c r="E56" s="63">
        <v>1</v>
      </c>
      <c r="F56" s="63">
        <v>1</v>
      </c>
      <c r="G56" s="5">
        <f>'расчёт зарплаты'!K10</f>
        <v>33936</v>
      </c>
      <c r="H56" s="5">
        <f>E56*G56*12+((D56-E56)*G56/2*12)</f>
        <v>407232</v>
      </c>
      <c r="I56" s="5">
        <f>H56*30.2%</f>
        <v>122984.064</v>
      </c>
      <c r="J56" s="5">
        <f>H56+I56</f>
        <v>530216.06400000001</v>
      </c>
    </row>
    <row r="57" spans="1:10" ht="26.4" x14ac:dyDescent="0.25">
      <c r="A57" s="9">
        <v>4</v>
      </c>
      <c r="B57" s="10" t="s">
        <v>40</v>
      </c>
      <c r="C57" s="4">
        <v>0</v>
      </c>
      <c r="D57" s="4">
        <v>0</v>
      </c>
      <c r="E57" s="4">
        <v>0</v>
      </c>
      <c r="F57" s="4">
        <v>0</v>
      </c>
      <c r="G57" s="5"/>
      <c r="H57" s="5">
        <f>E57*G57*12+((D57-E57)*G57/2*12)</f>
        <v>0</v>
      </c>
      <c r="I57" s="5"/>
      <c r="J57" s="5"/>
    </row>
    <row r="58" spans="1:10" x14ac:dyDescent="0.25">
      <c r="A58" s="9">
        <v>5</v>
      </c>
      <c r="B58" s="10" t="s">
        <v>20</v>
      </c>
      <c r="C58" s="4"/>
      <c r="D58" s="4"/>
      <c r="E58" s="4"/>
      <c r="F58" s="4"/>
      <c r="G58" s="5"/>
      <c r="H58" s="5"/>
      <c r="I58" s="5"/>
      <c r="J58" s="5"/>
    </row>
    <row r="59" spans="1:10" ht="14.4" customHeight="1" x14ac:dyDescent="0.3">
      <c r="A59" s="110" t="s">
        <v>41</v>
      </c>
      <c r="B59" s="110"/>
      <c r="C59" s="4">
        <f>C60+C67</f>
        <v>26.75</v>
      </c>
      <c r="D59" s="4">
        <f>D60+D67</f>
        <v>21</v>
      </c>
      <c r="E59" s="4">
        <f>E60+E67</f>
        <v>15.1</v>
      </c>
      <c r="F59" s="4">
        <f>F60+F67</f>
        <v>16</v>
      </c>
      <c r="G59" s="5"/>
      <c r="H59" s="8">
        <f>H60+H67</f>
        <v>7221644.6880000001</v>
      </c>
      <c r="I59" s="8">
        <f>I60+I67</f>
        <v>2180936.6957759997</v>
      </c>
      <c r="J59" s="8">
        <f>J60+J67</f>
        <v>9402581.3837760016</v>
      </c>
    </row>
    <row r="60" spans="1:10" ht="14.4" customHeight="1" x14ac:dyDescent="0.3">
      <c r="A60" s="111" t="s">
        <v>42</v>
      </c>
      <c r="B60" s="111"/>
      <c r="C60" s="4">
        <f>C61+C62+C63+C64+C65+C66</f>
        <v>21.75</v>
      </c>
      <c r="D60" s="4">
        <f>D61+D62+D63+D64+D65+D66</f>
        <v>17</v>
      </c>
      <c r="E60" s="4">
        <f>E61+E62+E63+E64+E65+E66</f>
        <v>14.1</v>
      </c>
      <c r="F60" s="4">
        <f>F61+F62+F63+F64+F65+F66</f>
        <v>15</v>
      </c>
      <c r="G60" s="5"/>
      <c r="H60" s="5">
        <f>SUM(H61:H66)</f>
        <v>6153356.6880000001</v>
      </c>
      <c r="I60" s="5">
        <f>SUM(I61:I66)</f>
        <v>1858313.7197759997</v>
      </c>
      <c r="J60" s="5">
        <f>SUM(J61:J66)</f>
        <v>8011670.4077760009</v>
      </c>
    </row>
    <row r="61" spans="1:10" x14ac:dyDescent="0.25">
      <c r="A61" s="9">
        <v>1</v>
      </c>
      <c r="B61" s="10" t="s">
        <v>15</v>
      </c>
      <c r="C61" s="63">
        <v>1</v>
      </c>
      <c r="D61" s="63">
        <v>1</v>
      </c>
      <c r="E61" s="63">
        <v>1</v>
      </c>
      <c r="F61" s="63">
        <v>1</v>
      </c>
      <c r="G61" s="5">
        <f>'расчёт зарплаты'!K12</f>
        <v>40480</v>
      </c>
      <c r="H61" s="5">
        <f>E61*G61*12+((D61-E61)*G61/2*12)</f>
        <v>485760</v>
      </c>
      <c r="I61" s="5">
        <f t="shared" ref="I61:I66" si="12">H61*30.2%</f>
        <v>146699.51999999999</v>
      </c>
      <c r="J61" s="5">
        <f t="shared" ref="J61:J66" si="13">H61+I61</f>
        <v>632459.52000000002</v>
      </c>
    </row>
    <row r="62" spans="1:10" x14ac:dyDescent="0.25">
      <c r="A62" s="9">
        <v>2</v>
      </c>
      <c r="B62" s="10" t="s">
        <v>17</v>
      </c>
      <c r="C62" s="63">
        <v>1</v>
      </c>
      <c r="D62" s="63">
        <v>1</v>
      </c>
      <c r="E62" s="63">
        <v>1</v>
      </c>
      <c r="F62" s="63">
        <v>1</v>
      </c>
      <c r="G62" s="5">
        <f>'расчёт зарплаты'!K14</f>
        <v>44704</v>
      </c>
      <c r="H62" s="5">
        <f>E62*G62*12+((D62-E62)*G62/2*12)</f>
        <v>536448</v>
      </c>
      <c r="I62" s="5">
        <f t="shared" si="12"/>
        <v>162007.296</v>
      </c>
      <c r="J62" s="5">
        <f t="shared" si="13"/>
        <v>698455.29599999997</v>
      </c>
    </row>
    <row r="63" spans="1:10" ht="39.6" x14ac:dyDescent="0.25">
      <c r="A63" s="9">
        <v>3</v>
      </c>
      <c r="B63" s="10" t="s">
        <v>18</v>
      </c>
      <c r="C63" s="63">
        <v>16.75</v>
      </c>
      <c r="D63" s="63">
        <v>14</v>
      </c>
      <c r="E63" s="63">
        <v>11.7</v>
      </c>
      <c r="F63" s="63">
        <v>13</v>
      </c>
      <c r="G63" s="5">
        <f>'расчёт зарплаты'!K16</f>
        <v>31556.880000000001</v>
      </c>
      <c r="H63" s="5">
        <f>E63*G63*12+((D63-E63)*G63/2*12)</f>
        <v>4866070.8959999997</v>
      </c>
      <c r="I63" s="5">
        <f t="shared" si="12"/>
        <v>1469553.4105919998</v>
      </c>
      <c r="J63" s="5">
        <f t="shared" si="13"/>
        <v>6335624.3065919997</v>
      </c>
    </row>
    <row r="64" spans="1:10" x14ac:dyDescent="0.25">
      <c r="A64" s="9">
        <v>4</v>
      </c>
      <c r="B64" s="10" t="s">
        <v>19</v>
      </c>
      <c r="C64" s="63">
        <v>2</v>
      </c>
      <c r="D64" s="63">
        <v>1</v>
      </c>
      <c r="E64" s="63">
        <v>0</v>
      </c>
      <c r="F64" s="63">
        <v>0</v>
      </c>
      <c r="G64" s="5">
        <f>'расчёт зарплаты'!K18</f>
        <v>31556.880000000001</v>
      </c>
      <c r="H64" s="5">
        <f>E64*G64*12+((D64-E64)*G64/2*12)</f>
        <v>189341.28</v>
      </c>
      <c r="I64" s="5">
        <f t="shared" si="12"/>
        <v>57181.066559999999</v>
      </c>
      <c r="J64" s="5">
        <f t="shared" si="13"/>
        <v>246522.34656000001</v>
      </c>
    </row>
    <row r="65" spans="1:10" x14ac:dyDescent="0.25">
      <c r="A65" s="9"/>
      <c r="B65" s="10"/>
      <c r="C65" s="4"/>
      <c r="D65" s="4"/>
      <c r="E65" s="4"/>
      <c r="F65" s="4"/>
      <c r="G65" s="5"/>
      <c r="H65" s="5">
        <f t="shared" ref="H65:H75" si="14">E65*G65*12+((D65-E65)*G65/2*12)</f>
        <v>0</v>
      </c>
      <c r="I65" s="5">
        <f t="shared" si="12"/>
        <v>0</v>
      </c>
      <c r="J65" s="5">
        <f t="shared" si="13"/>
        <v>0</v>
      </c>
    </row>
    <row r="66" spans="1:10" x14ac:dyDescent="0.25">
      <c r="A66" s="9">
        <v>6</v>
      </c>
      <c r="B66" s="10" t="s">
        <v>21</v>
      </c>
      <c r="C66" s="63">
        <v>1</v>
      </c>
      <c r="D66" s="63">
        <v>0</v>
      </c>
      <c r="E66" s="63">
        <v>0.4</v>
      </c>
      <c r="F66" s="63">
        <v>0</v>
      </c>
      <c r="G66" s="5">
        <f>'расчёт зарплаты'!K22</f>
        <v>31556.880000000001</v>
      </c>
      <c r="H66" s="5">
        <f t="shared" si="14"/>
        <v>75736.512000000002</v>
      </c>
      <c r="I66" s="5">
        <f t="shared" si="12"/>
        <v>22872.426624</v>
      </c>
      <c r="J66" s="5">
        <f t="shared" si="13"/>
        <v>98608.938624000002</v>
      </c>
    </row>
    <row r="67" spans="1:10" ht="14.4" customHeight="1" x14ac:dyDescent="0.3">
      <c r="A67" s="111" t="s">
        <v>43</v>
      </c>
      <c r="B67" s="111"/>
      <c r="C67" s="4">
        <f>C68+C69+C70+C71+C72+C73+C74+C75</f>
        <v>5</v>
      </c>
      <c r="D67" s="4">
        <f t="shared" ref="D67:F67" si="15">D68+D69+D70+D71+D72+D73+D74+D75</f>
        <v>4</v>
      </c>
      <c r="E67" s="4">
        <f t="shared" si="15"/>
        <v>1</v>
      </c>
      <c r="F67" s="4">
        <f t="shared" si="15"/>
        <v>1</v>
      </c>
      <c r="G67" s="5"/>
      <c r="H67" s="5">
        <f>SUM(H68:H75)</f>
        <v>1068288</v>
      </c>
      <c r="I67" s="5">
        <f>SUM(I68:I75)</f>
        <v>322622.97600000002</v>
      </c>
      <c r="J67" s="5">
        <f>SUM(J68:J75)</f>
        <v>1390910.976</v>
      </c>
    </row>
    <row r="68" spans="1:10" ht="26.4" x14ac:dyDescent="0.25">
      <c r="A68" s="9">
        <v>1</v>
      </c>
      <c r="B68" s="10" t="s">
        <v>22</v>
      </c>
      <c r="C68" s="63">
        <v>1</v>
      </c>
      <c r="D68" s="63">
        <v>1</v>
      </c>
      <c r="E68" s="63">
        <v>0</v>
      </c>
      <c r="F68" s="63">
        <v>0</v>
      </c>
      <c r="G68" s="5">
        <f>'расчёт зарплаты'!K24</f>
        <v>39984</v>
      </c>
      <c r="H68" s="5">
        <f t="shared" si="14"/>
        <v>239904</v>
      </c>
      <c r="I68" s="5">
        <f t="shared" ref="I68:I75" si="16">H68*30.2%</f>
        <v>72451.008000000002</v>
      </c>
      <c r="J68" s="5">
        <f t="shared" ref="J68:J75" si="17">H68+I68</f>
        <v>312355.00800000003</v>
      </c>
    </row>
    <row r="69" spans="1:10" x14ac:dyDescent="0.25">
      <c r="A69" s="9">
        <v>2</v>
      </c>
      <c r="B69" s="10" t="s">
        <v>23</v>
      </c>
      <c r="C69" s="4">
        <v>0</v>
      </c>
      <c r="D69" s="4">
        <v>0</v>
      </c>
      <c r="E69" s="4">
        <v>0</v>
      </c>
      <c r="F69" s="4">
        <v>0</v>
      </c>
      <c r="G69" s="5">
        <f>'расчёт зарплаты'!K26</f>
        <v>40480</v>
      </c>
      <c r="H69" s="5">
        <f t="shared" si="14"/>
        <v>0</v>
      </c>
      <c r="I69" s="5">
        <f t="shared" si="16"/>
        <v>0</v>
      </c>
      <c r="J69" s="5">
        <f t="shared" si="17"/>
        <v>0</v>
      </c>
    </row>
    <row r="70" spans="1:10" ht="26.4" x14ac:dyDescent="0.25">
      <c r="A70" s="9">
        <v>3</v>
      </c>
      <c r="B70" s="10" t="s">
        <v>24</v>
      </c>
      <c r="C70" s="63">
        <v>1</v>
      </c>
      <c r="D70" s="63">
        <v>1</v>
      </c>
      <c r="E70" s="63">
        <v>0</v>
      </c>
      <c r="F70" s="63">
        <v>0</v>
      </c>
      <c r="G70" s="5">
        <f>'расчёт зарплаты'!K28</f>
        <v>36256</v>
      </c>
      <c r="H70" s="5">
        <f t="shared" si="14"/>
        <v>217536</v>
      </c>
      <c r="I70" s="5">
        <f t="shared" si="16"/>
        <v>65695.872000000003</v>
      </c>
      <c r="J70" s="5">
        <f t="shared" si="17"/>
        <v>283231.87199999997</v>
      </c>
    </row>
    <row r="71" spans="1:10" x14ac:dyDescent="0.25">
      <c r="A71" s="9">
        <v>4</v>
      </c>
      <c r="B71" s="10" t="s">
        <v>25</v>
      </c>
      <c r="C71" s="63">
        <v>0.5</v>
      </c>
      <c r="D71" s="63">
        <v>0</v>
      </c>
      <c r="E71" s="63">
        <v>0</v>
      </c>
      <c r="F71" s="63">
        <v>0</v>
      </c>
      <c r="G71" s="5">
        <f>'расчёт зарплаты'!K36</f>
        <v>32320</v>
      </c>
      <c r="H71" s="5">
        <f t="shared" si="14"/>
        <v>0</v>
      </c>
      <c r="I71" s="5">
        <f t="shared" si="16"/>
        <v>0</v>
      </c>
      <c r="J71" s="5">
        <f t="shared" si="17"/>
        <v>0</v>
      </c>
    </row>
    <row r="72" spans="1:10" x14ac:dyDescent="0.25">
      <c r="A72" s="9">
        <v>5</v>
      </c>
      <c r="B72" s="10" t="s">
        <v>26</v>
      </c>
      <c r="C72" s="63">
        <v>1</v>
      </c>
      <c r="D72" s="63">
        <v>1</v>
      </c>
      <c r="E72" s="63">
        <v>0</v>
      </c>
      <c r="F72" s="63">
        <v>0</v>
      </c>
      <c r="G72" s="5">
        <f>'расчёт зарплаты'!K34</f>
        <v>33936</v>
      </c>
      <c r="H72" s="5">
        <f t="shared" si="14"/>
        <v>203616</v>
      </c>
      <c r="I72" s="5">
        <f t="shared" si="16"/>
        <v>61492.031999999999</v>
      </c>
      <c r="J72" s="5">
        <f t="shared" si="17"/>
        <v>265108.03200000001</v>
      </c>
    </row>
    <row r="73" spans="1:10" x14ac:dyDescent="0.25">
      <c r="A73" s="9">
        <v>6</v>
      </c>
      <c r="B73" s="10" t="s">
        <v>28</v>
      </c>
      <c r="C73" s="63">
        <v>1</v>
      </c>
      <c r="D73" s="63">
        <v>1</v>
      </c>
      <c r="E73" s="63">
        <v>1</v>
      </c>
      <c r="F73" s="63">
        <v>1</v>
      </c>
      <c r="G73" s="5">
        <f>'расчёт зарплаты'!K40</f>
        <v>33936</v>
      </c>
      <c r="H73" s="5">
        <f t="shared" si="14"/>
        <v>407232</v>
      </c>
      <c r="I73" s="5">
        <f t="shared" si="16"/>
        <v>122984.064</v>
      </c>
      <c r="J73" s="5">
        <f t="shared" si="17"/>
        <v>530216.06400000001</v>
      </c>
    </row>
    <row r="74" spans="1:10" ht="26.4" x14ac:dyDescent="0.25">
      <c r="A74" s="9"/>
      <c r="B74" s="10" t="s">
        <v>98</v>
      </c>
      <c r="C74" s="63">
        <v>0.5</v>
      </c>
      <c r="D74" s="63">
        <v>0</v>
      </c>
      <c r="E74" s="63">
        <v>0</v>
      </c>
      <c r="F74" s="63">
        <v>0</v>
      </c>
      <c r="G74" s="5">
        <f>'расчёт зарплаты'!K32</f>
        <v>36808</v>
      </c>
      <c r="H74" s="5">
        <f t="shared" si="14"/>
        <v>0</v>
      </c>
      <c r="I74" s="5">
        <f t="shared" si="16"/>
        <v>0</v>
      </c>
      <c r="J74" s="5">
        <f t="shared" si="17"/>
        <v>0</v>
      </c>
    </row>
    <row r="75" spans="1:10" ht="26.4" x14ac:dyDescent="0.25">
      <c r="A75" s="9">
        <v>1</v>
      </c>
      <c r="B75" s="10" t="s">
        <v>9</v>
      </c>
      <c r="C75" s="4">
        <v>0</v>
      </c>
      <c r="D75" s="4">
        <v>0</v>
      </c>
      <c r="E75" s="4">
        <v>0</v>
      </c>
      <c r="F75" s="4">
        <v>0</v>
      </c>
      <c r="G75" s="5">
        <f>'расчёт зарплаты'!K6</f>
        <v>46112</v>
      </c>
      <c r="H75" s="5">
        <f t="shared" si="14"/>
        <v>0</v>
      </c>
      <c r="I75" s="5">
        <f t="shared" si="16"/>
        <v>0</v>
      </c>
      <c r="J75" s="5">
        <f t="shared" si="17"/>
        <v>0</v>
      </c>
    </row>
    <row r="76" spans="1:10" x14ac:dyDescent="0.25">
      <c r="A76" s="4"/>
      <c r="B76" s="105" t="s">
        <v>46</v>
      </c>
      <c r="C76" s="105"/>
      <c r="D76" s="105"/>
      <c r="E76" s="105"/>
      <c r="F76" s="105"/>
      <c r="G76" s="105"/>
      <c r="H76" s="105"/>
      <c r="I76" s="105"/>
      <c r="J76" s="105"/>
    </row>
    <row r="77" spans="1:10" ht="13.95" customHeight="1" x14ac:dyDescent="0.3">
      <c r="A77" s="106" t="s">
        <v>38</v>
      </c>
      <c r="B77" s="107"/>
      <c r="C77" s="4">
        <f>C78+C83</f>
        <v>25.75</v>
      </c>
      <c r="D77" s="4">
        <f>D78+D83</f>
        <v>21.75</v>
      </c>
      <c r="E77" s="4">
        <f>E78+E83</f>
        <v>12.5</v>
      </c>
      <c r="F77" s="4">
        <f>F78+F83</f>
        <v>15</v>
      </c>
      <c r="G77" s="5"/>
      <c r="H77" s="5"/>
      <c r="I77" s="5"/>
      <c r="J77" s="8">
        <f>J78+J83</f>
        <v>8907999.976512</v>
      </c>
    </row>
    <row r="78" spans="1:10" ht="14.4" customHeight="1" x14ac:dyDescent="0.3">
      <c r="A78" s="108" t="s">
        <v>39</v>
      </c>
      <c r="B78" s="109"/>
      <c r="C78" s="4">
        <f>C79+C80</f>
        <v>4</v>
      </c>
      <c r="D78" s="4">
        <f>D79+D80</f>
        <v>3.5</v>
      </c>
      <c r="E78" s="4">
        <f>E79+E80</f>
        <v>3.5</v>
      </c>
      <c r="F78" s="4">
        <f>F79+F80</f>
        <v>4</v>
      </c>
      <c r="G78" s="5"/>
      <c r="H78" s="8">
        <f>H79+H80</f>
        <v>1428330.8160000001</v>
      </c>
      <c r="I78" s="8">
        <f>I79+I80</f>
        <v>431355.90643200005</v>
      </c>
      <c r="J78" s="8">
        <f>J79+J80</f>
        <v>1859686.7224320001</v>
      </c>
    </row>
    <row r="79" spans="1:10" x14ac:dyDescent="0.25">
      <c r="A79" s="9">
        <v>2</v>
      </c>
      <c r="B79" s="10" t="s">
        <v>11</v>
      </c>
      <c r="C79" s="68">
        <v>3</v>
      </c>
      <c r="D79" s="68">
        <v>3</v>
      </c>
      <c r="E79" s="68">
        <v>3</v>
      </c>
      <c r="F79" s="68">
        <v>3</v>
      </c>
      <c r="G79" s="5">
        <f>'расчёт зарплаты'!K8</f>
        <v>34019.856</v>
      </c>
      <c r="H79" s="5">
        <f>E79*G79*12+((D79-E79)*G79/2*12)</f>
        <v>1224714.8160000001</v>
      </c>
      <c r="I79" s="5">
        <f>H79*30.2%</f>
        <v>369863.87443200004</v>
      </c>
      <c r="J79" s="5">
        <f>H79+I79</f>
        <v>1594578.6904320002</v>
      </c>
    </row>
    <row r="80" spans="1:10" ht="52.8" x14ac:dyDescent="0.25">
      <c r="A80" s="9">
        <v>3</v>
      </c>
      <c r="B80" s="10" t="s">
        <v>12</v>
      </c>
      <c r="C80" s="63">
        <v>1</v>
      </c>
      <c r="D80" s="63">
        <v>0.5</v>
      </c>
      <c r="E80" s="63">
        <v>0.5</v>
      </c>
      <c r="F80" s="63">
        <v>1</v>
      </c>
      <c r="G80" s="5">
        <f>'расчёт зарплаты'!K10</f>
        <v>33936</v>
      </c>
      <c r="H80" s="5">
        <f>E80*G80*12+((D80-E80)*G80/2*12)</f>
        <v>203616</v>
      </c>
      <c r="I80" s="5">
        <f>H80*30.2%</f>
        <v>61492.031999999999</v>
      </c>
      <c r="J80" s="5">
        <f>H80+I80</f>
        <v>265108.03200000001</v>
      </c>
    </row>
    <row r="81" spans="1:10" ht="26.4" x14ac:dyDescent="0.25">
      <c r="A81" s="9">
        <v>4</v>
      </c>
      <c r="B81" s="10" t="s">
        <v>40</v>
      </c>
      <c r="C81" s="4"/>
      <c r="D81" s="4">
        <v>0</v>
      </c>
      <c r="E81" s="4">
        <v>0</v>
      </c>
      <c r="F81" s="4">
        <v>0</v>
      </c>
      <c r="G81" s="5"/>
      <c r="H81" s="5">
        <f>E81*G81*12+((D81-E81)*G81/2*12)</f>
        <v>0</v>
      </c>
      <c r="I81" s="5"/>
      <c r="J81" s="5"/>
    </row>
    <row r="82" spans="1:10" x14ac:dyDescent="0.25">
      <c r="A82" s="9">
        <v>5</v>
      </c>
      <c r="B82" s="10" t="s">
        <v>20</v>
      </c>
      <c r="C82" s="4"/>
      <c r="D82" s="4"/>
      <c r="E82" s="4"/>
      <c r="F82" s="4"/>
      <c r="G82" s="5"/>
      <c r="H82" s="5"/>
      <c r="I82" s="5"/>
      <c r="J82" s="5"/>
    </row>
    <row r="83" spans="1:10" ht="14.4" customHeight="1" x14ac:dyDescent="0.3">
      <c r="A83" s="110" t="s">
        <v>41</v>
      </c>
      <c r="B83" s="110"/>
      <c r="C83" s="4">
        <f>C84+C91</f>
        <v>21.75</v>
      </c>
      <c r="D83" s="4">
        <f>D84+D91</f>
        <v>18.25</v>
      </c>
      <c r="E83" s="4">
        <f>E84+E91</f>
        <v>9</v>
      </c>
      <c r="F83" s="4">
        <f>F84+F91</f>
        <v>11</v>
      </c>
      <c r="G83" s="5"/>
      <c r="H83" s="8">
        <f>H84+H91</f>
        <v>5413451.0399999991</v>
      </c>
      <c r="I83" s="8">
        <f>I84+I91</f>
        <v>1634862.2140799998</v>
      </c>
      <c r="J83" s="8">
        <f>J84+J91</f>
        <v>7048313.2540799994</v>
      </c>
    </row>
    <row r="84" spans="1:10" ht="14.4" customHeight="1" x14ac:dyDescent="0.3">
      <c r="A84" s="111" t="s">
        <v>42</v>
      </c>
      <c r="B84" s="111"/>
      <c r="C84" s="4">
        <f>C85+C86+C87+C88+C89+C90</f>
        <v>15.5</v>
      </c>
      <c r="D84" s="4">
        <f>D85+D86+D87+D88+D89+D90</f>
        <v>12</v>
      </c>
      <c r="E84" s="4">
        <f>E85+E86+E87+E88+E89+E90</f>
        <v>6</v>
      </c>
      <c r="F84" s="4">
        <f>F85+F86+F87+F88+F89+F90</f>
        <v>8</v>
      </c>
      <c r="G84" s="5"/>
      <c r="H84" s="5">
        <f>SUM(H85:H90)</f>
        <v>3408143.0399999996</v>
      </c>
      <c r="I84" s="5">
        <f>SUM(I85:I90)</f>
        <v>1029259.1980799999</v>
      </c>
      <c r="J84" s="5">
        <f>SUM(J85:J90)</f>
        <v>4437402.2380799996</v>
      </c>
    </row>
    <row r="85" spans="1:10" x14ac:dyDescent="0.25">
      <c r="A85" s="9">
        <v>1</v>
      </c>
      <c r="B85" s="10" t="s">
        <v>15</v>
      </c>
      <c r="C85" s="4"/>
      <c r="D85" s="4">
        <v>0</v>
      </c>
      <c r="E85" s="4">
        <v>0</v>
      </c>
      <c r="F85" s="4">
        <v>0</v>
      </c>
      <c r="G85" s="5"/>
      <c r="H85" s="5">
        <f>E85*G85*12+((D85-E85)*G85/2*12)</f>
        <v>0</v>
      </c>
      <c r="I85" s="5">
        <f t="shared" ref="I85:I90" si="18">H85*30.2%</f>
        <v>0</v>
      </c>
      <c r="J85" s="5">
        <f t="shared" ref="J85:J90" si="19">H85+I85</f>
        <v>0</v>
      </c>
    </row>
    <row r="86" spans="1:10" x14ac:dyDescent="0.25">
      <c r="A86" s="9">
        <v>2</v>
      </c>
      <c r="B86" s="10" t="s">
        <v>17</v>
      </c>
      <c r="C86" s="4"/>
      <c r="D86" s="4">
        <v>0</v>
      </c>
      <c r="E86" s="4">
        <v>0</v>
      </c>
      <c r="F86" s="4">
        <v>0</v>
      </c>
      <c r="G86" s="5"/>
      <c r="H86" s="5">
        <f>E86*G86*12+((D86-E86)*G86/2*12)</f>
        <v>0</v>
      </c>
      <c r="I86" s="5">
        <f t="shared" si="18"/>
        <v>0</v>
      </c>
      <c r="J86" s="5">
        <f t="shared" si="19"/>
        <v>0</v>
      </c>
    </row>
    <row r="87" spans="1:10" ht="39.6" x14ac:dyDescent="0.25">
      <c r="A87" s="9">
        <v>3</v>
      </c>
      <c r="B87" s="10" t="s">
        <v>18</v>
      </c>
      <c r="C87" s="63">
        <v>13.5</v>
      </c>
      <c r="D87" s="63">
        <v>10</v>
      </c>
      <c r="E87" s="63">
        <v>5</v>
      </c>
      <c r="F87" s="63">
        <v>7</v>
      </c>
      <c r="G87" s="5">
        <f>'расчёт зарплаты'!K16</f>
        <v>31556.880000000001</v>
      </c>
      <c r="H87" s="5">
        <f>E87*G87*12+((D87-E87)*G87/2*12)</f>
        <v>2840119.1999999997</v>
      </c>
      <c r="I87" s="5">
        <f t="shared" si="18"/>
        <v>857715.99839999992</v>
      </c>
      <c r="J87" s="5">
        <f t="shared" si="19"/>
        <v>3697835.1983999996</v>
      </c>
    </row>
    <row r="88" spans="1:10" x14ac:dyDescent="0.25">
      <c r="A88" s="9">
        <v>4</v>
      </c>
      <c r="B88" s="10" t="s">
        <v>19</v>
      </c>
      <c r="C88" s="63">
        <v>1</v>
      </c>
      <c r="D88" s="63">
        <v>1</v>
      </c>
      <c r="E88" s="63">
        <v>1</v>
      </c>
      <c r="F88" s="63">
        <v>1</v>
      </c>
      <c r="G88" s="5">
        <f>'расчёт зарплаты'!K18</f>
        <v>31556.880000000001</v>
      </c>
      <c r="H88" s="5">
        <f>E88*G88*12+((D88-E88)*G88/2*12)</f>
        <v>378682.56</v>
      </c>
      <c r="I88" s="5">
        <f t="shared" si="18"/>
        <v>114362.13312</v>
      </c>
      <c r="J88" s="5">
        <f t="shared" si="19"/>
        <v>493044.69312000001</v>
      </c>
    </row>
    <row r="89" spans="1:10" x14ac:dyDescent="0.25">
      <c r="A89" s="9"/>
      <c r="B89" s="10"/>
      <c r="C89" s="4"/>
      <c r="D89" s="4"/>
      <c r="E89" s="4"/>
      <c r="F89" s="4"/>
      <c r="G89" s="5"/>
      <c r="H89" s="5">
        <f t="shared" ref="H89:H99" si="20">E89*G89*12+((D89-E89)*G89/2*12)</f>
        <v>0</v>
      </c>
      <c r="I89" s="5">
        <f t="shared" si="18"/>
        <v>0</v>
      </c>
      <c r="J89" s="5">
        <f t="shared" si="19"/>
        <v>0</v>
      </c>
    </row>
    <row r="90" spans="1:10" x14ac:dyDescent="0.25">
      <c r="A90" s="9">
        <v>6</v>
      </c>
      <c r="B90" s="10" t="s">
        <v>21</v>
      </c>
      <c r="C90" s="63">
        <v>1</v>
      </c>
      <c r="D90" s="63">
        <v>1</v>
      </c>
      <c r="E90" s="63">
        <v>0</v>
      </c>
      <c r="F90" s="63">
        <v>0</v>
      </c>
      <c r="G90" s="5">
        <f>'расчёт зарплаты'!K22</f>
        <v>31556.880000000001</v>
      </c>
      <c r="H90" s="5">
        <f t="shared" si="20"/>
        <v>189341.28</v>
      </c>
      <c r="I90" s="5">
        <f t="shared" si="18"/>
        <v>57181.066559999999</v>
      </c>
      <c r="J90" s="5">
        <f t="shared" si="19"/>
        <v>246522.34656000001</v>
      </c>
    </row>
    <row r="91" spans="1:10" ht="14.4" customHeight="1" x14ac:dyDescent="0.3">
      <c r="A91" s="111" t="s">
        <v>43</v>
      </c>
      <c r="B91" s="111"/>
      <c r="C91" s="4">
        <f>C92+C93+C94+C95+C96+C97+C98+C99</f>
        <v>6.25</v>
      </c>
      <c r="D91" s="4">
        <f t="shared" ref="D91:F91" si="21">D92+D93+D94+D95+D96+D97+D98+D99</f>
        <v>6.25</v>
      </c>
      <c r="E91" s="4">
        <f t="shared" si="21"/>
        <v>3</v>
      </c>
      <c r="F91" s="4">
        <f t="shared" si="21"/>
        <v>3</v>
      </c>
      <c r="G91" s="5"/>
      <c r="H91" s="5">
        <f>SUM(H92:H99)</f>
        <v>2005308</v>
      </c>
      <c r="I91" s="5">
        <f>SUM(I92:I99)</f>
        <v>605603.01599999995</v>
      </c>
      <c r="J91" s="5">
        <f>SUM(J92:J99)</f>
        <v>2610911.0159999998</v>
      </c>
    </row>
    <row r="92" spans="1:10" ht="26.4" x14ac:dyDescent="0.25">
      <c r="A92" s="9">
        <v>1</v>
      </c>
      <c r="B92" s="10" t="s">
        <v>22</v>
      </c>
      <c r="C92" s="63">
        <v>1</v>
      </c>
      <c r="D92" s="63">
        <v>1</v>
      </c>
      <c r="E92" s="63">
        <v>1</v>
      </c>
      <c r="F92" s="63">
        <v>1</v>
      </c>
      <c r="G92" s="5">
        <f>'расчёт зарплаты'!K24</f>
        <v>39984</v>
      </c>
      <c r="H92" s="5">
        <f t="shared" si="20"/>
        <v>479808</v>
      </c>
      <c r="I92" s="5">
        <f t="shared" ref="I92:I99" si="22">H92*30.2%</f>
        <v>144902.016</v>
      </c>
      <c r="J92" s="5">
        <f t="shared" ref="J92:J99" si="23">H92+I92</f>
        <v>624710.01600000006</v>
      </c>
    </row>
    <row r="93" spans="1:10" x14ac:dyDescent="0.25">
      <c r="A93" s="9">
        <v>2</v>
      </c>
      <c r="B93" s="10" t="s">
        <v>23</v>
      </c>
      <c r="C93" s="4"/>
      <c r="D93" s="4">
        <v>0</v>
      </c>
      <c r="E93" s="4">
        <v>0</v>
      </c>
      <c r="F93" s="4">
        <v>0</v>
      </c>
      <c r="G93" s="5"/>
      <c r="H93" s="5">
        <f t="shared" si="20"/>
        <v>0</v>
      </c>
      <c r="I93" s="5">
        <f t="shared" si="22"/>
        <v>0</v>
      </c>
      <c r="J93" s="5">
        <f t="shared" si="23"/>
        <v>0</v>
      </c>
    </row>
    <row r="94" spans="1:10" ht="26.4" x14ac:dyDescent="0.25">
      <c r="A94" s="9">
        <v>3</v>
      </c>
      <c r="B94" s="10" t="s">
        <v>24</v>
      </c>
      <c r="C94" s="63">
        <v>1</v>
      </c>
      <c r="D94" s="63">
        <v>1</v>
      </c>
      <c r="E94" s="63">
        <v>1</v>
      </c>
      <c r="F94" s="63">
        <v>1</v>
      </c>
      <c r="G94" s="5">
        <f>'расчёт зарплаты'!K28</f>
        <v>36256</v>
      </c>
      <c r="H94" s="5">
        <f t="shared" si="20"/>
        <v>435072</v>
      </c>
      <c r="I94" s="5">
        <f t="shared" si="22"/>
        <v>131391.74400000001</v>
      </c>
      <c r="J94" s="5">
        <f t="shared" si="23"/>
        <v>566463.74399999995</v>
      </c>
    </row>
    <row r="95" spans="1:10" x14ac:dyDescent="0.25">
      <c r="A95" s="9">
        <v>4</v>
      </c>
      <c r="B95" s="10" t="s">
        <v>25</v>
      </c>
      <c r="C95" s="63">
        <v>2</v>
      </c>
      <c r="D95" s="63">
        <v>2</v>
      </c>
      <c r="E95" s="63">
        <v>0</v>
      </c>
      <c r="F95" s="63">
        <v>0</v>
      </c>
      <c r="G95" s="5">
        <f>'расчёт зарплаты'!K36</f>
        <v>32320</v>
      </c>
      <c r="H95" s="5">
        <f t="shared" si="20"/>
        <v>387840</v>
      </c>
      <c r="I95" s="5">
        <f t="shared" si="22"/>
        <v>117127.67999999999</v>
      </c>
      <c r="J95" s="5">
        <f t="shared" si="23"/>
        <v>504967.67999999999</v>
      </c>
    </row>
    <row r="96" spans="1:10" x14ac:dyDescent="0.25">
      <c r="A96" s="9">
        <v>5</v>
      </c>
      <c r="B96" s="10" t="s">
        <v>26</v>
      </c>
      <c r="C96" s="63">
        <v>1</v>
      </c>
      <c r="D96" s="63">
        <v>1</v>
      </c>
      <c r="E96" s="63">
        <v>1</v>
      </c>
      <c r="F96" s="63">
        <v>1</v>
      </c>
      <c r="G96" s="5">
        <f>'расчёт зарплаты'!K34</f>
        <v>33936</v>
      </c>
      <c r="H96" s="5">
        <f t="shared" si="20"/>
        <v>407232</v>
      </c>
      <c r="I96" s="5">
        <f t="shared" si="22"/>
        <v>122984.064</v>
      </c>
      <c r="J96" s="5">
        <f t="shared" si="23"/>
        <v>530216.06400000001</v>
      </c>
    </row>
    <row r="97" spans="1:10" x14ac:dyDescent="0.25">
      <c r="A97" s="9">
        <v>6</v>
      </c>
      <c r="B97" s="10" t="s">
        <v>28</v>
      </c>
      <c r="C97" s="63">
        <v>0.5</v>
      </c>
      <c r="D97" s="63">
        <v>0.5</v>
      </c>
      <c r="E97" s="63">
        <v>0</v>
      </c>
      <c r="F97" s="63">
        <v>0</v>
      </c>
      <c r="G97" s="5">
        <f>'расчёт зарплаты'!K40</f>
        <v>33936</v>
      </c>
      <c r="H97" s="5">
        <f t="shared" si="20"/>
        <v>101808</v>
      </c>
      <c r="I97" s="5">
        <f t="shared" si="22"/>
        <v>30746.016</v>
      </c>
      <c r="J97" s="5">
        <f t="shared" si="23"/>
        <v>132554.016</v>
      </c>
    </row>
    <row r="98" spans="1:10" ht="26.4" x14ac:dyDescent="0.25">
      <c r="A98" s="9"/>
      <c r="B98" s="10" t="s">
        <v>98</v>
      </c>
      <c r="C98" s="63">
        <v>0.25</v>
      </c>
      <c r="D98" s="63">
        <v>0.25</v>
      </c>
      <c r="E98" s="63"/>
      <c r="F98" s="63"/>
      <c r="G98" s="5">
        <f>'расчёт зарплаты'!K32</f>
        <v>36808</v>
      </c>
      <c r="H98" s="5">
        <f t="shared" si="20"/>
        <v>55212</v>
      </c>
      <c r="I98" s="5">
        <f t="shared" si="22"/>
        <v>16674.024000000001</v>
      </c>
      <c r="J98" s="5">
        <f t="shared" si="23"/>
        <v>71886.024000000005</v>
      </c>
    </row>
    <row r="99" spans="1:10" ht="26.4" x14ac:dyDescent="0.25">
      <c r="A99" s="9">
        <v>1</v>
      </c>
      <c r="B99" s="10" t="s">
        <v>9</v>
      </c>
      <c r="C99" s="63">
        <v>0.5</v>
      </c>
      <c r="D99" s="63">
        <v>0.5</v>
      </c>
      <c r="E99" s="63">
        <v>0</v>
      </c>
      <c r="F99" s="63">
        <v>0</v>
      </c>
      <c r="G99" s="5">
        <f>'расчёт зарплаты'!K6</f>
        <v>46112</v>
      </c>
      <c r="H99" s="5">
        <f t="shared" si="20"/>
        <v>138336</v>
      </c>
      <c r="I99" s="5">
        <f t="shared" si="22"/>
        <v>41777.472000000002</v>
      </c>
      <c r="J99" s="5">
        <f t="shared" si="23"/>
        <v>180113.47200000001</v>
      </c>
    </row>
    <row r="100" spans="1:10" x14ac:dyDescent="0.25">
      <c r="A100" s="4"/>
      <c r="B100" s="105" t="s">
        <v>47</v>
      </c>
      <c r="C100" s="105"/>
      <c r="D100" s="105"/>
      <c r="E100" s="105"/>
      <c r="F100" s="105"/>
      <c r="G100" s="105"/>
      <c r="H100" s="105"/>
      <c r="I100" s="105"/>
      <c r="J100" s="105"/>
    </row>
    <row r="101" spans="1:10" ht="13.95" customHeight="1" x14ac:dyDescent="0.3">
      <c r="A101" s="106" t="s">
        <v>38</v>
      </c>
      <c r="B101" s="107"/>
      <c r="C101" s="4">
        <f>C102+C107</f>
        <v>24.9</v>
      </c>
      <c r="D101" s="4">
        <f>D102+D107</f>
        <v>24.9</v>
      </c>
      <c r="E101" s="4">
        <f>E102+E107</f>
        <v>19</v>
      </c>
      <c r="F101" s="4">
        <f>F102+F107</f>
        <v>17</v>
      </c>
      <c r="G101" s="5"/>
      <c r="H101" s="5"/>
      <c r="I101" s="5"/>
      <c r="J101" s="8">
        <f>J102+J107</f>
        <v>11625223.813056</v>
      </c>
    </row>
    <row r="102" spans="1:10" ht="14.4" customHeight="1" x14ac:dyDescent="0.3">
      <c r="A102" s="108" t="s">
        <v>39</v>
      </c>
      <c r="B102" s="109"/>
      <c r="C102" s="4">
        <f>C103+C104</f>
        <v>4</v>
      </c>
      <c r="D102" s="4">
        <f>D103+D104</f>
        <v>4</v>
      </c>
      <c r="E102" s="4">
        <f>E103+E104</f>
        <v>4</v>
      </c>
      <c r="F102" s="4">
        <f>F103+F104</f>
        <v>4</v>
      </c>
      <c r="G102" s="5"/>
      <c r="H102" s="8">
        <f>H103+H104</f>
        <v>1631946.8160000001</v>
      </c>
      <c r="I102" s="8">
        <f>I103+I104</f>
        <v>492847.93843200005</v>
      </c>
      <c r="J102" s="8">
        <f>J103+J104</f>
        <v>2124794.7544320002</v>
      </c>
    </row>
    <row r="103" spans="1:10" x14ac:dyDescent="0.25">
      <c r="A103" s="9">
        <v>2</v>
      </c>
      <c r="B103" s="10" t="s">
        <v>11</v>
      </c>
      <c r="C103" s="68">
        <v>3</v>
      </c>
      <c r="D103" s="68">
        <v>3</v>
      </c>
      <c r="E103" s="68">
        <v>3</v>
      </c>
      <c r="F103" s="68">
        <v>3</v>
      </c>
      <c r="G103" s="5">
        <f>'расчёт зарплаты'!K8</f>
        <v>34019.856</v>
      </c>
      <c r="H103" s="5">
        <f>E103*G103*12+((D103-E103)*G103/2*12)</f>
        <v>1224714.8160000001</v>
      </c>
      <c r="I103" s="5">
        <f>H103*30.2%</f>
        <v>369863.87443200004</v>
      </c>
      <c r="J103" s="5">
        <f>H103+I103</f>
        <v>1594578.6904320002</v>
      </c>
    </row>
    <row r="104" spans="1:10" ht="52.8" x14ac:dyDescent="0.25">
      <c r="A104" s="9">
        <v>3</v>
      </c>
      <c r="B104" s="10" t="s">
        <v>12</v>
      </c>
      <c r="C104" s="63">
        <v>1</v>
      </c>
      <c r="D104" s="63">
        <v>1</v>
      </c>
      <c r="E104" s="63">
        <v>1</v>
      </c>
      <c r="F104" s="63">
        <v>1</v>
      </c>
      <c r="G104" s="5">
        <f>'расчёт зарплаты'!K10</f>
        <v>33936</v>
      </c>
      <c r="H104" s="5">
        <f>E104*G104*12+((D104-E104)*G104/2*12)</f>
        <v>407232</v>
      </c>
      <c r="I104" s="5">
        <f>H104*30.2%</f>
        <v>122984.064</v>
      </c>
      <c r="J104" s="5">
        <f>H104+I104</f>
        <v>530216.06400000001</v>
      </c>
    </row>
    <row r="105" spans="1:10" ht="26.4" x14ac:dyDescent="0.25">
      <c r="A105" s="9">
        <v>4</v>
      </c>
      <c r="B105" s="10" t="s">
        <v>40</v>
      </c>
      <c r="C105" s="4">
        <v>0</v>
      </c>
      <c r="D105" s="4">
        <v>0</v>
      </c>
      <c r="E105" s="4">
        <v>0</v>
      </c>
      <c r="F105" s="4">
        <v>0</v>
      </c>
      <c r="G105" s="5"/>
      <c r="H105" s="5">
        <f>E105*G105*12+((D105-E105)*G105/2*12)</f>
        <v>0</v>
      </c>
      <c r="I105" s="5"/>
      <c r="J105" s="5"/>
    </row>
    <row r="106" spans="1:10" x14ac:dyDescent="0.25">
      <c r="A106" s="9">
        <v>5</v>
      </c>
      <c r="B106" s="10" t="s">
        <v>20</v>
      </c>
      <c r="C106" s="4"/>
      <c r="D106" s="4"/>
      <c r="E106" s="4"/>
      <c r="F106" s="4"/>
      <c r="G106" s="5"/>
      <c r="H106" s="5"/>
      <c r="I106" s="5"/>
      <c r="J106" s="5"/>
    </row>
    <row r="107" spans="1:10" ht="14.4" customHeight="1" x14ac:dyDescent="0.3">
      <c r="A107" s="110" t="s">
        <v>41</v>
      </c>
      <c r="B107" s="110"/>
      <c r="C107" s="4">
        <f>C108+C115</f>
        <v>20.9</v>
      </c>
      <c r="D107" s="4">
        <f>D108+D115</f>
        <v>20.9</v>
      </c>
      <c r="E107" s="4">
        <f>E108+E115</f>
        <v>15</v>
      </c>
      <c r="F107" s="4">
        <f>F108+F115</f>
        <v>13</v>
      </c>
      <c r="G107" s="5"/>
      <c r="H107" s="8">
        <f>H108+H115</f>
        <v>7296796.5119999992</v>
      </c>
      <c r="I107" s="8">
        <f>I108+I115</f>
        <v>2203632.5466239997</v>
      </c>
      <c r="J107" s="8">
        <f>J108+J115</f>
        <v>9500429.0586239994</v>
      </c>
    </row>
    <row r="108" spans="1:10" ht="14.4" customHeight="1" x14ac:dyDescent="0.3">
      <c r="A108" s="111" t="s">
        <v>42</v>
      </c>
      <c r="B108" s="111"/>
      <c r="C108" s="4">
        <f>C109+C110+C111+C112+C113+C114</f>
        <v>16.399999999999999</v>
      </c>
      <c r="D108" s="4">
        <f>D109+D110+D111+D112+D113+D114</f>
        <v>16.399999999999999</v>
      </c>
      <c r="E108" s="4">
        <f>E109+E110+E111+E112+E113+E114</f>
        <v>13</v>
      </c>
      <c r="F108" s="4">
        <f>F109+F110+F111+F112+F113+F114</f>
        <v>11</v>
      </c>
      <c r="G108" s="5"/>
      <c r="H108" s="5">
        <f>SUM(H109:H114)</f>
        <v>5882164.5119999992</v>
      </c>
      <c r="I108" s="5">
        <f>SUM(I109:I114)</f>
        <v>1776413.6826239997</v>
      </c>
      <c r="J108" s="5">
        <f>SUM(J109:J114)</f>
        <v>7658578.1946239993</v>
      </c>
    </row>
    <row r="109" spans="1:10" x14ac:dyDescent="0.25">
      <c r="A109" s="9">
        <v>1</v>
      </c>
      <c r="B109" s="10" t="s">
        <v>15</v>
      </c>
      <c r="C109" s="4"/>
      <c r="D109" s="4"/>
      <c r="E109" s="4"/>
      <c r="F109" s="4"/>
      <c r="G109" s="5">
        <f>'расчёт зарплаты'!K12</f>
        <v>40480</v>
      </c>
      <c r="H109" s="5">
        <f>E109*G109*12+((D109-E109)*G109/2*12)</f>
        <v>0</v>
      </c>
      <c r="I109" s="5">
        <f t="shared" ref="I109:I114" si="24">H109*30.2%</f>
        <v>0</v>
      </c>
      <c r="J109" s="5">
        <f t="shared" ref="J109:J114" si="25">H109+I109</f>
        <v>0</v>
      </c>
    </row>
    <row r="110" spans="1:10" x14ac:dyDescent="0.25">
      <c r="A110" s="9">
        <v>2</v>
      </c>
      <c r="B110" s="10" t="s">
        <v>17</v>
      </c>
      <c r="C110" s="63">
        <v>2</v>
      </c>
      <c r="D110" s="63">
        <v>2</v>
      </c>
      <c r="E110" s="63">
        <v>2</v>
      </c>
      <c r="F110" s="63">
        <v>2</v>
      </c>
      <c r="G110" s="5">
        <f>'расчёт зарплаты'!K14</f>
        <v>44704</v>
      </c>
      <c r="H110" s="5">
        <f>E110*G110*12+((D110-E110)*G110/2*12)</f>
        <v>1072896</v>
      </c>
      <c r="I110" s="5">
        <f t="shared" si="24"/>
        <v>324014.592</v>
      </c>
      <c r="J110" s="5">
        <f t="shared" si="25"/>
        <v>1396910.5919999999</v>
      </c>
    </row>
    <row r="111" spans="1:10" ht="39.6" x14ac:dyDescent="0.25">
      <c r="A111" s="9">
        <v>3</v>
      </c>
      <c r="B111" s="10" t="s">
        <v>18</v>
      </c>
      <c r="C111" s="63">
        <v>13.4</v>
      </c>
      <c r="D111" s="63">
        <v>13.4</v>
      </c>
      <c r="E111" s="63">
        <v>10</v>
      </c>
      <c r="F111" s="63">
        <v>8</v>
      </c>
      <c r="G111" s="5">
        <f>'расчёт зарплаты'!K16</f>
        <v>31556.880000000001</v>
      </c>
      <c r="H111" s="5">
        <f>E111*G111*12+((D111-E111)*G111/2*12)</f>
        <v>4430585.9519999996</v>
      </c>
      <c r="I111" s="5">
        <f t="shared" si="24"/>
        <v>1338036.9575039998</v>
      </c>
      <c r="J111" s="5">
        <f t="shared" si="25"/>
        <v>5768622.9095039992</v>
      </c>
    </row>
    <row r="112" spans="1:10" x14ac:dyDescent="0.25">
      <c r="A112" s="9">
        <v>4</v>
      </c>
      <c r="B112" s="10" t="s">
        <v>19</v>
      </c>
      <c r="C112" s="63">
        <v>1</v>
      </c>
      <c r="D112" s="63">
        <v>1</v>
      </c>
      <c r="E112" s="63">
        <v>1</v>
      </c>
      <c r="F112" s="63">
        <v>1</v>
      </c>
      <c r="G112" s="5">
        <f>'расчёт зарплаты'!K18</f>
        <v>31556.880000000001</v>
      </c>
      <c r="H112" s="5">
        <f>E112*G112*12+((D112-E112)*G112/2*12)</f>
        <v>378682.56</v>
      </c>
      <c r="I112" s="5">
        <f t="shared" si="24"/>
        <v>114362.13312</v>
      </c>
      <c r="J112" s="5">
        <f t="shared" si="25"/>
        <v>493044.69312000001</v>
      </c>
    </row>
    <row r="113" spans="1:10" x14ac:dyDescent="0.25">
      <c r="A113" s="9"/>
      <c r="B113" s="10"/>
      <c r="C113" s="4"/>
      <c r="D113" s="4"/>
      <c r="E113" s="4"/>
      <c r="F113" s="4"/>
      <c r="G113" s="5"/>
      <c r="H113" s="5">
        <f t="shared" ref="H113:H123" si="26">E113*G113*12+((D113-E113)*G113/2*12)</f>
        <v>0</v>
      </c>
      <c r="I113" s="5">
        <f t="shared" si="24"/>
        <v>0</v>
      </c>
      <c r="J113" s="5">
        <f t="shared" si="25"/>
        <v>0</v>
      </c>
    </row>
    <row r="114" spans="1:10" x14ac:dyDescent="0.25">
      <c r="A114" s="9">
        <v>6</v>
      </c>
      <c r="B114" s="10" t="s">
        <v>21</v>
      </c>
      <c r="C114" s="4">
        <v>0</v>
      </c>
      <c r="D114" s="4">
        <v>0</v>
      </c>
      <c r="E114" s="4">
        <v>0</v>
      </c>
      <c r="F114" s="4">
        <v>0</v>
      </c>
      <c r="G114" s="5"/>
      <c r="H114" s="5">
        <f t="shared" si="26"/>
        <v>0</v>
      </c>
      <c r="I114" s="5">
        <f t="shared" si="24"/>
        <v>0</v>
      </c>
      <c r="J114" s="5">
        <f t="shared" si="25"/>
        <v>0</v>
      </c>
    </row>
    <row r="115" spans="1:10" ht="14.4" customHeight="1" x14ac:dyDescent="0.3">
      <c r="A115" s="111" t="s">
        <v>43</v>
      </c>
      <c r="B115" s="111"/>
      <c r="C115" s="4">
        <f>C116+C117+C118+C119+C120+C121+C122+C123</f>
        <v>4.5</v>
      </c>
      <c r="D115" s="4">
        <f t="shared" ref="D115:F115" si="27">D116+D117+D118+D119+D120+D121+D122+D123</f>
        <v>4.5</v>
      </c>
      <c r="E115" s="4">
        <f t="shared" si="27"/>
        <v>2</v>
      </c>
      <c r="F115" s="4">
        <f t="shared" si="27"/>
        <v>2</v>
      </c>
      <c r="G115" s="5"/>
      <c r="H115" s="5">
        <f>SUM(H116:H123)</f>
        <v>1414632</v>
      </c>
      <c r="I115" s="5">
        <f>SUM(I116:I123)</f>
        <v>427218.864</v>
      </c>
      <c r="J115" s="5">
        <f>SUM(J116:J123)</f>
        <v>1841850.8640000001</v>
      </c>
    </row>
    <row r="116" spans="1:10" ht="26.4" x14ac:dyDescent="0.25">
      <c r="A116" s="9">
        <v>1</v>
      </c>
      <c r="B116" s="10" t="s">
        <v>22</v>
      </c>
      <c r="C116" s="63">
        <v>1</v>
      </c>
      <c r="D116" s="63">
        <v>1</v>
      </c>
      <c r="E116" s="63">
        <v>1</v>
      </c>
      <c r="F116" s="63">
        <v>1</v>
      </c>
      <c r="G116" s="5">
        <f>'расчёт зарплаты'!K24</f>
        <v>39984</v>
      </c>
      <c r="H116" s="5">
        <f t="shared" si="26"/>
        <v>479808</v>
      </c>
      <c r="I116" s="5">
        <f t="shared" ref="I116:I123" si="28">H116*30.2%</f>
        <v>144902.016</v>
      </c>
      <c r="J116" s="5">
        <f t="shared" ref="J116:J123" si="29">H116+I116</f>
        <v>624710.01600000006</v>
      </c>
    </row>
    <row r="117" spans="1:10" x14ac:dyDescent="0.25">
      <c r="A117" s="9">
        <v>2</v>
      </c>
      <c r="B117" s="10" t="s">
        <v>23</v>
      </c>
      <c r="C117" s="63">
        <v>0.5</v>
      </c>
      <c r="D117" s="63">
        <v>0.5</v>
      </c>
      <c r="E117" s="63">
        <v>0</v>
      </c>
      <c r="F117" s="63">
        <v>0</v>
      </c>
      <c r="G117" s="5">
        <f>'расчёт зарплаты'!K26</f>
        <v>40480</v>
      </c>
      <c r="H117" s="5">
        <f t="shared" si="26"/>
        <v>121440</v>
      </c>
      <c r="I117" s="5">
        <f t="shared" si="28"/>
        <v>36674.879999999997</v>
      </c>
      <c r="J117" s="5">
        <f t="shared" si="29"/>
        <v>158114.88</v>
      </c>
    </row>
    <row r="118" spans="1:10" ht="26.4" x14ac:dyDescent="0.25">
      <c r="A118" s="9">
        <v>3</v>
      </c>
      <c r="B118" s="10" t="s">
        <v>24</v>
      </c>
      <c r="C118" s="4">
        <v>0</v>
      </c>
      <c r="D118" s="4">
        <v>0</v>
      </c>
      <c r="E118" s="4">
        <v>0</v>
      </c>
      <c r="F118" s="4">
        <v>0</v>
      </c>
      <c r="G118" s="5">
        <f>'расчёт зарплаты'!K28</f>
        <v>36256</v>
      </c>
      <c r="H118" s="5">
        <f t="shared" si="26"/>
        <v>0</v>
      </c>
      <c r="I118" s="5">
        <f t="shared" si="28"/>
        <v>0</v>
      </c>
      <c r="J118" s="5">
        <f t="shared" si="29"/>
        <v>0</v>
      </c>
    </row>
    <row r="119" spans="1:10" x14ac:dyDescent="0.25">
      <c r="A119" s="9">
        <v>4</v>
      </c>
      <c r="B119" s="10" t="s">
        <v>25</v>
      </c>
      <c r="C119" s="63">
        <v>1</v>
      </c>
      <c r="D119" s="63">
        <v>1</v>
      </c>
      <c r="E119" s="63">
        <v>0</v>
      </c>
      <c r="F119" s="63">
        <v>0</v>
      </c>
      <c r="G119" s="5">
        <f>'расчёт зарплаты'!K36</f>
        <v>32320</v>
      </c>
      <c r="H119" s="5">
        <f t="shared" si="26"/>
        <v>193920</v>
      </c>
      <c r="I119" s="5">
        <f t="shared" si="28"/>
        <v>58563.839999999997</v>
      </c>
      <c r="J119" s="5">
        <f t="shared" si="29"/>
        <v>252483.84</v>
      </c>
    </row>
    <row r="120" spans="1:10" x14ac:dyDescent="0.25">
      <c r="A120" s="9">
        <v>5</v>
      </c>
      <c r="B120" s="10" t="s">
        <v>26</v>
      </c>
      <c r="C120" s="63">
        <v>1</v>
      </c>
      <c r="D120" s="63">
        <v>1</v>
      </c>
      <c r="E120" s="63">
        <v>1</v>
      </c>
      <c r="F120" s="63">
        <v>1</v>
      </c>
      <c r="G120" s="5">
        <f>'расчёт зарплаты'!K34</f>
        <v>33936</v>
      </c>
      <c r="H120" s="5">
        <f t="shared" si="26"/>
        <v>407232</v>
      </c>
      <c r="I120" s="5">
        <f t="shared" si="28"/>
        <v>122984.064</v>
      </c>
      <c r="J120" s="5">
        <f t="shared" si="29"/>
        <v>530216.06400000001</v>
      </c>
    </row>
    <row r="121" spans="1:10" x14ac:dyDescent="0.25">
      <c r="A121" s="9">
        <v>6</v>
      </c>
      <c r="B121" s="10" t="s">
        <v>28</v>
      </c>
      <c r="C121" s="63">
        <v>0.5</v>
      </c>
      <c r="D121" s="63">
        <v>0.5</v>
      </c>
      <c r="E121" s="63">
        <v>0</v>
      </c>
      <c r="F121" s="63">
        <v>0</v>
      </c>
      <c r="G121" s="5">
        <f>'расчёт зарплаты'!K40</f>
        <v>33936</v>
      </c>
      <c r="H121" s="5">
        <f t="shared" si="26"/>
        <v>101808</v>
      </c>
      <c r="I121" s="5">
        <f t="shared" si="28"/>
        <v>30746.016</v>
      </c>
      <c r="J121" s="5">
        <f t="shared" si="29"/>
        <v>132554.016</v>
      </c>
    </row>
    <row r="122" spans="1:10" ht="26.4" x14ac:dyDescent="0.25">
      <c r="A122" s="9"/>
      <c r="B122" s="10" t="s">
        <v>98</v>
      </c>
      <c r="C122" s="63">
        <v>0.5</v>
      </c>
      <c r="D122" s="63">
        <v>0.5</v>
      </c>
      <c r="E122" s="63">
        <v>0</v>
      </c>
      <c r="F122" s="63">
        <v>0</v>
      </c>
      <c r="G122" s="5">
        <f>'расчёт зарплаты'!K32</f>
        <v>36808</v>
      </c>
      <c r="H122" s="5">
        <f t="shared" si="26"/>
        <v>110424</v>
      </c>
      <c r="I122" s="5">
        <f t="shared" si="28"/>
        <v>33348.048000000003</v>
      </c>
      <c r="J122" s="5">
        <f t="shared" si="29"/>
        <v>143772.04800000001</v>
      </c>
    </row>
    <row r="123" spans="1:10" ht="26.4" x14ac:dyDescent="0.25">
      <c r="A123" s="9">
        <v>1</v>
      </c>
      <c r="B123" s="10" t="s">
        <v>9</v>
      </c>
      <c r="C123" s="4">
        <v>0</v>
      </c>
      <c r="D123" s="4">
        <v>0</v>
      </c>
      <c r="E123" s="4">
        <v>0</v>
      </c>
      <c r="F123" s="4">
        <v>0</v>
      </c>
      <c r="G123" s="5"/>
      <c r="H123" s="5">
        <f t="shared" si="26"/>
        <v>0</v>
      </c>
      <c r="I123" s="5">
        <f t="shared" si="28"/>
        <v>0</v>
      </c>
      <c r="J123" s="5">
        <f t="shared" si="29"/>
        <v>0</v>
      </c>
    </row>
    <row r="124" spans="1:10" x14ac:dyDescent="0.25">
      <c r="A124" s="4"/>
      <c r="B124" s="105" t="s">
        <v>48</v>
      </c>
      <c r="C124" s="105"/>
      <c r="D124" s="105"/>
      <c r="E124" s="105"/>
      <c r="F124" s="105"/>
      <c r="G124" s="105"/>
      <c r="H124" s="105"/>
      <c r="I124" s="105"/>
      <c r="J124" s="105"/>
    </row>
    <row r="125" spans="1:10" ht="13.95" customHeight="1" x14ac:dyDescent="0.3">
      <c r="A125" s="106" t="s">
        <v>38</v>
      </c>
      <c r="B125" s="107"/>
      <c r="C125" s="4">
        <f>C126+C131</f>
        <v>31.25</v>
      </c>
      <c r="D125" s="4">
        <f>D126+D131</f>
        <v>28.25</v>
      </c>
      <c r="E125" s="4">
        <f>E126+E131</f>
        <v>15.9</v>
      </c>
      <c r="F125" s="4">
        <f>F126+F131</f>
        <v>17</v>
      </c>
      <c r="G125" s="5"/>
      <c r="H125" s="5"/>
      <c r="I125" s="5"/>
      <c r="J125" s="8">
        <f>J126+J131</f>
        <v>10568546.288496001</v>
      </c>
    </row>
    <row r="126" spans="1:10" ht="14.4" customHeight="1" x14ac:dyDescent="0.3">
      <c r="A126" s="108" t="s">
        <v>39</v>
      </c>
      <c r="B126" s="109"/>
      <c r="C126" s="4">
        <f>C127+C128</f>
        <v>5</v>
      </c>
      <c r="D126" s="4">
        <f>D127+D128</f>
        <v>5</v>
      </c>
      <c r="E126" s="4">
        <f>E127+E128</f>
        <v>4</v>
      </c>
      <c r="F126" s="4">
        <f>F127+F128</f>
        <v>4</v>
      </c>
      <c r="G126" s="5"/>
      <c r="H126" s="8">
        <f>H127+H128</f>
        <v>1835562.8160000001</v>
      </c>
      <c r="I126" s="8">
        <f>I127+I128</f>
        <v>554339.970432</v>
      </c>
      <c r="J126" s="8">
        <f>J127+J128</f>
        <v>2389902.7864320003</v>
      </c>
    </row>
    <row r="127" spans="1:10" x14ac:dyDescent="0.25">
      <c r="A127" s="9">
        <v>2</v>
      </c>
      <c r="B127" s="10" t="s">
        <v>11</v>
      </c>
      <c r="C127" s="68">
        <v>3</v>
      </c>
      <c r="D127" s="68">
        <v>3</v>
      </c>
      <c r="E127" s="68">
        <v>3</v>
      </c>
      <c r="F127" s="68">
        <v>3</v>
      </c>
      <c r="G127" s="5">
        <f>'расчёт зарплаты'!K8</f>
        <v>34019.856</v>
      </c>
      <c r="H127" s="5">
        <f>E127*G127*12+((D127-E127)*G127/2*12)</f>
        <v>1224714.8160000001</v>
      </c>
      <c r="I127" s="5">
        <f>H127*30.2%</f>
        <v>369863.87443200004</v>
      </c>
      <c r="J127" s="5">
        <f>H127+I127</f>
        <v>1594578.6904320002</v>
      </c>
    </row>
    <row r="128" spans="1:10" ht="52.8" x14ac:dyDescent="0.25">
      <c r="A128" s="9">
        <v>3</v>
      </c>
      <c r="B128" s="10" t="s">
        <v>12</v>
      </c>
      <c r="C128" s="63">
        <v>2</v>
      </c>
      <c r="D128" s="63">
        <v>2</v>
      </c>
      <c r="E128" s="63">
        <v>1</v>
      </c>
      <c r="F128" s="63">
        <v>1</v>
      </c>
      <c r="G128" s="5">
        <f>'расчёт зарплаты'!K10</f>
        <v>33936</v>
      </c>
      <c r="H128" s="5">
        <f>E128*G128*12+((D128-E128)*G128/2*12)</f>
        <v>610848</v>
      </c>
      <c r="I128" s="5">
        <f>H128*30.2%</f>
        <v>184476.09599999999</v>
      </c>
      <c r="J128" s="5">
        <f>H128+I128</f>
        <v>795324.09600000002</v>
      </c>
    </row>
    <row r="129" spans="1:10" ht="26.4" x14ac:dyDescent="0.25">
      <c r="A129" s="9">
        <v>4</v>
      </c>
      <c r="B129" s="10" t="s">
        <v>40</v>
      </c>
      <c r="C129" s="4"/>
      <c r="D129" s="4">
        <v>0</v>
      </c>
      <c r="E129" s="4">
        <v>0</v>
      </c>
      <c r="F129" s="4">
        <v>0</v>
      </c>
      <c r="G129" s="5"/>
      <c r="H129" s="5">
        <f>E129*G129*12+((D129-E129)*G129/2*12)</f>
        <v>0</v>
      </c>
      <c r="I129" s="5"/>
      <c r="J129" s="5"/>
    </row>
    <row r="130" spans="1:10" x14ac:dyDescent="0.25">
      <c r="A130" s="9">
        <v>5</v>
      </c>
      <c r="B130" s="10" t="s">
        <v>20</v>
      </c>
      <c r="C130" s="4"/>
      <c r="D130" s="4"/>
      <c r="E130" s="4"/>
      <c r="F130" s="4"/>
      <c r="G130" s="5"/>
      <c r="H130" s="5"/>
      <c r="I130" s="5"/>
      <c r="J130" s="5"/>
    </row>
    <row r="131" spans="1:10" ht="14.4" customHeight="1" x14ac:dyDescent="0.3">
      <c r="A131" s="110" t="s">
        <v>41</v>
      </c>
      <c r="B131" s="110"/>
      <c r="C131" s="4">
        <f>C132+C139</f>
        <v>26.25</v>
      </c>
      <c r="D131" s="4">
        <f>D132+D139</f>
        <v>23.25</v>
      </c>
      <c r="E131" s="4">
        <f>E132+E139</f>
        <v>11.9</v>
      </c>
      <c r="F131" s="4">
        <f>F132+F139</f>
        <v>13</v>
      </c>
      <c r="G131" s="5"/>
      <c r="H131" s="8">
        <f>H132+H139</f>
        <v>6281600.2319999998</v>
      </c>
      <c r="I131" s="8">
        <f>I132+I139</f>
        <v>1897043.2700639998</v>
      </c>
      <c r="J131" s="8">
        <f>J132+J139</f>
        <v>8178643.5020640008</v>
      </c>
    </row>
    <row r="132" spans="1:10" ht="14.4" customHeight="1" x14ac:dyDescent="0.3">
      <c r="A132" s="111" t="s">
        <v>42</v>
      </c>
      <c r="B132" s="111"/>
      <c r="C132" s="4">
        <f>C133+C134+C135+C136+C137+C138</f>
        <v>21</v>
      </c>
      <c r="D132" s="4">
        <f>D133+D134+D135+D136+D137+D138</f>
        <v>18</v>
      </c>
      <c r="E132" s="4">
        <f>E133+E134+E135+E136+E137+E138</f>
        <v>9.9</v>
      </c>
      <c r="F132" s="4">
        <f>F133+F134+F135+F136+F137+F138</f>
        <v>11</v>
      </c>
      <c r="G132" s="5"/>
      <c r="H132" s="5">
        <f>SUM(H133:H138)</f>
        <v>5014388.2319999998</v>
      </c>
      <c r="I132" s="5">
        <f>SUM(I133:I138)</f>
        <v>1514345.2460639998</v>
      </c>
      <c r="J132" s="5">
        <f>SUM(J133:J138)</f>
        <v>6528733.4780640006</v>
      </c>
    </row>
    <row r="133" spans="1:10" x14ac:dyDescent="0.25">
      <c r="A133" s="9">
        <v>1</v>
      </c>
      <c r="B133" s="10" t="s">
        <v>15</v>
      </c>
      <c r="C133" s="4"/>
      <c r="D133" s="4">
        <v>0</v>
      </c>
      <c r="E133" s="4">
        <v>0</v>
      </c>
      <c r="F133" s="4">
        <v>0</v>
      </c>
      <c r="G133" s="5"/>
      <c r="H133" s="5">
        <f>E133*G133*12+((D133-E133)*G133/2*12)</f>
        <v>0</v>
      </c>
      <c r="I133" s="5">
        <f t="shared" ref="I133:I138" si="30">H133*30.2%</f>
        <v>0</v>
      </c>
      <c r="J133" s="5">
        <f t="shared" ref="J133:J138" si="31">H133+I133</f>
        <v>0</v>
      </c>
    </row>
    <row r="134" spans="1:10" x14ac:dyDescent="0.25">
      <c r="A134" s="9">
        <v>2</v>
      </c>
      <c r="B134" s="10" t="s">
        <v>17</v>
      </c>
      <c r="C134" s="4"/>
      <c r="D134" s="4">
        <v>0</v>
      </c>
      <c r="E134" s="4">
        <v>0</v>
      </c>
      <c r="F134" s="4">
        <v>0</v>
      </c>
      <c r="G134" s="5"/>
      <c r="H134" s="5">
        <f>E134*G134*12+((D134-E134)*G134/2*12)</f>
        <v>0</v>
      </c>
      <c r="I134" s="5">
        <f t="shared" si="30"/>
        <v>0</v>
      </c>
      <c r="J134" s="5">
        <f t="shared" si="31"/>
        <v>0</v>
      </c>
    </row>
    <row r="135" spans="1:10" ht="39.6" x14ac:dyDescent="0.25">
      <c r="A135" s="9">
        <v>3</v>
      </c>
      <c r="B135" s="10" t="s">
        <v>18</v>
      </c>
      <c r="C135" s="63">
        <v>17</v>
      </c>
      <c r="D135" s="87">
        <f>17-3</f>
        <v>14</v>
      </c>
      <c r="E135" s="63">
        <v>7</v>
      </c>
      <c r="F135" s="63">
        <v>7</v>
      </c>
      <c r="G135" s="5">
        <f>'расчёт зарплаты'!K16</f>
        <v>31556.880000000001</v>
      </c>
      <c r="H135" s="5">
        <f>E135*G135*12+((D135-E135)*G135/2*12)</f>
        <v>3976166.88</v>
      </c>
      <c r="I135" s="5">
        <f t="shared" si="30"/>
        <v>1200802.3977599998</v>
      </c>
      <c r="J135" s="5">
        <f t="shared" si="31"/>
        <v>5176969.27776</v>
      </c>
    </row>
    <row r="136" spans="1:10" x14ac:dyDescent="0.25">
      <c r="A136" s="9">
        <v>4</v>
      </c>
      <c r="B136" s="10" t="s">
        <v>19</v>
      </c>
      <c r="C136" s="63">
        <v>2</v>
      </c>
      <c r="D136" s="63">
        <v>2</v>
      </c>
      <c r="E136" s="63">
        <v>1.5</v>
      </c>
      <c r="F136" s="63">
        <v>2</v>
      </c>
      <c r="G136" s="5">
        <f>'расчёт зарплаты'!K18</f>
        <v>31556.880000000001</v>
      </c>
      <c r="H136" s="5">
        <f>E136*G136*12+((D136-E136)*G136/2*12)</f>
        <v>662694.48</v>
      </c>
      <c r="I136" s="5">
        <f t="shared" si="30"/>
        <v>200133.73295999999</v>
      </c>
      <c r="J136" s="5">
        <f t="shared" si="31"/>
        <v>862828.21295999992</v>
      </c>
    </row>
    <row r="137" spans="1:10" x14ac:dyDescent="0.25">
      <c r="A137" s="9"/>
      <c r="B137" s="10"/>
      <c r="C137" s="4"/>
      <c r="D137" s="4"/>
      <c r="E137" s="4"/>
      <c r="F137" s="4"/>
      <c r="G137" s="5"/>
      <c r="H137" s="5">
        <f t="shared" ref="H137:H147" si="32">E137*G137*12+((D137-E137)*G137/2*12)</f>
        <v>0</v>
      </c>
      <c r="I137" s="5">
        <f t="shared" si="30"/>
        <v>0</v>
      </c>
      <c r="J137" s="5">
        <f t="shared" si="31"/>
        <v>0</v>
      </c>
    </row>
    <row r="138" spans="1:10" x14ac:dyDescent="0.25">
      <c r="A138" s="9">
        <v>6</v>
      </c>
      <c r="B138" s="10" t="s">
        <v>21</v>
      </c>
      <c r="C138" s="63">
        <v>2</v>
      </c>
      <c r="D138" s="63">
        <v>2</v>
      </c>
      <c r="E138" s="63">
        <v>1.4</v>
      </c>
      <c r="F138" s="63">
        <v>2</v>
      </c>
      <c r="G138" s="5">
        <f>'расчёт зарплаты'!K22</f>
        <v>31556.880000000001</v>
      </c>
      <c r="H138" s="88">
        <f>E138*G138*7+((D138-E138)*G138/2*7)</f>
        <v>375526.87200000003</v>
      </c>
      <c r="I138" s="5">
        <f t="shared" si="30"/>
        <v>113409.11534400001</v>
      </c>
      <c r="J138" s="5">
        <f t="shared" si="31"/>
        <v>488935.98734400002</v>
      </c>
    </row>
    <row r="139" spans="1:10" ht="14.4" customHeight="1" x14ac:dyDescent="0.3">
      <c r="A139" s="111" t="s">
        <v>43</v>
      </c>
      <c r="B139" s="111"/>
      <c r="C139" s="4">
        <f>C140+C141+C142+C143+C144+C145+C146+C147</f>
        <v>5.25</v>
      </c>
      <c r="D139" s="4">
        <f t="shared" ref="D139:F139" si="33">D140+D141+D142+D143+D144+D145+D146+D147</f>
        <v>5.25</v>
      </c>
      <c r="E139" s="4">
        <f t="shared" si="33"/>
        <v>2</v>
      </c>
      <c r="F139" s="4">
        <f t="shared" si="33"/>
        <v>2</v>
      </c>
      <c r="G139" s="5"/>
      <c r="H139" s="5">
        <f>SUM(H140:H147)</f>
        <v>1267212</v>
      </c>
      <c r="I139" s="5">
        <f>SUM(I140:I147)</f>
        <v>382698.02399999998</v>
      </c>
      <c r="J139" s="5">
        <f>SUM(J140:J147)</f>
        <v>1649910.024</v>
      </c>
    </row>
    <row r="140" spans="1:10" ht="26.4" x14ac:dyDescent="0.25">
      <c r="A140" s="9">
        <v>1</v>
      </c>
      <c r="B140" s="10" t="s">
        <v>22</v>
      </c>
      <c r="C140" s="63">
        <v>1</v>
      </c>
      <c r="D140" s="63">
        <v>1</v>
      </c>
      <c r="E140" s="63">
        <v>0</v>
      </c>
      <c r="F140" s="63">
        <v>0</v>
      </c>
      <c r="G140" s="5">
        <f>'расчёт зарплаты'!K24</f>
        <v>39984</v>
      </c>
      <c r="H140" s="88"/>
      <c r="I140" s="5">
        <f t="shared" ref="I140:I147" si="34">H140*30.2%</f>
        <v>0</v>
      </c>
      <c r="J140" s="5">
        <f t="shared" ref="J140:J147" si="35">H140+I140</f>
        <v>0</v>
      </c>
    </row>
    <row r="141" spans="1:10" x14ac:dyDescent="0.25">
      <c r="A141" s="9">
        <v>2</v>
      </c>
      <c r="B141" s="10" t="s">
        <v>23</v>
      </c>
      <c r="C141" s="4"/>
      <c r="D141" s="4">
        <v>0</v>
      </c>
      <c r="E141" s="4">
        <v>0</v>
      </c>
      <c r="F141" s="4">
        <v>0</v>
      </c>
      <c r="G141" s="5">
        <f>'расчёт зарплаты'!K26</f>
        <v>40480</v>
      </c>
      <c r="H141" s="5">
        <f t="shared" si="32"/>
        <v>0</v>
      </c>
      <c r="I141" s="5">
        <f t="shared" si="34"/>
        <v>0</v>
      </c>
      <c r="J141" s="5">
        <f t="shared" si="35"/>
        <v>0</v>
      </c>
    </row>
    <row r="142" spans="1:10" ht="26.4" x14ac:dyDescent="0.25">
      <c r="A142" s="9">
        <v>3</v>
      </c>
      <c r="B142" s="10" t="s">
        <v>24</v>
      </c>
      <c r="C142" s="4"/>
      <c r="D142" s="4">
        <v>0</v>
      </c>
      <c r="E142" s="4">
        <v>0</v>
      </c>
      <c r="F142" s="4">
        <v>0</v>
      </c>
      <c r="G142" s="5">
        <f>'расчёт зарплаты'!K28</f>
        <v>36256</v>
      </c>
      <c r="H142" s="5">
        <f t="shared" si="32"/>
        <v>0</v>
      </c>
      <c r="I142" s="5">
        <f t="shared" si="34"/>
        <v>0</v>
      </c>
      <c r="J142" s="5">
        <f t="shared" si="35"/>
        <v>0</v>
      </c>
    </row>
    <row r="143" spans="1:10" x14ac:dyDescent="0.25">
      <c r="A143" s="9">
        <v>4</v>
      </c>
      <c r="B143" s="10" t="s">
        <v>25</v>
      </c>
      <c r="C143" s="63">
        <v>1</v>
      </c>
      <c r="D143" s="63">
        <v>1</v>
      </c>
      <c r="E143" s="63">
        <v>0</v>
      </c>
      <c r="F143" s="63">
        <v>0</v>
      </c>
      <c r="G143" s="5">
        <f>'расчёт зарплаты'!K36</f>
        <v>32320</v>
      </c>
      <c r="H143" s="5">
        <f t="shared" si="32"/>
        <v>193920</v>
      </c>
      <c r="I143" s="5">
        <f t="shared" si="34"/>
        <v>58563.839999999997</v>
      </c>
      <c r="J143" s="5">
        <f t="shared" si="35"/>
        <v>252483.84</v>
      </c>
    </row>
    <row r="144" spans="1:10" x14ac:dyDescent="0.25">
      <c r="A144" s="9">
        <v>5</v>
      </c>
      <c r="B144" s="10" t="s">
        <v>26</v>
      </c>
      <c r="C144" s="63">
        <v>1</v>
      </c>
      <c r="D144" s="63">
        <v>1</v>
      </c>
      <c r="E144" s="63">
        <v>0</v>
      </c>
      <c r="F144" s="63">
        <v>0</v>
      </c>
      <c r="G144" s="5">
        <f>'расчёт зарплаты'!K34</f>
        <v>33936</v>
      </c>
      <c r="H144" s="5">
        <f t="shared" si="32"/>
        <v>203616</v>
      </c>
      <c r="I144" s="5">
        <f t="shared" si="34"/>
        <v>61492.031999999999</v>
      </c>
      <c r="J144" s="5">
        <f t="shared" si="35"/>
        <v>265108.03200000001</v>
      </c>
    </row>
    <row r="145" spans="1:10" x14ac:dyDescent="0.25">
      <c r="A145" s="9">
        <v>6</v>
      </c>
      <c r="B145" s="10" t="s">
        <v>28</v>
      </c>
      <c r="C145" s="63">
        <v>2</v>
      </c>
      <c r="D145" s="63">
        <v>2</v>
      </c>
      <c r="E145" s="63">
        <v>2</v>
      </c>
      <c r="F145" s="63">
        <v>2</v>
      </c>
      <c r="G145" s="5">
        <f>'расчёт зарплаты'!K40</f>
        <v>33936</v>
      </c>
      <c r="H145" s="5">
        <f t="shared" si="32"/>
        <v>814464</v>
      </c>
      <c r="I145" s="5">
        <f t="shared" si="34"/>
        <v>245968.128</v>
      </c>
      <c r="J145" s="5">
        <f t="shared" si="35"/>
        <v>1060432.128</v>
      </c>
    </row>
    <row r="146" spans="1:10" ht="26.4" x14ac:dyDescent="0.25">
      <c r="A146" s="9"/>
      <c r="B146" s="10" t="s">
        <v>98</v>
      </c>
      <c r="C146" s="63">
        <v>0.25</v>
      </c>
      <c r="D146" s="63">
        <v>0.25</v>
      </c>
      <c r="E146" s="63">
        <v>0</v>
      </c>
      <c r="F146" s="63">
        <v>0</v>
      </c>
      <c r="G146" s="5">
        <f>'расчёт зарплаты'!K32</f>
        <v>36808</v>
      </c>
      <c r="H146" s="5">
        <f t="shared" si="32"/>
        <v>55212</v>
      </c>
      <c r="I146" s="5">
        <f t="shared" si="34"/>
        <v>16674.024000000001</v>
      </c>
      <c r="J146" s="5">
        <f t="shared" si="35"/>
        <v>71886.024000000005</v>
      </c>
    </row>
    <row r="147" spans="1:10" ht="26.4" x14ac:dyDescent="0.25">
      <c r="A147" s="9">
        <v>1</v>
      </c>
      <c r="B147" s="10" t="s">
        <v>9</v>
      </c>
      <c r="C147" s="4"/>
      <c r="D147" s="4">
        <v>0</v>
      </c>
      <c r="E147" s="4">
        <v>0</v>
      </c>
      <c r="F147" s="4">
        <v>0</v>
      </c>
      <c r="G147" s="5"/>
      <c r="H147" s="5">
        <f t="shared" si="32"/>
        <v>0</v>
      </c>
      <c r="I147" s="5">
        <f t="shared" si="34"/>
        <v>0</v>
      </c>
      <c r="J147" s="5">
        <f t="shared" si="35"/>
        <v>0</v>
      </c>
    </row>
    <row r="148" spans="1:10" x14ac:dyDescent="0.25">
      <c r="A148" s="4"/>
      <c r="B148" s="105" t="s">
        <v>49</v>
      </c>
      <c r="C148" s="105"/>
      <c r="D148" s="105"/>
      <c r="E148" s="105"/>
      <c r="F148" s="105"/>
      <c r="G148" s="105"/>
      <c r="H148" s="105"/>
      <c r="I148" s="105"/>
      <c r="J148" s="105"/>
    </row>
    <row r="149" spans="1:10" ht="13.8" x14ac:dyDescent="0.3">
      <c r="A149" s="106" t="s">
        <v>38</v>
      </c>
      <c r="B149" s="107"/>
      <c r="C149" s="4">
        <f>C150+C155</f>
        <v>24.75</v>
      </c>
      <c r="D149" s="4">
        <f>D150+D155</f>
        <v>21.75</v>
      </c>
      <c r="E149" s="4">
        <f>E150+E155</f>
        <v>17.899999999999999</v>
      </c>
      <c r="F149" s="4">
        <f>F150+F155</f>
        <v>21</v>
      </c>
      <c r="G149" s="5"/>
      <c r="H149" s="5"/>
      <c r="I149" s="5"/>
      <c r="J149" s="8">
        <f>J150+J155</f>
        <v>9988669.9342080019</v>
      </c>
    </row>
    <row r="150" spans="1:10" ht="14.4" x14ac:dyDescent="0.3">
      <c r="A150" s="108" t="s">
        <v>39</v>
      </c>
      <c r="B150" s="109"/>
      <c r="C150" s="4">
        <f>C151+C152</f>
        <v>4</v>
      </c>
      <c r="D150" s="4">
        <f>D151+D152</f>
        <v>4</v>
      </c>
      <c r="E150" s="4">
        <f>E151+E152</f>
        <v>4</v>
      </c>
      <c r="F150" s="4">
        <f>F151+F152</f>
        <v>4</v>
      </c>
      <c r="G150" s="5"/>
      <c r="H150" s="8">
        <f>H151+H152</f>
        <v>1631946.8160000001</v>
      </c>
      <c r="I150" s="8">
        <f>I151+I152</f>
        <v>492847.93843200005</v>
      </c>
      <c r="J150" s="8">
        <f>J151+J152</f>
        <v>2124794.7544320002</v>
      </c>
    </row>
    <row r="151" spans="1:10" x14ac:dyDescent="0.25">
      <c r="A151" s="9">
        <v>2</v>
      </c>
      <c r="B151" s="10" t="s">
        <v>11</v>
      </c>
      <c r="C151" s="68">
        <v>3</v>
      </c>
      <c r="D151" s="68">
        <v>3</v>
      </c>
      <c r="E151" s="68">
        <v>3</v>
      </c>
      <c r="F151" s="68">
        <v>3</v>
      </c>
      <c r="G151" s="5">
        <f>'расчёт зарплаты'!K8</f>
        <v>34019.856</v>
      </c>
      <c r="H151" s="5">
        <f>E151*G151*12+((D151-E151)*G151/2*12)</f>
        <v>1224714.8160000001</v>
      </c>
      <c r="I151" s="5">
        <f>H151*30.2%</f>
        <v>369863.87443200004</v>
      </c>
      <c r="J151" s="5">
        <f>H151+I151</f>
        <v>1594578.6904320002</v>
      </c>
    </row>
    <row r="152" spans="1:10" ht="52.8" x14ac:dyDescent="0.25">
      <c r="A152" s="9">
        <v>3</v>
      </c>
      <c r="B152" s="10" t="s">
        <v>12</v>
      </c>
      <c r="C152" s="63">
        <v>1</v>
      </c>
      <c r="D152" s="63">
        <v>1</v>
      </c>
      <c r="E152" s="63">
        <v>1</v>
      </c>
      <c r="F152" s="63">
        <v>1</v>
      </c>
      <c r="G152" s="5">
        <f>'расчёт зарплаты'!K10</f>
        <v>33936</v>
      </c>
      <c r="H152" s="5">
        <f>E152*G152*12+((D152-E152)*G152/2*12)</f>
        <v>407232</v>
      </c>
      <c r="I152" s="5">
        <f>H152*30.2%</f>
        <v>122984.064</v>
      </c>
      <c r="J152" s="5">
        <f>H152+I152</f>
        <v>530216.06400000001</v>
      </c>
    </row>
    <row r="153" spans="1:10" ht="26.4" x14ac:dyDescent="0.25">
      <c r="A153" s="9">
        <v>4</v>
      </c>
      <c r="B153" s="10" t="s">
        <v>40</v>
      </c>
      <c r="C153" s="4">
        <v>0</v>
      </c>
      <c r="D153" s="4">
        <v>0</v>
      </c>
      <c r="E153" s="4">
        <v>0</v>
      </c>
      <c r="F153" s="4">
        <v>0</v>
      </c>
      <c r="G153" s="5"/>
      <c r="H153" s="5">
        <f>E153*G153*12+((D153-E153)*G153/2*12)</f>
        <v>0</v>
      </c>
      <c r="I153" s="5"/>
      <c r="J153" s="5"/>
    </row>
    <row r="154" spans="1:10" x14ac:dyDescent="0.25">
      <c r="A154" s="9">
        <v>5</v>
      </c>
      <c r="B154" s="10" t="s">
        <v>20</v>
      </c>
      <c r="C154" s="4"/>
      <c r="D154" s="4"/>
      <c r="E154" s="4"/>
      <c r="F154" s="4"/>
      <c r="G154" s="5"/>
      <c r="H154" s="5"/>
      <c r="I154" s="5"/>
      <c r="J154" s="5"/>
    </row>
    <row r="155" spans="1:10" ht="14.4" x14ac:dyDescent="0.3">
      <c r="A155" s="110" t="s">
        <v>41</v>
      </c>
      <c r="B155" s="110"/>
      <c r="C155" s="4">
        <f>C156+C163</f>
        <v>20.75</v>
      </c>
      <c r="D155" s="4">
        <f>D156+D163</f>
        <v>17.75</v>
      </c>
      <c r="E155" s="4">
        <f>E156+E163</f>
        <v>13.9</v>
      </c>
      <c r="F155" s="4">
        <f>F156+F163</f>
        <v>17</v>
      </c>
      <c r="G155" s="5"/>
      <c r="H155" s="8">
        <f>H156+H163</f>
        <v>6039842.6879999992</v>
      </c>
      <c r="I155" s="8">
        <f>I156+I163</f>
        <v>1824032.491776</v>
      </c>
      <c r="J155" s="8">
        <f>J156+J163</f>
        <v>7863875.1797760008</v>
      </c>
    </row>
    <row r="156" spans="1:10" ht="14.4" x14ac:dyDescent="0.3">
      <c r="A156" s="111" t="s">
        <v>42</v>
      </c>
      <c r="B156" s="111"/>
      <c r="C156" s="4">
        <f>C157+C158+C159+C160+C161+C162</f>
        <v>16.5</v>
      </c>
      <c r="D156" s="4">
        <f>D157+D158+D159+D160+D161+D162</f>
        <v>14.5</v>
      </c>
      <c r="E156" s="4">
        <f>E157+E158+E159+E160+E161+E162</f>
        <v>12.9</v>
      </c>
      <c r="F156" s="4">
        <f>F157+F158+F159+F160+F161+F162</f>
        <v>16</v>
      </c>
      <c r="G156" s="5"/>
      <c r="H156" s="5">
        <f>SUM(H157:H162)</f>
        <v>5383478.6879999992</v>
      </c>
      <c r="I156" s="5">
        <f>SUM(I157:I162)</f>
        <v>1625810.5637759999</v>
      </c>
      <c r="J156" s="5">
        <f>SUM(J157:J162)</f>
        <v>7009289.2517760005</v>
      </c>
    </row>
    <row r="157" spans="1:10" x14ac:dyDescent="0.25">
      <c r="A157" s="9">
        <v>1</v>
      </c>
      <c r="B157" s="10" t="s">
        <v>15</v>
      </c>
      <c r="C157" s="63">
        <v>0.5</v>
      </c>
      <c r="D157" s="63">
        <v>0.5</v>
      </c>
      <c r="E157" s="63">
        <v>0.5</v>
      </c>
      <c r="F157" s="63">
        <v>1</v>
      </c>
      <c r="G157" s="5">
        <f>'расчёт зарплаты'!K12</f>
        <v>40480</v>
      </c>
      <c r="H157" s="5">
        <f>E157*G157*12+((D157-E157)*G157/2*12)</f>
        <v>242880</v>
      </c>
      <c r="I157" s="5">
        <f t="shared" ref="I157:I162" si="36">H157*30.2%</f>
        <v>73349.759999999995</v>
      </c>
      <c r="J157" s="5">
        <f t="shared" ref="J157:J162" si="37">H157+I157</f>
        <v>316229.76000000001</v>
      </c>
    </row>
    <row r="158" spans="1:10" x14ac:dyDescent="0.25">
      <c r="A158" s="9">
        <v>2</v>
      </c>
      <c r="B158" s="10" t="s">
        <v>17</v>
      </c>
      <c r="C158" s="63">
        <v>1</v>
      </c>
      <c r="D158" s="63">
        <v>1</v>
      </c>
      <c r="E158" s="63">
        <v>0.8</v>
      </c>
      <c r="F158" s="63">
        <v>1</v>
      </c>
      <c r="G158" s="5">
        <f>'расчёт зарплаты'!K14</f>
        <v>44704</v>
      </c>
      <c r="H158" s="5">
        <f>E158*G158*12+((D158-E158)*G158/2*12)</f>
        <v>482803.20000000001</v>
      </c>
      <c r="I158" s="5">
        <f t="shared" si="36"/>
        <v>145806.56640000001</v>
      </c>
      <c r="J158" s="5">
        <f t="shared" si="37"/>
        <v>628609.76640000008</v>
      </c>
    </row>
    <row r="159" spans="1:10" ht="39.6" x14ac:dyDescent="0.25">
      <c r="A159" s="9">
        <v>3</v>
      </c>
      <c r="B159" s="10" t="s">
        <v>18</v>
      </c>
      <c r="C159" s="63">
        <v>11.5</v>
      </c>
      <c r="D159" s="63">
        <v>11</v>
      </c>
      <c r="E159" s="63">
        <v>8.6</v>
      </c>
      <c r="F159" s="63">
        <v>12</v>
      </c>
      <c r="G159" s="5">
        <f>'расчёт зарплаты'!K16</f>
        <v>31556.880000000001</v>
      </c>
      <c r="H159" s="5">
        <f>E159*G159*12+((D159-E159)*G159/2*12)</f>
        <v>3711089.088</v>
      </c>
      <c r="I159" s="5">
        <f t="shared" si="36"/>
        <v>1120748.9045760001</v>
      </c>
      <c r="J159" s="5">
        <f t="shared" si="37"/>
        <v>4831837.9925760003</v>
      </c>
    </row>
    <row r="160" spans="1:10" x14ac:dyDescent="0.25">
      <c r="A160" s="9">
        <v>4</v>
      </c>
      <c r="B160" s="10" t="s">
        <v>19</v>
      </c>
      <c r="C160" s="63">
        <v>1.5</v>
      </c>
      <c r="D160" s="63">
        <v>1</v>
      </c>
      <c r="E160" s="63">
        <v>1</v>
      </c>
      <c r="F160" s="63">
        <v>1</v>
      </c>
      <c r="G160" s="5">
        <f>'расчёт зарплаты'!K18</f>
        <v>31556.880000000001</v>
      </c>
      <c r="H160" s="5">
        <f>E160*G160*12+((D160-E160)*G160/2*12)</f>
        <v>378682.56</v>
      </c>
      <c r="I160" s="5">
        <f t="shared" si="36"/>
        <v>114362.13312</v>
      </c>
      <c r="J160" s="5">
        <f t="shared" si="37"/>
        <v>493044.69312000001</v>
      </c>
    </row>
    <row r="161" spans="1:10" x14ac:dyDescent="0.25">
      <c r="A161" s="9"/>
      <c r="B161" s="10"/>
      <c r="C161" s="4"/>
      <c r="D161" s="4"/>
      <c r="E161" s="4"/>
      <c r="F161" s="4"/>
      <c r="G161" s="5"/>
      <c r="H161" s="5">
        <f t="shared" ref="H161:H171" si="38">E161*G161*12+((D161-E161)*G161/2*12)</f>
        <v>0</v>
      </c>
      <c r="I161" s="5">
        <f t="shared" si="36"/>
        <v>0</v>
      </c>
      <c r="J161" s="5">
        <f t="shared" si="37"/>
        <v>0</v>
      </c>
    </row>
    <row r="162" spans="1:10" x14ac:dyDescent="0.25">
      <c r="A162" s="9">
        <v>6</v>
      </c>
      <c r="B162" s="10" t="s">
        <v>21</v>
      </c>
      <c r="C162" s="63">
        <v>2</v>
      </c>
      <c r="D162" s="63">
        <v>1</v>
      </c>
      <c r="E162" s="63">
        <v>2</v>
      </c>
      <c r="F162" s="63">
        <v>1</v>
      </c>
      <c r="G162" s="5">
        <f>'расчёт зарплаты'!K22</f>
        <v>31556.880000000001</v>
      </c>
      <c r="H162" s="5">
        <f t="shared" si="38"/>
        <v>568023.84</v>
      </c>
      <c r="I162" s="5">
        <f t="shared" si="36"/>
        <v>171543.19967999999</v>
      </c>
      <c r="J162" s="5">
        <f t="shared" si="37"/>
        <v>739567.03967999993</v>
      </c>
    </row>
    <row r="163" spans="1:10" ht="14.4" x14ac:dyDescent="0.3">
      <c r="A163" s="111" t="s">
        <v>43</v>
      </c>
      <c r="B163" s="111"/>
      <c r="C163" s="4">
        <f>C164+C165+C166+C167+C168+C169+C170+C171</f>
        <v>4.25</v>
      </c>
      <c r="D163" s="4">
        <f t="shared" ref="D163:F163" si="39">D164+D165+D166+D167+D168+D169+D170+D171</f>
        <v>3.25</v>
      </c>
      <c r="E163" s="4">
        <f t="shared" si="39"/>
        <v>1</v>
      </c>
      <c r="F163" s="4">
        <f t="shared" si="39"/>
        <v>1</v>
      </c>
      <c r="G163" s="5"/>
      <c r="H163" s="5">
        <f>SUM(H164:H171)</f>
        <v>656364</v>
      </c>
      <c r="I163" s="5">
        <f>SUM(I164:I171)</f>
        <v>198221.92799999999</v>
      </c>
      <c r="J163" s="5">
        <f>SUM(J164:J171)</f>
        <v>854585.92799999996</v>
      </c>
    </row>
    <row r="164" spans="1:10" ht="26.4" x14ac:dyDescent="0.25">
      <c r="A164" s="9">
        <v>1</v>
      </c>
      <c r="B164" s="10" t="s">
        <v>22</v>
      </c>
      <c r="C164" s="4"/>
      <c r="D164" s="4"/>
      <c r="E164" s="4"/>
      <c r="F164" s="4"/>
      <c r="G164" s="5">
        <f>'расчёт зарплаты'!K24</f>
        <v>39984</v>
      </c>
      <c r="H164" s="5">
        <f t="shared" si="38"/>
        <v>0</v>
      </c>
      <c r="I164" s="5">
        <f t="shared" ref="I164:I171" si="40">H164*30.2%</f>
        <v>0</v>
      </c>
      <c r="J164" s="5">
        <f t="shared" ref="J164:J171" si="41">H164+I164</f>
        <v>0</v>
      </c>
    </row>
    <row r="165" spans="1:10" x14ac:dyDescent="0.25">
      <c r="A165" s="9">
        <v>2</v>
      </c>
      <c r="B165" s="10" t="s">
        <v>23</v>
      </c>
      <c r="C165" s="63">
        <v>1</v>
      </c>
      <c r="D165" s="63">
        <v>1</v>
      </c>
      <c r="E165" s="63">
        <v>0</v>
      </c>
      <c r="F165" s="63">
        <v>0</v>
      </c>
      <c r="G165" s="5"/>
      <c r="H165" s="5">
        <f t="shared" si="38"/>
        <v>0</v>
      </c>
      <c r="I165" s="5">
        <f t="shared" si="40"/>
        <v>0</v>
      </c>
      <c r="J165" s="5">
        <f t="shared" si="41"/>
        <v>0</v>
      </c>
    </row>
    <row r="166" spans="1:10" ht="26.4" x14ac:dyDescent="0.25">
      <c r="A166" s="9">
        <v>3</v>
      </c>
      <c r="B166" s="10" t="s">
        <v>24</v>
      </c>
      <c r="C166" s="4">
        <v>0</v>
      </c>
      <c r="D166" s="4">
        <v>0</v>
      </c>
      <c r="E166" s="4">
        <v>0</v>
      </c>
      <c r="F166" s="4">
        <v>0</v>
      </c>
      <c r="G166" s="5"/>
      <c r="H166" s="5">
        <f t="shared" si="38"/>
        <v>0</v>
      </c>
      <c r="I166" s="5">
        <f t="shared" si="40"/>
        <v>0</v>
      </c>
      <c r="J166" s="5">
        <f t="shared" si="41"/>
        <v>0</v>
      </c>
    </row>
    <row r="167" spans="1:10" x14ac:dyDescent="0.25">
      <c r="A167" s="9">
        <v>4</v>
      </c>
      <c r="B167" s="10" t="s">
        <v>25</v>
      </c>
      <c r="C167" s="63">
        <v>1</v>
      </c>
      <c r="D167" s="63">
        <v>1</v>
      </c>
      <c r="E167" s="63">
        <v>0</v>
      </c>
      <c r="F167" s="63">
        <v>0</v>
      </c>
      <c r="G167" s="5">
        <f>'расчёт зарплаты'!K36</f>
        <v>32320</v>
      </c>
      <c r="H167" s="5">
        <f t="shared" si="38"/>
        <v>193920</v>
      </c>
      <c r="I167" s="5">
        <f t="shared" si="40"/>
        <v>58563.839999999997</v>
      </c>
      <c r="J167" s="5">
        <f t="shared" si="41"/>
        <v>252483.84</v>
      </c>
    </row>
    <row r="168" spans="1:10" x14ac:dyDescent="0.25">
      <c r="A168" s="9">
        <v>5</v>
      </c>
      <c r="B168" s="10" t="s">
        <v>26</v>
      </c>
      <c r="C168" s="63">
        <v>1</v>
      </c>
      <c r="D168" s="63">
        <v>1</v>
      </c>
      <c r="E168" s="63">
        <v>1</v>
      </c>
      <c r="F168" s="63">
        <v>1</v>
      </c>
      <c r="G168" s="5">
        <f>'расчёт зарплаты'!K34</f>
        <v>33936</v>
      </c>
      <c r="H168" s="5">
        <f t="shared" si="38"/>
        <v>407232</v>
      </c>
      <c r="I168" s="5">
        <f t="shared" si="40"/>
        <v>122984.064</v>
      </c>
      <c r="J168" s="5">
        <f>H168+I168</f>
        <v>530216.06400000001</v>
      </c>
    </row>
    <row r="169" spans="1:10" x14ac:dyDescent="0.25">
      <c r="A169" s="9">
        <v>6</v>
      </c>
      <c r="B169" s="10" t="s">
        <v>28</v>
      </c>
      <c r="C169" s="63">
        <v>1</v>
      </c>
      <c r="D169" s="63">
        <v>0</v>
      </c>
      <c r="E169" s="63">
        <v>0</v>
      </c>
      <c r="F169" s="63">
        <v>0</v>
      </c>
      <c r="G169" s="5">
        <f>'расчёт зарплаты'!K40</f>
        <v>33936</v>
      </c>
      <c r="H169" s="5">
        <f t="shared" si="38"/>
        <v>0</v>
      </c>
      <c r="I169" s="5">
        <f t="shared" si="40"/>
        <v>0</v>
      </c>
      <c r="J169" s="5">
        <f t="shared" ref="J169:J170" si="42">H169+I169</f>
        <v>0</v>
      </c>
    </row>
    <row r="170" spans="1:10" ht="26.4" x14ac:dyDescent="0.25">
      <c r="A170" s="9"/>
      <c r="B170" s="10" t="s">
        <v>98</v>
      </c>
      <c r="C170" s="63">
        <v>0.25</v>
      </c>
      <c r="D170" s="63">
        <v>0.25</v>
      </c>
      <c r="E170" s="63">
        <v>0</v>
      </c>
      <c r="F170" s="63">
        <v>0</v>
      </c>
      <c r="G170" s="5">
        <f>'расчёт зарплаты'!K32</f>
        <v>36808</v>
      </c>
      <c r="H170" s="5">
        <f t="shared" si="38"/>
        <v>55212</v>
      </c>
      <c r="I170" s="5">
        <f t="shared" si="40"/>
        <v>16674.024000000001</v>
      </c>
      <c r="J170" s="5">
        <f t="shared" si="42"/>
        <v>71886.024000000005</v>
      </c>
    </row>
    <row r="171" spans="1:10" ht="26.4" x14ac:dyDescent="0.25">
      <c r="A171" s="9">
        <v>1</v>
      </c>
      <c r="B171" s="10" t="s">
        <v>9</v>
      </c>
      <c r="C171" s="4">
        <v>0</v>
      </c>
      <c r="D171" s="4">
        <v>0</v>
      </c>
      <c r="E171" s="4">
        <v>0</v>
      </c>
      <c r="F171" s="4">
        <v>0</v>
      </c>
      <c r="G171" s="5">
        <f>'расчёт зарплаты'!K6</f>
        <v>46112</v>
      </c>
      <c r="H171" s="5">
        <f t="shared" si="38"/>
        <v>0</v>
      </c>
      <c r="I171" s="5">
        <f t="shared" si="40"/>
        <v>0</v>
      </c>
      <c r="J171" s="5">
        <f t="shared" si="41"/>
        <v>0</v>
      </c>
    </row>
    <row r="172" spans="1:10" x14ac:dyDescent="0.25">
      <c r="A172" s="4"/>
      <c r="B172" s="105" t="s">
        <v>50</v>
      </c>
      <c r="C172" s="105"/>
      <c r="D172" s="105"/>
      <c r="E172" s="105"/>
      <c r="F172" s="105"/>
      <c r="G172" s="105"/>
      <c r="H172" s="105"/>
      <c r="I172" s="105"/>
      <c r="J172" s="105"/>
    </row>
    <row r="173" spans="1:10" ht="13.8" x14ac:dyDescent="0.3">
      <c r="A173" s="106" t="s">
        <v>38</v>
      </c>
      <c r="B173" s="107"/>
      <c r="C173" s="4">
        <f>C174+C179</f>
        <v>27</v>
      </c>
      <c r="D173" s="4">
        <f>D174+D179</f>
        <v>23.5</v>
      </c>
      <c r="E173" s="4">
        <f>E174+E179</f>
        <v>14.9</v>
      </c>
      <c r="F173" s="4">
        <f>F174+F179</f>
        <v>15</v>
      </c>
      <c r="G173" s="5"/>
      <c r="H173" s="5"/>
      <c r="I173" s="5"/>
      <c r="J173" s="8">
        <f>J174+J179</f>
        <v>9906551.6588640027</v>
      </c>
    </row>
    <row r="174" spans="1:10" ht="14.4" x14ac:dyDescent="0.3">
      <c r="A174" s="108" t="s">
        <v>39</v>
      </c>
      <c r="B174" s="109"/>
      <c r="C174" s="4">
        <f>C175+C176</f>
        <v>4.25</v>
      </c>
      <c r="D174" s="4">
        <f>D175+D176</f>
        <v>4.25</v>
      </c>
      <c r="E174" s="4">
        <f>E175+E176</f>
        <v>4</v>
      </c>
      <c r="F174" s="4">
        <f>F175+F176</f>
        <v>4</v>
      </c>
      <c r="G174" s="5"/>
      <c r="H174" s="8">
        <f>H175+H176</f>
        <v>1682976.6</v>
      </c>
      <c r="I174" s="8">
        <f>I175+I176</f>
        <v>508258.93320000003</v>
      </c>
      <c r="J174" s="8">
        <f>J175+J176</f>
        <v>2191235.5332000004</v>
      </c>
    </row>
    <row r="175" spans="1:10" x14ac:dyDescent="0.25">
      <c r="A175" s="9">
        <v>2</v>
      </c>
      <c r="B175" s="10" t="s">
        <v>11</v>
      </c>
      <c r="C175" s="68">
        <v>3.25</v>
      </c>
      <c r="D175" s="68">
        <v>3.25</v>
      </c>
      <c r="E175" s="76">
        <v>3</v>
      </c>
      <c r="F175" s="76">
        <v>3</v>
      </c>
      <c r="G175" s="5">
        <f>'расчёт зарплаты'!K8</f>
        <v>34019.856</v>
      </c>
      <c r="H175" s="5">
        <f>E175*G175*12+((D175-E175)*G175/2*12)</f>
        <v>1275744.6000000001</v>
      </c>
      <c r="I175" s="5">
        <f>H175*30.2%</f>
        <v>385274.86920000002</v>
      </c>
      <c r="J175" s="5">
        <f>H175+I175</f>
        <v>1661019.4692000002</v>
      </c>
    </row>
    <row r="176" spans="1:10" ht="52.8" x14ac:dyDescent="0.25">
      <c r="A176" s="9">
        <v>3</v>
      </c>
      <c r="B176" s="10" t="s">
        <v>12</v>
      </c>
      <c r="C176" s="63">
        <v>1</v>
      </c>
      <c r="D176" s="63">
        <v>1</v>
      </c>
      <c r="E176" s="63">
        <v>1</v>
      </c>
      <c r="F176" s="63">
        <v>1</v>
      </c>
      <c r="G176" s="5">
        <f>'расчёт зарплаты'!K10</f>
        <v>33936</v>
      </c>
      <c r="H176" s="5">
        <f>E176*G176*12+((D176-E176)*G176/2*12)</f>
        <v>407232</v>
      </c>
      <c r="I176" s="5">
        <f>H176*30.2%</f>
        <v>122984.064</v>
      </c>
      <c r="J176" s="5">
        <f>H176+I176</f>
        <v>530216.06400000001</v>
      </c>
    </row>
    <row r="177" spans="1:10" ht="26.4" x14ac:dyDescent="0.25">
      <c r="A177" s="9">
        <v>4</v>
      </c>
      <c r="B177" s="10" t="s">
        <v>40</v>
      </c>
      <c r="C177" s="4"/>
      <c r="D177" s="4">
        <v>0</v>
      </c>
      <c r="E177" s="4">
        <v>0</v>
      </c>
      <c r="F177" s="4">
        <v>0</v>
      </c>
      <c r="G177" s="5"/>
      <c r="H177" s="5">
        <f>E177*G177*12+((D177-E177)*G177/2*12)</f>
        <v>0</v>
      </c>
      <c r="I177" s="5"/>
      <c r="J177" s="5"/>
    </row>
    <row r="178" spans="1:10" x14ac:dyDescent="0.25">
      <c r="A178" s="9">
        <v>5</v>
      </c>
      <c r="B178" s="10" t="s">
        <v>20</v>
      </c>
      <c r="C178" s="4"/>
      <c r="D178" s="4"/>
      <c r="E178" s="4"/>
      <c r="F178" s="4"/>
      <c r="G178" s="5"/>
      <c r="H178" s="5"/>
      <c r="I178" s="5"/>
      <c r="J178" s="5"/>
    </row>
    <row r="179" spans="1:10" ht="14.4" x14ac:dyDescent="0.3">
      <c r="A179" s="110" t="s">
        <v>41</v>
      </c>
      <c r="B179" s="110"/>
      <c r="C179" s="4">
        <f>C180+C187</f>
        <v>22.75</v>
      </c>
      <c r="D179" s="4">
        <f>D180+D187</f>
        <v>19.25</v>
      </c>
      <c r="E179" s="4">
        <f>E180+E187</f>
        <v>10.9</v>
      </c>
      <c r="F179" s="4">
        <f>F180+F187</f>
        <v>11</v>
      </c>
      <c r="G179" s="5"/>
      <c r="H179" s="8">
        <f>H180+H187</f>
        <v>5925742.0320000006</v>
      </c>
      <c r="I179" s="8">
        <f>I180+I187</f>
        <v>1789574.0936639998</v>
      </c>
      <c r="J179" s="8">
        <f>J180+J187</f>
        <v>7715316.1256640013</v>
      </c>
    </row>
    <row r="180" spans="1:10" ht="14.4" x14ac:dyDescent="0.3">
      <c r="A180" s="111" t="s">
        <v>42</v>
      </c>
      <c r="B180" s="111"/>
      <c r="C180" s="4">
        <f>C181+C182+C183+C184+C185+C186</f>
        <v>17.5</v>
      </c>
      <c r="D180" s="4">
        <f>D181+D182+D183+D184+D185+D186</f>
        <v>14</v>
      </c>
      <c r="E180" s="4">
        <f>E181+E182+E183+E184+E185+E186</f>
        <v>7.9</v>
      </c>
      <c r="F180" s="4">
        <f>F181+F182+F183+F184+F185+F186</f>
        <v>8</v>
      </c>
      <c r="G180" s="5"/>
      <c r="H180" s="5">
        <f>SUM(H181:H186)</f>
        <v>4146574.0320000006</v>
      </c>
      <c r="I180" s="5">
        <f>SUM(I181:I186)</f>
        <v>1252265.357664</v>
      </c>
      <c r="J180" s="5">
        <f>SUM(J181:J186)</f>
        <v>5398839.3896640008</v>
      </c>
    </row>
    <row r="181" spans="1:10" x14ac:dyDescent="0.25">
      <c r="A181" s="9">
        <v>1</v>
      </c>
      <c r="B181" s="10" t="s">
        <v>15</v>
      </c>
      <c r="C181" s="4"/>
      <c r="D181" s="4">
        <v>0</v>
      </c>
      <c r="E181" s="4">
        <v>0</v>
      </c>
      <c r="F181" s="4">
        <v>0</v>
      </c>
      <c r="G181" s="5"/>
      <c r="H181" s="5">
        <f>E181*G181*12+((D181-E181)*G181/2*12)</f>
        <v>0</v>
      </c>
      <c r="I181" s="5">
        <f t="shared" ref="I181:I186" si="43">H181*30.2%</f>
        <v>0</v>
      </c>
      <c r="J181" s="5">
        <f t="shared" ref="J181:J186" si="44">H181+I181</f>
        <v>0</v>
      </c>
    </row>
    <row r="182" spans="1:10" x14ac:dyDescent="0.25">
      <c r="A182" s="9">
        <v>2</v>
      </c>
      <c r="B182" s="10" t="s">
        <v>17</v>
      </c>
      <c r="C182" s="4"/>
      <c r="D182" s="4">
        <v>0</v>
      </c>
      <c r="E182" s="4">
        <v>0</v>
      </c>
      <c r="F182" s="4">
        <v>0</v>
      </c>
      <c r="G182" s="5"/>
      <c r="H182" s="5">
        <f>E182*G182*12+((D182-E182)*G182/2*12)</f>
        <v>0</v>
      </c>
      <c r="I182" s="5">
        <f t="shared" si="43"/>
        <v>0</v>
      </c>
      <c r="J182" s="5">
        <f t="shared" si="44"/>
        <v>0</v>
      </c>
    </row>
    <row r="183" spans="1:10" ht="39.6" x14ac:dyDescent="0.25">
      <c r="A183" s="9">
        <v>3</v>
      </c>
      <c r="B183" s="10" t="s">
        <v>18</v>
      </c>
      <c r="C183" s="63">
        <v>13.5</v>
      </c>
      <c r="D183" s="87">
        <f>11-1</f>
        <v>10</v>
      </c>
      <c r="E183" s="63">
        <v>5.9</v>
      </c>
      <c r="F183" s="63">
        <v>4</v>
      </c>
      <c r="G183" s="5">
        <f>'расчёт зарплаты'!K16</f>
        <v>31556.880000000001</v>
      </c>
      <c r="H183" s="5">
        <f>E183*G183*12+((D183-E183)*G183/2*12)</f>
        <v>3010526.3520000004</v>
      </c>
      <c r="I183" s="5">
        <f t="shared" si="43"/>
        <v>909178.95830400009</v>
      </c>
      <c r="J183" s="5">
        <f t="shared" si="44"/>
        <v>3919705.3103040005</v>
      </c>
    </row>
    <row r="184" spans="1:10" x14ac:dyDescent="0.25">
      <c r="A184" s="9">
        <v>4</v>
      </c>
      <c r="B184" s="10" t="s">
        <v>19</v>
      </c>
      <c r="C184" s="63">
        <v>2</v>
      </c>
      <c r="D184" s="63">
        <v>2</v>
      </c>
      <c r="E184" s="63">
        <v>0</v>
      </c>
      <c r="F184" s="63">
        <v>2</v>
      </c>
      <c r="G184" s="5">
        <f>'расчёт зарплаты'!K18</f>
        <v>31556.880000000001</v>
      </c>
      <c r="H184" s="5">
        <f>E184*G184*12+((D184-E184)*G184/2*12)</f>
        <v>378682.56</v>
      </c>
      <c r="I184" s="5">
        <f t="shared" si="43"/>
        <v>114362.13312</v>
      </c>
      <c r="J184" s="5">
        <f t="shared" si="44"/>
        <v>493044.69312000001</v>
      </c>
    </row>
    <row r="185" spans="1:10" x14ac:dyDescent="0.25">
      <c r="A185" s="9"/>
      <c r="B185" s="10"/>
      <c r="C185" s="4"/>
      <c r="D185" s="4"/>
      <c r="E185" s="4"/>
      <c r="F185" s="4"/>
      <c r="G185" s="5"/>
      <c r="H185" s="5">
        <f t="shared" ref="H185:H195" si="45">E185*G185*12+((D185-E185)*G185/2*12)</f>
        <v>0</v>
      </c>
      <c r="I185" s="5">
        <f t="shared" si="43"/>
        <v>0</v>
      </c>
      <c r="J185" s="5">
        <f t="shared" si="44"/>
        <v>0</v>
      </c>
    </row>
    <row r="186" spans="1:10" x14ac:dyDescent="0.25">
      <c r="A186" s="9">
        <v>6</v>
      </c>
      <c r="B186" s="10" t="s">
        <v>21</v>
      </c>
      <c r="C186" s="63">
        <v>2</v>
      </c>
      <c r="D186" s="63">
        <v>2</v>
      </c>
      <c r="E186" s="63">
        <v>2</v>
      </c>
      <c r="F186" s="63">
        <v>2</v>
      </c>
      <c r="G186" s="5">
        <f>'расчёт зарплаты'!K22</f>
        <v>31556.880000000001</v>
      </c>
      <c r="H186" s="5">
        <f t="shared" si="45"/>
        <v>757365.12</v>
      </c>
      <c r="I186" s="5">
        <f t="shared" si="43"/>
        <v>228724.26624</v>
      </c>
      <c r="J186" s="5">
        <f t="shared" si="44"/>
        <v>986089.38624000002</v>
      </c>
    </row>
    <row r="187" spans="1:10" ht="14.4" x14ac:dyDescent="0.3">
      <c r="A187" s="111" t="s">
        <v>43</v>
      </c>
      <c r="B187" s="111"/>
      <c r="C187" s="4">
        <f>C188+C189+C190+C191+C192+C193+C194+C195</f>
        <v>5.25</v>
      </c>
      <c r="D187" s="4">
        <f t="shared" ref="D187:F187" si="46">D188+D189+D190+D191+D192+D193+D194+D195</f>
        <v>5.25</v>
      </c>
      <c r="E187" s="4">
        <f t="shared" si="46"/>
        <v>3</v>
      </c>
      <c r="F187" s="4">
        <f t="shared" si="46"/>
        <v>3</v>
      </c>
      <c r="G187" s="5"/>
      <c r="H187" s="5">
        <f>SUM(H188:H195)</f>
        <v>1779168</v>
      </c>
      <c r="I187" s="5">
        <f>SUM(I188:I195)</f>
        <v>537308.73599999992</v>
      </c>
      <c r="J187" s="5">
        <f>SUM(J188:J195)</f>
        <v>2316476.736</v>
      </c>
    </row>
    <row r="188" spans="1:10" ht="26.4" x14ac:dyDescent="0.25">
      <c r="A188" s="9">
        <v>1</v>
      </c>
      <c r="B188" s="10" t="s">
        <v>22</v>
      </c>
      <c r="C188" s="63">
        <v>1</v>
      </c>
      <c r="D188" s="63">
        <v>1</v>
      </c>
      <c r="E188" s="63">
        <v>1</v>
      </c>
      <c r="F188" s="63">
        <v>1</v>
      </c>
      <c r="G188" s="5">
        <f>'расчёт зарплаты'!K24</f>
        <v>39984</v>
      </c>
      <c r="H188" s="5">
        <f t="shared" si="45"/>
        <v>479808</v>
      </c>
      <c r="I188" s="5">
        <f t="shared" ref="I188:I195" si="47">H188*30.2%</f>
        <v>144902.016</v>
      </c>
      <c r="J188" s="5">
        <f t="shared" ref="J188:J195" si="48">H188+I188</f>
        <v>624710.01600000006</v>
      </c>
    </row>
    <row r="189" spans="1:10" x14ac:dyDescent="0.25">
      <c r="A189" s="9">
        <v>2</v>
      </c>
      <c r="B189" s="10" t="s">
        <v>23</v>
      </c>
      <c r="C189" s="4"/>
      <c r="D189" s="4">
        <v>0</v>
      </c>
      <c r="E189" s="4">
        <v>0</v>
      </c>
      <c r="F189" s="4">
        <v>0</v>
      </c>
      <c r="G189" s="5"/>
      <c r="H189" s="5">
        <f t="shared" si="45"/>
        <v>0</v>
      </c>
      <c r="I189" s="5">
        <f t="shared" si="47"/>
        <v>0</v>
      </c>
      <c r="J189" s="5">
        <f t="shared" si="48"/>
        <v>0</v>
      </c>
    </row>
    <row r="190" spans="1:10" ht="26.4" x14ac:dyDescent="0.25">
      <c r="A190" s="9">
        <v>3</v>
      </c>
      <c r="B190" s="10" t="s">
        <v>24</v>
      </c>
      <c r="C190" s="63">
        <v>1</v>
      </c>
      <c r="D190" s="63">
        <v>1</v>
      </c>
      <c r="E190" s="63">
        <v>1</v>
      </c>
      <c r="F190" s="63">
        <v>1</v>
      </c>
      <c r="G190" s="5">
        <f>'расчёт зарплаты'!K28</f>
        <v>36256</v>
      </c>
      <c r="H190" s="5">
        <f t="shared" si="45"/>
        <v>435072</v>
      </c>
      <c r="I190" s="5">
        <f t="shared" si="47"/>
        <v>131391.74400000001</v>
      </c>
      <c r="J190" s="5">
        <f t="shared" si="48"/>
        <v>566463.74399999995</v>
      </c>
    </row>
    <row r="191" spans="1:10" x14ac:dyDescent="0.25">
      <c r="A191" s="9">
        <v>4</v>
      </c>
      <c r="B191" s="10" t="s">
        <v>25</v>
      </c>
      <c r="C191" s="63">
        <v>1</v>
      </c>
      <c r="D191" s="63">
        <v>1</v>
      </c>
      <c r="E191" s="63">
        <v>0</v>
      </c>
      <c r="F191" s="63">
        <v>0</v>
      </c>
      <c r="G191" s="5">
        <f>'расчёт зарплаты'!K36</f>
        <v>32320</v>
      </c>
      <c r="H191" s="5">
        <f t="shared" si="45"/>
        <v>193920</v>
      </c>
      <c r="I191" s="5">
        <f t="shared" si="47"/>
        <v>58563.839999999997</v>
      </c>
      <c r="J191" s="5">
        <f t="shared" si="48"/>
        <v>252483.84</v>
      </c>
    </row>
    <row r="192" spans="1:10" x14ac:dyDescent="0.25">
      <c r="A192" s="9">
        <v>5</v>
      </c>
      <c r="B192" s="10" t="s">
        <v>26</v>
      </c>
      <c r="C192" s="63">
        <v>1</v>
      </c>
      <c r="D192" s="63">
        <v>1</v>
      </c>
      <c r="E192" s="63">
        <v>1</v>
      </c>
      <c r="F192" s="63">
        <v>1</v>
      </c>
      <c r="G192" s="5">
        <f>'расчёт зарплаты'!K34</f>
        <v>33936</v>
      </c>
      <c r="H192" s="5">
        <f t="shared" si="45"/>
        <v>407232</v>
      </c>
      <c r="I192" s="5">
        <f t="shared" si="47"/>
        <v>122984.064</v>
      </c>
      <c r="J192" s="5">
        <f t="shared" si="48"/>
        <v>530216.06400000001</v>
      </c>
    </row>
    <row r="193" spans="1:10" x14ac:dyDescent="0.25">
      <c r="A193" s="9">
        <v>6</v>
      </c>
      <c r="B193" s="10" t="s">
        <v>28</v>
      </c>
      <c r="C193" s="63">
        <v>0.75</v>
      </c>
      <c r="D193" s="63">
        <v>0.75</v>
      </c>
      <c r="E193" s="63">
        <v>0</v>
      </c>
      <c r="F193" s="63">
        <v>0</v>
      </c>
      <c r="G193" s="5">
        <f>'расчёт зарплаты'!K40</f>
        <v>33936</v>
      </c>
      <c r="H193" s="5">
        <f t="shared" si="45"/>
        <v>152712</v>
      </c>
      <c r="I193" s="5">
        <f t="shared" si="47"/>
        <v>46119.023999999998</v>
      </c>
      <c r="J193" s="5">
        <f t="shared" si="48"/>
        <v>198831.024</v>
      </c>
    </row>
    <row r="194" spans="1:10" ht="26.4" x14ac:dyDescent="0.25">
      <c r="A194" s="9"/>
      <c r="B194" s="10" t="s">
        <v>98</v>
      </c>
      <c r="C194" s="63">
        <v>0.5</v>
      </c>
      <c r="D194" s="63">
        <v>0.5</v>
      </c>
      <c r="E194" s="63">
        <v>0</v>
      </c>
      <c r="F194" s="63">
        <v>0</v>
      </c>
      <c r="G194" s="5">
        <f>'расчёт зарплаты'!K32</f>
        <v>36808</v>
      </c>
      <c r="H194" s="5">
        <f t="shared" si="45"/>
        <v>110424</v>
      </c>
      <c r="I194" s="5">
        <f t="shared" si="47"/>
        <v>33348.048000000003</v>
      </c>
      <c r="J194" s="5">
        <f t="shared" si="48"/>
        <v>143772.04800000001</v>
      </c>
    </row>
    <row r="195" spans="1:10" ht="26.4" x14ac:dyDescent="0.25">
      <c r="A195" s="9">
        <v>1</v>
      </c>
      <c r="B195" s="10" t="s">
        <v>9</v>
      </c>
      <c r="C195" s="4"/>
      <c r="D195" s="4">
        <v>0</v>
      </c>
      <c r="E195" s="4">
        <v>0</v>
      </c>
      <c r="F195" s="4">
        <v>0</v>
      </c>
      <c r="G195" s="5"/>
      <c r="H195" s="5">
        <f t="shared" si="45"/>
        <v>0</v>
      </c>
      <c r="I195" s="5">
        <f t="shared" si="47"/>
        <v>0</v>
      </c>
      <c r="J195" s="5">
        <f t="shared" si="48"/>
        <v>0</v>
      </c>
    </row>
    <row r="196" spans="1:10" x14ac:dyDescent="0.25">
      <c r="A196" s="4"/>
      <c r="B196" s="105" t="s">
        <v>51</v>
      </c>
      <c r="C196" s="105"/>
      <c r="D196" s="105"/>
      <c r="E196" s="105"/>
      <c r="F196" s="105"/>
      <c r="G196" s="105"/>
      <c r="H196" s="105"/>
      <c r="I196" s="105"/>
      <c r="J196" s="105"/>
    </row>
    <row r="197" spans="1:10" ht="13.8" x14ac:dyDescent="0.3">
      <c r="A197" s="106" t="s">
        <v>38</v>
      </c>
      <c r="B197" s="107"/>
      <c r="C197" s="4">
        <f>C198+C203</f>
        <v>20.5</v>
      </c>
      <c r="D197" s="4">
        <f>D198+D203</f>
        <v>19.75</v>
      </c>
      <c r="E197" s="4">
        <f>E198+E203</f>
        <v>17.5</v>
      </c>
      <c r="F197" s="4">
        <f>F198+F203</f>
        <v>15.5</v>
      </c>
      <c r="G197" s="5"/>
      <c r="H197" s="5"/>
      <c r="I197" s="5"/>
      <c r="J197" s="8">
        <f>J198+J203</f>
        <v>9453087.9011519998</v>
      </c>
    </row>
    <row r="198" spans="1:10" ht="14.4" x14ac:dyDescent="0.3">
      <c r="A198" s="108" t="s">
        <v>39</v>
      </c>
      <c r="B198" s="109"/>
      <c r="C198" s="4">
        <f>C199+C200</f>
        <v>4</v>
      </c>
      <c r="D198" s="4">
        <f>D199+D200</f>
        <v>4</v>
      </c>
      <c r="E198" s="4">
        <f>E199+E200</f>
        <v>4</v>
      </c>
      <c r="F198" s="4">
        <f>F199+F200</f>
        <v>3</v>
      </c>
      <c r="G198" s="5"/>
      <c r="H198" s="8">
        <f>H199+H200</f>
        <v>1631946.8160000001</v>
      </c>
      <c r="I198" s="8">
        <f>I199+I200</f>
        <v>492847.93843200005</v>
      </c>
      <c r="J198" s="8">
        <f>J199+J200</f>
        <v>2124794.7544320002</v>
      </c>
    </row>
    <row r="199" spans="1:10" x14ac:dyDescent="0.25">
      <c r="A199" s="9">
        <v>2</v>
      </c>
      <c r="B199" s="10" t="s">
        <v>11</v>
      </c>
      <c r="C199" s="68">
        <v>3</v>
      </c>
      <c r="D199" s="68">
        <v>3</v>
      </c>
      <c r="E199" s="68">
        <v>3</v>
      </c>
      <c r="F199" s="68">
        <v>3</v>
      </c>
      <c r="G199" s="5">
        <f>'расчёт зарплаты'!K8</f>
        <v>34019.856</v>
      </c>
      <c r="H199" s="5">
        <f>E199*G199*12+((D199-E199)*G199/2*12)</f>
        <v>1224714.8160000001</v>
      </c>
      <c r="I199" s="5">
        <f>H199*30.2%</f>
        <v>369863.87443200004</v>
      </c>
      <c r="J199" s="5">
        <f>H199+I199</f>
        <v>1594578.6904320002</v>
      </c>
    </row>
    <row r="200" spans="1:10" ht="52.8" x14ac:dyDescent="0.25">
      <c r="A200" s="9">
        <v>3</v>
      </c>
      <c r="B200" s="10" t="s">
        <v>12</v>
      </c>
      <c r="C200" s="63">
        <v>1</v>
      </c>
      <c r="D200" s="63">
        <v>1</v>
      </c>
      <c r="E200" s="63">
        <v>1</v>
      </c>
      <c r="F200" s="63">
        <v>0</v>
      </c>
      <c r="G200" s="5">
        <f>'расчёт зарплаты'!K10</f>
        <v>33936</v>
      </c>
      <c r="H200" s="5">
        <f>E200*G200*12+((D200-E200)*G200/2*12)</f>
        <v>407232</v>
      </c>
      <c r="I200" s="5">
        <f>H200*30.2%</f>
        <v>122984.064</v>
      </c>
      <c r="J200" s="5">
        <f>H200+I200</f>
        <v>530216.06400000001</v>
      </c>
    </row>
    <row r="201" spans="1:10" ht="26.4" x14ac:dyDescent="0.25">
      <c r="A201" s="9">
        <v>4</v>
      </c>
      <c r="B201" s="10" t="s">
        <v>40</v>
      </c>
      <c r="C201" s="4">
        <v>0</v>
      </c>
      <c r="D201" s="4">
        <v>0</v>
      </c>
      <c r="E201" s="4">
        <v>0</v>
      </c>
      <c r="F201" s="4">
        <v>0</v>
      </c>
      <c r="G201" s="5"/>
      <c r="H201" s="5">
        <f>E201*G201*12+((D201-E201)*G201/2*12)</f>
        <v>0</v>
      </c>
      <c r="I201" s="5"/>
      <c r="J201" s="5"/>
    </row>
    <row r="202" spans="1:10" x14ac:dyDescent="0.25">
      <c r="A202" s="9">
        <v>5</v>
      </c>
      <c r="B202" s="10" t="s">
        <v>20</v>
      </c>
      <c r="C202" s="4"/>
      <c r="D202" s="4"/>
      <c r="E202" s="4"/>
      <c r="F202" s="4"/>
      <c r="G202" s="5"/>
      <c r="H202" s="5"/>
      <c r="I202" s="5"/>
      <c r="J202" s="5"/>
    </row>
    <row r="203" spans="1:10" ht="14.4" x14ac:dyDescent="0.3">
      <c r="A203" s="110" t="s">
        <v>41</v>
      </c>
      <c r="B203" s="110"/>
      <c r="C203" s="4">
        <f>C204+C211</f>
        <v>16.5</v>
      </c>
      <c r="D203" s="4">
        <f>D204+D211</f>
        <v>15.75</v>
      </c>
      <c r="E203" s="4">
        <f>E204+E211</f>
        <v>13.5</v>
      </c>
      <c r="F203" s="4">
        <f>F204+F211</f>
        <v>12.5</v>
      </c>
      <c r="G203" s="5"/>
      <c r="H203" s="8">
        <f>H204+H211</f>
        <v>5628489.3599999994</v>
      </c>
      <c r="I203" s="8">
        <f>I204+I211</f>
        <v>1699803.7867199997</v>
      </c>
      <c r="J203" s="8">
        <f>J204+J211</f>
        <v>7328293.1467199996</v>
      </c>
    </row>
    <row r="204" spans="1:10" ht="14.4" x14ac:dyDescent="0.3">
      <c r="A204" s="111" t="s">
        <v>42</v>
      </c>
      <c r="B204" s="111"/>
      <c r="C204" s="4">
        <f>C205+C206+C207+C208+C209+C210</f>
        <v>13</v>
      </c>
      <c r="D204" s="4">
        <f>D205+D206+D207+D208+D209+D210</f>
        <v>13</v>
      </c>
      <c r="E204" s="4">
        <f>E205+E206+E207+E208+E209+E210</f>
        <v>11.5</v>
      </c>
      <c r="F204" s="4">
        <f>F205+F206+F207+F208+F209+F210</f>
        <v>9.5</v>
      </c>
      <c r="G204" s="5"/>
      <c r="H204" s="5">
        <f>SUM(H205:H210)</f>
        <v>4638861.3599999994</v>
      </c>
      <c r="I204" s="5">
        <f>SUM(I205:I210)</f>
        <v>1400936.1307199998</v>
      </c>
      <c r="J204" s="5">
        <f>SUM(J205:J210)</f>
        <v>6039797.4907200001</v>
      </c>
    </row>
    <row r="205" spans="1:10" x14ac:dyDescent="0.25">
      <c r="A205" s="9">
        <v>1</v>
      </c>
      <c r="B205" s="10" t="s">
        <v>15</v>
      </c>
      <c r="C205" s="4">
        <v>0</v>
      </c>
      <c r="D205" s="4">
        <v>0</v>
      </c>
      <c r="E205" s="4">
        <v>0</v>
      </c>
      <c r="F205" s="4">
        <v>0</v>
      </c>
      <c r="G205" s="5"/>
      <c r="H205" s="5">
        <f>E205*G205*12+((D205-E205)*G205/2*12)</f>
        <v>0</v>
      </c>
      <c r="I205" s="5">
        <f t="shared" ref="I205:I210" si="49">H205*30.2%</f>
        <v>0</v>
      </c>
      <c r="J205" s="5">
        <f t="shared" ref="J205:J210" si="50">H205+I205</f>
        <v>0</v>
      </c>
    </row>
    <row r="206" spans="1:10" x14ac:dyDescent="0.25">
      <c r="A206" s="9">
        <v>2</v>
      </c>
      <c r="B206" s="10" t="s">
        <v>17</v>
      </c>
      <c r="C206" s="63">
        <v>0</v>
      </c>
      <c r="D206" s="63">
        <v>0</v>
      </c>
      <c r="E206" s="63">
        <v>0</v>
      </c>
      <c r="F206" s="63">
        <v>0</v>
      </c>
      <c r="G206" s="5">
        <f>'расчёт зарплаты'!K14</f>
        <v>44704</v>
      </c>
      <c r="H206" s="5">
        <f>E206*G206*12+((D206-E206)*G206/2*12)</f>
        <v>0</v>
      </c>
      <c r="I206" s="5">
        <f t="shared" si="49"/>
        <v>0</v>
      </c>
      <c r="J206" s="5">
        <f t="shared" si="50"/>
        <v>0</v>
      </c>
    </row>
    <row r="207" spans="1:10" ht="39.6" x14ac:dyDescent="0.25">
      <c r="A207" s="9">
        <v>3</v>
      </c>
      <c r="B207" s="10" t="s">
        <v>18</v>
      </c>
      <c r="C207" s="63">
        <v>11</v>
      </c>
      <c r="D207" s="63">
        <v>11</v>
      </c>
      <c r="E207" s="63">
        <v>9.5</v>
      </c>
      <c r="F207" s="63">
        <v>7.5</v>
      </c>
      <c r="G207" s="5">
        <f>'расчёт зарплаты'!K16</f>
        <v>31556.880000000001</v>
      </c>
      <c r="H207" s="5">
        <f>E207*G207*12+((D207-E207)*G207/2*12)</f>
        <v>3881496.2399999998</v>
      </c>
      <c r="I207" s="5">
        <f t="shared" si="49"/>
        <v>1172211.86448</v>
      </c>
      <c r="J207" s="5">
        <f t="shared" si="50"/>
        <v>5053708.1044800002</v>
      </c>
    </row>
    <row r="208" spans="1:10" x14ac:dyDescent="0.25">
      <c r="A208" s="9">
        <v>4</v>
      </c>
      <c r="B208" s="10" t="s">
        <v>19</v>
      </c>
      <c r="C208" s="63">
        <v>1</v>
      </c>
      <c r="D208" s="63">
        <v>1</v>
      </c>
      <c r="E208" s="63">
        <v>1</v>
      </c>
      <c r="F208" s="63">
        <v>1</v>
      </c>
      <c r="G208" s="5">
        <f>'расчёт зарплаты'!K18</f>
        <v>31556.880000000001</v>
      </c>
      <c r="H208" s="5">
        <f>E208*G208*12+((D208-E208)*G208/2*12)</f>
        <v>378682.56</v>
      </c>
      <c r="I208" s="5">
        <f t="shared" si="49"/>
        <v>114362.13312</v>
      </c>
      <c r="J208" s="5">
        <f t="shared" si="50"/>
        <v>493044.69312000001</v>
      </c>
    </row>
    <row r="209" spans="1:10" x14ac:dyDescent="0.25">
      <c r="A209" s="9">
        <v>5</v>
      </c>
      <c r="B209" s="10"/>
      <c r="C209" s="4"/>
      <c r="D209" s="4"/>
      <c r="E209" s="4"/>
      <c r="F209" s="4"/>
      <c r="G209" s="5"/>
      <c r="H209" s="5">
        <f t="shared" ref="H209:H219" si="51">E209*G209*12+((D209-E209)*G209/2*12)</f>
        <v>0</v>
      </c>
      <c r="I209" s="5">
        <f t="shared" si="49"/>
        <v>0</v>
      </c>
      <c r="J209" s="5">
        <f t="shared" si="50"/>
        <v>0</v>
      </c>
    </row>
    <row r="210" spans="1:10" x14ac:dyDescent="0.25">
      <c r="A210" s="9">
        <v>6</v>
      </c>
      <c r="B210" s="10" t="s">
        <v>21</v>
      </c>
      <c r="C210" s="63">
        <v>1</v>
      </c>
      <c r="D210" s="63">
        <v>1</v>
      </c>
      <c r="E210" s="63">
        <v>1</v>
      </c>
      <c r="F210" s="63">
        <v>1</v>
      </c>
      <c r="G210" s="5">
        <f>'расчёт зарплаты'!K22</f>
        <v>31556.880000000001</v>
      </c>
      <c r="H210" s="5">
        <f t="shared" si="51"/>
        <v>378682.56</v>
      </c>
      <c r="I210" s="5">
        <f t="shared" si="49"/>
        <v>114362.13312</v>
      </c>
      <c r="J210" s="5">
        <f t="shared" si="50"/>
        <v>493044.69312000001</v>
      </c>
    </row>
    <row r="211" spans="1:10" ht="14.4" x14ac:dyDescent="0.3">
      <c r="A211" s="111" t="s">
        <v>43</v>
      </c>
      <c r="B211" s="111"/>
      <c r="C211" s="4">
        <f>C212+C213+C214+C215+C216+C217+C218+C219</f>
        <v>3.5</v>
      </c>
      <c r="D211" s="4">
        <f t="shared" ref="D211:F211" si="52">D212+D213+D214+D215+D216+D217+D218+D219</f>
        <v>2.75</v>
      </c>
      <c r="E211" s="4">
        <f t="shared" si="52"/>
        <v>2</v>
      </c>
      <c r="F211" s="4">
        <f t="shared" si="52"/>
        <v>3</v>
      </c>
      <c r="G211" s="5"/>
      <c r="H211" s="5">
        <f>SUM(H212:H219)</f>
        <v>989628</v>
      </c>
      <c r="I211" s="5">
        <f>SUM(I212:I219)</f>
        <v>298867.65599999996</v>
      </c>
      <c r="J211" s="5">
        <f>SUM(J212:J219)</f>
        <v>1288495.656</v>
      </c>
    </row>
    <row r="212" spans="1:10" ht="26.4" x14ac:dyDescent="0.25">
      <c r="A212" s="9">
        <v>1</v>
      </c>
      <c r="B212" s="10" t="s">
        <v>22</v>
      </c>
      <c r="C212" s="63">
        <v>1</v>
      </c>
      <c r="D212" s="63">
        <v>0.5</v>
      </c>
      <c r="E212" s="63">
        <v>0</v>
      </c>
      <c r="F212" s="63">
        <v>1</v>
      </c>
      <c r="G212" s="5">
        <f>'расчёт зарплаты'!K24</f>
        <v>39984</v>
      </c>
      <c r="H212" s="5">
        <f t="shared" si="51"/>
        <v>119952</v>
      </c>
      <c r="I212" s="5">
        <f t="shared" ref="I212:I219" si="53">H212*30.2%</f>
        <v>36225.504000000001</v>
      </c>
      <c r="J212" s="5">
        <f t="shared" ref="J212:J219" si="54">H212+I212</f>
        <v>156177.50400000002</v>
      </c>
    </row>
    <row r="213" spans="1:10" x14ac:dyDescent="0.25">
      <c r="A213" s="9">
        <v>2</v>
      </c>
      <c r="B213" s="10" t="s">
        <v>23</v>
      </c>
      <c r="C213" s="4">
        <v>0</v>
      </c>
      <c r="D213" s="4">
        <v>0</v>
      </c>
      <c r="E213" s="4">
        <v>0</v>
      </c>
      <c r="F213" s="4">
        <v>0</v>
      </c>
      <c r="G213" s="5"/>
      <c r="H213" s="5">
        <f t="shared" si="51"/>
        <v>0</v>
      </c>
      <c r="I213" s="5">
        <f t="shared" si="53"/>
        <v>0</v>
      </c>
      <c r="J213" s="5">
        <f t="shared" si="54"/>
        <v>0</v>
      </c>
    </row>
    <row r="214" spans="1:10" ht="26.4" x14ac:dyDescent="0.25">
      <c r="A214" s="9">
        <v>3</v>
      </c>
      <c r="B214" s="10" t="s">
        <v>24</v>
      </c>
      <c r="C214" s="4">
        <v>0</v>
      </c>
      <c r="D214" s="4">
        <v>0</v>
      </c>
      <c r="E214" s="4">
        <v>0</v>
      </c>
      <c r="F214" s="4">
        <v>0</v>
      </c>
      <c r="G214" s="5"/>
      <c r="H214" s="5">
        <f t="shared" si="51"/>
        <v>0</v>
      </c>
      <c r="I214" s="5">
        <f t="shared" si="53"/>
        <v>0</v>
      </c>
      <c r="J214" s="5">
        <f t="shared" si="54"/>
        <v>0</v>
      </c>
    </row>
    <row r="215" spans="1:10" x14ac:dyDescent="0.25">
      <c r="A215" s="9">
        <v>4</v>
      </c>
      <c r="B215" s="10" t="s">
        <v>25</v>
      </c>
      <c r="C215" s="63">
        <v>0.25</v>
      </c>
      <c r="D215" s="63">
        <v>0</v>
      </c>
      <c r="E215" s="63">
        <v>0</v>
      </c>
      <c r="F215" s="63">
        <v>0</v>
      </c>
      <c r="G215" s="5">
        <f>'расчёт зарплаты'!K36</f>
        <v>32320</v>
      </c>
      <c r="H215" s="5">
        <f t="shared" si="51"/>
        <v>0</v>
      </c>
      <c r="I215" s="5">
        <f t="shared" si="53"/>
        <v>0</v>
      </c>
      <c r="J215" s="5">
        <f t="shared" si="54"/>
        <v>0</v>
      </c>
    </row>
    <row r="216" spans="1:10" x14ac:dyDescent="0.25">
      <c r="A216" s="9">
        <v>5</v>
      </c>
      <c r="B216" s="10" t="s">
        <v>26</v>
      </c>
      <c r="C216" s="63">
        <v>1</v>
      </c>
      <c r="D216" s="63">
        <v>1</v>
      </c>
      <c r="E216" s="63">
        <v>1</v>
      </c>
      <c r="F216" s="63">
        <v>1</v>
      </c>
      <c r="G216" s="5">
        <f>'расчёт зарплаты'!K34</f>
        <v>33936</v>
      </c>
      <c r="H216" s="5">
        <f t="shared" si="51"/>
        <v>407232</v>
      </c>
      <c r="I216" s="5">
        <f t="shared" si="53"/>
        <v>122984.064</v>
      </c>
      <c r="J216" s="5">
        <f t="shared" si="54"/>
        <v>530216.06400000001</v>
      </c>
    </row>
    <row r="217" spans="1:10" x14ac:dyDescent="0.25">
      <c r="A217" s="9">
        <v>6</v>
      </c>
      <c r="B217" s="10" t="s">
        <v>28</v>
      </c>
      <c r="C217" s="63">
        <v>1</v>
      </c>
      <c r="D217" s="63">
        <v>1</v>
      </c>
      <c r="E217" s="63">
        <v>1</v>
      </c>
      <c r="F217" s="63">
        <v>1</v>
      </c>
      <c r="G217" s="5">
        <f>'расчёт зарплаты'!K40</f>
        <v>33936</v>
      </c>
      <c r="H217" s="5">
        <f t="shared" si="51"/>
        <v>407232</v>
      </c>
      <c r="I217" s="5">
        <f t="shared" si="53"/>
        <v>122984.064</v>
      </c>
      <c r="J217" s="5">
        <f t="shared" si="54"/>
        <v>530216.06400000001</v>
      </c>
    </row>
    <row r="218" spans="1:10" ht="26.4" x14ac:dyDescent="0.25">
      <c r="A218" s="9"/>
      <c r="B218" s="10" t="s">
        <v>98</v>
      </c>
      <c r="C218" s="63">
        <v>0.25</v>
      </c>
      <c r="D218" s="63">
        <v>0.25</v>
      </c>
      <c r="E218" s="63">
        <v>0</v>
      </c>
      <c r="F218" s="63">
        <v>0</v>
      </c>
      <c r="G218" s="5">
        <f>'расчёт зарплаты'!K32</f>
        <v>36808</v>
      </c>
      <c r="H218" s="5">
        <f t="shared" si="51"/>
        <v>55212</v>
      </c>
      <c r="I218" s="5">
        <f t="shared" si="53"/>
        <v>16674.024000000001</v>
      </c>
      <c r="J218" s="5">
        <f t="shared" si="54"/>
        <v>71886.024000000005</v>
      </c>
    </row>
    <row r="219" spans="1:10" ht="26.4" x14ac:dyDescent="0.25">
      <c r="A219" s="9">
        <v>1</v>
      </c>
      <c r="B219" s="10" t="s">
        <v>9</v>
      </c>
      <c r="C219" s="4">
        <v>0</v>
      </c>
      <c r="D219" s="4">
        <v>0</v>
      </c>
      <c r="E219" s="4">
        <v>0</v>
      </c>
      <c r="F219" s="4">
        <v>0</v>
      </c>
      <c r="G219" s="5"/>
      <c r="H219" s="5">
        <f t="shared" si="51"/>
        <v>0</v>
      </c>
      <c r="I219" s="5">
        <f t="shared" si="53"/>
        <v>0</v>
      </c>
      <c r="J219" s="5">
        <f t="shared" si="54"/>
        <v>0</v>
      </c>
    </row>
    <row r="220" spans="1:10" x14ac:dyDescent="0.25">
      <c r="A220" s="4"/>
      <c r="B220" s="105" t="s">
        <v>52</v>
      </c>
      <c r="C220" s="105"/>
      <c r="D220" s="105"/>
      <c r="E220" s="105"/>
      <c r="F220" s="105"/>
      <c r="G220" s="105"/>
      <c r="H220" s="105"/>
      <c r="I220" s="105"/>
      <c r="J220" s="105"/>
    </row>
    <row r="221" spans="1:10" ht="13.8" x14ac:dyDescent="0.3">
      <c r="A221" s="106" t="s">
        <v>38</v>
      </c>
      <c r="B221" s="107"/>
      <c r="C221" s="4">
        <f>C222+C227</f>
        <v>29.5</v>
      </c>
      <c r="D221" s="4">
        <f>D222+D227</f>
        <v>27.5</v>
      </c>
      <c r="E221" s="4">
        <f>E222+E227</f>
        <v>19.8</v>
      </c>
      <c r="F221" s="4">
        <f>F222+F227</f>
        <v>20</v>
      </c>
      <c r="G221" s="5"/>
      <c r="H221" s="5"/>
      <c r="I221" s="5"/>
      <c r="J221" s="8">
        <f>J222+J227</f>
        <v>12164086.636127999</v>
      </c>
    </row>
    <row r="222" spans="1:10" ht="14.4" x14ac:dyDescent="0.3">
      <c r="A222" s="108" t="s">
        <v>39</v>
      </c>
      <c r="B222" s="109"/>
      <c r="C222" s="4">
        <f>C223+C224</f>
        <v>5</v>
      </c>
      <c r="D222" s="4">
        <f>D223+D224</f>
        <v>5</v>
      </c>
      <c r="E222" s="4">
        <f>E223+E224</f>
        <v>3.5</v>
      </c>
      <c r="F222" s="4">
        <f>F223+F224</f>
        <v>4</v>
      </c>
      <c r="G222" s="5"/>
      <c r="H222" s="8">
        <f>H223+H224</f>
        <v>1530138.8160000001</v>
      </c>
      <c r="I222" s="8">
        <f>I223+I224</f>
        <v>462101.92243200005</v>
      </c>
      <c r="J222" s="8">
        <f>J223+J224</f>
        <v>1992240.7384320002</v>
      </c>
    </row>
    <row r="223" spans="1:10" x14ac:dyDescent="0.25">
      <c r="A223" s="9">
        <v>2</v>
      </c>
      <c r="B223" s="10" t="s">
        <v>11</v>
      </c>
      <c r="C223" s="68">
        <v>3</v>
      </c>
      <c r="D223" s="68">
        <v>3</v>
      </c>
      <c r="E223" s="68">
        <v>3</v>
      </c>
      <c r="F223" s="68">
        <v>3</v>
      </c>
      <c r="G223" s="5">
        <f>'расчёт зарплаты'!K8</f>
        <v>34019.856</v>
      </c>
      <c r="H223" s="5">
        <f>E223*G223*12+((D223-E223)*G223/2*12)</f>
        <v>1224714.8160000001</v>
      </c>
      <c r="I223" s="5">
        <f>H223*30.2%</f>
        <v>369863.87443200004</v>
      </c>
      <c r="J223" s="5">
        <f>H223+I223</f>
        <v>1594578.6904320002</v>
      </c>
    </row>
    <row r="224" spans="1:10" ht="52.8" x14ac:dyDescent="0.25">
      <c r="A224" s="9">
        <v>3</v>
      </c>
      <c r="B224" s="10" t="s">
        <v>12</v>
      </c>
      <c r="C224" s="63">
        <v>2</v>
      </c>
      <c r="D224" s="63">
        <v>2</v>
      </c>
      <c r="E224" s="63">
        <v>0.5</v>
      </c>
      <c r="F224" s="63">
        <v>1</v>
      </c>
      <c r="G224" s="5">
        <f>'расчёт зарплаты'!K10</f>
        <v>33936</v>
      </c>
      <c r="H224" s="78">
        <f>E224*G224*12+((D224-E224-1)*G224/2*12)</f>
        <v>305424</v>
      </c>
      <c r="I224" s="5">
        <f>H224*30.2%</f>
        <v>92238.047999999995</v>
      </c>
      <c r="J224" s="5">
        <f>H224+I224</f>
        <v>397662.04800000001</v>
      </c>
    </row>
    <row r="225" spans="1:10" ht="26.4" x14ac:dyDescent="0.25">
      <c r="A225" s="9">
        <v>4</v>
      </c>
      <c r="B225" s="10" t="s">
        <v>40</v>
      </c>
      <c r="C225" s="4"/>
      <c r="D225" s="4">
        <v>0</v>
      </c>
      <c r="E225" s="4">
        <v>0</v>
      </c>
      <c r="F225" s="4">
        <v>0</v>
      </c>
      <c r="G225" s="5"/>
      <c r="H225" s="5">
        <f>E225*G225*12+((D225-E225)*G225/2*12)</f>
        <v>0</v>
      </c>
      <c r="I225" s="5"/>
      <c r="J225" s="5"/>
    </row>
    <row r="226" spans="1:10" x14ac:dyDescent="0.25">
      <c r="A226" s="9">
        <v>5</v>
      </c>
      <c r="B226" s="10" t="s">
        <v>20</v>
      </c>
      <c r="C226" s="4"/>
      <c r="D226" s="4"/>
      <c r="E226" s="4"/>
      <c r="F226" s="4"/>
      <c r="G226" s="5"/>
      <c r="H226" s="5"/>
      <c r="I226" s="5"/>
      <c r="J226" s="5"/>
    </row>
    <row r="227" spans="1:10" ht="14.4" x14ac:dyDescent="0.3">
      <c r="A227" s="110" t="s">
        <v>41</v>
      </c>
      <c r="B227" s="110"/>
      <c r="C227" s="4">
        <f>C228+C235</f>
        <v>24.5</v>
      </c>
      <c r="D227" s="4">
        <f>D228+D235</f>
        <v>22.5</v>
      </c>
      <c r="E227" s="4">
        <f>E228+E235</f>
        <v>16.3</v>
      </c>
      <c r="F227" s="4">
        <f>F228+F235</f>
        <v>16</v>
      </c>
      <c r="G227" s="5"/>
      <c r="H227" s="8">
        <f>H228+H235</f>
        <v>7812477.648</v>
      </c>
      <c r="I227" s="8">
        <f>I228+I235</f>
        <v>2359368.249696</v>
      </c>
      <c r="J227" s="8">
        <f>J228+J235</f>
        <v>10171845.897696</v>
      </c>
    </row>
    <row r="228" spans="1:10" ht="14.4" x14ac:dyDescent="0.3">
      <c r="A228" s="111" t="s">
        <v>42</v>
      </c>
      <c r="B228" s="111"/>
      <c r="C228" s="4">
        <f>C229+C230+C231+C232+C233+C234</f>
        <v>18</v>
      </c>
      <c r="D228" s="4">
        <f>D229+D230+D231+D232+D233+D234</f>
        <v>16</v>
      </c>
      <c r="E228" s="4">
        <f>E229+E230+E231+E232+E233+E234</f>
        <v>13.1</v>
      </c>
      <c r="F228" s="4">
        <f>F229+F230+F231+F232+F233+F234</f>
        <v>13</v>
      </c>
      <c r="G228" s="5"/>
      <c r="H228" s="5">
        <f>SUM(H229:H234)</f>
        <v>5509831.2479999997</v>
      </c>
      <c r="I228" s="5">
        <f>SUM(I229:I234)</f>
        <v>1663969.0368959999</v>
      </c>
      <c r="J228" s="5">
        <f>SUM(J229:J234)</f>
        <v>7173800.2848960003</v>
      </c>
    </row>
    <row r="229" spans="1:10" x14ac:dyDescent="0.25">
      <c r="A229" s="9">
        <v>1</v>
      </c>
      <c r="B229" s="10" t="s">
        <v>15</v>
      </c>
      <c r="C229" s="4"/>
      <c r="D229" s="4">
        <v>0</v>
      </c>
      <c r="E229" s="4">
        <v>0</v>
      </c>
      <c r="F229" s="4">
        <v>0</v>
      </c>
      <c r="G229" s="5"/>
      <c r="H229" s="5">
        <f>E229*G229*12+((D229-E229)*G229/2*12)</f>
        <v>0</v>
      </c>
      <c r="I229" s="5">
        <f t="shared" ref="I229:I234" si="55">H229*30.2%</f>
        <v>0</v>
      </c>
      <c r="J229" s="5">
        <f t="shared" ref="J229:J234" si="56">H229+I229</f>
        <v>0</v>
      </c>
    </row>
    <row r="230" spans="1:10" x14ac:dyDescent="0.25">
      <c r="A230" s="9">
        <v>2</v>
      </c>
      <c r="B230" s="10" t="s">
        <v>17</v>
      </c>
      <c r="C230" s="4"/>
      <c r="D230" s="4">
        <v>0</v>
      </c>
      <c r="E230" s="4">
        <v>0</v>
      </c>
      <c r="F230" s="4">
        <v>0</v>
      </c>
      <c r="G230" s="5"/>
      <c r="H230" s="5">
        <f>E230*G230*12+((D230-E230)*G230/2*12)</f>
        <v>0</v>
      </c>
      <c r="I230" s="5">
        <f t="shared" si="55"/>
        <v>0</v>
      </c>
      <c r="J230" s="5">
        <f t="shared" si="56"/>
        <v>0</v>
      </c>
    </row>
    <row r="231" spans="1:10" ht="39.6" x14ac:dyDescent="0.25">
      <c r="A231" s="9">
        <v>3</v>
      </c>
      <c r="B231" s="10" t="s">
        <v>18</v>
      </c>
      <c r="C231" s="63">
        <v>15</v>
      </c>
      <c r="D231" s="87">
        <f>15-2</f>
        <v>13</v>
      </c>
      <c r="E231" s="63">
        <v>10.1</v>
      </c>
      <c r="F231" s="63">
        <v>10</v>
      </c>
      <c r="G231" s="5">
        <f>'расчёт зарплаты'!K16</f>
        <v>31556.880000000001</v>
      </c>
      <c r="H231" s="5">
        <f>E231*G231*12+((D231-E231)*G231/2*12)</f>
        <v>4373783.568</v>
      </c>
      <c r="I231" s="5">
        <f t="shared" si="55"/>
        <v>1320882.637536</v>
      </c>
      <c r="J231" s="5">
        <f t="shared" si="56"/>
        <v>5694666.2055360004</v>
      </c>
    </row>
    <row r="232" spans="1:10" x14ac:dyDescent="0.25">
      <c r="A232" s="9">
        <v>4</v>
      </c>
      <c r="B232" s="10" t="s">
        <v>19</v>
      </c>
      <c r="C232" s="63">
        <v>1</v>
      </c>
      <c r="D232" s="63">
        <v>1</v>
      </c>
      <c r="E232" s="63">
        <v>1</v>
      </c>
      <c r="F232" s="63">
        <v>1</v>
      </c>
      <c r="G232" s="5">
        <f>'расчёт зарплаты'!K18</f>
        <v>31556.880000000001</v>
      </c>
      <c r="H232" s="5">
        <f>E232*G232*12+((D232-E232)*G232/2*12)</f>
        <v>378682.56</v>
      </c>
      <c r="I232" s="5">
        <f t="shared" si="55"/>
        <v>114362.13312</v>
      </c>
      <c r="J232" s="5">
        <f t="shared" si="56"/>
        <v>493044.69312000001</v>
      </c>
    </row>
    <row r="233" spans="1:10" x14ac:dyDescent="0.25">
      <c r="A233" s="9">
        <v>5</v>
      </c>
      <c r="B233" s="10" t="s">
        <v>20</v>
      </c>
      <c r="C233" s="4"/>
      <c r="D233" s="4">
        <v>0</v>
      </c>
      <c r="E233" s="4">
        <v>0</v>
      </c>
      <c r="F233" s="4">
        <v>0</v>
      </c>
      <c r="G233" s="5"/>
      <c r="H233" s="5">
        <f t="shared" ref="H233:H244" si="57">E233*G233*12+((D233-E233)*G233/2*12)</f>
        <v>0</v>
      </c>
      <c r="I233" s="5">
        <f t="shared" si="55"/>
        <v>0</v>
      </c>
      <c r="J233" s="5">
        <f t="shared" si="56"/>
        <v>0</v>
      </c>
    </row>
    <row r="234" spans="1:10" x14ac:dyDescent="0.25">
      <c r="A234" s="9">
        <v>6</v>
      </c>
      <c r="B234" s="10" t="s">
        <v>21</v>
      </c>
      <c r="C234" s="63">
        <v>2</v>
      </c>
      <c r="D234" s="63">
        <v>2</v>
      </c>
      <c r="E234" s="63">
        <v>2</v>
      </c>
      <c r="F234" s="63">
        <v>2</v>
      </c>
      <c r="G234" s="5">
        <f>'расчёт зарплаты'!K22</f>
        <v>31556.880000000001</v>
      </c>
      <c r="H234" s="5">
        <f t="shared" si="57"/>
        <v>757365.12</v>
      </c>
      <c r="I234" s="5">
        <f t="shared" si="55"/>
        <v>228724.26624</v>
      </c>
      <c r="J234" s="5">
        <f t="shared" si="56"/>
        <v>986089.38624000002</v>
      </c>
    </row>
    <row r="235" spans="1:10" ht="14.4" x14ac:dyDescent="0.3">
      <c r="A235" s="111" t="s">
        <v>43</v>
      </c>
      <c r="B235" s="111"/>
      <c r="C235" s="4">
        <f>C236+C237+C238+C239+C240+C241+C242+C243+C244</f>
        <v>6.5</v>
      </c>
      <c r="D235" s="4">
        <f t="shared" ref="D235:F235" si="58">D236+D237+D238+D239+D240+D241+D242+D243+D244</f>
        <v>6.5</v>
      </c>
      <c r="E235" s="4">
        <f t="shared" si="58"/>
        <v>3.2</v>
      </c>
      <c r="F235" s="4">
        <f t="shared" si="58"/>
        <v>3</v>
      </c>
      <c r="G235" s="5"/>
      <c r="H235" s="5">
        <f>SUM(H236:H244)</f>
        <v>2302646.4000000004</v>
      </c>
      <c r="I235" s="5">
        <f>SUM(I236:I244)</f>
        <v>695399.21279999998</v>
      </c>
      <c r="J235" s="5">
        <f>SUM(J236:J244)</f>
        <v>2998045.6128000002</v>
      </c>
    </row>
    <row r="236" spans="1:10" ht="26.4" x14ac:dyDescent="0.25">
      <c r="A236" s="9">
        <v>1</v>
      </c>
      <c r="B236" s="10" t="s">
        <v>22</v>
      </c>
      <c r="C236" s="64">
        <v>1</v>
      </c>
      <c r="D236" s="64">
        <v>1</v>
      </c>
      <c r="E236" s="64">
        <v>1</v>
      </c>
      <c r="F236" s="64">
        <v>1</v>
      </c>
      <c r="G236" s="5">
        <f>'расчёт зарплаты'!K24</f>
        <v>39984</v>
      </c>
      <c r="H236" s="5">
        <f t="shared" si="57"/>
        <v>479808</v>
      </c>
      <c r="I236" s="5">
        <f t="shared" ref="I236:I244" si="59">H236*30.2%</f>
        <v>144902.016</v>
      </c>
      <c r="J236" s="5">
        <f t="shared" ref="J236:J244" si="60">H236+I236</f>
        <v>624710.01600000006</v>
      </c>
    </row>
    <row r="237" spans="1:10" x14ac:dyDescent="0.25">
      <c r="A237" s="9">
        <v>2</v>
      </c>
      <c r="B237" s="10" t="s">
        <v>23</v>
      </c>
      <c r="C237" s="4"/>
      <c r="D237" s="4">
        <v>0</v>
      </c>
      <c r="E237" s="4">
        <v>0</v>
      </c>
      <c r="F237" s="4">
        <v>0</v>
      </c>
      <c r="G237" s="5"/>
      <c r="H237" s="5">
        <f t="shared" si="57"/>
        <v>0</v>
      </c>
      <c r="I237" s="5">
        <f t="shared" si="59"/>
        <v>0</v>
      </c>
      <c r="J237" s="5">
        <f t="shared" si="60"/>
        <v>0</v>
      </c>
    </row>
    <row r="238" spans="1:10" ht="26.4" x14ac:dyDescent="0.25">
      <c r="A238" s="9">
        <v>3</v>
      </c>
      <c r="B238" s="10" t="s">
        <v>24</v>
      </c>
      <c r="C238" s="4"/>
      <c r="D238" s="4">
        <v>0</v>
      </c>
      <c r="E238" s="4">
        <v>0</v>
      </c>
      <c r="F238" s="4">
        <v>0</v>
      </c>
      <c r="G238" s="5"/>
      <c r="H238" s="5">
        <f t="shared" si="57"/>
        <v>0</v>
      </c>
      <c r="I238" s="5">
        <f t="shared" si="59"/>
        <v>0</v>
      </c>
      <c r="J238" s="5">
        <f t="shared" si="60"/>
        <v>0</v>
      </c>
    </row>
    <row r="239" spans="1:10" x14ac:dyDescent="0.25">
      <c r="A239" s="9">
        <v>4</v>
      </c>
      <c r="B239" s="10" t="s">
        <v>25</v>
      </c>
      <c r="C239" s="63">
        <v>1</v>
      </c>
      <c r="D239" s="63">
        <v>1</v>
      </c>
      <c r="E239" s="63">
        <v>0</v>
      </c>
      <c r="F239" s="63">
        <v>0</v>
      </c>
      <c r="G239" s="5">
        <f>'расчёт зарплаты'!K36</f>
        <v>32320</v>
      </c>
      <c r="H239" s="5">
        <f t="shared" si="57"/>
        <v>193920</v>
      </c>
      <c r="I239" s="5">
        <f t="shared" si="59"/>
        <v>58563.839999999997</v>
      </c>
      <c r="J239" s="5">
        <f t="shared" si="60"/>
        <v>252483.84</v>
      </c>
    </row>
    <row r="240" spans="1:10" x14ac:dyDescent="0.25">
      <c r="A240" s="9">
        <v>5</v>
      </c>
      <c r="B240" s="10" t="s">
        <v>26</v>
      </c>
      <c r="C240" s="63">
        <v>1</v>
      </c>
      <c r="D240" s="63">
        <v>1</v>
      </c>
      <c r="E240" s="63">
        <v>0</v>
      </c>
      <c r="F240" s="63">
        <v>0</v>
      </c>
      <c r="G240" s="5">
        <f>'расчёт зарплаты'!K34</f>
        <v>33936</v>
      </c>
      <c r="H240" s="5">
        <f t="shared" si="57"/>
        <v>203616</v>
      </c>
      <c r="I240" s="5">
        <f t="shared" si="59"/>
        <v>61492.031999999999</v>
      </c>
      <c r="J240" s="5">
        <f t="shared" si="60"/>
        <v>265108.03200000001</v>
      </c>
    </row>
    <row r="241" spans="1:10" x14ac:dyDescent="0.25">
      <c r="A241" s="9">
        <v>6</v>
      </c>
      <c r="B241" s="10" t="s">
        <v>28</v>
      </c>
      <c r="C241" s="63">
        <v>1</v>
      </c>
      <c r="D241" s="63">
        <v>1</v>
      </c>
      <c r="E241" s="63">
        <v>1</v>
      </c>
      <c r="F241" s="63">
        <v>1</v>
      </c>
      <c r="G241" s="5">
        <f>'расчёт зарплаты'!K40</f>
        <v>33936</v>
      </c>
      <c r="H241" s="5">
        <f t="shared" si="57"/>
        <v>407232</v>
      </c>
      <c r="I241" s="5">
        <f t="shared" si="59"/>
        <v>122984.064</v>
      </c>
      <c r="J241" s="5">
        <f t="shared" si="60"/>
        <v>530216.06400000001</v>
      </c>
    </row>
    <row r="242" spans="1:10" ht="26.4" x14ac:dyDescent="0.25">
      <c r="A242" s="9"/>
      <c r="B242" s="10" t="s">
        <v>98</v>
      </c>
      <c r="C242" s="63">
        <v>0.5</v>
      </c>
      <c r="D242" s="63">
        <v>0.5</v>
      </c>
      <c r="E242" s="63">
        <v>0.1</v>
      </c>
      <c r="F242" s="63">
        <v>0</v>
      </c>
      <c r="G242" s="5">
        <f>'расчёт зарплаты'!K32</f>
        <v>36808</v>
      </c>
      <c r="H242" s="5">
        <f t="shared" si="57"/>
        <v>132508.80000000002</v>
      </c>
      <c r="I242" s="5">
        <f t="shared" si="59"/>
        <v>40017.657600000006</v>
      </c>
      <c r="J242" s="5">
        <f t="shared" si="60"/>
        <v>172526.45760000002</v>
      </c>
    </row>
    <row r="243" spans="1:10" ht="39.6" x14ac:dyDescent="0.25">
      <c r="A243" s="9"/>
      <c r="B243" s="10" t="s">
        <v>101</v>
      </c>
      <c r="C243" s="63">
        <v>1</v>
      </c>
      <c r="D243" s="63">
        <v>1</v>
      </c>
      <c r="E243" s="63">
        <v>0.1</v>
      </c>
      <c r="F243" s="64">
        <v>0</v>
      </c>
      <c r="G243" s="5">
        <f>'расчёт зарплаты'!K44</f>
        <v>50336</v>
      </c>
      <c r="H243" s="5">
        <f t="shared" si="57"/>
        <v>332217.60000000003</v>
      </c>
      <c r="I243" s="5">
        <f t="shared" si="59"/>
        <v>100329.71520000001</v>
      </c>
      <c r="J243" s="5">
        <f t="shared" si="60"/>
        <v>432547.31520000007</v>
      </c>
    </row>
    <row r="244" spans="1:10" ht="26.4" x14ac:dyDescent="0.25">
      <c r="A244" s="9">
        <v>1</v>
      </c>
      <c r="B244" s="10" t="s">
        <v>9</v>
      </c>
      <c r="C244" s="63">
        <v>1</v>
      </c>
      <c r="D244" s="63">
        <v>1</v>
      </c>
      <c r="E244" s="63">
        <v>1</v>
      </c>
      <c r="F244" s="63">
        <v>1</v>
      </c>
      <c r="G244" s="5">
        <f>'расчёт зарплаты'!K6</f>
        <v>46112</v>
      </c>
      <c r="H244" s="5">
        <f t="shared" si="57"/>
        <v>553344</v>
      </c>
      <c r="I244" s="5">
        <f t="shared" si="59"/>
        <v>167109.88800000001</v>
      </c>
      <c r="J244" s="5">
        <f t="shared" si="60"/>
        <v>720453.88800000004</v>
      </c>
    </row>
    <row r="245" spans="1:10" x14ac:dyDescent="0.25">
      <c r="A245" s="4"/>
      <c r="B245" s="105" t="s">
        <v>53</v>
      </c>
      <c r="C245" s="105"/>
      <c r="D245" s="105"/>
      <c r="E245" s="105"/>
      <c r="F245" s="105"/>
      <c r="G245" s="105"/>
      <c r="H245" s="105"/>
      <c r="I245" s="105"/>
      <c r="J245" s="105"/>
    </row>
    <row r="246" spans="1:10" ht="13.8" x14ac:dyDescent="0.3">
      <c r="A246" s="106" t="s">
        <v>38</v>
      </c>
      <c r="B246" s="107"/>
      <c r="C246" s="4">
        <f>C247+C252</f>
        <v>25.75</v>
      </c>
      <c r="D246" s="4">
        <f>D247+D252</f>
        <v>23.75</v>
      </c>
      <c r="E246" s="4">
        <f>E247+E252</f>
        <v>14.8</v>
      </c>
      <c r="F246" s="4">
        <f>F247+F252</f>
        <v>16</v>
      </c>
      <c r="G246" s="5"/>
      <c r="H246" s="5"/>
      <c r="I246" s="5"/>
      <c r="J246" s="8">
        <f>J247+J252</f>
        <v>9733987.9223999996</v>
      </c>
    </row>
    <row r="247" spans="1:10" ht="14.4" x14ac:dyDescent="0.3">
      <c r="A247" s="108" t="s">
        <v>39</v>
      </c>
      <c r="B247" s="109"/>
      <c r="C247" s="4">
        <f>C248+C249</f>
        <v>5</v>
      </c>
      <c r="D247" s="4">
        <f>D248+D249</f>
        <v>4</v>
      </c>
      <c r="E247" s="4">
        <f>E248+E249</f>
        <v>4</v>
      </c>
      <c r="F247" s="4">
        <f>F248+F249</f>
        <v>4</v>
      </c>
      <c r="G247" s="5"/>
      <c r="H247" s="8">
        <f>H248+H249+H251</f>
        <v>1821288.0960000001</v>
      </c>
      <c r="I247" s="8">
        <f>I248+I249</f>
        <v>492847.93843200005</v>
      </c>
      <c r="J247" s="8">
        <f>J248+J249</f>
        <v>2124794.7544320002</v>
      </c>
    </row>
    <row r="248" spans="1:10" x14ac:dyDescent="0.25">
      <c r="A248" s="9">
        <v>2</v>
      </c>
      <c r="B248" s="10" t="s">
        <v>11</v>
      </c>
      <c r="C248" s="68">
        <v>4</v>
      </c>
      <c r="D248" s="68">
        <v>3</v>
      </c>
      <c r="E248" s="68">
        <v>3</v>
      </c>
      <c r="F248" s="68">
        <v>3</v>
      </c>
      <c r="G248" s="5">
        <f>'расчёт зарплаты'!K8</f>
        <v>34019.856</v>
      </c>
      <c r="H248" s="5">
        <f>E248*G248*12+((D248-E248)*G248/2*12)</f>
        <v>1224714.8160000001</v>
      </c>
      <c r="I248" s="5">
        <f>H248*30.2%</f>
        <v>369863.87443200004</v>
      </c>
      <c r="J248" s="5">
        <f>H248+I248</f>
        <v>1594578.6904320002</v>
      </c>
    </row>
    <row r="249" spans="1:10" ht="52.8" x14ac:dyDescent="0.25">
      <c r="A249" s="9">
        <v>3</v>
      </c>
      <c r="B249" s="10" t="s">
        <v>12</v>
      </c>
      <c r="C249" s="63">
        <v>1</v>
      </c>
      <c r="D249" s="63">
        <v>1</v>
      </c>
      <c r="E249" s="63">
        <v>1</v>
      </c>
      <c r="F249" s="63">
        <v>1</v>
      </c>
      <c r="G249" s="5">
        <f>'расчёт зарплаты'!K10</f>
        <v>33936</v>
      </c>
      <c r="H249" s="5">
        <f>E249*G249*12+((D249-E249)*G249/2*12)</f>
        <v>407232</v>
      </c>
      <c r="I249" s="5">
        <f>H249*30.2%</f>
        <v>122984.064</v>
      </c>
      <c r="J249" s="5">
        <f>H249+I249</f>
        <v>530216.06400000001</v>
      </c>
    </row>
    <row r="250" spans="1:10" ht="26.4" x14ac:dyDescent="0.25">
      <c r="A250" s="9">
        <v>4</v>
      </c>
      <c r="B250" s="10" t="s">
        <v>40</v>
      </c>
      <c r="C250" s="4"/>
      <c r="D250" s="4">
        <v>0</v>
      </c>
      <c r="E250" s="4">
        <v>0</v>
      </c>
      <c r="F250" s="4">
        <v>0</v>
      </c>
      <c r="G250" s="5"/>
      <c r="H250" s="5">
        <f>E250*G250*12+((D250-E250)*G250/2*12)</f>
        <v>0</v>
      </c>
      <c r="I250" s="5"/>
      <c r="J250" s="5"/>
    </row>
    <row r="251" spans="1:10" x14ac:dyDescent="0.25">
      <c r="A251" s="9">
        <v>5</v>
      </c>
      <c r="B251" s="10" t="s">
        <v>20</v>
      </c>
      <c r="C251" s="4">
        <v>2</v>
      </c>
      <c r="D251" s="4">
        <v>1</v>
      </c>
      <c r="E251" s="4">
        <v>0</v>
      </c>
      <c r="F251" s="4">
        <v>0</v>
      </c>
      <c r="G251" s="5">
        <f>'расчёт зарплаты'!K20</f>
        <v>31556.880000000001</v>
      </c>
      <c r="H251" s="5">
        <f>E251*G251*12+((D251-E251)*G251/2*12)</f>
        <v>189341.28</v>
      </c>
      <c r="I251" s="5"/>
      <c r="J251" s="5"/>
    </row>
    <row r="252" spans="1:10" ht="14.4" x14ac:dyDescent="0.3">
      <c r="A252" s="110" t="s">
        <v>41</v>
      </c>
      <c r="B252" s="110"/>
      <c r="C252" s="4">
        <f>C253+C260</f>
        <v>20.75</v>
      </c>
      <c r="D252" s="4">
        <f>D253+D260</f>
        <v>19.75</v>
      </c>
      <c r="E252" s="4">
        <f>E253+E260</f>
        <v>10.8</v>
      </c>
      <c r="F252" s="4">
        <f>F253+F260</f>
        <v>12</v>
      </c>
      <c r="G252" s="5"/>
      <c r="H252" s="8">
        <f>H253+H260</f>
        <v>5844234.3840000005</v>
      </c>
      <c r="I252" s="8">
        <f>I253+I260</f>
        <v>1764958.783968</v>
      </c>
      <c r="J252" s="8">
        <f>J253+J260</f>
        <v>7609193.1679679994</v>
      </c>
    </row>
    <row r="253" spans="1:10" ht="14.4" x14ac:dyDescent="0.3">
      <c r="A253" s="111" t="s">
        <v>42</v>
      </c>
      <c r="B253" s="111"/>
      <c r="C253" s="4">
        <f>C254+C255+C256+C257+C258+C259</f>
        <v>16.5</v>
      </c>
      <c r="D253" s="4">
        <f>D254+D255+D256+D257+D258+D259</f>
        <v>15.5</v>
      </c>
      <c r="E253" s="4">
        <f>E254+E255+E256+E257+E258+E259</f>
        <v>9.8000000000000007</v>
      </c>
      <c r="F253" s="4">
        <f>F254+F255+F256+F257+F258+F259</f>
        <v>11</v>
      </c>
      <c r="G253" s="5"/>
      <c r="H253" s="5">
        <f>SUM(H254:H259)</f>
        <v>4790334.3840000005</v>
      </c>
      <c r="I253" s="5">
        <f>SUM(I254:I259)</f>
        <v>1446680.9839679999</v>
      </c>
      <c r="J253" s="5">
        <f>SUM(J254:J259)</f>
        <v>6237015.3679679995</v>
      </c>
    </row>
    <row r="254" spans="1:10" x14ac:dyDescent="0.25">
      <c r="A254" s="9">
        <v>1</v>
      </c>
      <c r="B254" s="10" t="s">
        <v>15</v>
      </c>
      <c r="C254" s="4"/>
      <c r="D254" s="4">
        <v>0</v>
      </c>
      <c r="E254" s="4">
        <v>0</v>
      </c>
      <c r="F254" s="4">
        <v>0</v>
      </c>
      <c r="G254" s="5"/>
      <c r="H254" s="5">
        <f>E254*G254*12+((D254-E254)*G254/2*12)</f>
        <v>0</v>
      </c>
      <c r="I254" s="5">
        <f t="shared" ref="I254:I259" si="61">H254*30.2%</f>
        <v>0</v>
      </c>
      <c r="J254" s="5">
        <f t="shared" ref="J254:J259" si="62">H254+I254</f>
        <v>0</v>
      </c>
    </row>
    <row r="255" spans="1:10" x14ac:dyDescent="0.25">
      <c r="A255" s="9">
        <v>2</v>
      </c>
      <c r="B255" s="10" t="s">
        <v>17</v>
      </c>
      <c r="C255" s="4"/>
      <c r="D255" s="4">
        <v>0</v>
      </c>
      <c r="E255" s="4">
        <v>0</v>
      </c>
      <c r="F255" s="4">
        <v>0</v>
      </c>
      <c r="G255" s="5"/>
      <c r="H255" s="5">
        <f>E255*G255*12+((D255-E255)*G255/2*12)</f>
        <v>0</v>
      </c>
      <c r="I255" s="5">
        <f t="shared" si="61"/>
        <v>0</v>
      </c>
      <c r="J255" s="5">
        <f t="shared" si="62"/>
        <v>0</v>
      </c>
    </row>
    <row r="256" spans="1:10" ht="39.6" x14ac:dyDescent="0.25">
      <c r="A256" s="9">
        <v>3</v>
      </c>
      <c r="B256" s="10" t="s">
        <v>18</v>
      </c>
      <c r="C256" s="63">
        <v>11.5</v>
      </c>
      <c r="D256" s="87">
        <f>11.5-1</f>
        <v>10.5</v>
      </c>
      <c r="E256" s="63">
        <v>5.9</v>
      </c>
      <c r="F256" s="63">
        <v>7</v>
      </c>
      <c r="G256" s="5">
        <f>'расчёт зарплаты'!K16</f>
        <v>31556.880000000001</v>
      </c>
      <c r="H256" s="5">
        <f>E256*G256*12+((D256-E256)*G256/2*12)</f>
        <v>3105196.9920000001</v>
      </c>
      <c r="I256" s="5">
        <f t="shared" si="61"/>
        <v>937769.49158399994</v>
      </c>
      <c r="J256" s="5">
        <f t="shared" si="62"/>
        <v>4042966.4835839998</v>
      </c>
    </row>
    <row r="257" spans="1:10" x14ac:dyDescent="0.25">
      <c r="A257" s="9">
        <v>4</v>
      </c>
      <c r="B257" s="10" t="s">
        <v>19</v>
      </c>
      <c r="C257" s="63">
        <v>2</v>
      </c>
      <c r="D257" s="63">
        <v>2</v>
      </c>
      <c r="E257" s="63">
        <v>2</v>
      </c>
      <c r="F257" s="63">
        <v>2</v>
      </c>
      <c r="G257" s="5">
        <f>'расчёт зарплаты'!K18</f>
        <v>31556.880000000001</v>
      </c>
      <c r="H257" s="5">
        <f>E257*G257*12+((D257-E257)*G257/2*12)</f>
        <v>757365.12</v>
      </c>
      <c r="I257" s="5">
        <f t="shared" si="61"/>
        <v>228724.26624</v>
      </c>
      <c r="J257" s="5">
        <f t="shared" si="62"/>
        <v>986089.38624000002</v>
      </c>
    </row>
    <row r="258" spans="1:10" s="83" customFormat="1" x14ac:dyDescent="0.25">
      <c r="A258" s="79">
        <v>5</v>
      </c>
      <c r="B258" s="80"/>
      <c r="C258" s="81"/>
      <c r="D258" s="81"/>
      <c r="E258" s="81"/>
      <c r="F258" s="81"/>
      <c r="G258" s="82"/>
      <c r="H258" s="82">
        <f t="shared" ref="H258:H268" si="63">E258*G258*12+((D258-E258)*G258/2*12)</f>
        <v>0</v>
      </c>
      <c r="I258" s="82">
        <f t="shared" si="61"/>
        <v>0</v>
      </c>
      <c r="J258" s="82">
        <f t="shared" si="62"/>
        <v>0</v>
      </c>
    </row>
    <row r="259" spans="1:10" x14ac:dyDescent="0.25">
      <c r="A259" s="9">
        <v>6</v>
      </c>
      <c r="B259" s="10" t="s">
        <v>21</v>
      </c>
      <c r="C259" s="63">
        <v>3</v>
      </c>
      <c r="D259" s="63">
        <v>3</v>
      </c>
      <c r="E259" s="63">
        <v>1.9</v>
      </c>
      <c r="F259" s="63">
        <v>2</v>
      </c>
      <c r="G259" s="5">
        <f>'расчёт зарплаты'!K22</f>
        <v>31556.880000000001</v>
      </c>
      <c r="H259" s="5">
        <f t="shared" si="63"/>
        <v>927772.27200000011</v>
      </c>
      <c r="I259" s="5">
        <f t="shared" si="61"/>
        <v>280187.22614400001</v>
      </c>
      <c r="J259" s="5">
        <f t="shared" si="62"/>
        <v>1207959.4981440001</v>
      </c>
    </row>
    <row r="260" spans="1:10" ht="14.4" x14ac:dyDescent="0.3">
      <c r="A260" s="111" t="s">
        <v>43</v>
      </c>
      <c r="B260" s="111"/>
      <c r="C260" s="4">
        <f>C261+C262+C263+C264+C265+C266+C267+C268</f>
        <v>4.25</v>
      </c>
      <c r="D260" s="4">
        <f t="shared" ref="D260:F260" si="64">D261+D262+D263+D264+D265+D266+D267+D268</f>
        <v>4.25</v>
      </c>
      <c r="E260" s="4">
        <f t="shared" si="64"/>
        <v>1</v>
      </c>
      <c r="F260" s="4">
        <f t="shared" si="64"/>
        <v>1</v>
      </c>
      <c r="G260" s="5"/>
      <c r="H260" s="5">
        <f>SUM(H261:H268)</f>
        <v>1053900</v>
      </c>
      <c r="I260" s="5">
        <f>SUM(I261:I268)</f>
        <v>318277.8</v>
      </c>
      <c r="J260" s="5">
        <f>SUM(J261:J268)</f>
        <v>1372177.8</v>
      </c>
    </row>
    <row r="261" spans="1:10" ht="26.4" x14ac:dyDescent="0.25">
      <c r="A261" s="9">
        <v>1</v>
      </c>
      <c r="B261" s="10" t="s">
        <v>22</v>
      </c>
      <c r="C261" s="4"/>
      <c r="D261" s="4">
        <v>0</v>
      </c>
      <c r="E261" s="4">
        <v>0</v>
      </c>
      <c r="F261" s="4">
        <v>0</v>
      </c>
      <c r="G261" s="5"/>
      <c r="H261" s="5">
        <f t="shared" si="63"/>
        <v>0</v>
      </c>
      <c r="I261" s="5">
        <f t="shared" ref="I261:I268" si="65">H261*30.2%</f>
        <v>0</v>
      </c>
      <c r="J261" s="5">
        <f t="shared" ref="J261:J268" si="66">H261+I261</f>
        <v>0</v>
      </c>
    </row>
    <row r="262" spans="1:10" x14ac:dyDescent="0.25">
      <c r="A262" s="9">
        <v>2</v>
      </c>
      <c r="B262" s="10" t="s">
        <v>23</v>
      </c>
      <c r="C262" s="4"/>
      <c r="D262" s="4">
        <v>0</v>
      </c>
      <c r="E262" s="4">
        <v>0</v>
      </c>
      <c r="F262" s="4">
        <v>0</v>
      </c>
      <c r="G262" s="5"/>
      <c r="H262" s="5">
        <f t="shared" si="63"/>
        <v>0</v>
      </c>
      <c r="I262" s="5">
        <f t="shared" si="65"/>
        <v>0</v>
      </c>
      <c r="J262" s="5">
        <f t="shared" si="66"/>
        <v>0</v>
      </c>
    </row>
    <row r="263" spans="1:10" ht="26.4" x14ac:dyDescent="0.25">
      <c r="A263" s="9">
        <v>3</v>
      </c>
      <c r="B263" s="10" t="s">
        <v>24</v>
      </c>
      <c r="C263" s="4"/>
      <c r="D263" s="4">
        <v>0</v>
      </c>
      <c r="E263" s="4">
        <v>0</v>
      </c>
      <c r="F263" s="4">
        <v>0</v>
      </c>
      <c r="G263" s="5"/>
      <c r="H263" s="5">
        <f t="shared" si="63"/>
        <v>0</v>
      </c>
      <c r="I263" s="5">
        <f t="shared" si="65"/>
        <v>0</v>
      </c>
      <c r="J263" s="5">
        <f t="shared" si="66"/>
        <v>0</v>
      </c>
    </row>
    <row r="264" spans="1:10" x14ac:dyDescent="0.25">
      <c r="A264" s="9">
        <v>4</v>
      </c>
      <c r="B264" s="10" t="s">
        <v>25</v>
      </c>
      <c r="C264" s="63">
        <v>2</v>
      </c>
      <c r="D264" s="63">
        <v>2</v>
      </c>
      <c r="E264" s="63">
        <v>0</v>
      </c>
      <c r="F264" s="63">
        <v>0</v>
      </c>
      <c r="G264" s="5">
        <f>'расчёт зарплаты'!K36</f>
        <v>32320</v>
      </c>
      <c r="H264" s="5">
        <f t="shared" si="63"/>
        <v>387840</v>
      </c>
      <c r="I264" s="5">
        <f t="shared" si="65"/>
        <v>117127.67999999999</v>
      </c>
      <c r="J264" s="5">
        <f t="shared" si="66"/>
        <v>504967.67999999999</v>
      </c>
    </row>
    <row r="265" spans="1:10" x14ac:dyDescent="0.25">
      <c r="A265" s="9">
        <v>5</v>
      </c>
      <c r="B265" s="10" t="s">
        <v>26</v>
      </c>
      <c r="C265" s="63">
        <v>1</v>
      </c>
      <c r="D265" s="63">
        <v>1</v>
      </c>
      <c r="E265" s="63">
        <v>0</v>
      </c>
      <c r="F265" s="63">
        <v>0</v>
      </c>
      <c r="G265" s="5">
        <f>'расчёт зарплаты'!K34</f>
        <v>33936</v>
      </c>
      <c r="H265" s="5">
        <f t="shared" si="63"/>
        <v>203616</v>
      </c>
      <c r="I265" s="5">
        <f t="shared" si="65"/>
        <v>61492.031999999999</v>
      </c>
      <c r="J265" s="5">
        <f t="shared" si="66"/>
        <v>265108.03200000001</v>
      </c>
    </row>
    <row r="266" spans="1:10" x14ac:dyDescent="0.25">
      <c r="A266" s="9">
        <v>6</v>
      </c>
      <c r="B266" s="10" t="s">
        <v>28</v>
      </c>
      <c r="C266" s="63">
        <v>1</v>
      </c>
      <c r="D266" s="63">
        <v>1</v>
      </c>
      <c r="E266" s="63">
        <v>1</v>
      </c>
      <c r="F266" s="63">
        <v>1</v>
      </c>
      <c r="G266" s="5">
        <f>'расчёт зарплаты'!K40</f>
        <v>33936</v>
      </c>
      <c r="H266" s="5">
        <f t="shared" si="63"/>
        <v>407232</v>
      </c>
      <c r="I266" s="5">
        <f t="shared" si="65"/>
        <v>122984.064</v>
      </c>
      <c r="J266" s="5">
        <f t="shared" si="66"/>
        <v>530216.06400000001</v>
      </c>
    </row>
    <row r="267" spans="1:10" ht="26.4" x14ac:dyDescent="0.25">
      <c r="A267" s="9"/>
      <c r="B267" s="10" t="s">
        <v>98</v>
      </c>
      <c r="C267" s="63">
        <v>0.25</v>
      </c>
      <c r="D267" s="63">
        <v>0.25</v>
      </c>
      <c r="E267" s="63">
        <v>0</v>
      </c>
      <c r="F267" s="63">
        <v>0</v>
      </c>
      <c r="G267" s="5">
        <f>'расчёт зарплаты'!K32</f>
        <v>36808</v>
      </c>
      <c r="H267" s="5">
        <f t="shared" si="63"/>
        <v>55212</v>
      </c>
      <c r="I267" s="5">
        <f t="shared" si="65"/>
        <v>16674.024000000001</v>
      </c>
      <c r="J267" s="5">
        <f t="shared" si="66"/>
        <v>71886.024000000005</v>
      </c>
    </row>
    <row r="268" spans="1:10" ht="26.4" x14ac:dyDescent="0.25">
      <c r="A268" s="9">
        <v>1</v>
      </c>
      <c r="B268" s="10" t="s">
        <v>9</v>
      </c>
      <c r="C268" s="4"/>
      <c r="D268" s="4">
        <v>0</v>
      </c>
      <c r="E268" s="4">
        <v>0</v>
      </c>
      <c r="F268" s="4">
        <v>0</v>
      </c>
      <c r="G268" s="5"/>
      <c r="H268" s="5">
        <f t="shared" si="63"/>
        <v>0</v>
      </c>
      <c r="I268" s="5">
        <f t="shared" si="65"/>
        <v>0</v>
      </c>
      <c r="J268" s="5">
        <f t="shared" si="66"/>
        <v>0</v>
      </c>
    </row>
    <row r="269" spans="1:10" x14ac:dyDescent="0.25">
      <c r="A269" s="4"/>
      <c r="B269" s="105" t="s">
        <v>102</v>
      </c>
      <c r="C269" s="105"/>
      <c r="D269" s="105"/>
      <c r="E269" s="105"/>
      <c r="F269" s="105"/>
      <c r="G269" s="105"/>
      <c r="H269" s="105"/>
      <c r="I269" s="105"/>
      <c r="J269" s="105"/>
    </row>
    <row r="270" spans="1:10" ht="13.8" x14ac:dyDescent="0.3">
      <c r="A270" s="106" t="s">
        <v>38</v>
      </c>
      <c r="B270" s="107"/>
      <c r="C270" s="4">
        <f>C271+C276</f>
        <v>28.25</v>
      </c>
      <c r="D270" s="4">
        <f>D271+D276</f>
        <v>27</v>
      </c>
      <c r="E270" s="4">
        <f>E271+E276</f>
        <v>21</v>
      </c>
      <c r="F270" s="4">
        <f>F271+F276</f>
        <v>21.5</v>
      </c>
      <c r="G270" s="5"/>
      <c r="H270" s="5"/>
      <c r="I270" s="5"/>
      <c r="J270" s="8">
        <f>J271+J276</f>
        <v>12298306.870483201</v>
      </c>
    </row>
    <row r="271" spans="1:10" ht="14.4" x14ac:dyDescent="0.3">
      <c r="A271" s="108" t="s">
        <v>39</v>
      </c>
      <c r="B271" s="109"/>
      <c r="C271" s="4">
        <f>C272+C273</f>
        <v>4</v>
      </c>
      <c r="D271" s="4">
        <f>D272+D273</f>
        <v>4</v>
      </c>
      <c r="E271" s="4">
        <f>E272+E273</f>
        <v>4.0999999999999996</v>
      </c>
      <c r="F271" s="4">
        <f>F272+F273</f>
        <v>4</v>
      </c>
      <c r="G271" s="5"/>
      <c r="H271" s="8">
        <f>H272+H273+H274</f>
        <v>1652358.7296</v>
      </c>
      <c r="I271" s="8">
        <f>I272+I273+I274</f>
        <v>499012.33633919997</v>
      </c>
      <c r="J271" s="8">
        <f>J272+J273+J274</f>
        <v>2151371.0659392001</v>
      </c>
    </row>
    <row r="272" spans="1:10" x14ac:dyDescent="0.25">
      <c r="A272" s="9">
        <v>2</v>
      </c>
      <c r="B272" s="10" t="s">
        <v>11</v>
      </c>
      <c r="C272" s="68">
        <v>3</v>
      </c>
      <c r="D272" s="68">
        <v>3</v>
      </c>
      <c r="E272" s="68">
        <v>3.1</v>
      </c>
      <c r="F272" s="68">
        <v>3</v>
      </c>
      <c r="G272" s="5">
        <f>'расчёт зарплаты'!K8</f>
        <v>34019.856</v>
      </c>
      <c r="H272" s="5">
        <f>E272*G272*12+((D272-E272)*G272/2*12)</f>
        <v>1245126.7296</v>
      </c>
      <c r="I272" s="5">
        <f>H272*30.2%</f>
        <v>376028.27233919996</v>
      </c>
      <c r="J272" s="5">
        <f>H272+I272</f>
        <v>1621155.0019391999</v>
      </c>
    </row>
    <row r="273" spans="1:10" ht="52.8" x14ac:dyDescent="0.25">
      <c r="A273" s="9">
        <v>3</v>
      </c>
      <c r="B273" s="10" t="s">
        <v>12</v>
      </c>
      <c r="C273" s="63">
        <v>1</v>
      </c>
      <c r="D273" s="63">
        <v>1</v>
      </c>
      <c r="E273" s="63">
        <v>1</v>
      </c>
      <c r="F273" s="63">
        <v>1</v>
      </c>
      <c r="G273" s="5">
        <f>'расчёт зарплаты'!K10</f>
        <v>33936</v>
      </c>
      <c r="H273" s="5">
        <f>E273*G273*12+((D273-E273)*G273/2*12)</f>
        <v>407232</v>
      </c>
      <c r="I273" s="5">
        <f>H273*30.2%</f>
        <v>122984.064</v>
      </c>
      <c r="J273" s="5">
        <f>H273+I273</f>
        <v>530216.06400000001</v>
      </c>
    </row>
    <row r="274" spans="1:10" ht="26.4" x14ac:dyDescent="0.25">
      <c r="A274" s="9">
        <v>4</v>
      </c>
      <c r="B274" s="10" t="s">
        <v>40</v>
      </c>
      <c r="C274" s="4"/>
      <c r="D274" s="4">
        <v>0</v>
      </c>
      <c r="E274" s="4">
        <v>0</v>
      </c>
      <c r="F274" s="4">
        <v>0</v>
      </c>
      <c r="G274" s="5"/>
      <c r="H274" s="5">
        <f>E274*G274*12+((D274-E274)*G274/2*12)</f>
        <v>0</v>
      </c>
      <c r="I274" s="5"/>
      <c r="J274" s="5"/>
    </row>
    <row r="275" spans="1:10" x14ac:dyDescent="0.25">
      <c r="A275" s="9">
        <v>5</v>
      </c>
      <c r="B275" s="10" t="s">
        <v>20</v>
      </c>
      <c r="C275" s="4"/>
      <c r="D275" s="4"/>
      <c r="E275" s="4"/>
      <c r="F275" s="4"/>
      <c r="G275" s="5"/>
      <c r="H275" s="5"/>
      <c r="I275" s="5"/>
      <c r="J275" s="5"/>
    </row>
    <row r="276" spans="1:10" ht="14.4" x14ac:dyDescent="0.3">
      <c r="A276" s="110" t="s">
        <v>41</v>
      </c>
      <c r="B276" s="110"/>
      <c r="C276" s="4">
        <f>C277+C284</f>
        <v>24.25</v>
      </c>
      <c r="D276" s="4">
        <f>D277+D284</f>
        <v>23</v>
      </c>
      <c r="E276" s="4">
        <f>E277+E284</f>
        <v>16.899999999999999</v>
      </c>
      <c r="F276" s="4">
        <f>F277+F284</f>
        <v>17.5</v>
      </c>
      <c r="G276" s="5"/>
      <c r="H276" s="8">
        <f>H277+H284</f>
        <v>7793345.472000001</v>
      </c>
      <c r="I276" s="8">
        <f>I277+I284</f>
        <v>2353590.3325440004</v>
      </c>
      <c r="J276" s="8">
        <f>J277+J284</f>
        <v>10146935.804544002</v>
      </c>
    </row>
    <row r="277" spans="1:10" ht="14.4" x14ac:dyDescent="0.3">
      <c r="A277" s="111" t="s">
        <v>42</v>
      </c>
      <c r="B277" s="111"/>
      <c r="C277" s="4">
        <f>C278+C279+C280+C281+C282+C283</f>
        <v>19</v>
      </c>
      <c r="D277" s="4">
        <f>D278+D279+D280+D281+D282+D283</f>
        <v>18.5</v>
      </c>
      <c r="E277" s="4">
        <f>E278+E279+E280+E281+E282+E283</f>
        <v>13.9</v>
      </c>
      <c r="F277" s="4">
        <f>F278+F279+F280+F281+F282+F283</f>
        <v>14.5</v>
      </c>
      <c r="G277" s="5"/>
      <c r="H277" s="5">
        <f>SUM(H278:H283)</f>
        <v>6134657.472000001</v>
      </c>
      <c r="I277" s="5">
        <f>SUM(I278:I283)</f>
        <v>1852666.5565440003</v>
      </c>
      <c r="J277" s="5">
        <f>SUM(J278:J283)</f>
        <v>7987324.0285440013</v>
      </c>
    </row>
    <row r="278" spans="1:10" x14ac:dyDescent="0.25">
      <c r="A278" s="9">
        <v>1</v>
      </c>
      <c r="B278" s="10" t="s">
        <v>15</v>
      </c>
      <c r="C278" s="4"/>
      <c r="D278" s="4">
        <v>0</v>
      </c>
      <c r="E278" s="4">
        <v>0</v>
      </c>
      <c r="F278" s="4">
        <v>0</v>
      </c>
      <c r="G278" s="5"/>
      <c r="H278" s="5">
        <f>E278*G278*12+((D278-E278)*G278/2*12)</f>
        <v>0</v>
      </c>
      <c r="I278" s="5">
        <f t="shared" ref="I278:I283" si="67">H278*30.2%</f>
        <v>0</v>
      </c>
      <c r="J278" s="5">
        <f t="shared" ref="J278:J283" si="68">H278+I278</f>
        <v>0</v>
      </c>
    </row>
    <row r="279" spans="1:10" x14ac:dyDescent="0.25">
      <c r="A279" s="9">
        <v>2</v>
      </c>
      <c r="B279" s="10" t="s">
        <v>17</v>
      </c>
      <c r="C279" s="4"/>
      <c r="D279" s="4">
        <v>0</v>
      </c>
      <c r="E279" s="4">
        <v>0</v>
      </c>
      <c r="F279" s="4">
        <v>0</v>
      </c>
      <c r="G279" s="5"/>
      <c r="H279" s="5">
        <f>E279*G279*12+((D279-E279)*G279/2*12)</f>
        <v>0</v>
      </c>
      <c r="I279" s="5">
        <f t="shared" si="67"/>
        <v>0</v>
      </c>
      <c r="J279" s="5">
        <f t="shared" si="68"/>
        <v>0</v>
      </c>
    </row>
    <row r="280" spans="1:10" ht="39.6" x14ac:dyDescent="0.25">
      <c r="A280" s="9">
        <v>3</v>
      </c>
      <c r="B280" s="10" t="s">
        <v>18</v>
      </c>
      <c r="C280" s="63">
        <v>15</v>
      </c>
      <c r="D280" s="63">
        <v>14.5</v>
      </c>
      <c r="E280" s="63">
        <v>9.9</v>
      </c>
      <c r="F280" s="63">
        <v>10.5</v>
      </c>
      <c r="G280" s="5">
        <f>'расчёт зарплаты'!K16</f>
        <v>31556.880000000001</v>
      </c>
      <c r="H280" s="5">
        <f>E280*G280*12+((D280-E280)*G280/2*12)</f>
        <v>4619927.2320000008</v>
      </c>
      <c r="I280" s="5">
        <f t="shared" si="67"/>
        <v>1395218.0240640002</v>
      </c>
      <c r="J280" s="5">
        <f t="shared" si="68"/>
        <v>6015145.2560640015</v>
      </c>
    </row>
    <row r="281" spans="1:10" x14ac:dyDescent="0.25">
      <c r="A281" s="9">
        <v>4</v>
      </c>
      <c r="B281" s="10" t="s">
        <v>19</v>
      </c>
      <c r="C281" s="63">
        <v>2</v>
      </c>
      <c r="D281" s="63">
        <v>2</v>
      </c>
      <c r="E281" s="63">
        <v>2</v>
      </c>
      <c r="F281" s="63">
        <v>2</v>
      </c>
      <c r="G281" s="5">
        <f>'расчёт зарплаты'!K18</f>
        <v>31556.880000000001</v>
      </c>
      <c r="H281" s="5">
        <f>E281*G281*12+((D281-E281)*G281/2*12)</f>
        <v>757365.12</v>
      </c>
      <c r="I281" s="5">
        <f t="shared" si="67"/>
        <v>228724.26624</v>
      </c>
      <c r="J281" s="5">
        <f t="shared" si="68"/>
        <v>986089.38624000002</v>
      </c>
    </row>
    <row r="282" spans="1:10" x14ac:dyDescent="0.25">
      <c r="A282" s="9">
        <v>5</v>
      </c>
      <c r="B282" s="10"/>
      <c r="C282" s="4"/>
      <c r="D282" s="4"/>
      <c r="E282" s="4"/>
      <c r="F282" s="4"/>
      <c r="G282" s="5"/>
      <c r="H282" s="5">
        <f t="shared" ref="H282:H292" si="69">E282*G282*12+((D282-E282)*G282/2*12)</f>
        <v>0</v>
      </c>
      <c r="I282" s="5">
        <f t="shared" si="67"/>
        <v>0</v>
      </c>
      <c r="J282" s="5">
        <f t="shared" si="68"/>
        <v>0</v>
      </c>
    </row>
    <row r="283" spans="1:10" x14ac:dyDescent="0.25">
      <c r="A283" s="9">
        <v>6</v>
      </c>
      <c r="B283" s="10" t="s">
        <v>21</v>
      </c>
      <c r="C283" s="63">
        <v>2</v>
      </c>
      <c r="D283" s="63">
        <v>2</v>
      </c>
      <c r="E283" s="63">
        <v>2</v>
      </c>
      <c r="F283" s="63">
        <v>2</v>
      </c>
      <c r="G283" s="5">
        <f>'расчёт зарплаты'!K22</f>
        <v>31556.880000000001</v>
      </c>
      <c r="H283" s="5">
        <f t="shared" si="69"/>
        <v>757365.12</v>
      </c>
      <c r="I283" s="5">
        <f t="shared" si="67"/>
        <v>228724.26624</v>
      </c>
      <c r="J283" s="5">
        <f t="shared" si="68"/>
        <v>986089.38624000002</v>
      </c>
    </row>
    <row r="284" spans="1:10" ht="14.4" x14ac:dyDescent="0.3">
      <c r="A284" s="111" t="s">
        <v>43</v>
      </c>
      <c r="B284" s="111"/>
      <c r="C284" s="4">
        <f>C285+C286+C287+C288+C289+C290+C291+C292</f>
        <v>5.25</v>
      </c>
      <c r="D284" s="4">
        <f t="shared" ref="D284:F284" si="70">D285+D286+D287+D288+D289+D290+D291+D292</f>
        <v>4.5</v>
      </c>
      <c r="E284" s="4">
        <f t="shared" si="70"/>
        <v>3</v>
      </c>
      <c r="F284" s="4">
        <f t="shared" si="70"/>
        <v>3</v>
      </c>
      <c r="G284" s="5"/>
      <c r="H284" s="5">
        <f>SUM(H285:H292)</f>
        <v>1658688</v>
      </c>
      <c r="I284" s="5">
        <f>SUM(I285:I292)</f>
        <v>500923.77599999995</v>
      </c>
      <c r="J284" s="5">
        <f>SUM(J285:J292)</f>
        <v>2159611.7760000001</v>
      </c>
    </row>
    <row r="285" spans="1:10" ht="26.4" x14ac:dyDescent="0.25">
      <c r="A285" s="9">
        <v>1</v>
      </c>
      <c r="B285" s="10" t="s">
        <v>22</v>
      </c>
      <c r="C285" s="4"/>
      <c r="D285" s="4">
        <v>0</v>
      </c>
      <c r="E285" s="4">
        <v>0</v>
      </c>
      <c r="F285" s="4">
        <v>0</v>
      </c>
      <c r="G285" s="5"/>
      <c r="H285" s="5">
        <f t="shared" si="69"/>
        <v>0</v>
      </c>
      <c r="I285" s="5">
        <f t="shared" ref="I285:I292" si="71">H285*30.2%</f>
        <v>0</v>
      </c>
      <c r="J285" s="5">
        <f t="shared" ref="J285:J292" si="72">H285+I285</f>
        <v>0</v>
      </c>
    </row>
    <row r="286" spans="1:10" x14ac:dyDescent="0.25">
      <c r="A286" s="9">
        <v>2</v>
      </c>
      <c r="B286" s="10" t="s">
        <v>23</v>
      </c>
      <c r="C286" s="4"/>
      <c r="D286" s="4">
        <v>0</v>
      </c>
      <c r="E286" s="4">
        <v>0</v>
      </c>
      <c r="F286" s="4">
        <v>0</v>
      </c>
      <c r="G286" s="5"/>
      <c r="H286" s="5">
        <f t="shared" si="69"/>
        <v>0</v>
      </c>
      <c r="I286" s="5">
        <f t="shared" si="71"/>
        <v>0</v>
      </c>
      <c r="J286" s="5">
        <f t="shared" si="72"/>
        <v>0</v>
      </c>
    </row>
    <row r="287" spans="1:10" ht="26.4" x14ac:dyDescent="0.25">
      <c r="A287" s="9">
        <v>3</v>
      </c>
      <c r="B287" s="10" t="s">
        <v>24</v>
      </c>
      <c r="C287" s="4"/>
      <c r="D287" s="4">
        <v>0</v>
      </c>
      <c r="E287" s="4">
        <v>0</v>
      </c>
      <c r="F287" s="4">
        <v>0</v>
      </c>
      <c r="G287" s="5"/>
      <c r="H287" s="5">
        <f t="shared" si="69"/>
        <v>0</v>
      </c>
      <c r="I287" s="5">
        <f t="shared" si="71"/>
        <v>0</v>
      </c>
      <c r="J287" s="5">
        <f t="shared" si="72"/>
        <v>0</v>
      </c>
    </row>
    <row r="288" spans="1:10" x14ac:dyDescent="0.25">
      <c r="A288" s="9">
        <v>4</v>
      </c>
      <c r="B288" s="10" t="s">
        <v>25</v>
      </c>
      <c r="C288" s="63">
        <v>1.5</v>
      </c>
      <c r="D288" s="63">
        <v>1.5</v>
      </c>
      <c r="E288" s="63">
        <v>0</v>
      </c>
      <c r="F288" s="63">
        <v>0</v>
      </c>
      <c r="G288" s="5">
        <f>'расчёт зарплаты'!K36</f>
        <v>32320</v>
      </c>
      <c r="H288" s="5">
        <f t="shared" si="69"/>
        <v>290880</v>
      </c>
      <c r="I288" s="5">
        <f t="shared" si="71"/>
        <v>87845.759999999995</v>
      </c>
      <c r="J288" s="5">
        <f t="shared" si="72"/>
        <v>378725.76</v>
      </c>
    </row>
    <row r="289" spans="1:10" x14ac:dyDescent="0.25">
      <c r="A289" s="9">
        <v>5</v>
      </c>
      <c r="B289" s="10" t="s">
        <v>26</v>
      </c>
      <c r="C289" s="4"/>
      <c r="D289" s="4">
        <v>0</v>
      </c>
      <c r="E289" s="4">
        <v>0</v>
      </c>
      <c r="F289" s="4">
        <v>0</v>
      </c>
      <c r="G289" s="5">
        <f>'расчёт зарплаты'!K34</f>
        <v>33936</v>
      </c>
      <c r="H289" s="5">
        <f t="shared" si="69"/>
        <v>0</v>
      </c>
      <c r="I289" s="5">
        <f t="shared" si="71"/>
        <v>0</v>
      </c>
      <c r="J289" s="5">
        <f t="shared" si="72"/>
        <v>0</v>
      </c>
    </row>
    <row r="290" spans="1:10" x14ac:dyDescent="0.25">
      <c r="A290" s="9">
        <v>6</v>
      </c>
      <c r="B290" s="10" t="s">
        <v>28</v>
      </c>
      <c r="C290" s="63">
        <v>2</v>
      </c>
      <c r="D290" s="63">
        <v>2</v>
      </c>
      <c r="E290" s="63">
        <v>2</v>
      </c>
      <c r="F290" s="63">
        <v>2</v>
      </c>
      <c r="G290" s="5">
        <f>'расчёт зарплаты'!K40</f>
        <v>33936</v>
      </c>
      <c r="H290" s="5">
        <f t="shared" si="69"/>
        <v>814464</v>
      </c>
      <c r="I290" s="5">
        <f t="shared" si="71"/>
        <v>245968.128</v>
      </c>
      <c r="J290" s="5">
        <f t="shared" si="72"/>
        <v>1060432.128</v>
      </c>
    </row>
    <row r="291" spans="1:10" ht="26.4" x14ac:dyDescent="0.25">
      <c r="A291" s="9"/>
      <c r="B291" s="10" t="s">
        <v>98</v>
      </c>
      <c r="C291" s="4">
        <v>0.75</v>
      </c>
      <c r="D291" s="4">
        <v>0</v>
      </c>
      <c r="E291" s="4">
        <v>0</v>
      </c>
      <c r="F291" s="4">
        <v>0</v>
      </c>
      <c r="G291" s="5">
        <f>'расчёт зарплаты'!K32</f>
        <v>36808</v>
      </c>
      <c r="H291" s="5">
        <f t="shared" si="69"/>
        <v>0</v>
      </c>
      <c r="I291" s="5">
        <f t="shared" si="71"/>
        <v>0</v>
      </c>
      <c r="J291" s="5">
        <f t="shared" si="72"/>
        <v>0</v>
      </c>
    </row>
    <row r="292" spans="1:10" ht="26.4" x14ac:dyDescent="0.25">
      <c r="A292" s="9">
        <v>1</v>
      </c>
      <c r="B292" s="10" t="s">
        <v>9</v>
      </c>
      <c r="C292" s="63">
        <v>1</v>
      </c>
      <c r="D292" s="63">
        <v>1</v>
      </c>
      <c r="E292" s="63">
        <v>1</v>
      </c>
      <c r="F292" s="63">
        <v>1</v>
      </c>
      <c r="G292" s="5">
        <f>'расчёт зарплаты'!K6</f>
        <v>46112</v>
      </c>
      <c r="H292" s="5">
        <f t="shared" si="69"/>
        <v>553344</v>
      </c>
      <c r="I292" s="5">
        <f t="shared" si="71"/>
        <v>167109.88800000001</v>
      </c>
      <c r="J292" s="5">
        <f t="shared" si="72"/>
        <v>720453.88800000004</v>
      </c>
    </row>
    <row r="293" spans="1:10" x14ac:dyDescent="0.25">
      <c r="A293" s="4"/>
      <c r="B293" s="105" t="s">
        <v>103</v>
      </c>
      <c r="C293" s="105"/>
      <c r="D293" s="105"/>
      <c r="E293" s="105"/>
      <c r="F293" s="105"/>
      <c r="G293" s="105"/>
      <c r="H293" s="105"/>
      <c r="I293" s="105"/>
      <c r="J293" s="105"/>
    </row>
    <row r="294" spans="1:10" ht="13.8" x14ac:dyDescent="0.3">
      <c r="A294" s="106" t="s">
        <v>38</v>
      </c>
      <c r="B294" s="107"/>
      <c r="C294" s="63">
        <f>C295+C300</f>
        <v>55.5</v>
      </c>
      <c r="D294" s="63">
        <f>D295+D300</f>
        <v>17</v>
      </c>
      <c r="E294" s="63">
        <f>E295+E300</f>
        <v>12</v>
      </c>
      <c r="F294" s="63">
        <f>F295+F300</f>
        <v>10</v>
      </c>
      <c r="G294" s="5"/>
      <c r="H294" s="5"/>
      <c r="I294" s="5"/>
      <c r="J294" s="8">
        <f>J295+J300</f>
        <v>7974187.2443519989</v>
      </c>
    </row>
    <row r="295" spans="1:10" ht="14.4" x14ac:dyDescent="0.3">
      <c r="A295" s="108" t="s">
        <v>39</v>
      </c>
      <c r="B295" s="109"/>
      <c r="C295" s="4">
        <f>C296+C297</f>
        <v>6</v>
      </c>
      <c r="D295" s="4">
        <f>D296+D297</f>
        <v>3</v>
      </c>
      <c r="E295" s="4">
        <f>E296+E297</f>
        <v>3</v>
      </c>
      <c r="F295" s="4">
        <f>F296+F297</f>
        <v>3</v>
      </c>
      <c r="G295" s="5"/>
      <c r="H295" s="8">
        <f>H296+H297+H298</f>
        <v>1224714.8160000001</v>
      </c>
      <c r="I295" s="8">
        <f t="shared" ref="I295:J295" si="73">I296+I297+I298</f>
        <v>369863.87443200004</v>
      </c>
      <c r="J295" s="8">
        <f t="shared" si="73"/>
        <v>1594578.6904320002</v>
      </c>
    </row>
    <row r="296" spans="1:10" x14ac:dyDescent="0.25">
      <c r="A296" s="9">
        <v>2</v>
      </c>
      <c r="B296" s="10" t="s">
        <v>11</v>
      </c>
      <c r="C296" s="63">
        <v>3</v>
      </c>
      <c r="D296" s="63">
        <v>3</v>
      </c>
      <c r="E296" s="63">
        <v>3</v>
      </c>
      <c r="F296" s="63">
        <v>3</v>
      </c>
      <c r="G296" s="5">
        <f>'расчёт зарплаты'!K8</f>
        <v>34019.856</v>
      </c>
      <c r="H296" s="5">
        <f>E296*G296*12+((D296-E296)*G296/2*12)</f>
        <v>1224714.8160000001</v>
      </c>
      <c r="I296" s="5">
        <f>H296*30.2%</f>
        <v>369863.87443200004</v>
      </c>
      <c r="J296" s="5">
        <f>H296+I296</f>
        <v>1594578.6904320002</v>
      </c>
    </row>
    <row r="297" spans="1:10" ht="52.8" x14ac:dyDescent="0.25">
      <c r="A297" s="9">
        <v>3</v>
      </c>
      <c r="B297" s="10" t="s">
        <v>12</v>
      </c>
      <c r="C297" s="68">
        <v>3</v>
      </c>
      <c r="D297" s="68">
        <v>0</v>
      </c>
      <c r="E297" s="68">
        <v>0</v>
      </c>
      <c r="F297" s="68">
        <v>0</v>
      </c>
      <c r="G297" s="5">
        <f>'расчёт зарплаты'!K10</f>
        <v>33936</v>
      </c>
      <c r="H297" s="5">
        <f>E297*G297*12+((D297-E297)*G297/2*12)</f>
        <v>0</v>
      </c>
      <c r="I297" s="5">
        <f>H297*30.2%</f>
        <v>0</v>
      </c>
      <c r="J297" s="5">
        <f>H297+I297</f>
        <v>0</v>
      </c>
    </row>
    <row r="298" spans="1:10" ht="26.4" x14ac:dyDescent="0.25">
      <c r="A298" s="9">
        <v>4</v>
      </c>
      <c r="B298" s="10" t="s">
        <v>40</v>
      </c>
      <c r="C298" s="4">
        <v>0</v>
      </c>
      <c r="D298" s="4">
        <v>0</v>
      </c>
      <c r="E298" s="4">
        <v>0</v>
      </c>
      <c r="F298" s="4">
        <v>0</v>
      </c>
      <c r="G298" s="5"/>
      <c r="H298" s="5">
        <f>E298*G298*12+((D298-E298)*G298/2*12)</f>
        <v>0</v>
      </c>
      <c r="I298" s="5"/>
      <c r="J298" s="5"/>
    </row>
    <row r="299" spans="1:10" x14ac:dyDescent="0.25">
      <c r="A299" s="9">
        <v>5</v>
      </c>
      <c r="B299" s="10" t="s">
        <v>20</v>
      </c>
      <c r="C299" s="4"/>
      <c r="D299" s="4"/>
      <c r="E299" s="4"/>
      <c r="F299" s="4"/>
      <c r="G299" s="5"/>
      <c r="H299" s="5"/>
      <c r="I299" s="5"/>
      <c r="J299" s="5"/>
    </row>
    <row r="300" spans="1:10" ht="14.4" x14ac:dyDescent="0.3">
      <c r="A300" s="110" t="s">
        <v>41</v>
      </c>
      <c r="B300" s="110"/>
      <c r="C300" s="4">
        <f>C301+C308</f>
        <v>49.5</v>
      </c>
      <c r="D300" s="4">
        <f>D301+D308</f>
        <v>14</v>
      </c>
      <c r="E300" s="4">
        <f>E301+E308</f>
        <v>9</v>
      </c>
      <c r="F300" s="4">
        <f>F301+F308</f>
        <v>7</v>
      </c>
      <c r="G300" s="5"/>
      <c r="H300" s="8">
        <f>H301+H308</f>
        <v>4899852.96</v>
      </c>
      <c r="I300" s="8">
        <f>I301+I308</f>
        <v>1479755.5939199999</v>
      </c>
      <c r="J300" s="8">
        <f>J301+J308</f>
        <v>6379608.5539199989</v>
      </c>
    </row>
    <row r="301" spans="1:10" ht="14.4" x14ac:dyDescent="0.3">
      <c r="A301" s="111" t="s">
        <v>42</v>
      </c>
      <c r="B301" s="111"/>
      <c r="C301" s="4">
        <f>C302+C303+C304+C305+C306+C307</f>
        <v>36.5</v>
      </c>
      <c r="D301" s="4">
        <f>D302+D303+D304+D305+D306+D307</f>
        <v>4</v>
      </c>
      <c r="E301" s="4">
        <f>E302+E303+E304+E305+E306+E307</f>
        <v>3</v>
      </c>
      <c r="F301" s="4">
        <f>F302+F303+F304+F305+F306+F307</f>
        <v>3</v>
      </c>
      <c r="G301" s="5"/>
      <c r="H301" s="5">
        <f>SUM(H302:H307)</f>
        <v>1325388.96</v>
      </c>
      <c r="I301" s="5">
        <f>SUM(I302:I307)</f>
        <v>400267.46591999999</v>
      </c>
      <c r="J301" s="5">
        <f>SUM(J302:J307)</f>
        <v>1725656.4259199998</v>
      </c>
    </row>
    <row r="302" spans="1:10" x14ac:dyDescent="0.25">
      <c r="A302" s="9">
        <v>1</v>
      </c>
      <c r="B302" s="10" t="s">
        <v>15</v>
      </c>
      <c r="C302" s="4">
        <v>0</v>
      </c>
      <c r="D302" s="4">
        <v>0</v>
      </c>
      <c r="E302" s="4">
        <v>0</v>
      </c>
      <c r="F302" s="4">
        <v>0</v>
      </c>
      <c r="G302" s="5"/>
      <c r="H302" s="5">
        <f>E302*G302*12+((D302-E302)*G302/2*12)</f>
        <v>0</v>
      </c>
      <c r="I302" s="5">
        <f t="shared" ref="I302:I307" si="74">H302*30.2%</f>
        <v>0</v>
      </c>
      <c r="J302" s="5">
        <f t="shared" ref="J302:J307" si="75">H302+I302</f>
        <v>0</v>
      </c>
    </row>
    <row r="303" spans="1:10" x14ac:dyDescent="0.25">
      <c r="A303" s="9">
        <v>2</v>
      </c>
      <c r="B303" s="10" t="s">
        <v>17</v>
      </c>
      <c r="C303" s="4">
        <v>0</v>
      </c>
      <c r="D303" s="4">
        <v>0</v>
      </c>
      <c r="E303" s="4">
        <v>0</v>
      </c>
      <c r="F303" s="4">
        <v>0</v>
      </c>
      <c r="G303" s="5"/>
      <c r="H303" s="5">
        <f>E303*G303*12+((D303-E303)*G303/2*12)</f>
        <v>0</v>
      </c>
      <c r="I303" s="5">
        <f t="shared" si="74"/>
        <v>0</v>
      </c>
      <c r="J303" s="5">
        <f t="shared" si="75"/>
        <v>0</v>
      </c>
    </row>
    <row r="304" spans="1:10" ht="39.6" x14ac:dyDescent="0.25">
      <c r="A304" s="9">
        <v>3</v>
      </c>
      <c r="B304" s="10" t="s">
        <v>18</v>
      </c>
      <c r="C304" s="63">
        <v>33.5</v>
      </c>
      <c r="D304" s="63">
        <v>3</v>
      </c>
      <c r="E304" s="63">
        <v>2</v>
      </c>
      <c r="F304" s="63">
        <v>2</v>
      </c>
      <c r="G304" s="5">
        <f>'расчёт зарплаты'!K16</f>
        <v>31556.880000000001</v>
      </c>
      <c r="H304" s="5">
        <f>E304*G304*12+((D304-E304)*G304/2*12)</f>
        <v>946706.4</v>
      </c>
      <c r="I304" s="5">
        <f t="shared" si="74"/>
        <v>285905.33279999997</v>
      </c>
      <c r="J304" s="5">
        <f t="shared" si="75"/>
        <v>1232611.7327999999</v>
      </c>
    </row>
    <row r="305" spans="1:10" x14ac:dyDescent="0.25">
      <c r="A305" s="9">
        <v>4</v>
      </c>
      <c r="B305" s="10" t="s">
        <v>19</v>
      </c>
      <c r="C305" s="63">
        <v>2</v>
      </c>
      <c r="D305" s="63">
        <v>1</v>
      </c>
      <c r="E305" s="63">
        <v>1</v>
      </c>
      <c r="F305" s="63">
        <v>1</v>
      </c>
      <c r="G305" s="5">
        <f>'расчёт зарплаты'!K18</f>
        <v>31556.880000000001</v>
      </c>
      <c r="H305" s="5">
        <f>E305*G305*12+((D305-E305)*G305/2*12)</f>
        <v>378682.56</v>
      </c>
      <c r="I305" s="5">
        <f t="shared" si="74"/>
        <v>114362.13312</v>
      </c>
      <c r="J305" s="5">
        <f t="shared" si="75"/>
        <v>493044.69312000001</v>
      </c>
    </row>
    <row r="306" spans="1:10" x14ac:dyDescent="0.25">
      <c r="A306" s="9">
        <v>5</v>
      </c>
      <c r="B306" s="10"/>
      <c r="C306" s="4"/>
      <c r="D306" s="4"/>
      <c r="E306" s="4"/>
      <c r="F306" s="4"/>
      <c r="G306" s="5"/>
      <c r="H306" s="5">
        <f t="shared" ref="H306:H307" si="76">E306*G306*12+((D306-E306)*G306/2*12)</f>
        <v>0</v>
      </c>
      <c r="I306" s="5">
        <f t="shared" si="74"/>
        <v>0</v>
      </c>
      <c r="J306" s="5">
        <f t="shared" si="75"/>
        <v>0</v>
      </c>
    </row>
    <row r="307" spans="1:10" x14ac:dyDescent="0.25">
      <c r="A307" s="9">
        <v>6</v>
      </c>
      <c r="B307" s="10" t="s">
        <v>21</v>
      </c>
      <c r="C307" s="63">
        <v>1</v>
      </c>
      <c r="D307" s="63">
        <v>0</v>
      </c>
      <c r="E307" s="63">
        <v>0</v>
      </c>
      <c r="F307" s="63">
        <v>0</v>
      </c>
      <c r="G307" s="5">
        <f>'расчёт зарплаты'!K22</f>
        <v>31556.880000000001</v>
      </c>
      <c r="H307" s="5">
        <f t="shared" si="76"/>
        <v>0</v>
      </c>
      <c r="I307" s="5">
        <f t="shared" si="74"/>
        <v>0</v>
      </c>
      <c r="J307" s="5">
        <f t="shared" si="75"/>
        <v>0</v>
      </c>
    </row>
    <row r="308" spans="1:10" ht="14.4" x14ac:dyDescent="0.3">
      <c r="A308" s="111" t="s">
        <v>43</v>
      </c>
      <c r="B308" s="111"/>
      <c r="C308" s="4">
        <f>C309+C310+C311+C312+C313+C314+C315+C316+C317</f>
        <v>13</v>
      </c>
      <c r="D308" s="4">
        <f t="shared" ref="D308:F308" si="77">D309+D310+D311+D312+D313+D314+D315+D316+D317</f>
        <v>10</v>
      </c>
      <c r="E308" s="4">
        <f t="shared" si="77"/>
        <v>6</v>
      </c>
      <c r="F308" s="4">
        <f t="shared" si="77"/>
        <v>4</v>
      </c>
      <c r="G308" s="5"/>
      <c r="H308" s="5">
        <f>SUM(H309:H317)</f>
        <v>3574464</v>
      </c>
      <c r="I308" s="5">
        <f>SUM(I309:I317)</f>
        <v>1079488.128</v>
      </c>
      <c r="J308" s="5">
        <f>SUM(J309:J317)</f>
        <v>4653952.1279999996</v>
      </c>
    </row>
    <row r="309" spans="1:10" ht="26.4" x14ac:dyDescent="0.25">
      <c r="A309" s="9">
        <v>1</v>
      </c>
      <c r="B309" s="10" t="s">
        <v>22</v>
      </c>
      <c r="C309" s="63">
        <v>3</v>
      </c>
      <c r="D309" s="63">
        <v>3</v>
      </c>
      <c r="E309" s="63">
        <v>2</v>
      </c>
      <c r="F309" s="63">
        <v>2</v>
      </c>
      <c r="G309" s="5">
        <f>'расчёт зарплаты'!K24</f>
        <v>39984</v>
      </c>
      <c r="H309" s="5">
        <f t="shared" ref="H309:H317" si="78">E309*G309*12+((D309-E309)*G309/2*12)</f>
        <v>1199520</v>
      </c>
      <c r="I309" s="5">
        <f t="shared" ref="I309:I317" si="79">H309*30.2%</f>
        <v>362255.04</v>
      </c>
      <c r="J309" s="5">
        <f t="shared" ref="J309:J317" si="80">H309+I309</f>
        <v>1561775.04</v>
      </c>
    </row>
    <row r="310" spans="1:10" x14ac:dyDescent="0.25">
      <c r="A310" s="9">
        <v>2</v>
      </c>
      <c r="B310" s="10" t="s">
        <v>23</v>
      </c>
      <c r="C310" s="4">
        <v>0</v>
      </c>
      <c r="D310" s="4">
        <v>0</v>
      </c>
      <c r="E310" s="4">
        <v>0</v>
      </c>
      <c r="F310" s="4">
        <v>0</v>
      </c>
      <c r="G310" s="5">
        <f>'расчёт зарплаты'!K26</f>
        <v>40480</v>
      </c>
      <c r="H310" s="5">
        <f t="shared" si="78"/>
        <v>0</v>
      </c>
      <c r="I310" s="5">
        <f t="shared" si="79"/>
        <v>0</v>
      </c>
      <c r="J310" s="5">
        <f t="shared" si="80"/>
        <v>0</v>
      </c>
    </row>
    <row r="311" spans="1:10" ht="26.4" x14ac:dyDescent="0.25">
      <c r="A311" s="9">
        <v>3</v>
      </c>
      <c r="B311" s="10" t="s">
        <v>24</v>
      </c>
      <c r="C311" s="63">
        <v>1</v>
      </c>
      <c r="D311" s="63">
        <v>1</v>
      </c>
      <c r="E311" s="63">
        <v>1</v>
      </c>
      <c r="F311" s="63">
        <v>1</v>
      </c>
      <c r="G311" s="5">
        <f>'расчёт зарплаты'!K28</f>
        <v>36256</v>
      </c>
      <c r="H311" s="5">
        <f t="shared" si="78"/>
        <v>435072</v>
      </c>
      <c r="I311" s="5">
        <f t="shared" si="79"/>
        <v>131391.74400000001</v>
      </c>
      <c r="J311" s="5">
        <f t="shared" si="80"/>
        <v>566463.74399999995</v>
      </c>
    </row>
    <row r="312" spans="1:10" x14ac:dyDescent="0.25">
      <c r="A312" s="9">
        <v>4</v>
      </c>
      <c r="B312" s="10" t="s">
        <v>25</v>
      </c>
      <c r="C312" s="63">
        <v>4</v>
      </c>
      <c r="D312" s="63">
        <v>4</v>
      </c>
      <c r="E312" s="63">
        <v>0</v>
      </c>
      <c r="F312" s="63">
        <v>0</v>
      </c>
      <c r="G312" s="5">
        <f>'расчёт зарплаты'!K36</f>
        <v>32320</v>
      </c>
      <c r="H312" s="5">
        <f t="shared" si="78"/>
        <v>775680</v>
      </c>
      <c r="I312" s="5">
        <f t="shared" si="79"/>
        <v>234255.35999999999</v>
      </c>
      <c r="J312" s="5">
        <f t="shared" si="80"/>
        <v>1009935.36</v>
      </c>
    </row>
    <row r="313" spans="1:10" x14ac:dyDescent="0.25">
      <c r="A313" s="9">
        <v>5</v>
      </c>
      <c r="B313" s="10" t="s">
        <v>26</v>
      </c>
      <c r="C313" s="4">
        <v>0</v>
      </c>
      <c r="D313" s="4">
        <v>0</v>
      </c>
      <c r="E313" s="4">
        <v>0</v>
      </c>
      <c r="F313" s="4">
        <v>0</v>
      </c>
      <c r="G313" s="5">
        <f>'расчёт зарплаты'!K34</f>
        <v>33936</v>
      </c>
      <c r="H313" s="5">
        <f t="shared" si="78"/>
        <v>0</v>
      </c>
      <c r="I313" s="5">
        <f t="shared" si="79"/>
        <v>0</v>
      </c>
      <c r="J313" s="5">
        <f t="shared" si="80"/>
        <v>0</v>
      </c>
    </row>
    <row r="314" spans="1:10" x14ac:dyDescent="0.25">
      <c r="A314" s="9">
        <v>6</v>
      </c>
      <c r="B314" s="10" t="s">
        <v>28</v>
      </c>
      <c r="C314" s="63">
        <v>2</v>
      </c>
      <c r="D314" s="63">
        <v>1</v>
      </c>
      <c r="E314" s="63">
        <v>2</v>
      </c>
      <c r="F314" s="63">
        <v>0</v>
      </c>
      <c r="G314" s="5">
        <f>'расчёт зарплаты'!K40</f>
        <v>33936</v>
      </c>
      <c r="H314" s="5">
        <f t="shared" si="78"/>
        <v>610848</v>
      </c>
      <c r="I314" s="5">
        <f t="shared" si="79"/>
        <v>184476.09599999999</v>
      </c>
      <c r="J314" s="5">
        <f t="shared" si="80"/>
        <v>795324.09600000002</v>
      </c>
    </row>
    <row r="315" spans="1:10" ht="26.4" x14ac:dyDescent="0.25">
      <c r="A315" s="9"/>
      <c r="B315" s="10" t="s">
        <v>98</v>
      </c>
      <c r="C315" s="63">
        <v>1</v>
      </c>
      <c r="D315" s="63">
        <v>0</v>
      </c>
      <c r="E315" s="63">
        <v>0</v>
      </c>
      <c r="F315" s="63">
        <v>0</v>
      </c>
      <c r="G315" s="5">
        <f>'расчёт зарплаты'!K32</f>
        <v>36808</v>
      </c>
      <c r="H315" s="5">
        <f t="shared" si="78"/>
        <v>0</v>
      </c>
      <c r="I315" s="5">
        <f t="shared" si="79"/>
        <v>0</v>
      </c>
      <c r="J315" s="5">
        <f t="shared" si="80"/>
        <v>0</v>
      </c>
    </row>
    <row r="316" spans="1:10" ht="66" x14ac:dyDescent="0.25">
      <c r="A316" s="9"/>
      <c r="B316" s="10" t="s">
        <v>104</v>
      </c>
      <c r="C316" s="63">
        <v>1</v>
      </c>
      <c r="D316" s="63">
        <v>0</v>
      </c>
      <c r="E316" s="63">
        <v>0</v>
      </c>
      <c r="F316" s="63">
        <v>0</v>
      </c>
      <c r="G316" s="5">
        <f>'расчёт зарплаты'!K46</f>
        <v>33936</v>
      </c>
      <c r="H316" s="5">
        <f t="shared" si="78"/>
        <v>0</v>
      </c>
      <c r="I316" s="5">
        <f t="shared" si="79"/>
        <v>0</v>
      </c>
      <c r="J316" s="5">
        <f t="shared" si="80"/>
        <v>0</v>
      </c>
    </row>
    <row r="317" spans="1:10" ht="26.4" x14ac:dyDescent="0.25">
      <c r="A317" s="9">
        <v>1</v>
      </c>
      <c r="B317" s="10" t="s">
        <v>9</v>
      </c>
      <c r="C317" s="63">
        <v>1</v>
      </c>
      <c r="D317" s="63">
        <v>1</v>
      </c>
      <c r="E317" s="63">
        <v>1</v>
      </c>
      <c r="F317" s="63">
        <v>1</v>
      </c>
      <c r="G317" s="5">
        <f>'расчёт зарплаты'!K6</f>
        <v>46112</v>
      </c>
      <c r="H317" s="5">
        <f t="shared" si="78"/>
        <v>553344</v>
      </c>
      <c r="I317" s="5">
        <f t="shared" si="79"/>
        <v>167109.88800000001</v>
      </c>
      <c r="J317" s="5">
        <f t="shared" si="80"/>
        <v>720453.88800000004</v>
      </c>
    </row>
    <row r="318" spans="1:10" x14ac:dyDescent="0.25">
      <c r="A318" s="4"/>
      <c r="B318" s="105" t="s">
        <v>55</v>
      </c>
      <c r="C318" s="105"/>
      <c r="D318" s="105"/>
      <c r="E318" s="105"/>
      <c r="F318" s="105"/>
      <c r="G318" s="105"/>
      <c r="H318" s="105"/>
      <c r="I318" s="105"/>
      <c r="J318" s="105"/>
    </row>
    <row r="319" spans="1:10" ht="13.8" x14ac:dyDescent="0.3">
      <c r="A319" s="106" t="s">
        <v>38</v>
      </c>
      <c r="B319" s="107"/>
      <c r="C319" s="4">
        <f>C320+C325</f>
        <v>26.5</v>
      </c>
      <c r="D319" s="4">
        <f>D320+D325</f>
        <v>23.5</v>
      </c>
      <c r="E319" s="4">
        <f>E320+E325</f>
        <v>18</v>
      </c>
      <c r="F319" s="4">
        <f>F320+F325</f>
        <v>18</v>
      </c>
      <c r="G319" s="5"/>
      <c r="H319" s="5"/>
      <c r="I319" s="5"/>
      <c r="J319" s="8">
        <f>J320+J325</f>
        <v>10656443.506464001</v>
      </c>
    </row>
    <row r="320" spans="1:10" ht="14.4" x14ac:dyDescent="0.3">
      <c r="A320" s="108" t="s">
        <v>39</v>
      </c>
      <c r="B320" s="109"/>
      <c r="C320" s="4">
        <f>C321+C322</f>
        <v>7.5</v>
      </c>
      <c r="D320" s="4">
        <f>D321+D322</f>
        <v>7</v>
      </c>
      <c r="E320" s="4">
        <f>E321+E322</f>
        <v>6</v>
      </c>
      <c r="F320" s="4">
        <f>F321+F322</f>
        <v>6</v>
      </c>
      <c r="G320" s="5"/>
      <c r="H320" s="8">
        <f>H321+H322</f>
        <v>2653045.6320000002</v>
      </c>
      <c r="I320" s="8">
        <f>I321+I322</f>
        <v>801219.78086400009</v>
      </c>
      <c r="J320" s="8">
        <f>J321+J322</f>
        <v>3454265.4128640005</v>
      </c>
    </row>
    <row r="321" spans="1:10" x14ac:dyDescent="0.25">
      <c r="A321" s="9">
        <v>2</v>
      </c>
      <c r="B321" s="10" t="s">
        <v>11</v>
      </c>
      <c r="C321" s="68">
        <v>6</v>
      </c>
      <c r="D321" s="68">
        <v>6</v>
      </c>
      <c r="E321" s="68">
        <v>6</v>
      </c>
      <c r="F321" s="68">
        <v>6</v>
      </c>
      <c r="G321" s="5">
        <f>'расчёт зарплаты'!K8</f>
        <v>34019.856</v>
      </c>
      <c r="H321" s="5">
        <f>E321*G321*12+((D321-E321)*G321/2*12)</f>
        <v>2449429.6320000002</v>
      </c>
      <c r="I321" s="5">
        <f>H321*30.2%</f>
        <v>739727.74886400008</v>
      </c>
      <c r="J321" s="5">
        <f>H321+I321</f>
        <v>3189157.3808640004</v>
      </c>
    </row>
    <row r="322" spans="1:10" ht="52.8" x14ac:dyDescent="0.25">
      <c r="A322" s="9">
        <v>3</v>
      </c>
      <c r="B322" s="10" t="s">
        <v>12</v>
      </c>
      <c r="C322" s="63">
        <v>1.5</v>
      </c>
      <c r="D322" s="63">
        <v>1</v>
      </c>
      <c r="E322" s="63">
        <v>0</v>
      </c>
      <c r="F322" s="63">
        <v>0</v>
      </c>
      <c r="G322" s="5">
        <f>'расчёт зарплаты'!K10</f>
        <v>33936</v>
      </c>
      <c r="H322" s="5">
        <f>E322*G322*12+((D322-E322)*G322/2*12)</f>
        <v>203616</v>
      </c>
      <c r="I322" s="5">
        <f>H322*30.2%</f>
        <v>61492.031999999999</v>
      </c>
      <c r="J322" s="5">
        <f>H322+I322</f>
        <v>265108.03200000001</v>
      </c>
    </row>
    <row r="323" spans="1:10" ht="26.4" x14ac:dyDescent="0.25">
      <c r="A323" s="9">
        <v>4</v>
      </c>
      <c r="B323" s="10" t="s">
        <v>40</v>
      </c>
      <c r="C323" s="4"/>
      <c r="D323" s="4">
        <v>0</v>
      </c>
      <c r="E323" s="4">
        <v>0</v>
      </c>
      <c r="F323" s="4">
        <v>0</v>
      </c>
      <c r="G323" s="5"/>
      <c r="H323" s="5">
        <f>E323*G323*12+((D323-E323)*G323/2*12)</f>
        <v>0</v>
      </c>
      <c r="I323" s="5"/>
      <c r="J323" s="5"/>
    </row>
    <row r="324" spans="1:10" x14ac:dyDescent="0.25">
      <c r="A324" s="9">
        <v>5</v>
      </c>
      <c r="B324" s="10" t="s">
        <v>20</v>
      </c>
      <c r="C324" s="4"/>
      <c r="D324" s="4"/>
      <c r="E324" s="4"/>
      <c r="F324" s="4"/>
      <c r="G324" s="5"/>
      <c r="H324" s="5"/>
      <c r="I324" s="5"/>
      <c r="J324" s="5"/>
    </row>
    <row r="325" spans="1:10" ht="14.4" x14ac:dyDescent="0.3">
      <c r="A325" s="110" t="s">
        <v>41</v>
      </c>
      <c r="B325" s="110"/>
      <c r="C325" s="4">
        <f>C326+C333</f>
        <v>19</v>
      </c>
      <c r="D325" s="4">
        <f>D326+D333</f>
        <v>16.5</v>
      </c>
      <c r="E325" s="77">
        <f>E326+E333</f>
        <v>12</v>
      </c>
      <c r="F325" s="77">
        <f>F326+F333</f>
        <v>12</v>
      </c>
      <c r="G325" s="5"/>
      <c r="H325" s="8">
        <f>H326+H333</f>
        <v>5531626.7999999998</v>
      </c>
      <c r="I325" s="8">
        <f>I326+I333</f>
        <v>1670551.2936</v>
      </c>
      <c r="J325" s="8">
        <f>J326+J333</f>
        <v>7202178.0936000003</v>
      </c>
    </row>
    <row r="326" spans="1:10" ht="14.4" x14ac:dyDescent="0.3">
      <c r="A326" s="111" t="s">
        <v>42</v>
      </c>
      <c r="B326" s="111"/>
      <c r="C326" s="4">
        <f>C327+C328+C329+C330+C331+C332</f>
        <v>13.5</v>
      </c>
      <c r="D326" s="4">
        <f>D327+D328+D329+D330+D331+D332</f>
        <v>12.5</v>
      </c>
      <c r="E326" s="4">
        <f>E327+E328+E329+E330+E331+E332</f>
        <v>10</v>
      </c>
      <c r="F326" s="4">
        <f>F327+F328+F329+F330+F331+F332</f>
        <v>10</v>
      </c>
      <c r="G326" s="5"/>
      <c r="H326" s="5">
        <f>SUM(H327:H332)</f>
        <v>4260178.8</v>
      </c>
      <c r="I326" s="5">
        <f>SUM(I327:I332)</f>
        <v>1286573.9975999999</v>
      </c>
      <c r="J326" s="5">
        <f>SUM(J327:J332)</f>
        <v>5546752.7976000002</v>
      </c>
    </row>
    <row r="327" spans="1:10" x14ac:dyDescent="0.25">
      <c r="A327" s="9">
        <v>1</v>
      </c>
      <c r="B327" s="10" t="s">
        <v>15</v>
      </c>
      <c r="C327" s="4"/>
      <c r="D327" s="4">
        <v>0</v>
      </c>
      <c r="E327" s="4">
        <v>0</v>
      </c>
      <c r="F327" s="4">
        <v>0</v>
      </c>
      <c r="G327" s="5"/>
      <c r="H327" s="5">
        <f>E327*G327*12+((D327-E327)*G327/2*12)</f>
        <v>0</v>
      </c>
      <c r="I327" s="5">
        <f t="shared" ref="I327:I332" si="81">H327*30.2%</f>
        <v>0</v>
      </c>
      <c r="J327" s="5">
        <f t="shared" ref="J327:J332" si="82">H327+I327</f>
        <v>0</v>
      </c>
    </row>
    <row r="328" spans="1:10" x14ac:dyDescent="0.25">
      <c r="A328" s="9">
        <v>2</v>
      </c>
      <c r="B328" s="10" t="s">
        <v>17</v>
      </c>
      <c r="C328" s="4"/>
      <c r="D328" s="4">
        <v>0</v>
      </c>
      <c r="E328" s="4">
        <v>0</v>
      </c>
      <c r="F328" s="4">
        <v>0</v>
      </c>
      <c r="G328" s="5"/>
      <c r="H328" s="5">
        <f>E328*G328*12+((D328-E328)*G328/2*12)</f>
        <v>0</v>
      </c>
      <c r="I328" s="5">
        <f t="shared" si="81"/>
        <v>0</v>
      </c>
      <c r="J328" s="5">
        <f t="shared" si="82"/>
        <v>0</v>
      </c>
    </row>
    <row r="329" spans="1:10" ht="39.6" x14ac:dyDescent="0.25">
      <c r="A329" s="9">
        <v>3</v>
      </c>
      <c r="B329" s="10" t="s">
        <v>18</v>
      </c>
      <c r="C329" s="63">
        <v>10</v>
      </c>
      <c r="D329" s="87">
        <f>9+1</f>
        <v>10</v>
      </c>
      <c r="E329" s="63">
        <v>8</v>
      </c>
      <c r="F329" s="63">
        <v>8</v>
      </c>
      <c r="G329" s="5">
        <f>'расчёт зарплаты'!K16</f>
        <v>31556.880000000001</v>
      </c>
      <c r="H329" s="5">
        <f>E329*G329*12+((D329-E329)*G329/2*12)</f>
        <v>3408143.04</v>
      </c>
      <c r="I329" s="5">
        <f t="shared" si="81"/>
        <v>1029259.19808</v>
      </c>
      <c r="J329" s="5">
        <f t="shared" si="82"/>
        <v>4437402.2380800005</v>
      </c>
    </row>
    <row r="330" spans="1:10" x14ac:dyDescent="0.25">
      <c r="A330" s="9">
        <v>4</v>
      </c>
      <c r="B330" s="10" t="s">
        <v>19</v>
      </c>
      <c r="C330" s="63">
        <v>2.5</v>
      </c>
      <c r="D330" s="63">
        <v>1.5</v>
      </c>
      <c r="E330" s="63">
        <v>1</v>
      </c>
      <c r="F330" s="63">
        <v>1</v>
      </c>
      <c r="G330" s="5">
        <f>'расчёт зарплаты'!K18</f>
        <v>31556.880000000001</v>
      </c>
      <c r="H330" s="5">
        <f>E330*G330*12+((D330-E330)*G330/2*12)</f>
        <v>473353.2</v>
      </c>
      <c r="I330" s="5">
        <f t="shared" si="81"/>
        <v>142952.66639999999</v>
      </c>
      <c r="J330" s="5">
        <f t="shared" si="82"/>
        <v>616305.86639999994</v>
      </c>
    </row>
    <row r="331" spans="1:10" x14ac:dyDescent="0.25">
      <c r="A331" s="9">
        <v>5</v>
      </c>
      <c r="B331" s="10"/>
      <c r="C331" s="4"/>
      <c r="D331" s="4"/>
      <c r="E331" s="4"/>
      <c r="F331" s="4"/>
      <c r="G331" s="5"/>
      <c r="H331" s="5"/>
      <c r="I331" s="5">
        <f t="shared" si="81"/>
        <v>0</v>
      </c>
      <c r="J331" s="5">
        <f t="shared" si="82"/>
        <v>0</v>
      </c>
    </row>
    <row r="332" spans="1:10" x14ac:dyDescent="0.25">
      <c r="A332" s="9">
        <v>6</v>
      </c>
      <c r="B332" s="10" t="s">
        <v>21</v>
      </c>
      <c r="C332" s="63">
        <v>1</v>
      </c>
      <c r="D332" s="63">
        <v>1</v>
      </c>
      <c r="E332" s="63">
        <v>1</v>
      </c>
      <c r="F332" s="63">
        <v>1</v>
      </c>
      <c r="G332" s="5">
        <f>'расчёт зарплаты'!K22</f>
        <v>31556.880000000001</v>
      </c>
      <c r="H332" s="5">
        <f t="shared" ref="H332:H341" si="83">E332*G332*12+((D332-E332)*G332/2*12)</f>
        <v>378682.56</v>
      </c>
      <c r="I332" s="5">
        <f t="shared" si="81"/>
        <v>114362.13312</v>
      </c>
      <c r="J332" s="5">
        <f t="shared" si="82"/>
        <v>493044.69312000001</v>
      </c>
    </row>
    <row r="333" spans="1:10" ht="14.4" x14ac:dyDescent="0.3">
      <c r="A333" s="111" t="s">
        <v>43</v>
      </c>
      <c r="B333" s="111"/>
      <c r="C333" s="4">
        <f>C334+C335+C336+C337+C338+C339+C340+C341</f>
        <v>5.5</v>
      </c>
      <c r="D333" s="4">
        <f t="shared" ref="D333:F333" si="84">D334+D335+D336+D337+D338+D339+D340+D341</f>
        <v>4</v>
      </c>
      <c r="E333" s="4">
        <f t="shared" si="84"/>
        <v>2</v>
      </c>
      <c r="F333" s="4">
        <f t="shared" si="84"/>
        <v>2</v>
      </c>
      <c r="G333" s="5"/>
      <c r="H333" s="5">
        <f>SUM(H334:H341)</f>
        <v>1271448</v>
      </c>
      <c r="I333" s="5">
        <f>SUM(I334:I341)</f>
        <v>383977.29600000003</v>
      </c>
      <c r="J333" s="5">
        <f>SUM(J334:J341)</f>
        <v>1655425.2959999999</v>
      </c>
    </row>
    <row r="334" spans="1:10" ht="26.4" x14ac:dyDescent="0.25">
      <c r="A334" s="9">
        <v>1</v>
      </c>
      <c r="B334" s="10" t="s">
        <v>22</v>
      </c>
      <c r="C334" s="63">
        <v>1</v>
      </c>
      <c r="D334" s="63">
        <v>0.5</v>
      </c>
      <c r="E334" s="63">
        <v>0</v>
      </c>
      <c r="F334" s="63">
        <v>0</v>
      </c>
      <c r="G334" s="5">
        <f>'расчёт зарплаты'!K24</f>
        <v>39984</v>
      </c>
      <c r="H334" s="5">
        <f t="shared" si="83"/>
        <v>119952</v>
      </c>
      <c r="I334" s="5">
        <f t="shared" ref="I334:I341" si="85">H334*30.2%</f>
        <v>36225.504000000001</v>
      </c>
      <c r="J334" s="5">
        <f t="shared" ref="J334:J341" si="86">H334+I334</f>
        <v>156177.50400000002</v>
      </c>
    </row>
    <row r="335" spans="1:10" x14ac:dyDescent="0.25">
      <c r="A335" s="9">
        <v>2</v>
      </c>
      <c r="B335" s="10" t="s">
        <v>23</v>
      </c>
      <c r="C335" s="4"/>
      <c r="D335" s="4">
        <v>0</v>
      </c>
      <c r="E335" s="4">
        <v>0</v>
      </c>
      <c r="F335" s="4">
        <v>0</v>
      </c>
      <c r="G335" s="5">
        <f>'расчёт зарплаты'!K26</f>
        <v>40480</v>
      </c>
      <c r="H335" s="5">
        <f t="shared" si="83"/>
        <v>0</v>
      </c>
      <c r="I335" s="5">
        <f t="shared" si="85"/>
        <v>0</v>
      </c>
      <c r="J335" s="5">
        <f t="shared" si="86"/>
        <v>0</v>
      </c>
    </row>
    <row r="336" spans="1:10" ht="26.4" x14ac:dyDescent="0.25">
      <c r="A336" s="9">
        <v>3</v>
      </c>
      <c r="B336" s="10" t="s">
        <v>24</v>
      </c>
      <c r="C336" s="63">
        <v>1</v>
      </c>
      <c r="D336" s="63">
        <v>1</v>
      </c>
      <c r="E336" s="63">
        <v>1</v>
      </c>
      <c r="F336" s="63">
        <v>1</v>
      </c>
      <c r="G336" s="5">
        <f>'расчёт зарплаты'!K28</f>
        <v>36256</v>
      </c>
      <c r="H336" s="5">
        <f t="shared" si="83"/>
        <v>435072</v>
      </c>
      <c r="I336" s="5">
        <f t="shared" si="85"/>
        <v>131391.74400000001</v>
      </c>
      <c r="J336" s="5">
        <f t="shared" si="86"/>
        <v>566463.74399999995</v>
      </c>
    </row>
    <row r="337" spans="1:10" x14ac:dyDescent="0.25">
      <c r="A337" s="9">
        <v>4</v>
      </c>
      <c r="B337" s="10" t="s">
        <v>25</v>
      </c>
      <c r="C337" s="63">
        <v>1</v>
      </c>
      <c r="D337" s="63">
        <v>0.5</v>
      </c>
      <c r="E337" s="63">
        <v>0</v>
      </c>
      <c r="F337" s="63">
        <v>0</v>
      </c>
      <c r="G337" s="5">
        <f>'расчёт зарплаты'!K36</f>
        <v>32320</v>
      </c>
      <c r="H337" s="5">
        <f t="shared" si="83"/>
        <v>96960</v>
      </c>
      <c r="I337" s="5">
        <f t="shared" si="85"/>
        <v>29281.919999999998</v>
      </c>
      <c r="J337" s="5">
        <f t="shared" si="86"/>
        <v>126241.92</v>
      </c>
    </row>
    <row r="338" spans="1:10" x14ac:dyDescent="0.25">
      <c r="A338" s="9">
        <v>5</v>
      </c>
      <c r="B338" s="10" t="s">
        <v>26</v>
      </c>
      <c r="C338" s="4"/>
      <c r="D338" s="4">
        <v>0</v>
      </c>
      <c r="E338" s="4">
        <v>0</v>
      </c>
      <c r="F338" s="4">
        <v>0</v>
      </c>
      <c r="G338" s="5"/>
      <c r="H338" s="5">
        <f t="shared" si="83"/>
        <v>0</v>
      </c>
      <c r="I338" s="5">
        <f t="shared" si="85"/>
        <v>0</v>
      </c>
      <c r="J338" s="5">
        <f t="shared" si="86"/>
        <v>0</v>
      </c>
    </row>
    <row r="339" spans="1:10" x14ac:dyDescent="0.25">
      <c r="A339" s="9">
        <v>6</v>
      </c>
      <c r="B339" s="10" t="s">
        <v>28</v>
      </c>
      <c r="C339" s="63">
        <v>2</v>
      </c>
      <c r="D339" s="63">
        <v>1.5</v>
      </c>
      <c r="E339" s="63">
        <v>1</v>
      </c>
      <c r="F339" s="63">
        <v>1</v>
      </c>
      <c r="G339" s="5">
        <f>'расчёт зарплаты'!K40</f>
        <v>33936</v>
      </c>
      <c r="H339" s="5">
        <f t="shared" si="83"/>
        <v>509040</v>
      </c>
      <c r="I339" s="5">
        <f t="shared" si="85"/>
        <v>153730.07999999999</v>
      </c>
      <c r="J339" s="5">
        <f t="shared" si="86"/>
        <v>662770.07999999996</v>
      </c>
    </row>
    <row r="340" spans="1:10" ht="26.4" x14ac:dyDescent="0.25">
      <c r="A340" s="9"/>
      <c r="B340" s="10" t="s">
        <v>98</v>
      </c>
      <c r="C340" s="63">
        <v>0.5</v>
      </c>
      <c r="D340" s="63">
        <v>0.5</v>
      </c>
      <c r="E340" s="63">
        <v>0</v>
      </c>
      <c r="F340" s="63">
        <v>0</v>
      </c>
      <c r="G340" s="5">
        <f>'расчёт зарплаты'!K32</f>
        <v>36808</v>
      </c>
      <c r="H340" s="5">
        <f t="shared" si="83"/>
        <v>110424</v>
      </c>
      <c r="I340" s="5">
        <f t="shared" si="85"/>
        <v>33348.048000000003</v>
      </c>
      <c r="J340" s="5">
        <f t="shared" si="86"/>
        <v>143772.04800000001</v>
      </c>
    </row>
    <row r="341" spans="1:10" ht="26.4" x14ac:dyDescent="0.25">
      <c r="A341" s="9">
        <v>1</v>
      </c>
      <c r="B341" s="10" t="s">
        <v>9</v>
      </c>
      <c r="C341" s="4">
        <v>0</v>
      </c>
      <c r="D341" s="4">
        <v>0</v>
      </c>
      <c r="E341" s="4">
        <v>0</v>
      </c>
      <c r="F341" s="4">
        <v>0</v>
      </c>
      <c r="G341" s="5"/>
      <c r="H341" s="5">
        <f t="shared" si="83"/>
        <v>0</v>
      </c>
      <c r="I341" s="5">
        <f t="shared" si="85"/>
        <v>0</v>
      </c>
      <c r="J341" s="5">
        <f t="shared" si="86"/>
        <v>0</v>
      </c>
    </row>
    <row r="342" spans="1:10" x14ac:dyDescent="0.25">
      <c r="A342" s="4"/>
      <c r="B342" s="105" t="s">
        <v>56</v>
      </c>
      <c r="C342" s="105"/>
      <c r="D342" s="105"/>
      <c r="E342" s="105"/>
      <c r="F342" s="105"/>
      <c r="G342" s="105"/>
      <c r="H342" s="105"/>
      <c r="I342" s="105"/>
      <c r="J342" s="105"/>
    </row>
    <row r="343" spans="1:10" ht="13.8" x14ac:dyDescent="0.3">
      <c r="A343" s="106" t="s">
        <v>38</v>
      </c>
      <c r="B343" s="107"/>
      <c r="C343" s="4">
        <f>C344+C349</f>
        <v>40.25</v>
      </c>
      <c r="D343" s="4">
        <f>D344+D349</f>
        <v>34</v>
      </c>
      <c r="E343" s="4">
        <f>E344+E349</f>
        <v>24</v>
      </c>
      <c r="F343" s="4">
        <f>F344+F349</f>
        <v>26</v>
      </c>
      <c r="G343" s="5"/>
      <c r="H343" s="5"/>
      <c r="I343" s="5"/>
      <c r="J343" s="8">
        <f>J344+J349</f>
        <v>14925893.681663999</v>
      </c>
    </row>
    <row r="344" spans="1:10" ht="14.4" x14ac:dyDescent="0.3">
      <c r="A344" s="108" t="s">
        <v>39</v>
      </c>
      <c r="B344" s="109"/>
      <c r="C344" s="4">
        <f>C345+C346</f>
        <v>7.5</v>
      </c>
      <c r="D344" s="4">
        <f>D345+D346</f>
        <v>7.5</v>
      </c>
      <c r="E344" s="4">
        <f>E345+E346</f>
        <v>7</v>
      </c>
      <c r="F344" s="4">
        <f>F345+F346</f>
        <v>7</v>
      </c>
      <c r="G344" s="5"/>
      <c r="H344" s="8">
        <f>H345+H346</f>
        <v>2958469.6320000002</v>
      </c>
      <c r="I344" s="8">
        <f>I345+I346</f>
        <v>893457.82886400004</v>
      </c>
      <c r="J344" s="8">
        <f>J345+J346</f>
        <v>3851927.4608640005</v>
      </c>
    </row>
    <row r="345" spans="1:10" x14ac:dyDescent="0.25">
      <c r="A345" s="9">
        <v>2</v>
      </c>
      <c r="B345" s="10" t="s">
        <v>11</v>
      </c>
      <c r="C345" s="68">
        <v>6</v>
      </c>
      <c r="D345" s="68">
        <v>6</v>
      </c>
      <c r="E345" s="68">
        <v>6</v>
      </c>
      <c r="F345" s="68">
        <v>6</v>
      </c>
      <c r="G345" s="5">
        <f>'расчёт зарплаты'!K8</f>
        <v>34019.856</v>
      </c>
      <c r="H345" s="5">
        <f>E345*G345*12+((D345-E345)*G345/2*12)</f>
        <v>2449429.6320000002</v>
      </c>
      <c r="I345" s="5">
        <f>H345*30.2%</f>
        <v>739727.74886400008</v>
      </c>
      <c r="J345" s="5">
        <f>H345+I345</f>
        <v>3189157.3808640004</v>
      </c>
    </row>
    <row r="346" spans="1:10" ht="52.8" x14ac:dyDescent="0.25">
      <c r="A346" s="9">
        <v>3</v>
      </c>
      <c r="B346" s="10" t="s">
        <v>12</v>
      </c>
      <c r="C346" s="63">
        <v>1.5</v>
      </c>
      <c r="D346" s="63">
        <v>1.5</v>
      </c>
      <c r="E346" s="63">
        <v>1</v>
      </c>
      <c r="F346" s="63">
        <v>1</v>
      </c>
      <c r="G346" s="5">
        <f>'расчёт зарплаты'!K10</f>
        <v>33936</v>
      </c>
      <c r="H346" s="5">
        <f>E346*G346*12+((D346-E346)*G346/2*12)</f>
        <v>509040</v>
      </c>
      <c r="I346" s="5">
        <f>H346*30.2%</f>
        <v>153730.07999999999</v>
      </c>
      <c r="J346" s="5">
        <f>H346+I346</f>
        <v>662770.07999999996</v>
      </c>
    </row>
    <row r="347" spans="1:10" ht="26.4" x14ac:dyDescent="0.25">
      <c r="A347" s="9">
        <v>4</v>
      </c>
      <c r="B347" s="10" t="s">
        <v>40</v>
      </c>
      <c r="C347" s="4">
        <v>0</v>
      </c>
      <c r="D347" s="4">
        <v>0</v>
      </c>
      <c r="E347" s="4">
        <v>0</v>
      </c>
      <c r="F347" s="4">
        <v>0</v>
      </c>
      <c r="G347" s="5"/>
      <c r="H347" s="5">
        <f>E347*G347*12+((D347-E347)*G347/2*12)</f>
        <v>0</v>
      </c>
      <c r="I347" s="5"/>
      <c r="J347" s="5"/>
    </row>
    <row r="348" spans="1:10" x14ac:dyDescent="0.25">
      <c r="A348" s="9">
        <v>5</v>
      </c>
      <c r="B348" s="10" t="s">
        <v>20</v>
      </c>
      <c r="C348" s="4"/>
      <c r="D348" s="4"/>
      <c r="E348" s="4"/>
      <c r="F348" s="4"/>
      <c r="G348" s="5"/>
      <c r="H348" s="5"/>
      <c r="I348" s="5"/>
      <c r="J348" s="5"/>
    </row>
    <row r="349" spans="1:10" ht="14.4" x14ac:dyDescent="0.3">
      <c r="A349" s="110" t="s">
        <v>41</v>
      </c>
      <c r="B349" s="110"/>
      <c r="C349" s="4">
        <f>C350+C357</f>
        <v>32.75</v>
      </c>
      <c r="D349" s="4">
        <f>D350+D357</f>
        <v>26.5</v>
      </c>
      <c r="E349" s="4">
        <f>E350+E357</f>
        <v>17</v>
      </c>
      <c r="F349" s="77">
        <f>F350+F357</f>
        <v>19</v>
      </c>
      <c r="G349" s="5"/>
      <c r="H349" s="8">
        <f>H350+H357</f>
        <v>8505350.3999999985</v>
      </c>
      <c r="I349" s="8">
        <f>I350+I357</f>
        <v>2568615.8207999999</v>
      </c>
      <c r="J349" s="8">
        <f>J350+J357</f>
        <v>11073966.220799999</v>
      </c>
    </row>
    <row r="350" spans="1:10" ht="14.4" x14ac:dyDescent="0.3">
      <c r="A350" s="111" t="s">
        <v>42</v>
      </c>
      <c r="B350" s="111"/>
      <c r="C350" s="4">
        <f>C351+C352+C353+C354+C355+C356</f>
        <v>24.5</v>
      </c>
      <c r="D350" s="4">
        <f>D351+D352+D353+D354+D355+D356</f>
        <v>19</v>
      </c>
      <c r="E350" s="4">
        <f>E351+E352+E353+E354+E355+E356</f>
        <v>13</v>
      </c>
      <c r="F350" s="4">
        <f>F351+F352+F353+F354+F355+F356</f>
        <v>13</v>
      </c>
      <c r="G350" s="5"/>
      <c r="H350" s="5">
        <f>SUM(H351:H356)</f>
        <v>6165998.3999999994</v>
      </c>
      <c r="I350" s="5">
        <f>SUM(I351:I356)</f>
        <v>1862131.5167999999</v>
      </c>
      <c r="J350" s="5">
        <f>SUM(J351:J356)</f>
        <v>8028129.9167999988</v>
      </c>
    </row>
    <row r="351" spans="1:10" x14ac:dyDescent="0.25">
      <c r="A351" s="9">
        <v>1</v>
      </c>
      <c r="B351" s="10" t="s">
        <v>15</v>
      </c>
      <c r="C351" s="63">
        <v>2</v>
      </c>
      <c r="D351" s="87">
        <f>1.5-0.5</f>
        <v>1</v>
      </c>
      <c r="E351" s="63">
        <v>1</v>
      </c>
      <c r="F351" s="63">
        <v>1</v>
      </c>
      <c r="G351" s="5">
        <f>'расчёт зарплаты'!K12</f>
        <v>40480</v>
      </c>
      <c r="H351" s="5">
        <f>E351*G351*12+((D351-E351)*G351/2*12)</f>
        <v>485760</v>
      </c>
      <c r="I351" s="5">
        <f t="shared" ref="I351:I356" si="87">H351*30.2%</f>
        <v>146699.51999999999</v>
      </c>
      <c r="J351" s="5">
        <f t="shared" ref="J351:J356" si="88">H351+I351</f>
        <v>632459.52000000002</v>
      </c>
    </row>
    <row r="352" spans="1:10" x14ac:dyDescent="0.25">
      <c r="A352" s="9">
        <v>2</v>
      </c>
      <c r="B352" s="10" t="s">
        <v>17</v>
      </c>
      <c r="C352" s="4">
        <v>0</v>
      </c>
      <c r="D352" s="4">
        <v>0</v>
      </c>
      <c r="E352" s="4">
        <v>0</v>
      </c>
      <c r="F352" s="4">
        <v>0</v>
      </c>
      <c r="G352" s="5">
        <f>'расчёт зарплаты'!K14</f>
        <v>44704</v>
      </c>
      <c r="H352" s="5">
        <f>E352*G352*12+((D352-E352)*G352/2*12)</f>
        <v>0</v>
      </c>
      <c r="I352" s="5">
        <f t="shared" si="87"/>
        <v>0</v>
      </c>
      <c r="J352" s="5">
        <f t="shared" si="88"/>
        <v>0</v>
      </c>
    </row>
    <row r="353" spans="1:10" ht="39.6" x14ac:dyDescent="0.25">
      <c r="A353" s="9">
        <v>3</v>
      </c>
      <c r="B353" s="10" t="s">
        <v>18</v>
      </c>
      <c r="C353" s="63">
        <v>18.5</v>
      </c>
      <c r="D353" s="87">
        <f>16.5-1</f>
        <v>15.5</v>
      </c>
      <c r="E353" s="63">
        <v>10</v>
      </c>
      <c r="F353" s="64">
        <v>10</v>
      </c>
      <c r="G353" s="5">
        <f>'расчёт зарплаты'!K16</f>
        <v>31556.880000000001</v>
      </c>
      <c r="H353" s="5">
        <f>E353*G353*12+((D353-E353)*G353/2*12)</f>
        <v>4828202.6399999997</v>
      </c>
      <c r="I353" s="5">
        <f t="shared" si="87"/>
        <v>1458117.19728</v>
      </c>
      <c r="J353" s="5">
        <f t="shared" si="88"/>
        <v>6286319.8372799996</v>
      </c>
    </row>
    <row r="354" spans="1:10" x14ac:dyDescent="0.25">
      <c r="A354" s="9">
        <v>4</v>
      </c>
      <c r="B354" s="10" t="s">
        <v>19</v>
      </c>
      <c r="C354" s="63">
        <v>2</v>
      </c>
      <c r="D354" s="87">
        <f>2-1</f>
        <v>1</v>
      </c>
      <c r="E354" s="63">
        <v>1</v>
      </c>
      <c r="F354" s="63">
        <v>1</v>
      </c>
      <c r="G354" s="5">
        <f>'расчёт зарплаты'!K18</f>
        <v>31556.880000000001</v>
      </c>
      <c r="H354" s="5">
        <f>E354*G354*12+((D354-E354)*G354/2*12)</f>
        <v>378682.56</v>
      </c>
      <c r="I354" s="5">
        <f t="shared" si="87"/>
        <v>114362.13312</v>
      </c>
      <c r="J354" s="5">
        <f t="shared" si="88"/>
        <v>493044.69312000001</v>
      </c>
    </row>
    <row r="355" spans="1:10" x14ac:dyDescent="0.25">
      <c r="A355" s="9">
        <v>5</v>
      </c>
      <c r="B355" s="10"/>
      <c r="C355" s="4"/>
      <c r="D355" s="4"/>
      <c r="E355" s="4"/>
      <c r="F355" s="4"/>
      <c r="G355" s="5"/>
      <c r="H355" s="5">
        <f t="shared" ref="H355:H366" si="89">E355*G355*12+((D355-E355)*G355/2*12)</f>
        <v>0</v>
      </c>
      <c r="I355" s="5">
        <f t="shared" si="87"/>
        <v>0</v>
      </c>
      <c r="J355" s="5">
        <f t="shared" si="88"/>
        <v>0</v>
      </c>
    </row>
    <row r="356" spans="1:10" x14ac:dyDescent="0.25">
      <c r="A356" s="9">
        <v>6</v>
      </c>
      <c r="B356" s="10" t="s">
        <v>21</v>
      </c>
      <c r="C356" s="63">
        <v>2</v>
      </c>
      <c r="D356" s="63">
        <v>1.5</v>
      </c>
      <c r="E356" s="63">
        <v>1</v>
      </c>
      <c r="F356" s="63">
        <v>1</v>
      </c>
      <c r="G356" s="5">
        <f>'расчёт зарплаты'!K22</f>
        <v>31556.880000000001</v>
      </c>
      <c r="H356" s="5">
        <f t="shared" si="89"/>
        <v>473353.2</v>
      </c>
      <c r="I356" s="5">
        <f t="shared" si="87"/>
        <v>142952.66639999999</v>
      </c>
      <c r="J356" s="5">
        <f t="shared" si="88"/>
        <v>616305.86639999994</v>
      </c>
    </row>
    <row r="357" spans="1:10" ht="14.4" x14ac:dyDescent="0.3">
      <c r="A357" s="111" t="s">
        <v>43</v>
      </c>
      <c r="B357" s="111"/>
      <c r="C357" s="4">
        <f>C358+C359+C360+C361+C362+C363+C364+C365+C366</f>
        <v>8.25</v>
      </c>
      <c r="D357" s="4">
        <f t="shared" ref="D357:F357" si="90">D358+D359+D360+D361+D362+D363+D364+D365+D366</f>
        <v>7.5</v>
      </c>
      <c r="E357" s="4">
        <f t="shared" si="90"/>
        <v>4</v>
      </c>
      <c r="F357" s="4">
        <f t="shared" si="90"/>
        <v>6</v>
      </c>
      <c r="G357" s="5"/>
      <c r="H357" s="5">
        <f>SUM(H358:H366)</f>
        <v>2339352</v>
      </c>
      <c r="I357" s="5">
        <f>SUM(I358:I366)</f>
        <v>706484.304</v>
      </c>
      <c r="J357" s="5">
        <f>SUM(J358:J366)</f>
        <v>3045836.304</v>
      </c>
    </row>
    <row r="358" spans="1:10" ht="26.4" x14ac:dyDescent="0.25">
      <c r="A358" s="9">
        <v>1</v>
      </c>
      <c r="B358" s="10" t="s">
        <v>22</v>
      </c>
      <c r="C358" s="4">
        <v>1</v>
      </c>
      <c r="D358" s="4">
        <v>1</v>
      </c>
      <c r="E358" s="4">
        <v>0</v>
      </c>
      <c r="F358" s="4">
        <v>0</v>
      </c>
      <c r="G358" s="5">
        <f>'расчёт зарплаты'!K24</f>
        <v>39984</v>
      </c>
      <c r="H358" s="5">
        <f t="shared" si="89"/>
        <v>239904</v>
      </c>
      <c r="I358" s="5">
        <f t="shared" ref="I358:I366" si="91">H358*30.2%</f>
        <v>72451.008000000002</v>
      </c>
      <c r="J358" s="5">
        <f t="shared" ref="J358:J366" si="92">H358+I358</f>
        <v>312355.00800000003</v>
      </c>
    </row>
    <row r="359" spans="1:10" x14ac:dyDescent="0.25">
      <c r="A359" s="9">
        <v>2</v>
      </c>
      <c r="B359" s="10" t="s">
        <v>23</v>
      </c>
      <c r="C359" s="63">
        <v>0.5</v>
      </c>
      <c r="D359" s="63">
        <v>0.5</v>
      </c>
      <c r="E359" s="63">
        <v>0</v>
      </c>
      <c r="F359" s="63">
        <v>0</v>
      </c>
      <c r="G359" s="5">
        <f>'расчёт зарплаты'!K26</f>
        <v>40480</v>
      </c>
      <c r="H359" s="5">
        <v>0</v>
      </c>
      <c r="I359" s="5">
        <f t="shared" si="91"/>
        <v>0</v>
      </c>
      <c r="J359" s="5">
        <f t="shared" si="92"/>
        <v>0</v>
      </c>
    </row>
    <row r="360" spans="1:10" ht="26.4" x14ac:dyDescent="0.25">
      <c r="A360" s="9">
        <v>3</v>
      </c>
      <c r="B360" s="10" t="s">
        <v>24</v>
      </c>
      <c r="C360" s="63">
        <v>1</v>
      </c>
      <c r="D360" s="63">
        <v>1</v>
      </c>
      <c r="E360" s="63">
        <v>1</v>
      </c>
      <c r="F360" s="63">
        <v>1</v>
      </c>
      <c r="G360" s="5">
        <f>'расчёт зарплаты'!K28</f>
        <v>36256</v>
      </c>
      <c r="H360" s="5">
        <f t="shared" si="89"/>
        <v>435072</v>
      </c>
      <c r="I360" s="5">
        <f t="shared" si="91"/>
        <v>131391.74400000001</v>
      </c>
      <c r="J360" s="5">
        <f t="shared" si="92"/>
        <v>566463.74399999995</v>
      </c>
    </row>
    <row r="361" spans="1:10" x14ac:dyDescent="0.25">
      <c r="A361" s="9">
        <v>4</v>
      </c>
      <c r="B361" s="10" t="s">
        <v>25</v>
      </c>
      <c r="C361" s="63">
        <v>1</v>
      </c>
      <c r="D361" s="63">
        <v>1</v>
      </c>
      <c r="E361" s="63">
        <v>0</v>
      </c>
      <c r="F361" s="64">
        <v>2</v>
      </c>
      <c r="G361" s="5">
        <f>'расчёт зарплаты'!K36</f>
        <v>32320</v>
      </c>
      <c r="H361" s="5">
        <f t="shared" si="89"/>
        <v>193920</v>
      </c>
      <c r="I361" s="5">
        <f t="shared" si="91"/>
        <v>58563.839999999997</v>
      </c>
      <c r="J361" s="5">
        <f t="shared" si="92"/>
        <v>252483.84</v>
      </c>
    </row>
    <row r="362" spans="1:10" x14ac:dyDescent="0.25">
      <c r="A362" s="9">
        <v>5</v>
      </c>
      <c r="B362" s="10" t="s">
        <v>26</v>
      </c>
      <c r="C362" s="63">
        <v>1</v>
      </c>
      <c r="D362" s="63">
        <v>1</v>
      </c>
      <c r="E362" s="63">
        <v>1</v>
      </c>
      <c r="F362" s="63">
        <v>1</v>
      </c>
      <c r="G362" s="5">
        <f>'расчёт зарплаты'!K34</f>
        <v>33936</v>
      </c>
      <c r="H362" s="5">
        <f t="shared" si="89"/>
        <v>407232</v>
      </c>
      <c r="I362" s="5">
        <f t="shared" si="91"/>
        <v>122984.064</v>
      </c>
      <c r="J362" s="5">
        <f t="shared" si="92"/>
        <v>530216.06400000001</v>
      </c>
    </row>
    <row r="363" spans="1:10" x14ac:dyDescent="0.25">
      <c r="A363" s="9">
        <v>6</v>
      </c>
      <c r="B363" s="10" t="s">
        <v>28</v>
      </c>
      <c r="C363" s="4">
        <v>0</v>
      </c>
      <c r="D363" s="4">
        <v>0</v>
      </c>
      <c r="E363" s="4">
        <v>0</v>
      </c>
      <c r="F363" s="4">
        <v>0</v>
      </c>
      <c r="G363" s="5">
        <f>'расчёт зарплаты'!K40</f>
        <v>33936</v>
      </c>
      <c r="H363" s="5">
        <f t="shared" si="89"/>
        <v>0</v>
      </c>
      <c r="I363" s="5">
        <f t="shared" si="91"/>
        <v>0</v>
      </c>
      <c r="J363" s="5">
        <f t="shared" si="92"/>
        <v>0</v>
      </c>
    </row>
    <row r="364" spans="1:10" ht="26.4" x14ac:dyDescent="0.25">
      <c r="A364" s="9"/>
      <c r="B364" s="10" t="s">
        <v>98</v>
      </c>
      <c r="C364" s="63">
        <v>0.5</v>
      </c>
      <c r="D364" s="63">
        <v>0.5</v>
      </c>
      <c r="E364" s="63">
        <v>0</v>
      </c>
      <c r="F364" s="63">
        <v>0</v>
      </c>
      <c r="G364" s="5">
        <f>'расчёт зарплаты'!K32</f>
        <v>36808</v>
      </c>
      <c r="H364" s="5">
        <f t="shared" si="89"/>
        <v>110424</v>
      </c>
      <c r="I364" s="5">
        <f t="shared" si="91"/>
        <v>33348.048000000003</v>
      </c>
      <c r="J364" s="5">
        <f t="shared" si="92"/>
        <v>143772.04800000001</v>
      </c>
    </row>
    <row r="365" spans="1:10" ht="66" x14ac:dyDescent="0.25">
      <c r="A365" s="9"/>
      <c r="B365" s="10" t="s">
        <v>104</v>
      </c>
      <c r="C365" s="63">
        <v>2.25</v>
      </c>
      <c r="D365" s="63">
        <v>2</v>
      </c>
      <c r="E365" s="63">
        <v>2</v>
      </c>
      <c r="F365" s="63">
        <v>2</v>
      </c>
      <c r="G365" s="5">
        <f>'расчёт зарплаты'!K46</f>
        <v>33936</v>
      </c>
      <c r="H365" s="5">
        <f t="shared" si="89"/>
        <v>814464</v>
      </c>
      <c r="I365" s="5">
        <f t="shared" si="91"/>
        <v>245968.128</v>
      </c>
      <c r="J365" s="5">
        <f t="shared" si="92"/>
        <v>1060432.128</v>
      </c>
    </row>
    <row r="366" spans="1:10" ht="26.4" x14ac:dyDescent="0.25">
      <c r="A366" s="9">
        <v>1</v>
      </c>
      <c r="B366" s="10" t="s">
        <v>9</v>
      </c>
      <c r="C366" s="63">
        <v>1</v>
      </c>
      <c r="D366" s="63">
        <v>0.5</v>
      </c>
      <c r="E366" s="63">
        <v>0</v>
      </c>
      <c r="F366" s="63">
        <v>0</v>
      </c>
      <c r="G366" s="5">
        <f>'расчёт зарплаты'!K6</f>
        <v>46112</v>
      </c>
      <c r="H366" s="5">
        <f t="shared" si="89"/>
        <v>138336</v>
      </c>
      <c r="I366" s="5">
        <f t="shared" si="91"/>
        <v>41777.472000000002</v>
      </c>
      <c r="J366" s="5">
        <f t="shared" si="92"/>
        <v>180113.47200000001</v>
      </c>
    </row>
    <row r="367" spans="1:10" x14ac:dyDescent="0.25">
      <c r="A367" s="4"/>
      <c r="B367" s="105" t="s">
        <v>57</v>
      </c>
      <c r="C367" s="105"/>
      <c r="D367" s="105"/>
      <c r="E367" s="105"/>
      <c r="F367" s="105"/>
      <c r="G367" s="105"/>
      <c r="H367" s="105"/>
      <c r="I367" s="105"/>
      <c r="J367" s="105"/>
    </row>
    <row r="368" spans="1:10" ht="14.4" x14ac:dyDescent="0.3">
      <c r="A368" s="106" t="s">
        <v>38</v>
      </c>
      <c r="B368" s="107"/>
      <c r="C368" s="11">
        <f>C369+C374</f>
        <v>26.5</v>
      </c>
      <c r="D368" s="11">
        <f>D369+D374</f>
        <v>25.75</v>
      </c>
      <c r="E368" s="11">
        <f>E369+E374</f>
        <v>18.8</v>
      </c>
      <c r="F368" s="11">
        <f>F369+F374</f>
        <v>17</v>
      </c>
      <c r="G368" s="5"/>
      <c r="H368" s="5"/>
      <c r="I368" s="5"/>
      <c r="J368" s="8">
        <f>J369+J374</f>
        <v>11592532.530432001</v>
      </c>
    </row>
    <row r="369" spans="1:10" ht="14.4" x14ac:dyDescent="0.3">
      <c r="A369" s="108" t="s">
        <v>39</v>
      </c>
      <c r="B369" s="109"/>
      <c r="C369" s="4">
        <f>C370+C371</f>
        <v>7.5</v>
      </c>
      <c r="D369" s="4">
        <f>D370+D371</f>
        <v>7.5</v>
      </c>
      <c r="E369" s="4">
        <f>E370+E371</f>
        <v>7</v>
      </c>
      <c r="F369" s="4">
        <f>F370+F371</f>
        <v>7</v>
      </c>
      <c r="G369" s="8"/>
      <c r="H369" s="8">
        <f>H370+H371+H373</f>
        <v>2958469.6320000002</v>
      </c>
      <c r="I369" s="8">
        <f>I370+I371</f>
        <v>893457.82886400004</v>
      </c>
      <c r="J369" s="8">
        <f>J370+J371</f>
        <v>3851927.4608640005</v>
      </c>
    </row>
    <row r="370" spans="1:10" x14ac:dyDescent="0.25">
      <c r="A370" s="9">
        <v>2</v>
      </c>
      <c r="B370" s="10" t="s">
        <v>11</v>
      </c>
      <c r="C370" s="72">
        <v>6</v>
      </c>
      <c r="D370" s="72">
        <v>6</v>
      </c>
      <c r="E370" s="72">
        <v>6</v>
      </c>
      <c r="F370" s="72">
        <v>6</v>
      </c>
      <c r="G370" s="5">
        <f>'расчёт зарплаты'!K8</f>
        <v>34019.856</v>
      </c>
      <c r="H370" s="5">
        <f>E370*G370*12+((D370-E370)*G370/2*12)</f>
        <v>2449429.6320000002</v>
      </c>
      <c r="I370" s="5">
        <f>H370*30.2%</f>
        <v>739727.74886400008</v>
      </c>
      <c r="J370" s="5">
        <f>H370+I370</f>
        <v>3189157.3808640004</v>
      </c>
    </row>
    <row r="371" spans="1:10" ht="52.8" x14ac:dyDescent="0.25">
      <c r="A371" s="9">
        <v>3</v>
      </c>
      <c r="B371" s="10" t="s">
        <v>12</v>
      </c>
      <c r="C371" s="69">
        <v>1.5</v>
      </c>
      <c r="D371" s="69">
        <v>1.5</v>
      </c>
      <c r="E371" s="69">
        <v>1</v>
      </c>
      <c r="F371" s="69">
        <v>1</v>
      </c>
      <c r="G371" s="5">
        <f>'расчёт зарплаты'!K10</f>
        <v>33936</v>
      </c>
      <c r="H371" s="5">
        <f>E371*G371*12+((D371-E371)*G371/2*12)</f>
        <v>509040</v>
      </c>
      <c r="I371" s="5">
        <f>H371*30.2%</f>
        <v>153730.07999999999</v>
      </c>
      <c r="J371" s="5">
        <f>H371+I371</f>
        <v>662770.07999999996</v>
      </c>
    </row>
    <row r="372" spans="1:10" ht="26.4" x14ac:dyDescent="0.25">
      <c r="A372" s="9">
        <v>4</v>
      </c>
      <c r="B372" s="10" t="s">
        <v>40</v>
      </c>
      <c r="C372" s="12"/>
      <c r="D372" s="12">
        <v>0</v>
      </c>
      <c r="E372" s="12">
        <v>0</v>
      </c>
      <c r="F372" s="12">
        <v>0</v>
      </c>
      <c r="G372" s="5"/>
      <c r="H372" s="5">
        <f t="shared" ref="H372:H373" si="93">E372*G372*12+((D372-E372)*G372/2*12)</f>
        <v>0</v>
      </c>
      <c r="I372" s="5"/>
      <c r="J372" s="5"/>
    </row>
    <row r="373" spans="1:10" x14ac:dyDescent="0.25">
      <c r="A373" s="9">
        <v>5</v>
      </c>
      <c r="B373" s="10" t="s">
        <v>20</v>
      </c>
      <c r="C373" s="12">
        <v>0.75</v>
      </c>
      <c r="D373" s="12">
        <v>0</v>
      </c>
      <c r="E373" s="12">
        <v>0</v>
      </c>
      <c r="F373" s="12">
        <v>0</v>
      </c>
      <c r="G373" s="5">
        <f>'расчёт зарплаты'!K20</f>
        <v>31556.880000000001</v>
      </c>
      <c r="H373" s="5">
        <f t="shared" si="93"/>
        <v>0</v>
      </c>
      <c r="I373" s="5"/>
      <c r="J373" s="5"/>
    </row>
    <row r="374" spans="1:10" ht="14.4" x14ac:dyDescent="0.3">
      <c r="A374" s="110" t="s">
        <v>41</v>
      </c>
      <c r="B374" s="110"/>
      <c r="C374" s="9">
        <f>C375+C382</f>
        <v>19</v>
      </c>
      <c r="D374" s="9">
        <f>D375+D382</f>
        <v>18.25</v>
      </c>
      <c r="E374" s="9">
        <f>E375+E382</f>
        <v>11.8</v>
      </c>
      <c r="F374" s="9">
        <f>F375+F382</f>
        <v>10</v>
      </c>
      <c r="G374" s="5"/>
      <c r="H374" s="8">
        <f>H375+H382</f>
        <v>5945165.1840000004</v>
      </c>
      <c r="I374" s="8">
        <f>I375+I382</f>
        <v>1795439.8855680001</v>
      </c>
      <c r="J374" s="8">
        <f>J375+J382</f>
        <v>7740605.0695680007</v>
      </c>
    </row>
    <row r="375" spans="1:10" ht="14.4" x14ac:dyDescent="0.3">
      <c r="A375" s="111" t="s">
        <v>42</v>
      </c>
      <c r="B375" s="111"/>
      <c r="C375" s="13">
        <f>C376+C377+C378+C379+C380+C381</f>
        <v>13</v>
      </c>
      <c r="D375" s="13">
        <f>D376+D377+D378+D379+D380+D381</f>
        <v>13</v>
      </c>
      <c r="E375" s="13">
        <f>E376+E377+E378+E379+E380+E381</f>
        <v>9.8000000000000007</v>
      </c>
      <c r="F375" s="13">
        <f>F376+F377+F378+F379+F380+F381</f>
        <v>9</v>
      </c>
      <c r="G375" s="5"/>
      <c r="H375" s="5">
        <f>SUM(H376:H381)</f>
        <v>4316981.1840000004</v>
      </c>
      <c r="I375" s="5">
        <f>SUM(I376:I381)</f>
        <v>1303728.3175680002</v>
      </c>
      <c r="J375" s="5">
        <f>SUM(J376:J381)</f>
        <v>5620709.5015680008</v>
      </c>
    </row>
    <row r="376" spans="1:10" x14ac:dyDescent="0.25">
      <c r="A376" s="9">
        <v>1</v>
      </c>
      <c r="B376" s="10" t="s">
        <v>15</v>
      </c>
      <c r="C376" s="12">
        <v>0</v>
      </c>
      <c r="D376" s="12">
        <v>0</v>
      </c>
      <c r="E376" s="12">
        <v>0</v>
      </c>
      <c r="F376" s="12">
        <v>0</v>
      </c>
      <c r="G376" s="5"/>
      <c r="H376" s="5">
        <f>E376*G376*12+((D376-E376)*G376/2*12)</f>
        <v>0</v>
      </c>
      <c r="I376" s="5">
        <f t="shared" ref="I376:I381" si="94">H376*30.2%</f>
        <v>0</v>
      </c>
      <c r="J376" s="5">
        <f t="shared" ref="J376:J381" si="95">H376+I376</f>
        <v>0</v>
      </c>
    </row>
    <row r="377" spans="1:10" x14ac:dyDescent="0.25">
      <c r="A377" s="9">
        <v>2</v>
      </c>
      <c r="B377" s="10" t="s">
        <v>17</v>
      </c>
      <c r="C377" s="12">
        <v>0</v>
      </c>
      <c r="D377" s="12">
        <v>0</v>
      </c>
      <c r="E377" s="12">
        <v>0</v>
      </c>
      <c r="F377" s="12">
        <v>0</v>
      </c>
      <c r="G377" s="5"/>
      <c r="H377" s="5">
        <f>E377*G377*12+((D377-E377)*G377/2*12)</f>
        <v>0</v>
      </c>
      <c r="I377" s="5">
        <f t="shared" si="94"/>
        <v>0</v>
      </c>
      <c r="J377" s="5">
        <f t="shared" si="95"/>
        <v>0</v>
      </c>
    </row>
    <row r="378" spans="1:10" ht="39.6" x14ac:dyDescent="0.25">
      <c r="A378" s="9">
        <v>3</v>
      </c>
      <c r="B378" s="10" t="s">
        <v>18</v>
      </c>
      <c r="C378" s="69">
        <v>9</v>
      </c>
      <c r="D378" s="69">
        <v>9</v>
      </c>
      <c r="E378" s="69">
        <v>6.8</v>
      </c>
      <c r="F378" s="69">
        <v>6</v>
      </c>
      <c r="G378" s="5">
        <f>'расчёт зарплаты'!K16</f>
        <v>31556.880000000001</v>
      </c>
      <c r="H378" s="5">
        <f>E378*G378*12+((D378-E378)*G378/2*12)</f>
        <v>2991592.2240000004</v>
      </c>
      <c r="I378" s="5">
        <f t="shared" si="94"/>
        <v>903460.85164800007</v>
      </c>
      <c r="J378" s="5">
        <f t="shared" si="95"/>
        <v>3895053.0756480005</v>
      </c>
    </row>
    <row r="379" spans="1:10" x14ac:dyDescent="0.25">
      <c r="A379" s="9">
        <v>4</v>
      </c>
      <c r="B379" s="10" t="s">
        <v>19</v>
      </c>
      <c r="C379" s="69">
        <v>2</v>
      </c>
      <c r="D379" s="69">
        <v>2</v>
      </c>
      <c r="E379" s="69">
        <v>2</v>
      </c>
      <c r="F379" s="69">
        <v>2</v>
      </c>
      <c r="G379" s="5">
        <f>'расчёт зарплаты'!K18</f>
        <v>31556.880000000001</v>
      </c>
      <c r="H379" s="5">
        <f>E379*G379*12+((D379-E379)*G379/2*12)</f>
        <v>757365.12</v>
      </c>
      <c r="I379" s="5">
        <f t="shared" si="94"/>
        <v>228724.26624</v>
      </c>
      <c r="J379" s="5">
        <f t="shared" si="95"/>
        <v>986089.38624000002</v>
      </c>
    </row>
    <row r="380" spans="1:10" x14ac:dyDescent="0.25">
      <c r="A380" s="9">
        <v>5</v>
      </c>
      <c r="B380" s="10"/>
      <c r="C380" s="69"/>
      <c r="D380" s="69"/>
      <c r="E380" s="69"/>
      <c r="F380" s="69"/>
      <c r="G380" s="5"/>
      <c r="H380" s="5">
        <f t="shared" ref="H380:H390" si="96">E380*G380*12+((D380-E380)*G380/2*12)</f>
        <v>0</v>
      </c>
      <c r="I380" s="5">
        <f t="shared" si="94"/>
        <v>0</v>
      </c>
      <c r="J380" s="5">
        <f t="shared" si="95"/>
        <v>0</v>
      </c>
    </row>
    <row r="381" spans="1:10" x14ac:dyDescent="0.25">
      <c r="A381" s="9">
        <v>6</v>
      </c>
      <c r="B381" s="10" t="s">
        <v>21</v>
      </c>
      <c r="C381" s="69">
        <v>2</v>
      </c>
      <c r="D381" s="69">
        <v>2</v>
      </c>
      <c r="E381" s="69">
        <v>1</v>
      </c>
      <c r="F381" s="69">
        <v>1</v>
      </c>
      <c r="G381" s="5">
        <f>'расчёт зарплаты'!K22</f>
        <v>31556.880000000001</v>
      </c>
      <c r="H381" s="5">
        <f t="shared" si="96"/>
        <v>568023.84</v>
      </c>
      <c r="I381" s="5">
        <f t="shared" si="94"/>
        <v>171543.19967999999</v>
      </c>
      <c r="J381" s="5">
        <f t="shared" si="95"/>
        <v>739567.03967999993</v>
      </c>
    </row>
    <row r="382" spans="1:10" ht="14.4" x14ac:dyDescent="0.3">
      <c r="A382" s="111" t="s">
        <v>43</v>
      </c>
      <c r="B382" s="111"/>
      <c r="C382" s="14">
        <f>C383+C384+C385+C386+C387+C388+C389+C390</f>
        <v>6</v>
      </c>
      <c r="D382" s="14">
        <f t="shared" ref="D382:F382" si="97">D383+D384+D385+D386+D387+D388+D389+D390</f>
        <v>5.25</v>
      </c>
      <c r="E382" s="14">
        <f t="shared" si="97"/>
        <v>2</v>
      </c>
      <c r="F382" s="14">
        <f t="shared" si="97"/>
        <v>1</v>
      </c>
      <c r="G382" s="5"/>
      <c r="H382" s="5">
        <f>SUM(H383:H390)</f>
        <v>1628184</v>
      </c>
      <c r="I382" s="5">
        <f>SUM(I383:I390)</f>
        <v>491711.56799999997</v>
      </c>
      <c r="J382" s="5">
        <f>SUM(J383:J390)</f>
        <v>2119895.568</v>
      </c>
    </row>
    <row r="383" spans="1:10" ht="26.4" x14ac:dyDescent="0.25">
      <c r="A383" s="9">
        <v>1</v>
      </c>
      <c r="B383" s="10" t="s">
        <v>22</v>
      </c>
      <c r="C383" s="69">
        <v>1.25</v>
      </c>
      <c r="D383" s="69">
        <v>1.25</v>
      </c>
      <c r="E383" s="69">
        <v>1</v>
      </c>
      <c r="F383" s="69">
        <v>0</v>
      </c>
      <c r="G383" s="5">
        <f>'расчёт зарплаты'!K24</f>
        <v>39984</v>
      </c>
      <c r="H383" s="5">
        <f t="shared" si="96"/>
        <v>539784</v>
      </c>
      <c r="I383" s="5">
        <f t="shared" ref="I383:I390" si="98">H383*30.2%</f>
        <v>163014.76799999998</v>
      </c>
      <c r="J383" s="5">
        <f t="shared" ref="J383:J390" si="99">H383+I383</f>
        <v>702798.76799999992</v>
      </c>
    </row>
    <row r="384" spans="1:10" x14ac:dyDescent="0.25">
      <c r="A384" s="9">
        <v>2</v>
      </c>
      <c r="B384" s="10" t="s">
        <v>23</v>
      </c>
      <c r="C384" s="12">
        <v>0</v>
      </c>
      <c r="D384" s="12">
        <v>0</v>
      </c>
      <c r="E384" s="12">
        <v>0</v>
      </c>
      <c r="F384" s="12">
        <v>0</v>
      </c>
      <c r="G384" s="5"/>
      <c r="H384" s="5">
        <f t="shared" si="96"/>
        <v>0</v>
      </c>
      <c r="I384" s="5">
        <f t="shared" si="98"/>
        <v>0</v>
      </c>
      <c r="J384" s="5">
        <f t="shared" si="99"/>
        <v>0</v>
      </c>
    </row>
    <row r="385" spans="1:10" ht="26.4" x14ac:dyDescent="0.25">
      <c r="A385" s="9">
        <v>3</v>
      </c>
      <c r="B385" s="10" t="s">
        <v>24</v>
      </c>
      <c r="C385" s="69">
        <v>0.5</v>
      </c>
      <c r="D385" s="69">
        <v>0.5</v>
      </c>
      <c r="E385" s="69">
        <v>0</v>
      </c>
      <c r="F385" s="69">
        <v>0</v>
      </c>
      <c r="G385" s="5">
        <f>'расчёт зарплаты'!K28</f>
        <v>36256</v>
      </c>
      <c r="H385" s="5">
        <f t="shared" si="96"/>
        <v>108768</v>
      </c>
      <c r="I385" s="5">
        <f t="shared" si="98"/>
        <v>32847.936000000002</v>
      </c>
      <c r="J385" s="5">
        <f t="shared" si="99"/>
        <v>141615.93599999999</v>
      </c>
    </row>
    <row r="386" spans="1:10" x14ac:dyDescent="0.25">
      <c r="A386" s="9">
        <v>4</v>
      </c>
      <c r="B386" s="10" t="s">
        <v>25</v>
      </c>
      <c r="C386" s="69">
        <v>1</v>
      </c>
      <c r="D386" s="69">
        <v>1</v>
      </c>
      <c r="E386" s="69">
        <v>0</v>
      </c>
      <c r="F386" s="69">
        <v>0</v>
      </c>
      <c r="G386" s="5">
        <f>'расчёт зарплаты'!K36</f>
        <v>32320</v>
      </c>
      <c r="H386" s="5">
        <f t="shared" si="96"/>
        <v>193920</v>
      </c>
      <c r="I386" s="5">
        <f t="shared" si="98"/>
        <v>58563.839999999997</v>
      </c>
      <c r="J386" s="5">
        <f t="shared" si="99"/>
        <v>252483.84</v>
      </c>
    </row>
    <row r="387" spans="1:10" x14ac:dyDescent="0.25">
      <c r="A387" s="9">
        <v>5</v>
      </c>
      <c r="B387" s="10" t="s">
        <v>26</v>
      </c>
      <c r="C387" s="69">
        <v>1.5</v>
      </c>
      <c r="D387" s="69">
        <v>1.5</v>
      </c>
      <c r="E387" s="69">
        <v>1</v>
      </c>
      <c r="F387" s="69">
        <v>1</v>
      </c>
      <c r="G387" s="5">
        <f>'расчёт зарплаты'!K34</f>
        <v>33936</v>
      </c>
      <c r="H387" s="5">
        <f t="shared" si="96"/>
        <v>509040</v>
      </c>
      <c r="I387" s="5">
        <f t="shared" si="98"/>
        <v>153730.07999999999</v>
      </c>
      <c r="J387" s="5">
        <f t="shared" si="99"/>
        <v>662770.07999999996</v>
      </c>
    </row>
    <row r="388" spans="1:10" x14ac:dyDescent="0.25">
      <c r="A388" s="9">
        <v>6</v>
      </c>
      <c r="B388" s="10" t="s">
        <v>28</v>
      </c>
      <c r="C388" s="12">
        <v>0</v>
      </c>
      <c r="D388" s="12">
        <v>0</v>
      </c>
      <c r="E388" s="12">
        <v>0</v>
      </c>
      <c r="F388" s="12">
        <v>0</v>
      </c>
      <c r="G388" s="5">
        <f>'расчёт зарплаты'!K40</f>
        <v>33936</v>
      </c>
      <c r="H388" s="5">
        <f t="shared" si="96"/>
        <v>0</v>
      </c>
      <c r="I388" s="5">
        <f t="shared" si="98"/>
        <v>0</v>
      </c>
      <c r="J388" s="5">
        <f t="shared" si="99"/>
        <v>0</v>
      </c>
    </row>
    <row r="389" spans="1:10" ht="26.4" x14ac:dyDescent="0.25">
      <c r="A389" s="9"/>
      <c r="B389" s="10" t="s">
        <v>98</v>
      </c>
      <c r="C389" s="69">
        <v>0.75</v>
      </c>
      <c r="D389" s="69">
        <v>0</v>
      </c>
      <c r="E389" s="69">
        <v>0</v>
      </c>
      <c r="F389" s="69">
        <v>0</v>
      </c>
      <c r="G389" s="5">
        <f>'расчёт зарплаты'!K32</f>
        <v>36808</v>
      </c>
      <c r="H389" s="5">
        <f t="shared" si="96"/>
        <v>0</v>
      </c>
      <c r="I389" s="5">
        <f t="shared" si="98"/>
        <v>0</v>
      </c>
      <c r="J389" s="5">
        <f t="shared" si="99"/>
        <v>0</v>
      </c>
    </row>
    <row r="390" spans="1:10" ht="26.4" x14ac:dyDescent="0.25">
      <c r="A390" s="9">
        <v>1</v>
      </c>
      <c r="B390" s="10" t="s">
        <v>9</v>
      </c>
      <c r="C390" s="69">
        <v>1</v>
      </c>
      <c r="D390" s="69">
        <v>1</v>
      </c>
      <c r="E390" s="69">
        <v>0</v>
      </c>
      <c r="F390" s="69">
        <v>0</v>
      </c>
      <c r="G390" s="5">
        <f>'расчёт зарплаты'!K6</f>
        <v>46112</v>
      </c>
      <c r="H390" s="5">
        <f t="shared" si="96"/>
        <v>276672</v>
      </c>
      <c r="I390" s="5">
        <f t="shared" si="98"/>
        <v>83554.944000000003</v>
      </c>
      <c r="J390" s="5">
        <f t="shared" si="99"/>
        <v>360226.94400000002</v>
      </c>
    </row>
    <row r="391" spans="1:10" x14ac:dyDescent="0.25">
      <c r="A391" s="4"/>
      <c r="B391" s="105" t="s">
        <v>58</v>
      </c>
      <c r="C391" s="105"/>
      <c r="D391" s="105"/>
      <c r="E391" s="105"/>
      <c r="F391" s="105"/>
      <c r="G391" s="105"/>
      <c r="H391" s="105"/>
      <c r="I391" s="105"/>
      <c r="J391" s="105"/>
    </row>
    <row r="392" spans="1:10" ht="13.8" x14ac:dyDescent="0.3">
      <c r="A392" s="106" t="s">
        <v>38</v>
      </c>
      <c r="B392" s="107"/>
      <c r="C392" s="4">
        <f>C393+C398</f>
        <v>14.25</v>
      </c>
      <c r="D392" s="4">
        <f>D393+D398</f>
        <v>12.75</v>
      </c>
      <c r="E392" s="4">
        <f>E393+E398</f>
        <v>10</v>
      </c>
      <c r="F392" s="4">
        <f>F393+F398</f>
        <v>9</v>
      </c>
      <c r="G392" s="5"/>
      <c r="H392" s="5"/>
      <c r="I392" s="5"/>
      <c r="J392" s="8">
        <f>J393+J398</f>
        <v>5782565.7983520003</v>
      </c>
    </row>
    <row r="393" spans="1:10" ht="14.4" x14ac:dyDescent="0.3">
      <c r="A393" s="108" t="s">
        <v>39</v>
      </c>
      <c r="B393" s="109"/>
      <c r="C393" s="4">
        <f>C394+C395</f>
        <v>4</v>
      </c>
      <c r="D393" s="4">
        <f>D394+D395</f>
        <v>4</v>
      </c>
      <c r="E393" s="4">
        <f>E394+E395</f>
        <v>3</v>
      </c>
      <c r="F393" s="4">
        <f>F394+F395</f>
        <v>3</v>
      </c>
      <c r="G393" s="8"/>
      <c r="H393" s="8">
        <f>H394+H395+H397</f>
        <v>1428330.8160000001</v>
      </c>
      <c r="I393" s="8">
        <f>I394+I395</f>
        <v>431355.90643200005</v>
      </c>
      <c r="J393" s="8">
        <f>J394+J395</f>
        <v>1859686.7224320001</v>
      </c>
    </row>
    <row r="394" spans="1:10" x14ac:dyDescent="0.25">
      <c r="A394" s="9">
        <v>2</v>
      </c>
      <c r="B394" s="10" t="s">
        <v>11</v>
      </c>
      <c r="C394" s="68">
        <v>3</v>
      </c>
      <c r="D394" s="68">
        <v>3</v>
      </c>
      <c r="E394" s="68">
        <v>3</v>
      </c>
      <c r="F394" s="68">
        <v>3</v>
      </c>
      <c r="G394" s="5">
        <f>'расчёт зарплаты'!K8</f>
        <v>34019.856</v>
      </c>
      <c r="H394" s="5">
        <f>E394*G394*12+((D394-E394)*G394/2*12)</f>
        <v>1224714.8160000001</v>
      </c>
      <c r="I394" s="5">
        <f>H394*30.2%</f>
        <v>369863.87443200004</v>
      </c>
      <c r="J394" s="5">
        <f>H394+I394</f>
        <v>1594578.6904320002</v>
      </c>
    </row>
    <row r="395" spans="1:10" ht="52.8" x14ac:dyDescent="0.25">
      <c r="A395" s="9">
        <v>3</v>
      </c>
      <c r="B395" s="10" t="s">
        <v>12</v>
      </c>
      <c r="C395" s="63">
        <v>1</v>
      </c>
      <c r="D395" s="63">
        <v>1</v>
      </c>
      <c r="E395" s="63">
        <v>0</v>
      </c>
      <c r="F395" s="63">
        <v>0</v>
      </c>
      <c r="G395" s="5">
        <f>'расчёт зарплаты'!K10</f>
        <v>33936</v>
      </c>
      <c r="H395" s="5">
        <f>E395*G395*12+((D395-E395)*G395/2*12)</f>
        <v>203616</v>
      </c>
      <c r="I395" s="5">
        <f>H395*30.2%</f>
        <v>61492.031999999999</v>
      </c>
      <c r="J395" s="5">
        <f>H395+I395</f>
        <v>265108.03200000001</v>
      </c>
    </row>
    <row r="396" spans="1:10" ht="26.4" x14ac:dyDescent="0.25">
      <c r="A396" s="9">
        <v>4</v>
      </c>
      <c r="B396" s="10" t="s">
        <v>40</v>
      </c>
      <c r="C396" s="4"/>
      <c r="D396" s="4">
        <v>0</v>
      </c>
      <c r="E396" s="4">
        <v>0</v>
      </c>
      <c r="F396" s="4">
        <v>0</v>
      </c>
      <c r="G396" s="5"/>
      <c r="H396" s="5">
        <f>E396*G396*12+((D396-E396)*G396/2*12)</f>
        <v>0</v>
      </c>
      <c r="I396" s="5"/>
      <c r="J396" s="5"/>
    </row>
    <row r="397" spans="1:10" x14ac:dyDescent="0.25">
      <c r="A397" s="9">
        <v>5</v>
      </c>
      <c r="B397" s="10" t="s">
        <v>20</v>
      </c>
      <c r="C397" s="4">
        <v>1</v>
      </c>
      <c r="D397" s="4">
        <v>0</v>
      </c>
      <c r="E397" s="4">
        <v>0</v>
      </c>
      <c r="F397" s="4">
        <v>0</v>
      </c>
      <c r="G397" s="5">
        <f>'расчёт зарплаты'!K20</f>
        <v>31556.880000000001</v>
      </c>
      <c r="H397" s="5">
        <f>E397*G397*12+((D397-E397)*G397/2*12)</f>
        <v>0</v>
      </c>
      <c r="I397" s="5"/>
      <c r="J397" s="5"/>
    </row>
    <row r="398" spans="1:10" ht="14.4" x14ac:dyDescent="0.3">
      <c r="A398" s="110" t="s">
        <v>41</v>
      </c>
      <c r="B398" s="110"/>
      <c r="C398" s="4">
        <f>C399+C406</f>
        <v>10.25</v>
      </c>
      <c r="D398" s="4">
        <f>D399+D406</f>
        <v>8.75</v>
      </c>
      <c r="E398" s="4">
        <f>E399+E406</f>
        <v>7</v>
      </c>
      <c r="F398" s="77">
        <f>F399+F406</f>
        <v>6</v>
      </c>
      <c r="G398" s="5"/>
      <c r="H398" s="8">
        <f>H399+H406</f>
        <v>3012963.96</v>
      </c>
      <c r="I398" s="8">
        <f>I399+I406</f>
        <v>909915.11592000001</v>
      </c>
      <c r="J398" s="8">
        <f>J399+J406</f>
        <v>3922879.0759200002</v>
      </c>
    </row>
    <row r="399" spans="1:10" ht="14.4" x14ac:dyDescent="0.3">
      <c r="A399" s="111" t="s">
        <v>42</v>
      </c>
      <c r="B399" s="111"/>
      <c r="C399" s="4">
        <f>C400+C401+C402+C403+C404+C405</f>
        <v>8.5</v>
      </c>
      <c r="D399" s="4">
        <f>D400+D401+D402+D403+D404+D405</f>
        <v>7.25</v>
      </c>
      <c r="E399" s="4">
        <f>E400+E401+E402+E403+E404+E405</f>
        <v>6</v>
      </c>
      <c r="F399" s="4">
        <f>F400+F401+F402+F403+F404+F405</f>
        <v>5</v>
      </c>
      <c r="G399" s="5"/>
      <c r="H399" s="5">
        <f>SUM(H400:H405)</f>
        <v>2508771.96</v>
      </c>
      <c r="I399" s="5">
        <f>SUM(I400:I405)</f>
        <v>757649.13191999996</v>
      </c>
      <c r="J399" s="5">
        <f>SUM(J400:J405)</f>
        <v>3266421.09192</v>
      </c>
    </row>
    <row r="400" spans="1:10" x14ac:dyDescent="0.25">
      <c r="A400" s="9">
        <v>1</v>
      </c>
      <c r="B400" s="10" t="s">
        <v>15</v>
      </c>
      <c r="C400" s="4"/>
      <c r="D400" s="4">
        <v>0</v>
      </c>
      <c r="E400" s="4">
        <v>0</v>
      </c>
      <c r="F400" s="4">
        <v>0</v>
      </c>
      <c r="G400" s="5"/>
      <c r="H400" s="5">
        <f>E400*G400*12+((D400-E400)*G400/2*12)</f>
        <v>0</v>
      </c>
      <c r="I400" s="5">
        <f t="shared" ref="I400:I405" si="100">H400*30.2%</f>
        <v>0</v>
      </c>
      <c r="J400" s="5">
        <f t="shared" ref="J400:J405" si="101">H400+I400</f>
        <v>0</v>
      </c>
    </row>
    <row r="401" spans="1:10" x14ac:dyDescent="0.25">
      <c r="A401" s="9">
        <v>2</v>
      </c>
      <c r="B401" s="10" t="s">
        <v>17</v>
      </c>
      <c r="C401" s="4"/>
      <c r="D401" s="4">
        <v>0</v>
      </c>
      <c r="E401" s="4">
        <v>0</v>
      </c>
      <c r="F401" s="4">
        <v>0</v>
      </c>
      <c r="G401" s="5"/>
      <c r="H401" s="5">
        <f>E401*G401*12+((D401-E401)*G401/2*12)</f>
        <v>0</v>
      </c>
      <c r="I401" s="5">
        <f t="shared" si="100"/>
        <v>0</v>
      </c>
      <c r="J401" s="5">
        <f t="shared" si="101"/>
        <v>0</v>
      </c>
    </row>
    <row r="402" spans="1:10" ht="39.6" x14ac:dyDescent="0.25">
      <c r="A402" s="9">
        <v>3</v>
      </c>
      <c r="B402" s="10" t="s">
        <v>18</v>
      </c>
      <c r="C402" s="63">
        <v>5.75</v>
      </c>
      <c r="D402" s="63">
        <v>5.75</v>
      </c>
      <c r="E402" s="87">
        <v>5</v>
      </c>
      <c r="F402" s="63">
        <v>4</v>
      </c>
      <c r="G402" s="5">
        <f>'расчёт зарплаты'!K16</f>
        <v>31556.880000000001</v>
      </c>
      <c r="H402" s="5">
        <f>E402*G402*12+((D402-E402)*G402/2*12)</f>
        <v>2035418.7599999998</v>
      </c>
      <c r="I402" s="5">
        <f t="shared" si="100"/>
        <v>614696.46551999997</v>
      </c>
      <c r="J402" s="5">
        <f t="shared" si="101"/>
        <v>2650115.2255199999</v>
      </c>
    </row>
    <row r="403" spans="1:10" x14ac:dyDescent="0.25">
      <c r="A403" s="9">
        <v>4</v>
      </c>
      <c r="B403" s="10" t="s">
        <v>19</v>
      </c>
      <c r="C403" s="63">
        <v>1</v>
      </c>
      <c r="D403" s="63">
        <v>1</v>
      </c>
      <c r="E403" s="63">
        <v>1</v>
      </c>
      <c r="F403" s="63">
        <v>1</v>
      </c>
      <c r="G403" s="5">
        <f>'расчёт зарплаты'!K18</f>
        <v>31556.880000000001</v>
      </c>
      <c r="H403" s="5">
        <f>E403*G403*12+((D403-E403)*G403/2*12)</f>
        <v>378682.56</v>
      </c>
      <c r="I403" s="5">
        <f t="shared" si="100"/>
        <v>114362.13312</v>
      </c>
      <c r="J403" s="5">
        <f t="shared" si="101"/>
        <v>493044.69312000001</v>
      </c>
    </row>
    <row r="404" spans="1:10" x14ac:dyDescent="0.25">
      <c r="A404" s="9">
        <v>5</v>
      </c>
      <c r="B404" s="10" t="s">
        <v>20</v>
      </c>
      <c r="C404" s="63">
        <v>1</v>
      </c>
      <c r="D404" s="63">
        <v>0</v>
      </c>
      <c r="E404" s="63">
        <v>0</v>
      </c>
      <c r="F404" s="63">
        <v>0</v>
      </c>
      <c r="G404" s="5">
        <f>'расчёт зарплаты'!K20</f>
        <v>31556.880000000001</v>
      </c>
      <c r="H404" s="5">
        <f t="shared" ref="H404:H414" si="102">E404*G404*12+((D404-E404)*G404/2*12)</f>
        <v>0</v>
      </c>
      <c r="I404" s="5">
        <f t="shared" si="100"/>
        <v>0</v>
      </c>
      <c r="J404" s="5">
        <f t="shared" si="101"/>
        <v>0</v>
      </c>
    </row>
    <row r="405" spans="1:10" x14ac:dyDescent="0.25">
      <c r="A405" s="9">
        <v>6</v>
      </c>
      <c r="B405" s="10" t="s">
        <v>21</v>
      </c>
      <c r="C405" s="63">
        <v>0.75</v>
      </c>
      <c r="D405" s="63">
        <v>0.5</v>
      </c>
      <c r="E405" s="63">
        <v>0</v>
      </c>
      <c r="F405" s="63">
        <v>0</v>
      </c>
      <c r="G405" s="5">
        <f>'расчёт зарплаты'!K22</f>
        <v>31556.880000000001</v>
      </c>
      <c r="H405" s="5">
        <f t="shared" si="102"/>
        <v>94670.64</v>
      </c>
      <c r="I405" s="5">
        <f t="shared" si="100"/>
        <v>28590.53328</v>
      </c>
      <c r="J405" s="5">
        <f t="shared" si="101"/>
        <v>123261.17328</v>
      </c>
    </row>
    <row r="406" spans="1:10" ht="14.4" x14ac:dyDescent="0.3">
      <c r="A406" s="111" t="s">
        <v>43</v>
      </c>
      <c r="B406" s="111"/>
      <c r="C406" s="4">
        <f>C407+C408+C409+C410+C411+C412+C413+C414</f>
        <v>1.75</v>
      </c>
      <c r="D406" s="4">
        <f t="shared" ref="D406:F406" si="103">D407+D408+D409+D410+D411+D412+D413+D414</f>
        <v>1.5</v>
      </c>
      <c r="E406" s="4">
        <f t="shared" si="103"/>
        <v>1</v>
      </c>
      <c r="F406" s="4">
        <f t="shared" si="103"/>
        <v>1</v>
      </c>
      <c r="G406" s="5"/>
      <c r="H406" s="5">
        <f>SUM(H407:H414)</f>
        <v>504192</v>
      </c>
      <c r="I406" s="5">
        <f>SUM(I407:I414)</f>
        <v>152265.984</v>
      </c>
      <c r="J406" s="5">
        <f>SUM(J407:J414)</f>
        <v>656457.98400000005</v>
      </c>
    </row>
    <row r="407" spans="1:10" ht="26.4" x14ac:dyDescent="0.25">
      <c r="A407" s="9">
        <v>1</v>
      </c>
      <c r="B407" s="10" t="s">
        <v>22</v>
      </c>
      <c r="C407" s="4"/>
      <c r="D407" s="4">
        <v>0</v>
      </c>
      <c r="E407" s="4">
        <v>0</v>
      </c>
      <c r="F407" s="4">
        <v>0</v>
      </c>
      <c r="G407" s="5"/>
      <c r="H407" s="5">
        <f t="shared" si="102"/>
        <v>0</v>
      </c>
      <c r="I407" s="5">
        <f t="shared" ref="I407:I414" si="104">H407*30.2%</f>
        <v>0</v>
      </c>
      <c r="J407" s="5">
        <f t="shared" ref="J407:J414" si="105">H407+I407</f>
        <v>0</v>
      </c>
    </row>
    <row r="408" spans="1:10" x14ac:dyDescent="0.25">
      <c r="A408" s="9">
        <v>2</v>
      </c>
      <c r="B408" s="10" t="s">
        <v>23</v>
      </c>
      <c r="C408" s="4"/>
      <c r="D408" s="4">
        <v>0</v>
      </c>
      <c r="E408" s="4">
        <v>0</v>
      </c>
      <c r="F408" s="4">
        <v>0</v>
      </c>
      <c r="G408" s="5"/>
      <c r="H408" s="5">
        <f t="shared" si="102"/>
        <v>0</v>
      </c>
      <c r="I408" s="5">
        <f t="shared" si="104"/>
        <v>0</v>
      </c>
      <c r="J408" s="5">
        <f t="shared" si="105"/>
        <v>0</v>
      </c>
    </row>
    <row r="409" spans="1:10" ht="26.4" x14ac:dyDescent="0.25">
      <c r="A409" s="9">
        <v>3</v>
      </c>
      <c r="B409" s="10" t="s">
        <v>24</v>
      </c>
      <c r="C409" s="4"/>
      <c r="D409" s="4">
        <v>0</v>
      </c>
      <c r="E409" s="4">
        <v>0</v>
      </c>
      <c r="F409" s="4">
        <v>0</v>
      </c>
      <c r="G409" s="5"/>
      <c r="H409" s="5">
        <f t="shared" si="102"/>
        <v>0</v>
      </c>
      <c r="I409" s="5">
        <f t="shared" si="104"/>
        <v>0</v>
      </c>
      <c r="J409" s="5">
        <f t="shared" si="105"/>
        <v>0</v>
      </c>
    </row>
    <row r="410" spans="1:10" x14ac:dyDescent="0.25">
      <c r="A410" s="9">
        <v>4</v>
      </c>
      <c r="B410" s="10" t="s">
        <v>25</v>
      </c>
      <c r="C410" s="63">
        <v>0.5</v>
      </c>
      <c r="D410" s="63">
        <v>0.5</v>
      </c>
      <c r="E410" s="63">
        <v>0</v>
      </c>
      <c r="F410" s="63">
        <v>0</v>
      </c>
      <c r="G410" s="5">
        <f>'расчёт зарплаты'!K36</f>
        <v>32320</v>
      </c>
      <c r="H410" s="5">
        <f t="shared" si="102"/>
        <v>96960</v>
      </c>
      <c r="I410" s="5">
        <f t="shared" si="104"/>
        <v>29281.919999999998</v>
      </c>
      <c r="J410" s="5">
        <f t="shared" si="105"/>
        <v>126241.92</v>
      </c>
    </row>
    <row r="411" spans="1:10" x14ac:dyDescent="0.25">
      <c r="A411" s="9">
        <v>5</v>
      </c>
      <c r="B411" s="10" t="s">
        <v>26</v>
      </c>
      <c r="C411" s="4"/>
      <c r="D411" s="4">
        <v>0</v>
      </c>
      <c r="E411" s="4">
        <v>0</v>
      </c>
      <c r="F411" s="4">
        <v>0</v>
      </c>
      <c r="G411" s="5"/>
      <c r="H411" s="5">
        <f t="shared" si="102"/>
        <v>0</v>
      </c>
      <c r="I411" s="5">
        <f t="shared" si="104"/>
        <v>0</v>
      </c>
      <c r="J411" s="5">
        <f t="shared" si="105"/>
        <v>0</v>
      </c>
    </row>
    <row r="412" spans="1:10" x14ac:dyDescent="0.25">
      <c r="A412" s="9">
        <v>6</v>
      </c>
      <c r="B412" s="10" t="s">
        <v>28</v>
      </c>
      <c r="C412" s="63">
        <v>1</v>
      </c>
      <c r="D412" s="63">
        <v>1</v>
      </c>
      <c r="E412" s="63">
        <v>1</v>
      </c>
      <c r="F412" s="63">
        <v>1</v>
      </c>
      <c r="G412" s="5">
        <f>'расчёт зарплаты'!K40</f>
        <v>33936</v>
      </c>
      <c r="H412" s="5">
        <f t="shared" si="102"/>
        <v>407232</v>
      </c>
      <c r="I412" s="5">
        <f t="shared" si="104"/>
        <v>122984.064</v>
      </c>
      <c r="J412" s="5">
        <f t="shared" si="105"/>
        <v>530216.06400000001</v>
      </c>
    </row>
    <row r="413" spans="1:10" ht="26.4" x14ac:dyDescent="0.25">
      <c r="A413" s="9"/>
      <c r="B413" s="10" t="s">
        <v>98</v>
      </c>
      <c r="C413" s="63">
        <v>0.25</v>
      </c>
      <c r="D413" s="63">
        <v>0</v>
      </c>
      <c r="E413" s="63">
        <v>0</v>
      </c>
      <c r="F413" s="63">
        <v>0</v>
      </c>
      <c r="G413" s="5">
        <f>'расчёт зарплаты'!K32</f>
        <v>36808</v>
      </c>
      <c r="H413" s="5">
        <f t="shared" si="102"/>
        <v>0</v>
      </c>
      <c r="I413" s="5">
        <f t="shared" si="104"/>
        <v>0</v>
      </c>
      <c r="J413" s="5">
        <f t="shared" si="105"/>
        <v>0</v>
      </c>
    </row>
    <row r="414" spans="1:10" ht="26.4" x14ac:dyDescent="0.25">
      <c r="A414" s="9">
        <v>1</v>
      </c>
      <c r="B414" s="10" t="s">
        <v>9</v>
      </c>
      <c r="C414" s="4"/>
      <c r="D414" s="4">
        <v>0</v>
      </c>
      <c r="E414" s="4">
        <v>0</v>
      </c>
      <c r="F414" s="4">
        <v>0</v>
      </c>
      <c r="G414" s="5"/>
      <c r="H414" s="5">
        <f t="shared" si="102"/>
        <v>0</v>
      </c>
      <c r="I414" s="5">
        <f t="shared" si="104"/>
        <v>0</v>
      </c>
      <c r="J414" s="5">
        <f t="shared" si="105"/>
        <v>0</v>
      </c>
    </row>
    <row r="415" spans="1:10" x14ac:dyDescent="0.25">
      <c r="A415" s="4"/>
      <c r="B415" s="105" t="s">
        <v>59</v>
      </c>
      <c r="C415" s="105"/>
      <c r="D415" s="105"/>
      <c r="E415" s="105"/>
      <c r="F415" s="105"/>
      <c r="G415" s="105"/>
      <c r="H415" s="105"/>
      <c r="I415" s="105"/>
      <c r="J415" s="105"/>
    </row>
    <row r="416" spans="1:10" ht="13.8" x14ac:dyDescent="0.3">
      <c r="A416" s="106" t="s">
        <v>38</v>
      </c>
      <c r="B416" s="107"/>
      <c r="C416" s="4">
        <f>C417+C422</f>
        <v>43.75</v>
      </c>
      <c r="D416" s="4">
        <f>D417+D422</f>
        <v>40</v>
      </c>
      <c r="E416" s="4">
        <f>E417+E422</f>
        <v>23.4</v>
      </c>
      <c r="F416" s="4">
        <f>F417+F422</f>
        <v>24</v>
      </c>
      <c r="G416" s="5"/>
      <c r="H416" s="5"/>
      <c r="I416" s="5"/>
      <c r="J416" s="8">
        <f>J417+J422</f>
        <v>16050706.939008003</v>
      </c>
    </row>
    <row r="417" spans="1:10" ht="14.4" x14ac:dyDescent="0.3">
      <c r="A417" s="108" t="s">
        <v>39</v>
      </c>
      <c r="B417" s="109"/>
      <c r="C417" s="4">
        <f>C418+C419</f>
        <v>8</v>
      </c>
      <c r="D417" s="4">
        <f>D418+D419</f>
        <v>8</v>
      </c>
      <c r="E417" s="4">
        <f>E418+E419</f>
        <v>7</v>
      </c>
      <c r="F417" s="4">
        <f>F418+F419</f>
        <v>7</v>
      </c>
      <c r="G417" s="5"/>
      <c r="H417" s="8">
        <f>H418+H419</f>
        <v>3060277.6320000002</v>
      </c>
      <c r="I417" s="8">
        <f>I418+I419</f>
        <v>924203.8448640001</v>
      </c>
      <c r="J417" s="8">
        <f>J418+J419</f>
        <v>3984481.4768640003</v>
      </c>
    </row>
    <row r="418" spans="1:10" x14ac:dyDescent="0.25">
      <c r="A418" s="9">
        <v>2</v>
      </c>
      <c r="B418" s="10" t="s">
        <v>11</v>
      </c>
      <c r="C418" s="68">
        <v>6</v>
      </c>
      <c r="D418" s="68">
        <v>6</v>
      </c>
      <c r="E418" s="68">
        <v>6</v>
      </c>
      <c r="F418" s="68">
        <v>6</v>
      </c>
      <c r="G418" s="5">
        <f>'расчёт зарплаты'!K8</f>
        <v>34019.856</v>
      </c>
      <c r="H418" s="5">
        <f>E418*G418*12+((D418-E418)*G418/2*12)</f>
        <v>2449429.6320000002</v>
      </c>
      <c r="I418" s="5">
        <f>H418*30.2%</f>
        <v>739727.74886400008</v>
      </c>
      <c r="J418" s="5">
        <f>H418+I418</f>
        <v>3189157.3808640004</v>
      </c>
    </row>
    <row r="419" spans="1:10" ht="52.8" x14ac:dyDescent="0.25">
      <c r="A419" s="9">
        <v>3</v>
      </c>
      <c r="B419" s="10" t="s">
        <v>12</v>
      </c>
      <c r="C419" s="63">
        <v>2</v>
      </c>
      <c r="D419" s="63">
        <v>2</v>
      </c>
      <c r="E419" s="63">
        <v>1</v>
      </c>
      <c r="F419" s="63">
        <v>1</v>
      </c>
      <c r="G419" s="5">
        <f>'расчёт зарплаты'!K10</f>
        <v>33936</v>
      </c>
      <c r="H419" s="5">
        <f>E419*G419*12+((D419-E419)*G419/2*12)</f>
        <v>610848</v>
      </c>
      <c r="I419" s="5">
        <f>H419*30.2%</f>
        <v>184476.09599999999</v>
      </c>
      <c r="J419" s="5">
        <f>H419+I419</f>
        <v>795324.09600000002</v>
      </c>
    </row>
    <row r="420" spans="1:10" ht="26.4" x14ac:dyDescent="0.25">
      <c r="A420" s="9">
        <v>4</v>
      </c>
      <c r="B420" s="10" t="s">
        <v>40</v>
      </c>
      <c r="C420" s="4"/>
      <c r="D420" s="4">
        <v>0</v>
      </c>
      <c r="E420" s="4">
        <v>0</v>
      </c>
      <c r="F420" s="4">
        <v>0</v>
      </c>
      <c r="G420" s="5"/>
      <c r="H420" s="5">
        <f>E420*G420*12+((D420-E420)*G420/2*12)</f>
        <v>0</v>
      </c>
      <c r="I420" s="5"/>
      <c r="J420" s="5"/>
    </row>
    <row r="421" spans="1:10" x14ac:dyDescent="0.25">
      <c r="A421" s="9">
        <v>5</v>
      </c>
      <c r="B421" s="10" t="s">
        <v>20</v>
      </c>
      <c r="C421" s="4"/>
      <c r="D421" s="4"/>
      <c r="E421" s="4"/>
      <c r="F421" s="4"/>
      <c r="G421" s="5"/>
      <c r="H421" s="5"/>
      <c r="I421" s="5"/>
      <c r="J421" s="5"/>
    </row>
    <row r="422" spans="1:10" ht="14.4" x14ac:dyDescent="0.3">
      <c r="A422" s="110" t="s">
        <v>41</v>
      </c>
      <c r="B422" s="110"/>
      <c r="C422" s="4">
        <f>C423+C430</f>
        <v>35.75</v>
      </c>
      <c r="D422" s="4">
        <f>D423+D430</f>
        <v>32</v>
      </c>
      <c r="E422" s="4">
        <f>E423+E430</f>
        <v>16.399999999999999</v>
      </c>
      <c r="F422" s="4">
        <f>F423+F430</f>
        <v>17</v>
      </c>
      <c r="G422" s="5"/>
      <c r="H422" s="8">
        <f>H423+H430</f>
        <v>9267454.2719999999</v>
      </c>
      <c r="I422" s="8">
        <f>I423+I430</f>
        <v>2798771.1901440001</v>
      </c>
      <c r="J422" s="8">
        <f>J423+J430</f>
        <v>12066225.462144002</v>
      </c>
    </row>
    <row r="423" spans="1:10" ht="14.4" x14ac:dyDescent="0.3">
      <c r="A423" s="111" t="s">
        <v>42</v>
      </c>
      <c r="B423" s="111"/>
      <c r="C423" s="4">
        <f>C424+C425+C426+C427+C428+C429</f>
        <v>31.5</v>
      </c>
      <c r="D423" s="4">
        <f>D424+D425+D426+D427+D428+D429</f>
        <v>28</v>
      </c>
      <c r="E423" s="4">
        <f>E424+E425+E426+E427+E428+E429</f>
        <v>14.4</v>
      </c>
      <c r="F423" s="4">
        <f>F424+F425+F426+F427+F428+F429</f>
        <v>15</v>
      </c>
      <c r="G423" s="5"/>
      <c r="H423" s="5">
        <f>SUM(H424:H429)</f>
        <v>8028070.2720000008</v>
      </c>
      <c r="I423" s="5">
        <f>SUM(I424:I429)</f>
        <v>2424477.2221440002</v>
      </c>
      <c r="J423" s="5">
        <f>SUM(J424:J429)</f>
        <v>10452547.494144002</v>
      </c>
    </row>
    <row r="424" spans="1:10" x14ac:dyDescent="0.25">
      <c r="A424" s="9">
        <v>1</v>
      </c>
      <c r="B424" s="10" t="s">
        <v>15</v>
      </c>
      <c r="C424" s="4"/>
      <c r="D424" s="4">
        <v>0</v>
      </c>
      <c r="E424" s="4">
        <v>0</v>
      </c>
      <c r="F424" s="4">
        <v>0</v>
      </c>
      <c r="G424" s="5"/>
      <c r="H424" s="5">
        <f>E424*G424*12+((D424-E424)*G424/2*12)</f>
        <v>0</v>
      </c>
      <c r="I424" s="5">
        <f t="shared" ref="I424:I429" si="106">H424*30.2%</f>
        <v>0</v>
      </c>
      <c r="J424" s="5">
        <f t="shared" ref="J424:J429" si="107">H424+I424</f>
        <v>0</v>
      </c>
    </row>
    <row r="425" spans="1:10" x14ac:dyDescent="0.25">
      <c r="A425" s="9">
        <v>2</v>
      </c>
      <c r="B425" s="10" t="s">
        <v>17</v>
      </c>
      <c r="C425" s="4"/>
      <c r="D425" s="4">
        <v>0</v>
      </c>
      <c r="E425" s="4">
        <v>0</v>
      </c>
      <c r="F425" s="4">
        <v>0</v>
      </c>
      <c r="G425" s="5"/>
      <c r="H425" s="5">
        <f>E425*G425*12+((D425-E425)*G425/2*12)</f>
        <v>0</v>
      </c>
      <c r="I425" s="5">
        <f t="shared" si="106"/>
        <v>0</v>
      </c>
      <c r="J425" s="5">
        <f t="shared" si="107"/>
        <v>0</v>
      </c>
    </row>
    <row r="426" spans="1:10" ht="39.6" x14ac:dyDescent="0.25">
      <c r="A426" s="9">
        <v>3</v>
      </c>
      <c r="B426" s="10" t="s">
        <v>18</v>
      </c>
      <c r="C426" s="63">
        <v>25.5</v>
      </c>
      <c r="D426" s="87">
        <f>20+2</f>
        <v>22</v>
      </c>
      <c r="E426" s="63">
        <v>10.4</v>
      </c>
      <c r="F426" s="63">
        <v>11</v>
      </c>
      <c r="G426" s="5">
        <f>'расчёт зарплаты'!K16</f>
        <v>31556.880000000001</v>
      </c>
      <c r="H426" s="5">
        <f>E426*G426*12+((D426-E426)*G426/2*12)</f>
        <v>6134657.472000001</v>
      </c>
      <c r="I426" s="5">
        <f t="shared" si="106"/>
        <v>1852666.5565440003</v>
      </c>
      <c r="J426" s="5">
        <f t="shared" si="107"/>
        <v>7987324.0285440013</v>
      </c>
    </row>
    <row r="427" spans="1:10" x14ac:dyDescent="0.25">
      <c r="A427" s="9">
        <v>4</v>
      </c>
      <c r="B427" s="10" t="s">
        <v>19</v>
      </c>
      <c r="C427" s="63">
        <v>4</v>
      </c>
      <c r="D427" s="63">
        <v>4</v>
      </c>
      <c r="E427" s="63">
        <v>2</v>
      </c>
      <c r="F427" s="63">
        <v>2</v>
      </c>
      <c r="G427" s="5">
        <f>'расчёт зарплаты'!K18</f>
        <v>31556.880000000001</v>
      </c>
      <c r="H427" s="5">
        <f>E427*G427*12+((D427-E427)*G427/2*12)</f>
        <v>1136047.68</v>
      </c>
      <c r="I427" s="5">
        <f t="shared" si="106"/>
        <v>343086.39935999998</v>
      </c>
      <c r="J427" s="5">
        <f t="shared" si="107"/>
        <v>1479134.0793599999</v>
      </c>
    </row>
    <row r="428" spans="1:10" x14ac:dyDescent="0.25">
      <c r="A428" s="9">
        <v>5</v>
      </c>
      <c r="B428" s="10"/>
      <c r="C428" s="4"/>
      <c r="D428" s="4"/>
      <c r="E428" s="4"/>
      <c r="F428" s="4"/>
      <c r="G428" s="5"/>
      <c r="H428" s="5"/>
      <c r="I428" s="5">
        <f t="shared" si="106"/>
        <v>0</v>
      </c>
      <c r="J428" s="5">
        <f t="shared" si="107"/>
        <v>0</v>
      </c>
    </row>
    <row r="429" spans="1:10" x14ac:dyDescent="0.25">
      <c r="A429" s="9">
        <v>6</v>
      </c>
      <c r="B429" s="10" t="s">
        <v>21</v>
      </c>
      <c r="C429" s="63">
        <v>2</v>
      </c>
      <c r="D429" s="63">
        <v>2</v>
      </c>
      <c r="E429" s="63">
        <v>2</v>
      </c>
      <c r="F429" s="63">
        <v>2</v>
      </c>
      <c r="G429" s="5">
        <f>'расчёт зарплаты'!K22</f>
        <v>31556.880000000001</v>
      </c>
      <c r="H429" s="5">
        <f t="shared" ref="H429:H438" si="108">E429*G429*12+((D429-E429)*G429/2*12)</f>
        <v>757365.12</v>
      </c>
      <c r="I429" s="5">
        <f t="shared" si="106"/>
        <v>228724.26624</v>
      </c>
      <c r="J429" s="5">
        <f t="shared" si="107"/>
        <v>986089.38624000002</v>
      </c>
    </row>
    <row r="430" spans="1:10" ht="14.4" x14ac:dyDescent="0.3">
      <c r="A430" s="111" t="s">
        <v>43</v>
      </c>
      <c r="B430" s="111"/>
      <c r="C430" s="4">
        <f>C431+C432+C433+C434+C435+C436+C437+C438</f>
        <v>4.25</v>
      </c>
      <c r="D430" s="4">
        <f t="shared" ref="D430:F430" si="109">D431+D432+D433+D434+D435+D436+D437+D438</f>
        <v>4</v>
      </c>
      <c r="E430" s="4">
        <f t="shared" si="109"/>
        <v>2</v>
      </c>
      <c r="F430" s="4">
        <f t="shared" si="109"/>
        <v>2</v>
      </c>
      <c r="G430" s="5"/>
      <c r="H430" s="5">
        <f>SUM(H431:H438)</f>
        <v>1239384</v>
      </c>
      <c r="I430" s="5">
        <f>SUM(I431:I438)</f>
        <v>374293.96799999999</v>
      </c>
      <c r="J430" s="5">
        <f>SUM(J431:J438)</f>
        <v>1613677.9679999999</v>
      </c>
    </row>
    <row r="431" spans="1:10" ht="26.4" x14ac:dyDescent="0.25">
      <c r="A431" s="9">
        <v>1</v>
      </c>
      <c r="B431" s="10" t="s">
        <v>22</v>
      </c>
      <c r="C431" s="4"/>
      <c r="D431" s="4">
        <v>0</v>
      </c>
      <c r="E431" s="4">
        <v>0</v>
      </c>
      <c r="F431" s="4">
        <v>0</v>
      </c>
      <c r="G431" s="5">
        <f>'расчёт зарплаты'!K24</f>
        <v>39984</v>
      </c>
      <c r="H431" s="5">
        <f t="shared" si="108"/>
        <v>0</v>
      </c>
      <c r="I431" s="5">
        <f t="shared" ref="I431:I438" si="110">H431*30.2%</f>
        <v>0</v>
      </c>
      <c r="J431" s="5">
        <f t="shared" ref="J431:J438" si="111">H431+I431</f>
        <v>0</v>
      </c>
    </row>
    <row r="432" spans="1:10" x14ac:dyDescent="0.25">
      <c r="A432" s="9">
        <v>2</v>
      </c>
      <c r="B432" s="10" t="s">
        <v>23</v>
      </c>
      <c r="C432" s="4"/>
      <c r="D432" s="4">
        <v>0</v>
      </c>
      <c r="E432" s="4">
        <v>0</v>
      </c>
      <c r="F432" s="4">
        <v>0</v>
      </c>
      <c r="G432" s="5">
        <f>'расчёт зарплаты'!K26</f>
        <v>40480</v>
      </c>
      <c r="H432" s="5">
        <f t="shared" si="108"/>
        <v>0</v>
      </c>
      <c r="I432" s="5">
        <f t="shared" si="110"/>
        <v>0</v>
      </c>
      <c r="J432" s="5">
        <f t="shared" si="111"/>
        <v>0</v>
      </c>
    </row>
    <row r="433" spans="1:10" ht="26.4" x14ac:dyDescent="0.25">
      <c r="A433" s="9">
        <v>3</v>
      </c>
      <c r="B433" s="10" t="s">
        <v>24</v>
      </c>
      <c r="C433" s="63">
        <v>1</v>
      </c>
      <c r="D433" s="63">
        <v>1</v>
      </c>
      <c r="E433" s="63">
        <v>0</v>
      </c>
      <c r="F433" s="63">
        <v>0</v>
      </c>
      <c r="G433" s="5">
        <f>'расчёт зарплаты'!K28</f>
        <v>36256</v>
      </c>
      <c r="H433" s="5">
        <f t="shared" si="108"/>
        <v>217536</v>
      </c>
      <c r="I433" s="5">
        <f t="shared" si="110"/>
        <v>65695.872000000003</v>
      </c>
      <c r="J433" s="5">
        <f t="shared" si="111"/>
        <v>283231.87199999997</v>
      </c>
    </row>
    <row r="434" spans="1:10" x14ac:dyDescent="0.25">
      <c r="A434" s="9">
        <v>4</v>
      </c>
      <c r="B434" s="10" t="s">
        <v>25</v>
      </c>
      <c r="C434" s="63">
        <v>0.75</v>
      </c>
      <c r="D434" s="63">
        <v>0.5</v>
      </c>
      <c r="E434" s="63">
        <v>0</v>
      </c>
      <c r="F434" s="63">
        <v>0</v>
      </c>
      <c r="G434" s="5">
        <f>'расчёт зарплаты'!K36</f>
        <v>32320</v>
      </c>
      <c r="H434" s="5">
        <f t="shared" si="108"/>
        <v>96960</v>
      </c>
      <c r="I434" s="5">
        <f t="shared" si="110"/>
        <v>29281.919999999998</v>
      </c>
      <c r="J434" s="5">
        <f t="shared" si="111"/>
        <v>126241.92</v>
      </c>
    </row>
    <row r="435" spans="1:10" x14ac:dyDescent="0.25">
      <c r="A435" s="9">
        <v>5</v>
      </c>
      <c r="B435" s="10" t="s">
        <v>26</v>
      </c>
      <c r="C435" s="4"/>
      <c r="D435" s="4">
        <v>0</v>
      </c>
      <c r="E435" s="4">
        <v>0</v>
      </c>
      <c r="F435" s="4">
        <v>0</v>
      </c>
      <c r="G435" s="5"/>
      <c r="H435" s="5">
        <f t="shared" si="108"/>
        <v>0</v>
      </c>
      <c r="I435" s="5">
        <f t="shared" si="110"/>
        <v>0</v>
      </c>
      <c r="J435" s="5">
        <f t="shared" si="111"/>
        <v>0</v>
      </c>
    </row>
    <row r="436" spans="1:10" x14ac:dyDescent="0.25">
      <c r="A436" s="9">
        <v>6</v>
      </c>
      <c r="B436" s="10" t="s">
        <v>28</v>
      </c>
      <c r="C436" s="63">
        <v>2</v>
      </c>
      <c r="D436" s="63">
        <v>2</v>
      </c>
      <c r="E436" s="63">
        <v>2</v>
      </c>
      <c r="F436" s="63">
        <v>2</v>
      </c>
      <c r="G436" s="5">
        <f>'расчёт зарплаты'!K40</f>
        <v>33936</v>
      </c>
      <c r="H436" s="5">
        <f t="shared" si="108"/>
        <v>814464</v>
      </c>
      <c r="I436" s="5">
        <f t="shared" si="110"/>
        <v>245968.128</v>
      </c>
      <c r="J436" s="5">
        <f t="shared" si="111"/>
        <v>1060432.128</v>
      </c>
    </row>
    <row r="437" spans="1:10" ht="26.4" x14ac:dyDescent="0.25">
      <c r="A437" s="9"/>
      <c r="B437" s="10" t="s">
        <v>98</v>
      </c>
      <c r="C437" s="63">
        <v>0.5</v>
      </c>
      <c r="D437" s="63">
        <v>0.5</v>
      </c>
      <c r="E437" s="63">
        <v>0</v>
      </c>
      <c r="F437" s="63">
        <v>0</v>
      </c>
      <c r="G437" s="5">
        <f>'расчёт зарплаты'!K32</f>
        <v>36808</v>
      </c>
      <c r="H437" s="5">
        <f t="shared" si="108"/>
        <v>110424</v>
      </c>
      <c r="I437" s="5">
        <f t="shared" si="110"/>
        <v>33348.048000000003</v>
      </c>
      <c r="J437" s="5">
        <f t="shared" si="111"/>
        <v>143772.04800000001</v>
      </c>
    </row>
    <row r="438" spans="1:10" ht="26.4" x14ac:dyDescent="0.25">
      <c r="A438" s="9">
        <v>1</v>
      </c>
      <c r="B438" s="10" t="s">
        <v>9</v>
      </c>
      <c r="C438" s="4"/>
      <c r="D438" s="4">
        <v>0</v>
      </c>
      <c r="E438" s="4">
        <v>0</v>
      </c>
      <c r="F438" s="4">
        <v>0</v>
      </c>
      <c r="G438" s="5"/>
      <c r="H438" s="5">
        <f t="shared" si="108"/>
        <v>0</v>
      </c>
      <c r="I438" s="5">
        <f t="shared" si="110"/>
        <v>0</v>
      </c>
      <c r="J438" s="5">
        <f t="shared" si="111"/>
        <v>0</v>
      </c>
    </row>
    <row r="439" spans="1:10" x14ac:dyDescent="0.25">
      <c r="A439" s="4"/>
      <c r="B439" s="105" t="s">
        <v>60</v>
      </c>
      <c r="C439" s="105"/>
      <c r="D439" s="105"/>
      <c r="E439" s="105"/>
      <c r="F439" s="105"/>
      <c r="G439" s="105"/>
      <c r="H439" s="105"/>
      <c r="I439" s="105"/>
      <c r="J439" s="105"/>
    </row>
    <row r="440" spans="1:10" ht="13.8" x14ac:dyDescent="0.3">
      <c r="A440" s="106" t="s">
        <v>38</v>
      </c>
      <c r="B440" s="107"/>
      <c r="C440" s="4">
        <f>C441+C446</f>
        <v>35</v>
      </c>
      <c r="D440" s="4">
        <f>D441+D446</f>
        <v>31.5</v>
      </c>
      <c r="E440" s="4">
        <f>E441+E446</f>
        <v>19</v>
      </c>
      <c r="F440" s="4">
        <f>F441+F446</f>
        <v>21</v>
      </c>
      <c r="G440" s="5"/>
      <c r="H440" s="5"/>
      <c r="I440" s="5"/>
      <c r="J440" s="8">
        <f>J441+J446</f>
        <v>13332383.972812798</v>
      </c>
    </row>
    <row r="441" spans="1:10" ht="14.4" x14ac:dyDescent="0.3">
      <c r="A441" s="108" t="s">
        <v>39</v>
      </c>
      <c r="B441" s="109"/>
      <c r="C441" s="4">
        <f>C442+C443</f>
        <v>5</v>
      </c>
      <c r="D441" s="4">
        <f>D442+D443</f>
        <v>5</v>
      </c>
      <c r="E441" s="4">
        <f>E442+E443</f>
        <v>3.8</v>
      </c>
      <c r="F441" s="4">
        <f>F442+F443</f>
        <v>4</v>
      </c>
      <c r="G441" s="5"/>
      <c r="H441" s="8">
        <f>H442+H443</f>
        <v>1795040.8703999999</v>
      </c>
      <c r="I441" s="8">
        <f>I442+I443</f>
        <v>542102.34286079998</v>
      </c>
      <c r="J441" s="8">
        <f>J442+J443</f>
        <v>2337143.2132608001</v>
      </c>
    </row>
    <row r="442" spans="1:10" x14ac:dyDescent="0.25">
      <c r="A442" s="9">
        <v>2</v>
      </c>
      <c r="B442" s="10" t="s">
        <v>11</v>
      </c>
      <c r="C442" s="68">
        <v>3</v>
      </c>
      <c r="D442" s="68">
        <v>3</v>
      </c>
      <c r="E442" s="68">
        <v>3.4</v>
      </c>
      <c r="F442" s="68">
        <v>3</v>
      </c>
      <c r="G442" s="5">
        <f>'расчёт зарплаты'!K8</f>
        <v>34019.856</v>
      </c>
      <c r="H442" s="5">
        <f>E442*G442*12+((D442-E442)*G442/2*12)</f>
        <v>1306362.4704</v>
      </c>
      <c r="I442" s="5">
        <f>H442*30.2%</f>
        <v>394521.46606080001</v>
      </c>
      <c r="J442" s="5">
        <f>H442+I442</f>
        <v>1700883.9364608</v>
      </c>
    </row>
    <row r="443" spans="1:10" ht="52.8" x14ac:dyDescent="0.25">
      <c r="A443" s="9">
        <v>3</v>
      </c>
      <c r="B443" s="10" t="s">
        <v>12</v>
      </c>
      <c r="C443" s="63">
        <v>2</v>
      </c>
      <c r="D443" s="63">
        <v>2</v>
      </c>
      <c r="E443" s="63">
        <v>0.4</v>
      </c>
      <c r="F443" s="63">
        <v>1</v>
      </c>
      <c r="G443" s="5">
        <f>'расчёт зарплаты'!K10</f>
        <v>33936</v>
      </c>
      <c r="H443" s="5">
        <f>E443*G443*12+((D443-E443)*G443/2*12)</f>
        <v>488678.40000000002</v>
      </c>
      <c r="I443" s="5">
        <f>H443*30.2%</f>
        <v>147580.8768</v>
      </c>
      <c r="J443" s="5">
        <f>H443+I443</f>
        <v>636259.27679999999</v>
      </c>
    </row>
    <row r="444" spans="1:10" ht="26.4" x14ac:dyDescent="0.25">
      <c r="A444" s="9">
        <v>4</v>
      </c>
      <c r="B444" s="10" t="s">
        <v>40</v>
      </c>
      <c r="C444" s="4">
        <v>0</v>
      </c>
      <c r="D444" s="4">
        <v>0</v>
      </c>
      <c r="E444" s="4">
        <v>0</v>
      </c>
      <c r="F444" s="4">
        <v>0</v>
      </c>
      <c r="G444" s="5"/>
      <c r="H444" s="5">
        <f>E444*G444*12+((D444-E444)*G444/2*12)</f>
        <v>0</v>
      </c>
      <c r="I444" s="5"/>
      <c r="J444" s="5"/>
    </row>
    <row r="445" spans="1:10" x14ac:dyDescent="0.25">
      <c r="A445" s="9">
        <v>5</v>
      </c>
      <c r="B445" s="10" t="s">
        <v>20</v>
      </c>
      <c r="C445" s="4"/>
      <c r="D445" s="4"/>
      <c r="E445" s="4"/>
      <c r="F445" s="4"/>
      <c r="G445" s="5"/>
      <c r="H445" s="5"/>
      <c r="I445" s="5"/>
      <c r="J445" s="5"/>
    </row>
    <row r="446" spans="1:10" ht="14.4" x14ac:dyDescent="0.3">
      <c r="A446" s="110" t="s">
        <v>41</v>
      </c>
      <c r="B446" s="110"/>
      <c r="C446" s="4">
        <f>C447+C454</f>
        <v>30</v>
      </c>
      <c r="D446" s="4">
        <f>D447+D454</f>
        <v>26.5</v>
      </c>
      <c r="E446" s="4">
        <f>E447+E454</f>
        <v>15.2</v>
      </c>
      <c r="F446" s="4">
        <f>F447+F454</f>
        <v>17</v>
      </c>
      <c r="G446" s="5"/>
      <c r="H446" s="8">
        <f>H447+H454</f>
        <v>8444885.3759999983</v>
      </c>
      <c r="I446" s="8">
        <f>I447+I454</f>
        <v>2550355.3835519999</v>
      </c>
      <c r="J446" s="8">
        <f>J447+J454</f>
        <v>10995240.759551998</v>
      </c>
    </row>
    <row r="447" spans="1:10" ht="14.4" x14ac:dyDescent="0.3">
      <c r="A447" s="111" t="s">
        <v>42</v>
      </c>
      <c r="B447" s="111"/>
      <c r="C447" s="4">
        <f>C448+C449+C450+C451+C452+C453</f>
        <v>23</v>
      </c>
      <c r="D447" s="4">
        <f>D448+D449+D450+D451+D452+D453</f>
        <v>20</v>
      </c>
      <c r="E447" s="4">
        <f>E448+E449+E450+E451+E452+E453</f>
        <v>12.2</v>
      </c>
      <c r="F447" s="4">
        <f>F448+F449+F450+F451+F452+F453</f>
        <v>14</v>
      </c>
      <c r="G447" s="5"/>
      <c r="H447" s="5">
        <f>SUM(H448:H453)</f>
        <v>6333437.3759999992</v>
      </c>
      <c r="I447" s="5">
        <f>SUM(I448:I453)</f>
        <v>1912698.0875519998</v>
      </c>
      <c r="J447" s="5">
        <f>SUM(J448:J453)</f>
        <v>8246135.4635519991</v>
      </c>
    </row>
    <row r="448" spans="1:10" x14ac:dyDescent="0.25">
      <c r="A448" s="9">
        <v>1</v>
      </c>
      <c r="B448" s="10" t="s">
        <v>15</v>
      </c>
      <c r="C448" s="4">
        <v>0</v>
      </c>
      <c r="D448" s="4">
        <v>0</v>
      </c>
      <c r="E448" s="4">
        <v>0</v>
      </c>
      <c r="F448" s="4">
        <v>0</v>
      </c>
      <c r="G448" s="5"/>
      <c r="H448" s="5">
        <f>E448*G448*12+((D448-E448)*G448/2*12)</f>
        <v>0</v>
      </c>
      <c r="I448" s="5">
        <f t="shared" ref="I448:I453" si="112">H448*30.2%</f>
        <v>0</v>
      </c>
      <c r="J448" s="5">
        <f t="shared" ref="J448:J453" si="113">H448+I448</f>
        <v>0</v>
      </c>
    </row>
    <row r="449" spans="1:10" x14ac:dyDescent="0.25">
      <c r="A449" s="9">
        <v>2</v>
      </c>
      <c r="B449" s="10" t="s">
        <v>17</v>
      </c>
      <c r="C449" s="63">
        <v>2</v>
      </c>
      <c r="D449" s="63">
        <v>2</v>
      </c>
      <c r="E449" s="63">
        <v>1</v>
      </c>
      <c r="F449" s="63">
        <v>1</v>
      </c>
      <c r="G449" s="5">
        <f>'расчёт зарплаты'!K14</f>
        <v>44704</v>
      </c>
      <c r="H449" s="5">
        <f>E449*G449*12+((D449-E449)*G449/2*12)</f>
        <v>804672</v>
      </c>
      <c r="I449" s="5">
        <f t="shared" si="112"/>
        <v>243010.94399999999</v>
      </c>
      <c r="J449" s="5">
        <f t="shared" si="113"/>
        <v>1047682.944</v>
      </c>
    </row>
    <row r="450" spans="1:10" ht="39.6" x14ac:dyDescent="0.25">
      <c r="A450" s="9">
        <v>3</v>
      </c>
      <c r="B450" s="10" t="s">
        <v>18</v>
      </c>
      <c r="C450" s="63">
        <v>18</v>
      </c>
      <c r="D450" s="87">
        <f>16.5-1.5</f>
        <v>15</v>
      </c>
      <c r="E450" s="63">
        <v>9.1999999999999993</v>
      </c>
      <c r="F450" s="63">
        <v>11</v>
      </c>
      <c r="G450" s="5">
        <f>'расчёт зарплаты'!K16</f>
        <v>31556.880000000001</v>
      </c>
      <c r="H450" s="5">
        <f>E450*G450*12+((D450-E450)*G450/2*12)</f>
        <v>4582058.9759999998</v>
      </c>
      <c r="I450" s="5">
        <f t="shared" si="112"/>
        <v>1383781.810752</v>
      </c>
      <c r="J450" s="5">
        <f t="shared" si="113"/>
        <v>5965840.7867519995</v>
      </c>
    </row>
    <row r="451" spans="1:10" x14ac:dyDescent="0.25">
      <c r="A451" s="9">
        <v>4</v>
      </c>
      <c r="B451" s="10" t="s">
        <v>19</v>
      </c>
      <c r="C451" s="63">
        <v>2</v>
      </c>
      <c r="D451" s="63">
        <v>2</v>
      </c>
      <c r="E451" s="63">
        <v>1</v>
      </c>
      <c r="F451" s="63">
        <v>1</v>
      </c>
      <c r="G451" s="5">
        <f>'расчёт зарплаты'!K18</f>
        <v>31556.880000000001</v>
      </c>
      <c r="H451" s="5">
        <f>E451*G451*12+((D451-E451)*G451/2*12)</f>
        <v>568023.84</v>
      </c>
      <c r="I451" s="5">
        <f t="shared" si="112"/>
        <v>171543.19967999999</v>
      </c>
      <c r="J451" s="5">
        <f t="shared" si="113"/>
        <v>739567.03967999993</v>
      </c>
    </row>
    <row r="452" spans="1:10" x14ac:dyDescent="0.25">
      <c r="A452" s="9">
        <v>5</v>
      </c>
      <c r="B452" s="10"/>
      <c r="C452" s="4"/>
      <c r="D452" s="4"/>
      <c r="E452" s="4"/>
      <c r="F452" s="4"/>
      <c r="G452" s="5"/>
      <c r="H452" s="5">
        <f t="shared" ref="H452:H462" si="114">E452*G452*12+((D452-E452)*G452/2*12)</f>
        <v>0</v>
      </c>
      <c r="I452" s="5">
        <f t="shared" si="112"/>
        <v>0</v>
      </c>
      <c r="J452" s="5">
        <f t="shared" si="113"/>
        <v>0</v>
      </c>
    </row>
    <row r="453" spans="1:10" x14ac:dyDescent="0.25">
      <c r="A453" s="9">
        <v>6</v>
      </c>
      <c r="B453" s="10" t="s">
        <v>21</v>
      </c>
      <c r="C453" s="63">
        <v>1</v>
      </c>
      <c r="D453" s="63">
        <v>1</v>
      </c>
      <c r="E453" s="63">
        <v>1</v>
      </c>
      <c r="F453" s="63">
        <v>1</v>
      </c>
      <c r="G453" s="5">
        <f>'расчёт зарплаты'!K22</f>
        <v>31556.880000000001</v>
      </c>
      <c r="H453" s="5">
        <f t="shared" si="114"/>
        <v>378682.56</v>
      </c>
      <c r="I453" s="5">
        <f t="shared" si="112"/>
        <v>114362.13312</v>
      </c>
      <c r="J453" s="5">
        <f t="shared" si="113"/>
        <v>493044.69312000001</v>
      </c>
    </row>
    <row r="454" spans="1:10" ht="14.4" x14ac:dyDescent="0.3">
      <c r="A454" s="111" t="s">
        <v>43</v>
      </c>
      <c r="B454" s="111"/>
      <c r="C454" s="4">
        <f>C455+C456+C457+C458+C459+C460+C461+C462</f>
        <v>7</v>
      </c>
      <c r="D454" s="4">
        <f t="shared" ref="D454:F454" si="115">D455+D456+D457+D458+D459+D460+D461+D462</f>
        <v>6.5</v>
      </c>
      <c r="E454" s="4">
        <f t="shared" si="115"/>
        <v>3</v>
      </c>
      <c r="F454" s="4">
        <f t="shared" si="115"/>
        <v>3</v>
      </c>
      <c r="G454" s="5"/>
      <c r="H454" s="5">
        <f>SUM(H455:H462)</f>
        <v>2111448</v>
      </c>
      <c r="I454" s="5">
        <f>SUM(I455:I462)</f>
        <v>637657.29599999997</v>
      </c>
      <c r="J454" s="5">
        <f>SUM(J455:J462)</f>
        <v>2749105.2960000001</v>
      </c>
    </row>
    <row r="455" spans="1:10" ht="26.4" x14ac:dyDescent="0.25">
      <c r="A455" s="9">
        <v>1</v>
      </c>
      <c r="B455" s="10" t="s">
        <v>22</v>
      </c>
      <c r="C455" s="63">
        <v>1</v>
      </c>
      <c r="D455" s="63">
        <v>0.5</v>
      </c>
      <c r="E455" s="63">
        <v>0</v>
      </c>
      <c r="F455" s="63">
        <v>0</v>
      </c>
      <c r="G455" s="5">
        <f>'расчёт зарплаты'!K24</f>
        <v>39984</v>
      </c>
      <c r="H455" s="5">
        <f t="shared" si="114"/>
        <v>119952</v>
      </c>
      <c r="I455" s="5">
        <f t="shared" ref="I455:I462" si="116">H455*30.2%</f>
        <v>36225.504000000001</v>
      </c>
      <c r="J455" s="5">
        <f t="shared" ref="J455:J462" si="117">H455+I455</f>
        <v>156177.50400000002</v>
      </c>
    </row>
    <row r="456" spans="1:10" x14ac:dyDescent="0.25">
      <c r="A456" s="9">
        <v>2</v>
      </c>
      <c r="B456" s="10" t="s">
        <v>23</v>
      </c>
      <c r="C456" s="4">
        <v>0</v>
      </c>
      <c r="D456" s="4">
        <v>0</v>
      </c>
      <c r="E456" s="4">
        <v>0</v>
      </c>
      <c r="F456" s="4">
        <v>0</v>
      </c>
      <c r="G456" s="5"/>
      <c r="H456" s="5">
        <f t="shared" si="114"/>
        <v>0</v>
      </c>
      <c r="I456" s="5">
        <f t="shared" si="116"/>
        <v>0</v>
      </c>
      <c r="J456" s="5">
        <f t="shared" si="117"/>
        <v>0</v>
      </c>
    </row>
    <row r="457" spans="1:10" ht="26.4" x14ac:dyDescent="0.25">
      <c r="A457" s="9">
        <v>3</v>
      </c>
      <c r="B457" s="10" t="s">
        <v>24</v>
      </c>
      <c r="C457" s="63">
        <v>1</v>
      </c>
      <c r="D457" s="63">
        <v>1</v>
      </c>
      <c r="E457" s="63">
        <v>0</v>
      </c>
      <c r="F457" s="63">
        <v>0</v>
      </c>
      <c r="G457" s="5">
        <f>'расчёт зарплаты'!K28</f>
        <v>36256</v>
      </c>
      <c r="H457" s="5">
        <f t="shared" si="114"/>
        <v>217536</v>
      </c>
      <c r="I457" s="5">
        <f t="shared" si="116"/>
        <v>65695.872000000003</v>
      </c>
      <c r="J457" s="5">
        <f t="shared" si="117"/>
        <v>283231.87199999997</v>
      </c>
    </row>
    <row r="458" spans="1:10" x14ac:dyDescent="0.25">
      <c r="A458" s="9">
        <v>4</v>
      </c>
      <c r="B458" s="10" t="s">
        <v>25</v>
      </c>
      <c r="C458" s="63">
        <v>1</v>
      </c>
      <c r="D458" s="63">
        <v>1</v>
      </c>
      <c r="E458" s="63">
        <v>0</v>
      </c>
      <c r="F458" s="63">
        <v>0</v>
      </c>
      <c r="G458" s="5">
        <f>'расчёт зарплаты'!K36</f>
        <v>32320</v>
      </c>
      <c r="H458" s="5">
        <f t="shared" si="114"/>
        <v>193920</v>
      </c>
      <c r="I458" s="5">
        <f t="shared" si="116"/>
        <v>58563.839999999997</v>
      </c>
      <c r="J458" s="5">
        <f t="shared" si="117"/>
        <v>252483.84</v>
      </c>
    </row>
    <row r="459" spans="1:10" x14ac:dyDescent="0.25">
      <c r="A459" s="9">
        <v>5</v>
      </c>
      <c r="B459" s="10" t="s">
        <v>26</v>
      </c>
      <c r="C459" s="4">
        <v>0</v>
      </c>
      <c r="D459" s="4">
        <v>0</v>
      </c>
      <c r="E459" s="4">
        <v>0</v>
      </c>
      <c r="F459" s="4">
        <v>0</v>
      </c>
      <c r="G459" s="5"/>
      <c r="H459" s="5">
        <f t="shared" si="114"/>
        <v>0</v>
      </c>
      <c r="I459" s="5">
        <f t="shared" si="116"/>
        <v>0</v>
      </c>
      <c r="J459" s="5">
        <f t="shared" si="117"/>
        <v>0</v>
      </c>
    </row>
    <row r="460" spans="1:10" x14ac:dyDescent="0.25">
      <c r="A460" s="9">
        <v>6</v>
      </c>
      <c r="B460" s="10" t="s">
        <v>28</v>
      </c>
      <c r="C460" s="63">
        <v>2.5</v>
      </c>
      <c r="D460" s="63">
        <v>2.5</v>
      </c>
      <c r="E460" s="63">
        <v>2</v>
      </c>
      <c r="F460" s="63">
        <v>2</v>
      </c>
      <c r="G460" s="5">
        <f>'расчёт зарплаты'!K40</f>
        <v>33936</v>
      </c>
      <c r="H460" s="5">
        <f t="shared" si="114"/>
        <v>916272</v>
      </c>
      <c r="I460" s="5">
        <f t="shared" si="116"/>
        <v>276714.14399999997</v>
      </c>
      <c r="J460" s="5">
        <f t="shared" si="117"/>
        <v>1192986.1439999999</v>
      </c>
    </row>
    <row r="461" spans="1:10" ht="26.4" x14ac:dyDescent="0.25">
      <c r="A461" s="9"/>
      <c r="B461" s="10" t="s">
        <v>98</v>
      </c>
      <c r="C461" s="63">
        <v>0.5</v>
      </c>
      <c r="D461" s="63">
        <v>0.5</v>
      </c>
      <c r="E461" s="63">
        <v>0</v>
      </c>
      <c r="F461" s="63">
        <v>0</v>
      </c>
      <c r="G461" s="5">
        <f>'расчёт зарплаты'!K32</f>
        <v>36808</v>
      </c>
      <c r="H461" s="5">
        <f t="shared" si="114"/>
        <v>110424</v>
      </c>
      <c r="I461" s="5">
        <f t="shared" si="116"/>
        <v>33348.048000000003</v>
      </c>
      <c r="J461" s="5">
        <f t="shared" si="117"/>
        <v>143772.04800000001</v>
      </c>
    </row>
    <row r="462" spans="1:10" ht="26.4" x14ac:dyDescent="0.25">
      <c r="A462" s="9">
        <v>1</v>
      </c>
      <c r="B462" s="10" t="s">
        <v>9</v>
      </c>
      <c r="C462" s="63">
        <v>1</v>
      </c>
      <c r="D462" s="63">
        <v>1</v>
      </c>
      <c r="E462" s="63">
        <v>1</v>
      </c>
      <c r="F462" s="63">
        <v>1</v>
      </c>
      <c r="G462" s="5">
        <f>'расчёт зарплаты'!K6</f>
        <v>46112</v>
      </c>
      <c r="H462" s="5">
        <f t="shared" si="114"/>
        <v>553344</v>
      </c>
      <c r="I462" s="5">
        <f t="shared" si="116"/>
        <v>167109.88800000001</v>
      </c>
      <c r="J462" s="5">
        <f t="shared" si="117"/>
        <v>720453.88800000004</v>
      </c>
    </row>
    <row r="463" spans="1:10" x14ac:dyDescent="0.25">
      <c r="A463" s="4"/>
      <c r="B463" s="105" t="s">
        <v>61</v>
      </c>
      <c r="C463" s="105"/>
      <c r="D463" s="105"/>
      <c r="E463" s="105"/>
      <c r="F463" s="105"/>
      <c r="G463" s="105"/>
      <c r="H463" s="105"/>
      <c r="I463" s="105"/>
      <c r="J463" s="105"/>
    </row>
    <row r="464" spans="1:10" ht="13.8" x14ac:dyDescent="0.3">
      <c r="A464" s="106" t="s">
        <v>38</v>
      </c>
      <c r="B464" s="107"/>
      <c r="C464" s="4">
        <f>C465+C470</f>
        <v>17.75</v>
      </c>
      <c r="D464" s="4">
        <f>D465+D470</f>
        <v>16</v>
      </c>
      <c r="E464" s="4">
        <f>E465+E470</f>
        <v>13</v>
      </c>
      <c r="F464" s="4">
        <f>F465+F470</f>
        <v>12</v>
      </c>
      <c r="G464" s="5"/>
      <c r="H464" s="5"/>
      <c r="I464" s="5"/>
      <c r="J464" s="8">
        <f>J465+J470</f>
        <v>7478499.5953919999</v>
      </c>
    </row>
    <row r="465" spans="1:10" ht="14.4" x14ac:dyDescent="0.3">
      <c r="A465" s="108" t="s">
        <v>39</v>
      </c>
      <c r="B465" s="109"/>
      <c r="C465" s="4">
        <f>C466+C467</f>
        <v>4</v>
      </c>
      <c r="D465" s="4">
        <f>D466+D467</f>
        <v>4</v>
      </c>
      <c r="E465" s="4">
        <f>E466+E467</f>
        <v>4</v>
      </c>
      <c r="F465" s="4">
        <f>F466+F467</f>
        <v>4</v>
      </c>
      <c r="G465" s="5"/>
      <c r="H465" s="8">
        <f>H466+H467+H469</f>
        <v>2010629.3760000002</v>
      </c>
      <c r="I465" s="8">
        <f>I466+I467</f>
        <v>492847.93843200005</v>
      </c>
      <c r="J465" s="8">
        <f>J466+J467</f>
        <v>2124794.7544320002</v>
      </c>
    </row>
    <row r="466" spans="1:10" x14ac:dyDescent="0.25">
      <c r="A466" s="9">
        <v>2</v>
      </c>
      <c r="B466" s="10" t="s">
        <v>11</v>
      </c>
      <c r="C466" s="68">
        <v>3</v>
      </c>
      <c r="D466" s="68">
        <v>3</v>
      </c>
      <c r="E466" s="74">
        <v>3</v>
      </c>
      <c r="F466" s="68">
        <v>3</v>
      </c>
      <c r="G466" s="5">
        <f>'расчёт зарплаты'!K8</f>
        <v>34019.856</v>
      </c>
      <c r="H466" s="5">
        <f>E466*G466*12+((D466-E466)*G466/2*12)</f>
        <v>1224714.8160000001</v>
      </c>
      <c r="I466" s="5">
        <f>H466*30.2%</f>
        <v>369863.87443200004</v>
      </c>
      <c r="J466" s="5">
        <f>H466+I466</f>
        <v>1594578.6904320002</v>
      </c>
    </row>
    <row r="467" spans="1:10" ht="52.8" x14ac:dyDescent="0.25">
      <c r="A467" s="9">
        <v>3</v>
      </c>
      <c r="B467" s="10" t="s">
        <v>12</v>
      </c>
      <c r="C467" s="63">
        <v>1</v>
      </c>
      <c r="D467" s="63">
        <v>1</v>
      </c>
      <c r="E467" s="63">
        <v>1</v>
      </c>
      <c r="F467" s="63">
        <v>1</v>
      </c>
      <c r="G467" s="5">
        <f>'расчёт зарплаты'!K10</f>
        <v>33936</v>
      </c>
      <c r="H467" s="5">
        <f>E467*G467*12+((D467-E467)*G467/2*12)</f>
        <v>407232</v>
      </c>
      <c r="I467" s="5">
        <f>H467*30.2%</f>
        <v>122984.064</v>
      </c>
      <c r="J467" s="5">
        <f>H467+I467</f>
        <v>530216.06400000001</v>
      </c>
    </row>
    <row r="468" spans="1:10" ht="26.4" x14ac:dyDescent="0.25">
      <c r="A468" s="9">
        <v>4</v>
      </c>
      <c r="B468" s="10" t="s">
        <v>40</v>
      </c>
      <c r="C468" s="4"/>
      <c r="D468" s="4">
        <v>0</v>
      </c>
      <c r="E468" s="4">
        <v>0</v>
      </c>
      <c r="F468" s="4">
        <v>0</v>
      </c>
      <c r="G468" s="5"/>
      <c r="H468" s="5">
        <f>E468*G468*12+((D468-E468)*G468/2*12)</f>
        <v>0</v>
      </c>
      <c r="I468" s="5"/>
      <c r="J468" s="5"/>
    </row>
    <row r="469" spans="1:10" x14ac:dyDescent="0.25">
      <c r="A469" s="9">
        <v>5</v>
      </c>
      <c r="B469" s="10" t="s">
        <v>20</v>
      </c>
      <c r="C469" s="4">
        <v>1</v>
      </c>
      <c r="D469" s="4">
        <v>1</v>
      </c>
      <c r="E469" s="4">
        <v>1</v>
      </c>
      <c r="F469" s="4">
        <v>1</v>
      </c>
      <c r="G469" s="5">
        <f>'расчёт зарплаты'!K20</f>
        <v>31556.880000000001</v>
      </c>
      <c r="H469" s="5">
        <f>E469*G469*12+((D469-E469)*G469/2*12)</f>
        <v>378682.56</v>
      </c>
      <c r="I469" s="5"/>
      <c r="J469" s="5"/>
    </row>
    <row r="470" spans="1:10" ht="14.4" x14ac:dyDescent="0.3">
      <c r="A470" s="110" t="s">
        <v>41</v>
      </c>
      <c r="B470" s="110"/>
      <c r="C470" s="4">
        <f>C471+C478</f>
        <v>13.75</v>
      </c>
      <c r="D470" s="4">
        <f>D471+D478</f>
        <v>12</v>
      </c>
      <c r="E470" s="4">
        <f>E471+E478</f>
        <v>9</v>
      </c>
      <c r="F470" s="4">
        <f>F471+F478</f>
        <v>8</v>
      </c>
      <c r="G470" s="5"/>
      <c r="H470" s="8">
        <f>H471+H478</f>
        <v>4111908.4799999995</v>
      </c>
      <c r="I470" s="8">
        <f>I471+I478</f>
        <v>1241796.36096</v>
      </c>
      <c r="J470" s="8">
        <f>J471+J478</f>
        <v>5353704.8409599997</v>
      </c>
    </row>
    <row r="471" spans="1:10" ht="14.4" x14ac:dyDescent="0.3">
      <c r="A471" s="111" t="s">
        <v>42</v>
      </c>
      <c r="B471" s="111"/>
      <c r="C471" s="4">
        <f>C472+C473+C474+C475+C476+C477</f>
        <v>10.5</v>
      </c>
      <c r="D471" s="4">
        <f>D472+D473+D474+D475+D476+D477</f>
        <v>9</v>
      </c>
      <c r="E471" s="4">
        <f>E472+E473+E474+E475+E476+E477</f>
        <v>7</v>
      </c>
      <c r="F471" s="4">
        <f>F472+F473+F474+F475+F476+F477</f>
        <v>6</v>
      </c>
      <c r="G471" s="5"/>
      <c r="H471" s="5">
        <f>SUM(H472:H477)</f>
        <v>3029460.4799999995</v>
      </c>
      <c r="I471" s="5">
        <f>SUM(I472:I477)</f>
        <v>914897.06495999987</v>
      </c>
      <c r="J471" s="5">
        <f>SUM(J472:J477)</f>
        <v>3944357.5449599996</v>
      </c>
    </row>
    <row r="472" spans="1:10" x14ac:dyDescent="0.25">
      <c r="A472" s="9">
        <v>1</v>
      </c>
      <c r="B472" s="10" t="s">
        <v>15</v>
      </c>
      <c r="C472" s="4"/>
      <c r="D472" s="4">
        <v>0</v>
      </c>
      <c r="E472" s="4">
        <v>0</v>
      </c>
      <c r="F472" s="4">
        <v>0</v>
      </c>
      <c r="G472" s="5"/>
      <c r="H472" s="5">
        <f>E472*G472*12+((D472-E472)*G472/2*12)</f>
        <v>0</v>
      </c>
      <c r="I472" s="5">
        <f t="shared" ref="I472:I477" si="118">H472*30.2%</f>
        <v>0</v>
      </c>
      <c r="J472" s="5">
        <f t="shared" ref="J472:J477" si="119">H472+I472</f>
        <v>0</v>
      </c>
    </row>
    <row r="473" spans="1:10" x14ac:dyDescent="0.25">
      <c r="A473" s="9">
        <v>2</v>
      </c>
      <c r="B473" s="10" t="s">
        <v>17</v>
      </c>
      <c r="C473" s="4"/>
      <c r="D473" s="4">
        <v>0</v>
      </c>
      <c r="E473" s="4">
        <v>0</v>
      </c>
      <c r="F473" s="4">
        <v>0</v>
      </c>
      <c r="G473" s="5"/>
      <c r="H473" s="5">
        <f>E473*G473*12+((D473-E473)*G473/2*12)</f>
        <v>0</v>
      </c>
      <c r="I473" s="5">
        <f t="shared" si="118"/>
        <v>0</v>
      </c>
      <c r="J473" s="5">
        <f t="shared" si="119"/>
        <v>0</v>
      </c>
    </row>
    <row r="474" spans="1:10" ht="39.6" x14ac:dyDescent="0.25">
      <c r="A474" s="9">
        <v>3</v>
      </c>
      <c r="B474" s="10" t="s">
        <v>18</v>
      </c>
      <c r="C474" s="63">
        <v>8</v>
      </c>
      <c r="D474" s="87">
        <f>6+1</f>
        <v>7</v>
      </c>
      <c r="E474" s="87">
        <f>5+1</f>
        <v>6</v>
      </c>
      <c r="F474" s="63">
        <v>5</v>
      </c>
      <c r="G474" s="5">
        <f>'расчёт зарплаты'!K16</f>
        <v>31556.880000000001</v>
      </c>
      <c r="H474" s="5">
        <f>E474*G474*12+((D474-E474)*G474/2*12)</f>
        <v>2461436.6399999997</v>
      </c>
      <c r="I474" s="5">
        <f t="shared" si="118"/>
        <v>743353.86527999991</v>
      </c>
      <c r="J474" s="5">
        <f t="shared" si="119"/>
        <v>3204790.5052799997</v>
      </c>
    </row>
    <row r="475" spans="1:10" x14ac:dyDescent="0.25">
      <c r="A475" s="9">
        <v>4</v>
      </c>
      <c r="B475" s="10" t="s">
        <v>19</v>
      </c>
      <c r="C475" s="63">
        <v>1</v>
      </c>
      <c r="D475" s="63">
        <v>1</v>
      </c>
      <c r="E475" s="63">
        <v>0</v>
      </c>
      <c r="F475" s="63">
        <v>0</v>
      </c>
      <c r="G475" s="5">
        <f>'расчёт зарплаты'!K18</f>
        <v>31556.880000000001</v>
      </c>
      <c r="H475" s="5">
        <f>E475*G475*12+((D475-E475)*G475/2*12)</f>
        <v>189341.28</v>
      </c>
      <c r="I475" s="5">
        <f t="shared" si="118"/>
        <v>57181.066559999999</v>
      </c>
      <c r="J475" s="5">
        <f t="shared" si="119"/>
        <v>246522.34656000001</v>
      </c>
    </row>
    <row r="476" spans="1:10" x14ac:dyDescent="0.25">
      <c r="A476" s="9">
        <v>5</v>
      </c>
      <c r="B476" s="10"/>
      <c r="C476" s="63"/>
      <c r="D476" s="63"/>
      <c r="E476" s="63"/>
      <c r="F476" s="63"/>
      <c r="G476" s="5"/>
      <c r="H476" s="5">
        <f t="shared" ref="H476:H486" si="120">E476*G476*12+((D476-E476)*G476/2*12)</f>
        <v>0</v>
      </c>
      <c r="I476" s="5">
        <f t="shared" si="118"/>
        <v>0</v>
      </c>
      <c r="J476" s="5">
        <f t="shared" si="119"/>
        <v>0</v>
      </c>
    </row>
    <row r="477" spans="1:10" x14ac:dyDescent="0.25">
      <c r="A477" s="9">
        <v>6</v>
      </c>
      <c r="B477" s="10" t="s">
        <v>21</v>
      </c>
      <c r="C477" s="63">
        <v>1.5</v>
      </c>
      <c r="D477" s="63">
        <v>1</v>
      </c>
      <c r="E477" s="63">
        <v>1</v>
      </c>
      <c r="F477" s="63">
        <v>1</v>
      </c>
      <c r="G477" s="5">
        <f>'расчёт зарплаты'!K22</f>
        <v>31556.880000000001</v>
      </c>
      <c r="H477" s="5">
        <f t="shared" si="120"/>
        <v>378682.56</v>
      </c>
      <c r="I477" s="5">
        <f t="shared" si="118"/>
        <v>114362.13312</v>
      </c>
      <c r="J477" s="5">
        <f t="shared" si="119"/>
        <v>493044.69312000001</v>
      </c>
    </row>
    <row r="478" spans="1:10" ht="14.4" x14ac:dyDescent="0.3">
      <c r="A478" s="111" t="s">
        <v>43</v>
      </c>
      <c r="B478" s="111"/>
      <c r="C478" s="4">
        <f>C479+C480+C481+C482+C483+C484+C485+C486</f>
        <v>3.25</v>
      </c>
      <c r="D478" s="4">
        <f t="shared" ref="D478:F478" si="121">D479+D480+D481+D482+D483+D484+D485+D486</f>
        <v>3</v>
      </c>
      <c r="E478" s="4">
        <f t="shared" si="121"/>
        <v>2</v>
      </c>
      <c r="F478" s="4">
        <f t="shared" si="121"/>
        <v>2</v>
      </c>
      <c r="G478" s="5"/>
      <c r="H478" s="5">
        <f>SUM(H479:H486)</f>
        <v>1082448</v>
      </c>
      <c r="I478" s="5">
        <f>SUM(I479:I486)</f>
        <v>326899.29600000003</v>
      </c>
      <c r="J478" s="5">
        <f>SUM(J479:J486)</f>
        <v>1409347.2960000001</v>
      </c>
    </row>
    <row r="479" spans="1:10" ht="26.4" x14ac:dyDescent="0.25">
      <c r="A479" s="9">
        <v>1</v>
      </c>
      <c r="B479" s="10" t="s">
        <v>22</v>
      </c>
      <c r="C479" s="4"/>
      <c r="D479" s="4">
        <v>0</v>
      </c>
      <c r="E479" s="4">
        <v>0</v>
      </c>
      <c r="F479" s="4">
        <v>0</v>
      </c>
      <c r="G479" s="5"/>
      <c r="H479" s="5">
        <f t="shared" si="120"/>
        <v>0</v>
      </c>
      <c r="I479" s="5">
        <f t="shared" ref="I479:I486" si="122">H479*30.2%</f>
        <v>0</v>
      </c>
      <c r="J479" s="5">
        <f t="shared" ref="J479:J486" si="123">H479+I479</f>
        <v>0</v>
      </c>
    </row>
    <row r="480" spans="1:10" x14ac:dyDescent="0.25">
      <c r="A480" s="9">
        <v>2</v>
      </c>
      <c r="B480" s="10" t="s">
        <v>23</v>
      </c>
      <c r="C480" s="4"/>
      <c r="D480" s="4">
        <v>0</v>
      </c>
      <c r="E480" s="4">
        <v>0</v>
      </c>
      <c r="F480" s="4">
        <v>0</v>
      </c>
      <c r="G480" s="5"/>
      <c r="H480" s="5">
        <f t="shared" si="120"/>
        <v>0</v>
      </c>
      <c r="I480" s="5">
        <f t="shared" si="122"/>
        <v>0</v>
      </c>
      <c r="J480" s="5">
        <f t="shared" si="123"/>
        <v>0</v>
      </c>
    </row>
    <row r="481" spans="1:10" ht="26.4" x14ac:dyDescent="0.25">
      <c r="A481" s="9">
        <v>3</v>
      </c>
      <c r="B481" s="10" t="s">
        <v>24</v>
      </c>
      <c r="C481" s="63">
        <v>1</v>
      </c>
      <c r="D481" s="63">
        <v>1</v>
      </c>
      <c r="E481" s="63">
        <v>1</v>
      </c>
      <c r="F481" s="63">
        <v>1</v>
      </c>
      <c r="G481" s="5">
        <f>'расчёт зарплаты'!K28</f>
        <v>36256</v>
      </c>
      <c r="H481" s="5">
        <f t="shared" si="120"/>
        <v>435072</v>
      </c>
      <c r="I481" s="5">
        <f t="shared" si="122"/>
        <v>131391.74400000001</v>
      </c>
      <c r="J481" s="5">
        <f t="shared" si="123"/>
        <v>566463.74399999995</v>
      </c>
    </row>
    <row r="482" spans="1:10" x14ac:dyDescent="0.25">
      <c r="A482" s="9">
        <v>4</v>
      </c>
      <c r="B482" s="10" t="s">
        <v>25</v>
      </c>
      <c r="C482" s="4"/>
      <c r="D482" s="4">
        <v>0</v>
      </c>
      <c r="E482" s="4">
        <v>0</v>
      </c>
      <c r="F482" s="4">
        <v>0</v>
      </c>
      <c r="G482" s="5"/>
      <c r="H482" s="5">
        <f t="shared" si="120"/>
        <v>0</v>
      </c>
      <c r="I482" s="5">
        <f t="shared" si="122"/>
        <v>0</v>
      </c>
      <c r="J482" s="5">
        <f t="shared" si="123"/>
        <v>0</v>
      </c>
    </row>
    <row r="483" spans="1:10" x14ac:dyDescent="0.25">
      <c r="A483" s="9">
        <v>5</v>
      </c>
      <c r="B483" s="10" t="s">
        <v>26</v>
      </c>
      <c r="C483" s="63">
        <v>1</v>
      </c>
      <c r="D483" s="63">
        <v>1</v>
      </c>
      <c r="E483" s="63">
        <v>1</v>
      </c>
      <c r="F483" s="63">
        <v>1</v>
      </c>
      <c r="G483" s="5">
        <f>'расчёт зарплаты'!K34</f>
        <v>33936</v>
      </c>
      <c r="H483" s="5">
        <f t="shared" si="120"/>
        <v>407232</v>
      </c>
      <c r="I483" s="5">
        <f t="shared" si="122"/>
        <v>122984.064</v>
      </c>
      <c r="J483" s="5">
        <f t="shared" si="123"/>
        <v>530216.06400000001</v>
      </c>
    </row>
    <row r="484" spans="1:10" x14ac:dyDescent="0.25">
      <c r="A484" s="9">
        <v>6</v>
      </c>
      <c r="B484" s="10" t="s">
        <v>28</v>
      </c>
      <c r="C484" s="63">
        <v>0.5</v>
      </c>
      <c r="D484" s="63">
        <v>0.5</v>
      </c>
      <c r="E484" s="63">
        <v>0</v>
      </c>
      <c r="F484" s="63">
        <v>0</v>
      </c>
      <c r="G484" s="5">
        <f>'расчёт зарплаты'!K40</f>
        <v>33936</v>
      </c>
      <c r="H484" s="5">
        <f t="shared" si="120"/>
        <v>101808</v>
      </c>
      <c r="I484" s="5">
        <f t="shared" si="122"/>
        <v>30746.016</v>
      </c>
      <c r="J484" s="5">
        <f t="shared" si="123"/>
        <v>132554.016</v>
      </c>
    </row>
    <row r="485" spans="1:10" ht="26.4" x14ac:dyDescent="0.25">
      <c r="A485" s="9"/>
      <c r="B485" s="10" t="s">
        <v>98</v>
      </c>
      <c r="C485" s="63">
        <v>0.25</v>
      </c>
      <c r="D485" s="63">
        <v>0</v>
      </c>
      <c r="E485" s="63">
        <v>0</v>
      </c>
      <c r="F485" s="63">
        <v>0</v>
      </c>
      <c r="G485" s="5">
        <f>'расчёт зарплаты'!K32</f>
        <v>36808</v>
      </c>
      <c r="H485" s="5">
        <f t="shared" si="120"/>
        <v>0</v>
      </c>
      <c r="I485" s="5">
        <f t="shared" si="122"/>
        <v>0</v>
      </c>
      <c r="J485" s="5">
        <f t="shared" si="123"/>
        <v>0</v>
      </c>
    </row>
    <row r="486" spans="1:10" ht="26.4" x14ac:dyDescent="0.25">
      <c r="A486" s="9">
        <v>1</v>
      </c>
      <c r="B486" s="10" t="s">
        <v>9</v>
      </c>
      <c r="C486" s="63">
        <v>0.5</v>
      </c>
      <c r="D486" s="63">
        <v>0.5</v>
      </c>
      <c r="E486" s="63">
        <v>0</v>
      </c>
      <c r="F486" s="63">
        <v>0</v>
      </c>
      <c r="G486" s="5">
        <f>'расчёт зарплаты'!K6</f>
        <v>46112</v>
      </c>
      <c r="H486" s="5">
        <f t="shared" si="120"/>
        <v>138336</v>
      </c>
      <c r="I486" s="5">
        <f t="shared" si="122"/>
        <v>41777.472000000002</v>
      </c>
      <c r="J486" s="5">
        <f t="shared" si="123"/>
        <v>180113.47200000001</v>
      </c>
    </row>
    <row r="487" spans="1:10" x14ac:dyDescent="0.25">
      <c r="A487" s="4"/>
      <c r="B487" s="105" t="s">
        <v>62</v>
      </c>
      <c r="C487" s="105"/>
      <c r="D487" s="105"/>
      <c r="E487" s="105"/>
      <c r="F487" s="105"/>
      <c r="G487" s="105"/>
      <c r="H487" s="105"/>
      <c r="I487" s="105"/>
      <c r="J487" s="105"/>
    </row>
    <row r="488" spans="1:10" ht="14.4" x14ac:dyDescent="0.3">
      <c r="A488" s="106" t="s">
        <v>38</v>
      </c>
      <c r="B488" s="107"/>
      <c r="C488" s="11">
        <f>C489+C494</f>
        <v>31.75</v>
      </c>
      <c r="D488" s="11">
        <f>D489+D494</f>
        <v>30.75</v>
      </c>
      <c r="E488" s="11">
        <f>E489+E494</f>
        <v>24.4</v>
      </c>
      <c r="F488" s="11">
        <f>F489+F494</f>
        <v>24</v>
      </c>
      <c r="G488" s="5"/>
      <c r="H488" s="5"/>
      <c r="I488" s="5"/>
      <c r="J488" s="8">
        <f>J489+J494</f>
        <v>14047706.576735999</v>
      </c>
    </row>
    <row r="489" spans="1:10" ht="14.4" x14ac:dyDescent="0.3">
      <c r="A489" s="108" t="s">
        <v>39</v>
      </c>
      <c r="B489" s="109"/>
      <c r="C489" s="8">
        <f t="shared" ref="C489:J489" si="124">C490+C491</f>
        <v>4</v>
      </c>
      <c r="D489" s="8">
        <f t="shared" si="124"/>
        <v>4</v>
      </c>
      <c r="E489" s="8">
        <f t="shared" si="124"/>
        <v>4</v>
      </c>
      <c r="F489" s="8">
        <f t="shared" si="124"/>
        <v>4</v>
      </c>
      <c r="G489" s="8">
        <f t="shared" si="124"/>
        <v>67955.856</v>
      </c>
      <c r="H489" s="8">
        <f t="shared" si="124"/>
        <v>1631946.8160000001</v>
      </c>
      <c r="I489" s="8">
        <f t="shared" si="124"/>
        <v>492847.93843200005</v>
      </c>
      <c r="J489" s="8">
        <f t="shared" si="124"/>
        <v>2124794.7544320002</v>
      </c>
    </row>
    <row r="490" spans="1:10" x14ac:dyDescent="0.25">
      <c r="A490" s="9">
        <v>2</v>
      </c>
      <c r="B490" s="10" t="s">
        <v>11</v>
      </c>
      <c r="C490" s="73">
        <v>3</v>
      </c>
      <c r="D490" s="73">
        <v>3</v>
      </c>
      <c r="E490" s="73">
        <v>3</v>
      </c>
      <c r="F490" s="73">
        <v>3</v>
      </c>
      <c r="G490" s="5">
        <f>'расчёт зарплаты'!K8</f>
        <v>34019.856</v>
      </c>
      <c r="H490" s="5">
        <f>E490*G490*12+((D490-E490)*G490/2*12)</f>
        <v>1224714.8160000001</v>
      </c>
      <c r="I490" s="5">
        <f>H490*30.2%</f>
        <v>369863.87443200004</v>
      </c>
      <c r="J490" s="5">
        <f>H490+I490</f>
        <v>1594578.6904320002</v>
      </c>
    </row>
    <row r="491" spans="1:10" ht="52.8" x14ac:dyDescent="0.25">
      <c r="A491" s="9">
        <v>3</v>
      </c>
      <c r="B491" s="10" t="s">
        <v>12</v>
      </c>
      <c r="C491" s="70">
        <v>1</v>
      </c>
      <c r="D491" s="70">
        <v>1</v>
      </c>
      <c r="E491" s="70">
        <v>1</v>
      </c>
      <c r="F491" s="70">
        <v>1</v>
      </c>
      <c r="G491" s="5">
        <f>'расчёт зарплаты'!K10</f>
        <v>33936</v>
      </c>
      <c r="H491" s="5">
        <f>E491*G491*12+((D491-E491)*G491/2*12)</f>
        <v>407232</v>
      </c>
      <c r="I491" s="5">
        <f>H491*30.2%</f>
        <v>122984.064</v>
      </c>
      <c r="J491" s="5">
        <f>H491+I491</f>
        <v>530216.06400000001</v>
      </c>
    </row>
    <row r="492" spans="1:10" ht="26.4" x14ac:dyDescent="0.25">
      <c r="A492" s="9">
        <v>4</v>
      </c>
      <c r="B492" s="10" t="s">
        <v>40</v>
      </c>
      <c r="C492" s="9"/>
      <c r="D492" s="9">
        <v>0</v>
      </c>
      <c r="E492" s="9">
        <v>0</v>
      </c>
      <c r="F492" s="9">
        <v>0</v>
      </c>
      <c r="G492" s="5"/>
      <c r="H492" s="5">
        <f>E492*G492*12+((D492-E492)*G492/2*12)</f>
        <v>0</v>
      </c>
      <c r="I492" s="5"/>
      <c r="J492" s="5"/>
    </row>
    <row r="493" spans="1:10" x14ac:dyDescent="0.25">
      <c r="A493" s="9">
        <v>5</v>
      </c>
      <c r="B493" s="10" t="s">
        <v>20</v>
      </c>
      <c r="C493" s="9"/>
      <c r="D493" s="9"/>
      <c r="E493" s="9"/>
      <c r="F493" s="9"/>
      <c r="G493" s="5"/>
      <c r="H493" s="5"/>
      <c r="I493" s="5"/>
      <c r="J493" s="5"/>
    </row>
    <row r="494" spans="1:10" ht="14.4" x14ac:dyDescent="0.3">
      <c r="A494" s="110" t="s">
        <v>41</v>
      </c>
      <c r="B494" s="110"/>
      <c r="C494" s="9">
        <f>C495+C502</f>
        <v>27.75</v>
      </c>
      <c r="D494" s="9">
        <f>D495+D502</f>
        <v>26.75</v>
      </c>
      <c r="E494" s="9">
        <f>E495+E502</f>
        <v>20.399999999999999</v>
      </c>
      <c r="F494" s="12">
        <f>F495+F502</f>
        <v>20</v>
      </c>
      <c r="G494" s="5"/>
      <c r="H494" s="8">
        <f>H495+H502</f>
        <v>7744058.352</v>
      </c>
      <c r="I494" s="8">
        <f>I495+I502</f>
        <v>2338705.622304</v>
      </c>
      <c r="J494" s="8">
        <f>J495+J502</f>
        <v>11922911.822303999</v>
      </c>
    </row>
    <row r="495" spans="1:10" ht="14.4" x14ac:dyDescent="0.3">
      <c r="A495" s="111" t="s">
        <v>42</v>
      </c>
      <c r="B495" s="111"/>
      <c r="C495" s="13">
        <f>C496+C497+C498+C499+C500+C501</f>
        <v>23.5</v>
      </c>
      <c r="D495" s="13">
        <f>D496+D497+D498+D499+D500+D501</f>
        <v>22.5</v>
      </c>
      <c r="E495" s="13">
        <f>E496+E497+E498+E499+E500+E501</f>
        <v>18.399999999999999</v>
      </c>
      <c r="F495" s="13">
        <f>F496+F497+F498+F499+F500+F501</f>
        <v>18</v>
      </c>
      <c r="G495" s="5"/>
      <c r="H495" s="5">
        <f>SUM(H496:H501)</f>
        <v>7744058.352</v>
      </c>
      <c r="I495" s="5">
        <f>SUM(I496:I501)</f>
        <v>2338705.622304</v>
      </c>
      <c r="J495" s="5">
        <f>SUM(J496:J501)</f>
        <v>10082763.974304</v>
      </c>
    </row>
    <row r="496" spans="1:10" x14ac:dyDescent="0.25">
      <c r="A496" s="9">
        <v>1</v>
      </c>
      <c r="B496" s="10" t="s">
        <v>15</v>
      </c>
      <c r="C496" s="9"/>
      <c r="D496" s="9">
        <v>0</v>
      </c>
      <c r="E496" s="9">
        <v>0</v>
      </c>
      <c r="F496" s="9">
        <v>0</v>
      </c>
      <c r="G496" s="5"/>
      <c r="H496" s="5">
        <f>E496*G496*12+((D496-E496)*G496/2*12)</f>
        <v>0</v>
      </c>
      <c r="I496" s="5">
        <f t="shared" ref="I496:I501" si="125">H496*30.2%</f>
        <v>0</v>
      </c>
      <c r="J496" s="5">
        <f t="shared" ref="J496:J501" si="126">H496+I496</f>
        <v>0</v>
      </c>
    </row>
    <row r="497" spans="1:10" x14ac:dyDescent="0.25">
      <c r="A497" s="9">
        <v>2</v>
      </c>
      <c r="B497" s="10" t="s">
        <v>17</v>
      </c>
      <c r="C497" s="9"/>
      <c r="D497" s="9">
        <v>0</v>
      </c>
      <c r="E497" s="9">
        <v>0</v>
      </c>
      <c r="F497" s="9">
        <v>0</v>
      </c>
      <c r="G497" s="5"/>
      <c r="H497" s="5">
        <f>E497*G497*12+((D497-E497)*G497/2*12)</f>
        <v>0</v>
      </c>
      <c r="I497" s="5">
        <f t="shared" si="125"/>
        <v>0</v>
      </c>
      <c r="J497" s="5">
        <f t="shared" si="126"/>
        <v>0</v>
      </c>
    </row>
    <row r="498" spans="1:10" ht="39.6" x14ac:dyDescent="0.25">
      <c r="A498" s="9">
        <v>3</v>
      </c>
      <c r="B498" s="10" t="s">
        <v>18</v>
      </c>
      <c r="C498" s="70">
        <v>18.75</v>
      </c>
      <c r="D498" s="89">
        <f>12.25+6</f>
        <v>18.25</v>
      </c>
      <c r="E498" s="89">
        <f>11.9+3</f>
        <v>14.9</v>
      </c>
      <c r="F498" s="70">
        <v>14</v>
      </c>
      <c r="G498" s="5">
        <f>'расчёт зарплаты'!K16</f>
        <v>31556.880000000001</v>
      </c>
      <c r="H498" s="5">
        <f>E498*G498*12+((D498-E498)*G498/2*12)</f>
        <v>6276663.432</v>
      </c>
      <c r="I498" s="5">
        <f t="shared" si="125"/>
        <v>1895552.356464</v>
      </c>
      <c r="J498" s="5">
        <f t="shared" si="126"/>
        <v>8172215.7884640004</v>
      </c>
    </row>
    <row r="499" spans="1:10" x14ac:dyDescent="0.25">
      <c r="A499" s="9">
        <v>4</v>
      </c>
      <c r="B499" s="10" t="s">
        <v>19</v>
      </c>
      <c r="C499" s="70">
        <v>2</v>
      </c>
      <c r="D499" s="70">
        <v>2</v>
      </c>
      <c r="E499" s="70">
        <v>1.5</v>
      </c>
      <c r="F499" s="70">
        <v>2</v>
      </c>
      <c r="G499" s="5">
        <f>'расчёт зарплаты'!K18</f>
        <v>31556.880000000001</v>
      </c>
      <c r="H499" s="5">
        <f>E499*G499*12+((D499-E499)*G499/2*12)</f>
        <v>662694.48</v>
      </c>
      <c r="I499" s="5">
        <f t="shared" si="125"/>
        <v>200133.73295999999</v>
      </c>
      <c r="J499" s="5">
        <f t="shared" si="126"/>
        <v>862828.21295999992</v>
      </c>
    </row>
    <row r="500" spans="1:10" x14ac:dyDescent="0.25">
      <c r="A500" s="9">
        <v>5</v>
      </c>
      <c r="B500" s="10"/>
      <c r="C500" s="9"/>
      <c r="D500" s="9"/>
      <c r="E500" s="9"/>
      <c r="F500" s="9"/>
      <c r="G500" s="5"/>
      <c r="H500" s="5">
        <f t="shared" ref="H500:H510" si="127">E500*G500*12+((D500-E500)*G500/2*12)</f>
        <v>0</v>
      </c>
      <c r="I500" s="5">
        <f t="shared" si="125"/>
        <v>0</v>
      </c>
      <c r="J500" s="5">
        <f t="shared" si="126"/>
        <v>0</v>
      </c>
    </row>
    <row r="501" spans="1:10" x14ac:dyDescent="0.25">
      <c r="A501" s="9">
        <v>6</v>
      </c>
      <c r="B501" s="10" t="s">
        <v>21</v>
      </c>
      <c r="C501" s="70">
        <v>2.75</v>
      </c>
      <c r="D501" s="70">
        <v>2.25</v>
      </c>
      <c r="E501" s="70">
        <v>2</v>
      </c>
      <c r="F501" s="70">
        <v>2</v>
      </c>
      <c r="G501" s="5">
        <f>'расчёт зарплаты'!K22</f>
        <v>31556.880000000001</v>
      </c>
      <c r="H501" s="5">
        <f t="shared" si="127"/>
        <v>804700.44</v>
      </c>
      <c r="I501" s="5">
        <f t="shared" si="125"/>
        <v>243019.53287999998</v>
      </c>
      <c r="J501" s="5">
        <f t="shared" si="126"/>
        <v>1047719.9728799999</v>
      </c>
    </row>
    <row r="502" spans="1:10" ht="24.6" customHeight="1" x14ac:dyDescent="0.3">
      <c r="A502" s="111" t="s">
        <v>43</v>
      </c>
      <c r="B502" s="111"/>
      <c r="C502" s="14">
        <f>C503+C504+C505+C506+C507+C508+C509+C510</f>
        <v>4.25</v>
      </c>
      <c r="D502" s="14">
        <f t="shared" ref="D502:F502" si="128">D503+D504+D505+D506+D507+D508+D509+D510</f>
        <v>4.25</v>
      </c>
      <c r="E502" s="14">
        <f t="shared" si="128"/>
        <v>2</v>
      </c>
      <c r="F502" s="14">
        <f t="shared" si="128"/>
        <v>2</v>
      </c>
      <c r="G502" s="5"/>
      <c r="H502" s="5"/>
      <c r="I502" s="5"/>
      <c r="J502" s="5">
        <f>SUM(J503:J510)</f>
        <v>1840147.848</v>
      </c>
    </row>
    <row r="503" spans="1:10" ht="26.4" x14ac:dyDescent="0.25">
      <c r="A503" s="9">
        <v>1</v>
      </c>
      <c r="B503" s="10" t="s">
        <v>22</v>
      </c>
      <c r="C503" s="9"/>
      <c r="D503" s="9">
        <v>0</v>
      </c>
      <c r="E503" s="9">
        <v>0</v>
      </c>
      <c r="F503" s="9">
        <v>0</v>
      </c>
      <c r="G503" s="5"/>
      <c r="H503" s="5">
        <f t="shared" si="127"/>
        <v>0</v>
      </c>
      <c r="I503" s="5">
        <f t="shared" ref="I503:I510" si="129">H503*30.2%</f>
        <v>0</v>
      </c>
      <c r="J503" s="5">
        <f t="shared" ref="J503:J510" si="130">H503+I503</f>
        <v>0</v>
      </c>
    </row>
    <row r="504" spans="1:10" x14ac:dyDescent="0.25">
      <c r="A504" s="9">
        <v>2</v>
      </c>
      <c r="B504" s="10" t="s">
        <v>23</v>
      </c>
      <c r="C504" s="9"/>
      <c r="D504" s="9">
        <v>0</v>
      </c>
      <c r="E504" s="9">
        <v>0</v>
      </c>
      <c r="F504" s="9">
        <v>0</v>
      </c>
      <c r="G504" s="5"/>
      <c r="H504" s="5">
        <f t="shared" si="127"/>
        <v>0</v>
      </c>
      <c r="I504" s="5">
        <f t="shared" si="129"/>
        <v>0</v>
      </c>
      <c r="J504" s="5">
        <f t="shared" si="130"/>
        <v>0</v>
      </c>
    </row>
    <row r="505" spans="1:10" ht="26.4" x14ac:dyDescent="0.25">
      <c r="A505" s="9">
        <v>3</v>
      </c>
      <c r="B505" s="10" t="s">
        <v>24</v>
      </c>
      <c r="C505" s="9"/>
      <c r="D505" s="9">
        <v>0</v>
      </c>
      <c r="E505" s="9">
        <v>0</v>
      </c>
      <c r="F505" s="9">
        <v>0</v>
      </c>
      <c r="G505" s="5"/>
      <c r="H505" s="5">
        <f t="shared" si="127"/>
        <v>0</v>
      </c>
      <c r="I505" s="5">
        <f t="shared" si="129"/>
        <v>0</v>
      </c>
      <c r="J505" s="5">
        <f t="shared" si="130"/>
        <v>0</v>
      </c>
    </row>
    <row r="506" spans="1:10" x14ac:dyDescent="0.25">
      <c r="A506" s="9">
        <v>4</v>
      </c>
      <c r="B506" s="10" t="s">
        <v>25</v>
      </c>
      <c r="C506" s="70">
        <v>1</v>
      </c>
      <c r="D506" s="70">
        <v>1</v>
      </c>
      <c r="E506" s="70">
        <v>0</v>
      </c>
      <c r="F506" s="70">
        <v>0</v>
      </c>
      <c r="G506" s="5">
        <f>'расчёт зарплаты'!K36</f>
        <v>32320</v>
      </c>
      <c r="H506" s="5">
        <f t="shared" si="127"/>
        <v>193920</v>
      </c>
      <c r="I506" s="5">
        <f t="shared" si="129"/>
        <v>58563.839999999997</v>
      </c>
      <c r="J506" s="5">
        <f t="shared" si="130"/>
        <v>252483.84</v>
      </c>
    </row>
    <row r="507" spans="1:10" x14ac:dyDescent="0.25">
      <c r="A507" s="9">
        <v>5</v>
      </c>
      <c r="B507" s="10" t="s">
        <v>26</v>
      </c>
      <c r="C507" s="9"/>
      <c r="D507" s="9">
        <v>0</v>
      </c>
      <c r="E507" s="9">
        <v>0</v>
      </c>
      <c r="F507" s="9">
        <v>0</v>
      </c>
      <c r="G507" s="5">
        <f>'расчёт зарплаты'!K34</f>
        <v>33936</v>
      </c>
      <c r="H507" s="5">
        <f t="shared" si="127"/>
        <v>0</v>
      </c>
      <c r="I507" s="5">
        <f t="shared" si="129"/>
        <v>0</v>
      </c>
      <c r="J507" s="5">
        <f t="shared" si="130"/>
        <v>0</v>
      </c>
    </row>
    <row r="508" spans="1:10" x14ac:dyDescent="0.25">
      <c r="A508" s="9">
        <v>6</v>
      </c>
      <c r="B508" s="10" t="s">
        <v>28</v>
      </c>
      <c r="C508" s="70">
        <v>2</v>
      </c>
      <c r="D508" s="70">
        <v>2</v>
      </c>
      <c r="E508" s="70">
        <v>1</v>
      </c>
      <c r="F508" s="70">
        <v>1</v>
      </c>
      <c r="G508" s="5">
        <f>'расчёт зарплаты'!K40</f>
        <v>33936</v>
      </c>
      <c r="H508" s="5">
        <f t="shared" si="127"/>
        <v>610848</v>
      </c>
      <c r="I508" s="5">
        <f t="shared" si="129"/>
        <v>184476.09599999999</v>
      </c>
      <c r="J508" s="5">
        <f t="shared" si="130"/>
        <v>795324.09600000002</v>
      </c>
    </row>
    <row r="509" spans="1:10" ht="26.4" x14ac:dyDescent="0.25">
      <c r="A509" s="9"/>
      <c r="B509" s="10" t="s">
        <v>98</v>
      </c>
      <c r="C509" s="70">
        <v>0.25</v>
      </c>
      <c r="D509" s="70">
        <v>0.25</v>
      </c>
      <c r="E509" s="70">
        <v>0</v>
      </c>
      <c r="F509" s="70">
        <v>0</v>
      </c>
      <c r="G509" s="5">
        <f>'расчёт зарплаты'!K32</f>
        <v>36808</v>
      </c>
      <c r="H509" s="5">
        <f t="shared" si="127"/>
        <v>55212</v>
      </c>
      <c r="I509" s="5">
        <f t="shared" si="129"/>
        <v>16674.024000000001</v>
      </c>
      <c r="J509" s="5">
        <f t="shared" si="130"/>
        <v>71886.024000000005</v>
      </c>
    </row>
    <row r="510" spans="1:10" ht="26.4" x14ac:dyDescent="0.25">
      <c r="A510" s="9">
        <v>1</v>
      </c>
      <c r="B510" s="10" t="s">
        <v>9</v>
      </c>
      <c r="C510" s="70">
        <v>1</v>
      </c>
      <c r="D510" s="70">
        <v>1</v>
      </c>
      <c r="E510" s="70">
        <v>1</v>
      </c>
      <c r="F510" s="70">
        <v>1</v>
      </c>
      <c r="G510" s="5">
        <f>'расчёт зарплаты'!K6</f>
        <v>46112</v>
      </c>
      <c r="H510" s="5">
        <f t="shared" si="127"/>
        <v>553344</v>
      </c>
      <c r="I510" s="5">
        <f t="shared" si="129"/>
        <v>167109.88800000001</v>
      </c>
      <c r="J510" s="5">
        <f t="shared" si="130"/>
        <v>720453.88800000004</v>
      </c>
    </row>
    <row r="511" spans="1:10" x14ac:dyDescent="0.25">
      <c r="A511" s="4"/>
      <c r="B511" s="105" t="s">
        <v>63</v>
      </c>
      <c r="C511" s="105"/>
      <c r="D511" s="105"/>
      <c r="E511" s="105"/>
      <c r="F511" s="105"/>
      <c r="G511" s="105"/>
      <c r="H511" s="105"/>
      <c r="I511" s="105"/>
      <c r="J511" s="105"/>
    </row>
    <row r="512" spans="1:10" ht="14.4" x14ac:dyDescent="0.3">
      <c r="A512" s="106" t="s">
        <v>38</v>
      </c>
      <c r="B512" s="107"/>
      <c r="C512" s="11">
        <f>C513+C518</f>
        <v>1</v>
      </c>
      <c r="D512" s="11">
        <f>D513+D518</f>
        <v>1</v>
      </c>
      <c r="E512" s="11">
        <f>E513+E518</f>
        <v>1</v>
      </c>
      <c r="F512" s="11">
        <f>F513+F518</f>
        <v>1</v>
      </c>
      <c r="G512" s="5"/>
      <c r="H512" s="5"/>
      <c r="I512" s="5"/>
      <c r="J512" s="5"/>
    </row>
    <row r="513" spans="1:11" ht="14.4" x14ac:dyDescent="0.3">
      <c r="A513" s="108" t="s">
        <v>39</v>
      </c>
      <c r="B513" s="109"/>
      <c r="C513" s="5">
        <f>C514+C515+C516</f>
        <v>1</v>
      </c>
      <c r="D513" s="5">
        <f t="shared" ref="D513:F513" si="131">D514+D515+D516</f>
        <v>1</v>
      </c>
      <c r="E513" s="5">
        <f t="shared" si="131"/>
        <v>1</v>
      </c>
      <c r="F513" s="5">
        <f t="shared" si="131"/>
        <v>1</v>
      </c>
      <c r="G513" s="5"/>
      <c r="H513" s="5">
        <f>H514+H515+H516</f>
        <v>686400</v>
      </c>
      <c r="I513" s="5">
        <f t="shared" ref="I513:J513" si="132">I514+I515+I516</f>
        <v>207292.79999999999</v>
      </c>
      <c r="J513" s="5">
        <f t="shared" si="132"/>
        <v>893692.8</v>
      </c>
    </row>
    <row r="514" spans="1:11" x14ac:dyDescent="0.25">
      <c r="A514" s="9">
        <v>2</v>
      </c>
      <c r="B514" s="10" t="s">
        <v>11</v>
      </c>
      <c r="C514" s="4"/>
      <c r="D514" s="4"/>
      <c r="E514" s="4"/>
      <c r="F514" s="4"/>
      <c r="G514" s="5">
        <f>'расчёт зарплаты'!K8</f>
        <v>34019.856</v>
      </c>
      <c r="H514" s="5">
        <f t="shared" ref="H514:H515" si="133">E514*G514*12+((D514-E514)*G514/2*12)</f>
        <v>0</v>
      </c>
      <c r="I514" s="5">
        <f>H514*30.2%</f>
        <v>0</v>
      </c>
      <c r="J514" s="5">
        <f>H514+I514</f>
        <v>0</v>
      </c>
    </row>
    <row r="515" spans="1:11" ht="52.8" x14ac:dyDescent="0.25">
      <c r="A515" s="9">
        <v>3</v>
      </c>
      <c r="B515" s="10" t="s">
        <v>12</v>
      </c>
      <c r="C515" s="4"/>
      <c r="D515" s="4"/>
      <c r="E515" s="4"/>
      <c r="F515" s="4"/>
      <c r="G515" s="5">
        <f>'расчёт зарплаты'!K10</f>
        <v>33936</v>
      </c>
      <c r="H515" s="5">
        <f t="shared" si="133"/>
        <v>0</v>
      </c>
      <c r="I515" s="5">
        <f>H515*30.2%</f>
        <v>0</v>
      </c>
      <c r="J515" s="5">
        <f>H515+I515</f>
        <v>0</v>
      </c>
    </row>
    <row r="516" spans="1:11" ht="26.4" x14ac:dyDescent="0.25">
      <c r="A516" s="75">
        <v>4</v>
      </c>
      <c r="B516" s="84" t="s">
        <v>40</v>
      </c>
      <c r="C516" s="85">
        <v>1</v>
      </c>
      <c r="D516" s="85">
        <v>1</v>
      </c>
      <c r="E516" s="85">
        <v>1</v>
      </c>
      <c r="F516" s="85">
        <v>1</v>
      </c>
      <c r="G516" s="78">
        <f>'расчёт зарплаты'!K42</f>
        <v>57200</v>
      </c>
      <c r="H516" s="78">
        <f>E516*G516*12+((D516-E516)*G516/2*12)</f>
        <v>686400</v>
      </c>
      <c r="I516" s="78">
        <f t="shared" ref="I516" si="134">H516*30.2%</f>
        <v>207292.79999999999</v>
      </c>
      <c r="J516" s="78">
        <f t="shared" ref="J516" si="135">H516+I516</f>
        <v>893692.8</v>
      </c>
      <c r="K516" s="86" t="s">
        <v>106</v>
      </c>
    </row>
    <row r="517" spans="1:11" x14ac:dyDescent="0.25">
      <c r="A517" s="9">
        <v>5</v>
      </c>
      <c r="B517" s="10" t="s">
        <v>20</v>
      </c>
      <c r="C517" s="63"/>
      <c r="D517" s="63"/>
      <c r="E517" s="63"/>
      <c r="F517" s="63"/>
      <c r="G517" s="5"/>
      <c r="H517" s="5"/>
      <c r="I517" s="5"/>
      <c r="J517" s="5"/>
    </row>
    <row r="518" spans="1:11" ht="14.4" x14ac:dyDescent="0.3">
      <c r="A518" s="110" t="s">
        <v>41</v>
      </c>
      <c r="B518" s="110"/>
      <c r="C518" s="9">
        <f>C519+C526</f>
        <v>0</v>
      </c>
      <c r="D518" s="9">
        <f>D519+D526</f>
        <v>0</v>
      </c>
      <c r="E518" s="9">
        <f>E519+E526</f>
        <v>0</v>
      </c>
      <c r="F518" s="9">
        <f>F519+F526</f>
        <v>0</v>
      </c>
      <c r="G518" s="5">
        <f>'расчёт зарплаты'!K43</f>
        <v>0</v>
      </c>
      <c r="H518" s="8">
        <f>H519+H526</f>
        <v>0</v>
      </c>
      <c r="I518" s="8">
        <f>I519+I526</f>
        <v>0</v>
      </c>
      <c r="J518" s="8">
        <f>J519+J526</f>
        <v>0</v>
      </c>
    </row>
    <row r="519" spans="1:11" ht="14.4" x14ac:dyDescent="0.3">
      <c r="A519" s="111" t="s">
        <v>42</v>
      </c>
      <c r="B519" s="111"/>
      <c r="C519" s="13">
        <f>C520+C521+C522+C523+C524+C525</f>
        <v>0</v>
      </c>
      <c r="D519" s="13">
        <f>D520+D521+D522+D523+D524+D525</f>
        <v>0</v>
      </c>
      <c r="E519" s="13">
        <f>E520+E521+E522+E523+E524+E525</f>
        <v>0</v>
      </c>
      <c r="F519" s="13">
        <f>F520+F521+F522+F523+F524+F525</f>
        <v>0</v>
      </c>
      <c r="G519" s="5"/>
      <c r="H519" s="5"/>
      <c r="I519" s="5"/>
      <c r="J519" s="5">
        <f>SUM(J520:J525)</f>
        <v>0</v>
      </c>
    </row>
    <row r="520" spans="1:11" x14ac:dyDescent="0.25">
      <c r="A520" s="9">
        <v>1</v>
      </c>
      <c r="B520" s="10" t="s">
        <v>15</v>
      </c>
      <c r="C520" s="4"/>
      <c r="D520" s="4"/>
      <c r="E520" s="4"/>
      <c r="F520" s="4"/>
      <c r="G520" s="5">
        <f>'расчёт зарплаты'!K12</f>
        <v>40480</v>
      </c>
      <c r="H520" s="5">
        <f t="shared" ref="H520:H525" si="136">E520*G520*12</f>
        <v>0</v>
      </c>
      <c r="I520" s="5">
        <f t="shared" ref="I520:I525" si="137">H520*30.2%</f>
        <v>0</v>
      </c>
      <c r="J520" s="5">
        <f t="shared" ref="J520:J525" si="138">H520+I520</f>
        <v>0</v>
      </c>
    </row>
    <row r="521" spans="1:11" x14ac:dyDescent="0.25">
      <c r="A521" s="9">
        <v>2</v>
      </c>
      <c r="B521" s="10" t="s">
        <v>17</v>
      </c>
      <c r="C521" s="4"/>
      <c r="D521" s="4"/>
      <c r="E521" s="4"/>
      <c r="F521" s="4"/>
      <c r="G521" s="5">
        <f>'расчёт зарплаты'!K14</f>
        <v>44704</v>
      </c>
      <c r="H521" s="5">
        <f t="shared" si="136"/>
        <v>0</v>
      </c>
      <c r="I521" s="5">
        <f t="shared" si="137"/>
        <v>0</v>
      </c>
      <c r="J521" s="5">
        <f t="shared" si="138"/>
        <v>0</v>
      </c>
    </row>
    <row r="522" spans="1:11" ht="39.6" x14ac:dyDescent="0.25">
      <c r="A522" s="9">
        <v>3</v>
      </c>
      <c r="B522" s="10" t="s">
        <v>18</v>
      </c>
      <c r="C522" s="4"/>
      <c r="D522" s="4"/>
      <c r="E522" s="4"/>
      <c r="F522" s="4"/>
      <c r="G522" s="5">
        <f>'расчёт зарплаты'!K16</f>
        <v>31556.880000000001</v>
      </c>
      <c r="H522" s="5">
        <f t="shared" si="136"/>
        <v>0</v>
      </c>
      <c r="I522" s="5">
        <f t="shared" si="137"/>
        <v>0</v>
      </c>
      <c r="J522" s="5">
        <f t="shared" si="138"/>
        <v>0</v>
      </c>
    </row>
    <row r="523" spans="1:11" x14ac:dyDescent="0.25">
      <c r="A523" s="9">
        <v>4</v>
      </c>
      <c r="B523" s="10" t="s">
        <v>19</v>
      </c>
      <c r="C523" s="4"/>
      <c r="D523" s="4"/>
      <c r="E523" s="4"/>
      <c r="F523" s="4"/>
      <c r="G523" s="5">
        <f>'расчёт зарплаты'!K18</f>
        <v>31556.880000000001</v>
      </c>
      <c r="H523" s="5">
        <f t="shared" si="136"/>
        <v>0</v>
      </c>
      <c r="I523" s="5">
        <f t="shared" si="137"/>
        <v>0</v>
      </c>
      <c r="J523" s="5">
        <f t="shared" si="138"/>
        <v>0</v>
      </c>
    </row>
    <row r="524" spans="1:11" x14ac:dyDescent="0.25">
      <c r="A524" s="9">
        <v>5</v>
      </c>
      <c r="B524" s="10"/>
      <c r="C524" s="4"/>
      <c r="D524" s="4"/>
      <c r="E524" s="4"/>
      <c r="F524" s="4"/>
      <c r="G524" s="5"/>
      <c r="H524" s="5">
        <f t="shared" si="136"/>
        <v>0</v>
      </c>
      <c r="I524" s="5">
        <f t="shared" si="137"/>
        <v>0</v>
      </c>
      <c r="J524" s="5">
        <f t="shared" si="138"/>
        <v>0</v>
      </c>
    </row>
    <row r="525" spans="1:11" x14ac:dyDescent="0.25">
      <c r="A525" s="9">
        <v>6</v>
      </c>
      <c r="B525" s="10" t="s">
        <v>21</v>
      </c>
      <c r="C525" s="4"/>
      <c r="D525" s="4"/>
      <c r="E525" s="4"/>
      <c r="F525" s="4"/>
      <c r="G525" s="5">
        <f>'расчёт зарплаты'!K22</f>
        <v>31556.880000000001</v>
      </c>
      <c r="H525" s="5">
        <f t="shared" si="136"/>
        <v>0</v>
      </c>
      <c r="I525" s="5">
        <f t="shared" si="137"/>
        <v>0</v>
      </c>
      <c r="J525" s="5">
        <f t="shared" si="138"/>
        <v>0</v>
      </c>
    </row>
    <row r="526" spans="1:11" ht="49.8" customHeight="1" x14ac:dyDescent="0.3">
      <c r="A526" s="111" t="s">
        <v>43</v>
      </c>
      <c r="B526" s="111"/>
      <c r="C526" s="14">
        <f>C527+C528+C529+C530+C531+C532+C533</f>
        <v>0</v>
      </c>
      <c r="D526" s="14">
        <f>D527+D528+D529+D530+D531+D532+D533</f>
        <v>0</v>
      </c>
      <c r="E526" s="14">
        <f>E527+E528+E529+E530+E531+E532+E533</f>
        <v>0</v>
      </c>
      <c r="F526" s="14">
        <f>F527+F528+F529+F530+F531+F532+F533</f>
        <v>0</v>
      </c>
      <c r="G526" s="5"/>
      <c r="H526" s="5"/>
      <c r="I526" s="5"/>
      <c r="J526" s="5">
        <f>SUM(J527:J533)</f>
        <v>0</v>
      </c>
    </row>
    <row r="527" spans="1:11" ht="26.4" x14ac:dyDescent="0.25">
      <c r="A527" s="9">
        <v>1</v>
      </c>
      <c r="B527" s="10" t="s">
        <v>22</v>
      </c>
      <c r="C527" s="4"/>
      <c r="D527" s="4"/>
      <c r="E527" s="4"/>
      <c r="F527" s="4"/>
      <c r="G527" s="5">
        <f>'расчёт зарплаты'!K24</f>
        <v>39984</v>
      </c>
      <c r="H527" s="5">
        <f t="shared" ref="H527:H532" si="139">E527*G527*12</f>
        <v>0</v>
      </c>
      <c r="I527" s="5">
        <f t="shared" ref="I527:I532" si="140">H527*30.2%</f>
        <v>0</v>
      </c>
      <c r="J527" s="5">
        <f t="shared" ref="J527:J532" si="141">H527+I527</f>
        <v>0</v>
      </c>
    </row>
    <row r="528" spans="1:11" x14ac:dyDescent="0.25">
      <c r="A528" s="9">
        <v>2</v>
      </c>
      <c r="B528" s="10" t="s">
        <v>23</v>
      </c>
      <c r="C528" s="4"/>
      <c r="D528" s="4"/>
      <c r="E528" s="4"/>
      <c r="F528" s="4"/>
      <c r="G528" s="5">
        <f>'расчёт зарплаты'!K26</f>
        <v>40480</v>
      </c>
      <c r="H528" s="5">
        <f t="shared" si="139"/>
        <v>0</v>
      </c>
      <c r="I528" s="5">
        <f t="shared" si="140"/>
        <v>0</v>
      </c>
      <c r="J528" s="5">
        <f t="shared" si="141"/>
        <v>0</v>
      </c>
    </row>
    <row r="529" spans="1:10" ht="26.4" x14ac:dyDescent="0.25">
      <c r="A529" s="9">
        <v>3</v>
      </c>
      <c r="B529" s="10" t="s">
        <v>24</v>
      </c>
      <c r="C529" s="4"/>
      <c r="D529" s="4"/>
      <c r="E529" s="4"/>
      <c r="F529" s="4"/>
      <c r="G529" s="5">
        <f>'расчёт зарплаты'!K28</f>
        <v>36256</v>
      </c>
      <c r="H529" s="5">
        <f t="shared" si="139"/>
        <v>0</v>
      </c>
      <c r="I529" s="5">
        <f t="shared" si="140"/>
        <v>0</v>
      </c>
      <c r="J529" s="5">
        <f t="shared" si="141"/>
        <v>0</v>
      </c>
    </row>
    <row r="530" spans="1:10" x14ac:dyDescent="0.25">
      <c r="A530" s="9">
        <v>4</v>
      </c>
      <c r="B530" s="10" t="s">
        <v>25</v>
      </c>
      <c r="C530" s="4"/>
      <c r="D530" s="4"/>
      <c r="E530" s="4"/>
      <c r="F530" s="4"/>
      <c r="G530" s="5">
        <f>'расчёт зарплаты'!K36</f>
        <v>32320</v>
      </c>
      <c r="H530" s="5">
        <f t="shared" si="139"/>
        <v>0</v>
      </c>
      <c r="I530" s="5">
        <f t="shared" si="140"/>
        <v>0</v>
      </c>
      <c r="J530" s="5">
        <f t="shared" si="141"/>
        <v>0</v>
      </c>
    </row>
    <row r="531" spans="1:10" x14ac:dyDescent="0.25">
      <c r="A531" s="9">
        <v>5</v>
      </c>
      <c r="B531" s="10" t="s">
        <v>26</v>
      </c>
      <c r="C531" s="4"/>
      <c r="D531" s="4"/>
      <c r="E531" s="4"/>
      <c r="F531" s="4"/>
      <c r="G531" s="5">
        <f>'расчёт зарплаты'!K34</f>
        <v>33936</v>
      </c>
      <c r="H531" s="5">
        <f t="shared" si="139"/>
        <v>0</v>
      </c>
      <c r="I531" s="5">
        <f t="shared" si="140"/>
        <v>0</v>
      </c>
      <c r="J531" s="5">
        <f t="shared" si="141"/>
        <v>0</v>
      </c>
    </row>
    <row r="532" spans="1:10" x14ac:dyDescent="0.25">
      <c r="A532" s="9">
        <v>6</v>
      </c>
      <c r="B532" s="10" t="s">
        <v>28</v>
      </c>
      <c r="C532" s="4"/>
      <c r="D532" s="4"/>
      <c r="E532" s="4"/>
      <c r="F532" s="4"/>
      <c r="G532" s="5">
        <f>'расчёт зарплаты'!K40</f>
        <v>33936</v>
      </c>
      <c r="H532" s="5">
        <f t="shared" si="139"/>
        <v>0</v>
      </c>
      <c r="I532" s="5">
        <f t="shared" si="140"/>
        <v>0</v>
      </c>
      <c r="J532" s="5">
        <f t="shared" si="141"/>
        <v>0</v>
      </c>
    </row>
    <row r="533" spans="1:10" x14ac:dyDescent="0.25">
      <c r="A533" s="4"/>
      <c r="B533" s="105" t="s">
        <v>36</v>
      </c>
      <c r="C533" s="105"/>
      <c r="D533" s="105"/>
      <c r="E533" s="105"/>
      <c r="F533" s="105"/>
      <c r="G533" s="105"/>
      <c r="H533" s="105"/>
      <c r="I533" s="105"/>
      <c r="J533" s="105"/>
    </row>
    <row r="534" spans="1:10" ht="14.4" x14ac:dyDescent="0.3">
      <c r="A534" s="106" t="s">
        <v>38</v>
      </c>
      <c r="B534" s="107"/>
      <c r="C534" s="11">
        <f>C535+C540</f>
        <v>641.15</v>
      </c>
      <c r="D534" s="11">
        <f>D535+D540</f>
        <v>539.65</v>
      </c>
      <c r="E534" s="11">
        <f>E535+E540</f>
        <v>383.4</v>
      </c>
      <c r="F534" s="11">
        <f>F535+F540</f>
        <v>386</v>
      </c>
      <c r="G534" s="11"/>
      <c r="H534" s="71">
        <f t="shared" ref="H534:J534" si="142">H535+H540</f>
        <v>177149883.81599998</v>
      </c>
      <c r="I534" s="71">
        <f t="shared" si="142"/>
        <v>53499264.912432</v>
      </c>
      <c r="J534" s="71">
        <f t="shared" si="142"/>
        <v>230649148.728432</v>
      </c>
    </row>
    <row r="535" spans="1:10" ht="14.4" x14ac:dyDescent="0.3">
      <c r="A535" s="108" t="s">
        <v>39</v>
      </c>
      <c r="B535" s="109"/>
      <c r="C535" s="5">
        <f>C536+C537+C539</f>
        <v>113.25</v>
      </c>
      <c r="D535" s="5">
        <f t="shared" ref="D535:F535" si="143">D536+D537+D539</f>
        <v>106.75</v>
      </c>
      <c r="E535" s="5">
        <f t="shared" si="143"/>
        <v>98.9</v>
      </c>
      <c r="F535" s="5">
        <f t="shared" si="143"/>
        <v>98</v>
      </c>
      <c r="G535" s="5">
        <f t="shared" ref="G535:I535" si="144">G536+G537</f>
        <v>67955.856</v>
      </c>
      <c r="H535" s="5">
        <f t="shared" si="144"/>
        <v>41548283.783999994</v>
      </c>
      <c r="I535" s="5">
        <f t="shared" si="144"/>
        <v>12547581.702767998</v>
      </c>
      <c r="J535" s="5">
        <f>J536+J537</f>
        <v>54095865.486767992</v>
      </c>
    </row>
    <row r="536" spans="1:10" x14ac:dyDescent="0.25">
      <c r="A536" s="9">
        <v>2</v>
      </c>
      <c r="B536" s="10" t="s">
        <v>11</v>
      </c>
      <c r="C536" s="19">
        <f>C514+C490+C466+C442+C418+C394+C370+C345+C321+C272+C248+C223+C199+C175+C151+C127+C103+C79+C55+C31+C7+C296</f>
        <v>82.75</v>
      </c>
      <c r="D536" s="19">
        <f>D514+D490+D466+D442+D418+D394+D370+D345+D321+D272+D248+D223+D199+D175+D151+D127+D103+D79+D55+D31+D7+D295</f>
        <v>81.25</v>
      </c>
      <c r="E536" s="19">
        <f>E514+E490+E466+E442+E418+E394+E370+E345+E321+E272+E248+E223+E199+E175+E151+E127+E103+E79+E55+E31+E7+E295</f>
        <v>81.5</v>
      </c>
      <c r="F536" s="19">
        <f>F514+F490+F466+F442+F418+F394+F370+F345+F321+F272+F248+F223+F199+F175+F151+F127+F103+F79+F55+F31+F7+F295</f>
        <v>81</v>
      </c>
      <c r="G536" s="5">
        <f>'расчёт зарплаты'!K8</f>
        <v>34019.856</v>
      </c>
      <c r="H536" s="5">
        <f t="shared" ref="H536:H539" si="145">E536*G536*12+((D536-E536)*G536/2*12)</f>
        <v>33220389.383999996</v>
      </c>
      <c r="I536" s="5">
        <f>H536*30.2%</f>
        <v>10032557.593967998</v>
      </c>
      <c r="J536" s="5">
        <f>H536+I536</f>
        <v>43252946.977967992</v>
      </c>
    </row>
    <row r="537" spans="1:10" ht="52.8" x14ac:dyDescent="0.25">
      <c r="A537" s="9">
        <v>3</v>
      </c>
      <c r="B537" s="10" t="s">
        <v>12</v>
      </c>
      <c r="C537" s="19">
        <f>C515+C491+C467+C443+C419+C395+C371+C346+C322+C273+C249+C224+C200+C176+C152+C128+C104+C80+C56+C32+C8+C297</f>
        <v>29.5</v>
      </c>
      <c r="D537" s="19">
        <f>D515+D491+D467+D443+D419+D395+D371+D346+D322+D273+D249+D224+D200+D176+D152+D128+D104+D80+D56+D32+D8+D297</f>
        <v>24.5</v>
      </c>
      <c r="E537" s="19">
        <f>E515+E491+E467+E443+E419+E395+E371+E346+E322+E273+E249+E224+E200+E176+E152+E128+E104+E80+E56+E32+E8+E297</f>
        <v>16.399999999999999</v>
      </c>
      <c r="F537" s="19">
        <f>F515+F491+F467+F443+F419+F395+F371+F346+F322+F273+F249+F224+F200+F176+F152+F128+F104+F80+F56+F32+F8+F297</f>
        <v>16</v>
      </c>
      <c r="G537" s="5">
        <f>'расчёт зарплаты'!K10</f>
        <v>33936</v>
      </c>
      <c r="H537" s="5">
        <f t="shared" si="145"/>
        <v>8327894.3999999985</v>
      </c>
      <c r="I537" s="5">
        <f>H537*30.2%</f>
        <v>2515024.1087999996</v>
      </c>
      <c r="J537" s="5">
        <f>H537+I537</f>
        <v>10842918.508799998</v>
      </c>
    </row>
    <row r="538" spans="1:10" x14ac:dyDescent="0.25">
      <c r="A538" s="9">
        <v>5</v>
      </c>
      <c r="B538" s="10" t="s">
        <v>20</v>
      </c>
      <c r="C538" s="19"/>
      <c r="D538" s="19"/>
      <c r="E538" s="19"/>
      <c r="F538" s="19"/>
      <c r="G538" s="5"/>
      <c r="H538" s="5"/>
      <c r="I538" s="5"/>
      <c r="J538" s="5"/>
    </row>
    <row r="539" spans="1:10" ht="26.4" x14ac:dyDescent="0.25">
      <c r="A539" s="9">
        <v>4</v>
      </c>
      <c r="B539" s="10" t="s">
        <v>40</v>
      </c>
      <c r="C539" s="19">
        <f>C516+C492+C468+C444+C420+C396+C372+C347+C323+C274+C250+C225+C201+C177+C153+C129+C105+C81+C57+C33+C9+C298</f>
        <v>1</v>
      </c>
      <c r="D539" s="19">
        <f>D516+D492+D468+D444+D420+D396+D372+D347+D323+D274+D250+D225+D201+D177+D153+D129+D105+D81+D57+D33+D9+D298</f>
        <v>1</v>
      </c>
      <c r="E539" s="19">
        <f>E516+E492+E468+E444+E420+E396+E372+E347+E323+E274+E250+E225+E201+E177+E153+E129+E105+E81+E57+E33+E9+E298</f>
        <v>1</v>
      </c>
      <c r="F539" s="19">
        <f>F516+F492+F468+F444+F420+F396+F372+F347+F323+F274+F250+F225+F201+F177+F153+F129+F105+F81+F57+F33+F9+F298</f>
        <v>1</v>
      </c>
      <c r="G539" s="5">
        <f>'расчёт зарплаты'!K42</f>
        <v>57200</v>
      </c>
      <c r="H539" s="5">
        <f t="shared" si="145"/>
        <v>686400</v>
      </c>
      <c r="I539" s="5">
        <f>H539*30.2%</f>
        <v>207292.79999999999</v>
      </c>
      <c r="J539" s="5">
        <f>H539+I539</f>
        <v>893692.8</v>
      </c>
    </row>
    <row r="540" spans="1:10" ht="14.4" x14ac:dyDescent="0.3">
      <c r="A540" s="110" t="s">
        <v>41</v>
      </c>
      <c r="B540" s="110"/>
      <c r="C540" s="9">
        <f>C541+C548</f>
        <v>527.9</v>
      </c>
      <c r="D540" s="9">
        <f>D541+D548</f>
        <v>432.9</v>
      </c>
      <c r="E540" s="9">
        <f>E541+E548</f>
        <v>284.5</v>
      </c>
      <c r="F540" s="9">
        <f>F541+F548</f>
        <v>288</v>
      </c>
      <c r="G540" s="5"/>
      <c r="H540" s="8">
        <f>H541+H548</f>
        <v>135601600.03200001</v>
      </c>
      <c r="I540" s="8">
        <f>I541+I548</f>
        <v>40951683.209664002</v>
      </c>
      <c r="J540" s="8">
        <f>J541+J548</f>
        <v>176553283.24166399</v>
      </c>
    </row>
    <row r="541" spans="1:10" ht="48" customHeight="1" x14ac:dyDescent="0.3">
      <c r="A541" s="111" t="s">
        <v>42</v>
      </c>
      <c r="B541" s="111"/>
      <c r="C541" s="13">
        <f>C542+C543+C544+C545+C546+C547</f>
        <v>415.15</v>
      </c>
      <c r="D541" s="13">
        <f t="shared" ref="D541:F541" si="146">D542+D543+D544+D545+D546+D547</f>
        <v>331.9</v>
      </c>
      <c r="E541" s="13">
        <f t="shared" si="146"/>
        <v>235.29999999999998</v>
      </c>
      <c r="F541" s="13">
        <f t="shared" si="146"/>
        <v>239</v>
      </c>
      <c r="G541" s="5"/>
      <c r="H541" s="5">
        <f t="shared" ref="H541:I541" si="147">SUM(H542:H547)</f>
        <v>108621078.432</v>
      </c>
      <c r="I541" s="5">
        <f t="shared" si="147"/>
        <v>32803565.686464</v>
      </c>
      <c r="J541" s="5">
        <f>SUM(J542:J547)</f>
        <v>141424644.11846399</v>
      </c>
    </row>
    <row r="542" spans="1:10" x14ac:dyDescent="0.25">
      <c r="A542" s="9">
        <v>1</v>
      </c>
      <c r="B542" s="10" t="s">
        <v>15</v>
      </c>
      <c r="C542" s="19">
        <f t="shared" ref="C542:F547" si="148">C520+C496+C472+C448+C424+C400+C376+C351+C327+C278+C254+C229+C205+C181+C157+C133+C109+C85+C61+C37+C13+C302</f>
        <v>6.5</v>
      </c>
      <c r="D542" s="19">
        <f t="shared" si="148"/>
        <v>3.5</v>
      </c>
      <c r="E542" s="19">
        <f t="shared" si="148"/>
        <v>3.5</v>
      </c>
      <c r="F542" s="19">
        <f t="shared" si="148"/>
        <v>4</v>
      </c>
      <c r="G542" s="5">
        <f>'расчёт зарплаты'!K12</f>
        <v>40480</v>
      </c>
      <c r="H542" s="5">
        <f t="shared" ref="H542:H557" si="149">E542*G542*12+((D542-E542)*G542/2*12)</f>
        <v>1700160</v>
      </c>
      <c r="I542" s="5">
        <f t="shared" ref="I542:I547" si="150">H542*30.2%</f>
        <v>513448.32</v>
      </c>
      <c r="J542" s="5">
        <f t="shared" ref="J542:J547" si="151">H542+I542</f>
        <v>2213608.3199999998</v>
      </c>
    </row>
    <row r="543" spans="1:10" x14ac:dyDescent="0.25">
      <c r="A543" s="9">
        <v>2</v>
      </c>
      <c r="B543" s="10" t="s">
        <v>17</v>
      </c>
      <c r="C543" s="19">
        <f t="shared" si="148"/>
        <v>6</v>
      </c>
      <c r="D543" s="19">
        <f t="shared" si="148"/>
        <v>6</v>
      </c>
      <c r="E543" s="19">
        <f t="shared" si="148"/>
        <v>4.8</v>
      </c>
      <c r="F543" s="19">
        <f t="shared" si="148"/>
        <v>5</v>
      </c>
      <c r="G543" s="5">
        <f>'расчёт зарплаты'!K14</f>
        <v>44704</v>
      </c>
      <c r="H543" s="5">
        <f t="shared" si="149"/>
        <v>2896819.2</v>
      </c>
      <c r="I543" s="5">
        <f t="shared" si="150"/>
        <v>874839.39840000006</v>
      </c>
      <c r="J543" s="5">
        <f t="shared" si="151"/>
        <v>3771658.5984000005</v>
      </c>
    </row>
    <row r="544" spans="1:10" ht="39.6" x14ac:dyDescent="0.25">
      <c r="A544" s="9">
        <v>3</v>
      </c>
      <c r="B544" s="10" t="s">
        <v>18</v>
      </c>
      <c r="C544" s="19">
        <f t="shared" si="148"/>
        <v>324.64999999999998</v>
      </c>
      <c r="D544" s="19">
        <f t="shared" si="148"/>
        <v>256.64999999999998</v>
      </c>
      <c r="E544" s="19">
        <f t="shared" si="148"/>
        <v>175.29999999999998</v>
      </c>
      <c r="F544" s="19">
        <f t="shared" si="148"/>
        <v>175</v>
      </c>
      <c r="G544" s="5">
        <f>'расчёт зарплаты'!K16</f>
        <v>31556.880000000001</v>
      </c>
      <c r="H544" s="5">
        <f t="shared" si="149"/>
        <v>81785965.895999998</v>
      </c>
      <c r="I544" s="5">
        <f t="shared" si="150"/>
        <v>24699361.700592</v>
      </c>
      <c r="J544" s="5">
        <f t="shared" si="151"/>
        <v>106485327.59659199</v>
      </c>
    </row>
    <row r="545" spans="1:10" x14ac:dyDescent="0.25">
      <c r="A545" s="9">
        <v>4</v>
      </c>
      <c r="B545" s="10" t="s">
        <v>19</v>
      </c>
      <c r="C545" s="19">
        <f t="shared" si="148"/>
        <v>39</v>
      </c>
      <c r="D545" s="19">
        <f t="shared" si="148"/>
        <v>34.5</v>
      </c>
      <c r="E545" s="19">
        <f t="shared" si="148"/>
        <v>25</v>
      </c>
      <c r="F545" s="19">
        <f t="shared" si="148"/>
        <v>28</v>
      </c>
      <c r="G545" s="5">
        <f>'расчёт зарплаты'!K18</f>
        <v>31556.880000000001</v>
      </c>
      <c r="H545" s="5">
        <f t="shared" si="149"/>
        <v>11265806.16</v>
      </c>
      <c r="I545" s="5">
        <f t="shared" si="150"/>
        <v>3402273.4603200001</v>
      </c>
      <c r="J545" s="5">
        <f t="shared" si="151"/>
        <v>14668079.62032</v>
      </c>
    </row>
    <row r="546" spans="1:10" x14ac:dyDescent="0.25">
      <c r="A546" s="9">
        <v>5</v>
      </c>
      <c r="B546" s="10" t="s">
        <v>20</v>
      </c>
      <c r="C546" s="19">
        <f t="shared" si="148"/>
        <v>1</v>
      </c>
      <c r="D546" s="19">
        <f t="shared" si="148"/>
        <v>0</v>
      </c>
      <c r="E546" s="19">
        <f t="shared" si="148"/>
        <v>0</v>
      </c>
      <c r="F546" s="19">
        <f t="shared" si="148"/>
        <v>0</v>
      </c>
      <c r="G546" s="5">
        <f>'расчёт зарплаты'!K20</f>
        <v>31556.880000000001</v>
      </c>
      <c r="H546" s="5">
        <f t="shared" si="149"/>
        <v>0</v>
      </c>
      <c r="I546" s="5">
        <f t="shared" si="150"/>
        <v>0</v>
      </c>
      <c r="J546" s="5">
        <f t="shared" si="151"/>
        <v>0</v>
      </c>
    </row>
    <row r="547" spans="1:10" x14ac:dyDescent="0.25">
      <c r="A547" s="9">
        <v>6</v>
      </c>
      <c r="B547" s="10" t="s">
        <v>21</v>
      </c>
      <c r="C547" s="19">
        <f t="shared" si="148"/>
        <v>38</v>
      </c>
      <c r="D547" s="19">
        <f t="shared" si="148"/>
        <v>31.25</v>
      </c>
      <c r="E547" s="19">
        <f t="shared" si="148"/>
        <v>26.699999999999996</v>
      </c>
      <c r="F547" s="19">
        <f t="shared" si="148"/>
        <v>27</v>
      </c>
      <c r="G547" s="5">
        <f>'расчёт зарплаты'!K22</f>
        <v>31556.880000000001</v>
      </c>
      <c r="H547" s="5">
        <f t="shared" si="149"/>
        <v>10972327.175999999</v>
      </c>
      <c r="I547" s="5">
        <f t="shared" si="150"/>
        <v>3313642.8071519998</v>
      </c>
      <c r="J547" s="5">
        <f t="shared" si="151"/>
        <v>14285969.983151998</v>
      </c>
    </row>
    <row r="548" spans="1:10" ht="51" customHeight="1" x14ac:dyDescent="0.3">
      <c r="A548" s="111" t="s">
        <v>43</v>
      </c>
      <c r="B548" s="111"/>
      <c r="C548" s="14">
        <f>C549+C550+C551+C552+C553+C554+C555+C556+C557+C558</f>
        <v>112.75</v>
      </c>
      <c r="D548" s="14">
        <f t="shared" ref="D548:F548" si="152">D549+D550+D551+D552+D553+D554+D555+D556+D557+D558</f>
        <v>101</v>
      </c>
      <c r="E548" s="14">
        <f t="shared" si="152"/>
        <v>49.2</v>
      </c>
      <c r="F548" s="14">
        <f t="shared" si="152"/>
        <v>49</v>
      </c>
      <c r="G548" s="5"/>
      <c r="H548" s="5">
        <f t="shared" ref="H548:I548" si="153">SUM(H549:H555)</f>
        <v>26980521.600000001</v>
      </c>
      <c r="I548" s="5">
        <f t="shared" si="153"/>
        <v>8148117.5231999997</v>
      </c>
      <c r="J548" s="5">
        <f>SUM(J549:J555)</f>
        <v>35128639.123199999</v>
      </c>
    </row>
    <row r="549" spans="1:10" ht="26.4" x14ac:dyDescent="0.25">
      <c r="A549" s="9">
        <v>1</v>
      </c>
      <c r="B549" s="10" t="s">
        <v>22</v>
      </c>
      <c r="C549" s="19">
        <f t="shared" ref="C549:F551" si="154">C527+C503+C479+C455+C431+C407+C383+C358+C334+C285+C261+C236+C212+C188+C164+C140+C116+C92+C68+C44+C20+C309</f>
        <v>15.25</v>
      </c>
      <c r="D549" s="19">
        <f t="shared" si="154"/>
        <v>12.75</v>
      </c>
      <c r="E549" s="19">
        <f t="shared" si="154"/>
        <v>7</v>
      </c>
      <c r="F549" s="19">
        <f t="shared" si="154"/>
        <v>7</v>
      </c>
      <c r="G549" s="5">
        <f>'расчёт зарплаты'!K24</f>
        <v>39984</v>
      </c>
      <c r="H549" s="5">
        <f t="shared" si="149"/>
        <v>4738104</v>
      </c>
      <c r="I549" s="5">
        <f t="shared" ref="I549:I558" si="155">H549*30.2%</f>
        <v>1430907.4080000001</v>
      </c>
      <c r="J549" s="5">
        <f t="shared" ref="J549:J558" si="156">H549+I549</f>
        <v>6169011.4079999998</v>
      </c>
    </row>
    <row r="550" spans="1:10" x14ac:dyDescent="0.25">
      <c r="A550" s="9">
        <v>2</v>
      </c>
      <c r="B550" s="10" t="s">
        <v>23</v>
      </c>
      <c r="C550" s="19">
        <f t="shared" si="154"/>
        <v>2</v>
      </c>
      <c r="D550" s="19">
        <f t="shared" si="154"/>
        <v>2</v>
      </c>
      <c r="E550" s="19">
        <f t="shared" si="154"/>
        <v>0</v>
      </c>
      <c r="F550" s="19">
        <f t="shared" si="154"/>
        <v>0</v>
      </c>
      <c r="G550" s="5">
        <f>'расчёт зарплаты'!K26</f>
        <v>40480</v>
      </c>
      <c r="H550" s="5">
        <f t="shared" si="149"/>
        <v>485760</v>
      </c>
      <c r="I550" s="5">
        <f t="shared" si="155"/>
        <v>146699.51999999999</v>
      </c>
      <c r="J550" s="5">
        <f t="shared" si="156"/>
        <v>632459.52000000002</v>
      </c>
    </row>
    <row r="551" spans="1:10" ht="26.4" x14ac:dyDescent="0.25">
      <c r="A551" s="9">
        <v>3</v>
      </c>
      <c r="B551" s="10" t="s">
        <v>24</v>
      </c>
      <c r="C551" s="19">
        <f t="shared" si="154"/>
        <v>12.5</v>
      </c>
      <c r="D551" s="19">
        <f t="shared" si="154"/>
        <v>12.5</v>
      </c>
      <c r="E551" s="19">
        <f t="shared" si="154"/>
        <v>9</v>
      </c>
      <c r="F551" s="19">
        <f t="shared" si="154"/>
        <v>9</v>
      </c>
      <c r="G551" s="5">
        <f>'расчёт зарплаты'!K28</f>
        <v>36256</v>
      </c>
      <c r="H551" s="5">
        <f t="shared" si="149"/>
        <v>4677024</v>
      </c>
      <c r="I551" s="5">
        <f t="shared" si="155"/>
        <v>1412461.2479999999</v>
      </c>
      <c r="J551" s="5">
        <f t="shared" si="156"/>
        <v>6089485.2479999997</v>
      </c>
    </row>
    <row r="552" spans="1:10" ht="39.6" x14ac:dyDescent="0.25">
      <c r="A552" s="9"/>
      <c r="B552" s="10" t="s">
        <v>101</v>
      </c>
      <c r="C552" s="19">
        <f>C243</f>
        <v>1</v>
      </c>
      <c r="D552" s="19">
        <f>D243</f>
        <v>1</v>
      </c>
      <c r="E552" s="19">
        <f>E243</f>
        <v>0.1</v>
      </c>
      <c r="F552" s="19">
        <f>F243</f>
        <v>0</v>
      </c>
      <c r="G552" s="5">
        <f>'расчёт зарплаты'!K44</f>
        <v>50336</v>
      </c>
      <c r="H552" s="5">
        <f t="shared" si="149"/>
        <v>332217.60000000003</v>
      </c>
      <c r="I552" s="5">
        <f t="shared" si="155"/>
        <v>100329.71520000001</v>
      </c>
      <c r="J552" s="5">
        <f t="shared" si="156"/>
        <v>432547.31520000007</v>
      </c>
    </row>
    <row r="553" spans="1:10" x14ac:dyDescent="0.25">
      <c r="A553" s="9">
        <v>4</v>
      </c>
      <c r="B553" s="10" t="s">
        <v>25</v>
      </c>
      <c r="C553" s="19">
        <f t="shared" ref="C553:F555" si="157">C530+C506+C482+C458+C434+C410+C386+C361+C337+C288+C264+C239+C215+C191+C167+C143+C119+C95+C71+C47+C23+C312</f>
        <v>22.5</v>
      </c>
      <c r="D553" s="19">
        <f t="shared" si="157"/>
        <v>21</v>
      </c>
      <c r="E553" s="19">
        <f t="shared" si="157"/>
        <v>0</v>
      </c>
      <c r="F553" s="19">
        <f t="shared" si="157"/>
        <v>2</v>
      </c>
      <c r="G553" s="5">
        <f>'расчёт зарплаты'!K36</f>
        <v>32320</v>
      </c>
      <c r="H553" s="5">
        <f t="shared" si="149"/>
        <v>4072320</v>
      </c>
      <c r="I553" s="5">
        <f t="shared" si="155"/>
        <v>1229840.6399999999</v>
      </c>
      <c r="J553" s="5">
        <f t="shared" si="156"/>
        <v>5302160.6399999997</v>
      </c>
    </row>
    <row r="554" spans="1:10" x14ac:dyDescent="0.25">
      <c r="A554" s="9">
        <v>5</v>
      </c>
      <c r="B554" s="10" t="s">
        <v>26</v>
      </c>
      <c r="C554" s="19">
        <f t="shared" si="157"/>
        <v>14.5</v>
      </c>
      <c r="D554" s="19">
        <f t="shared" si="157"/>
        <v>14.5</v>
      </c>
      <c r="E554" s="19">
        <f t="shared" si="157"/>
        <v>9</v>
      </c>
      <c r="F554" s="19">
        <f t="shared" si="157"/>
        <v>9</v>
      </c>
      <c r="G554" s="5">
        <f>'расчёт зарплаты'!K34</f>
        <v>33936</v>
      </c>
      <c r="H554" s="5">
        <f t="shared" si="149"/>
        <v>4784976</v>
      </c>
      <c r="I554" s="5">
        <f t="shared" si="155"/>
        <v>1445062.7519999999</v>
      </c>
      <c r="J554" s="5">
        <f t="shared" si="156"/>
        <v>6230038.7520000003</v>
      </c>
    </row>
    <row r="555" spans="1:10" x14ac:dyDescent="0.25">
      <c r="A555" s="9">
        <v>6</v>
      </c>
      <c r="B555" s="10" t="s">
        <v>28</v>
      </c>
      <c r="C555" s="19">
        <f t="shared" si="157"/>
        <v>24.25</v>
      </c>
      <c r="D555" s="19">
        <f t="shared" si="157"/>
        <v>21.75</v>
      </c>
      <c r="E555" s="19">
        <f t="shared" si="157"/>
        <v>17</v>
      </c>
      <c r="F555" s="19">
        <f t="shared" si="157"/>
        <v>15</v>
      </c>
      <c r="G555" s="5">
        <f>'расчёт зарплаты'!K40</f>
        <v>33936</v>
      </c>
      <c r="H555" s="5">
        <f t="shared" si="149"/>
        <v>7890120</v>
      </c>
      <c r="I555" s="5">
        <f t="shared" si="155"/>
        <v>2382816.2399999998</v>
      </c>
      <c r="J555" s="5">
        <f t="shared" si="156"/>
        <v>10272936.24</v>
      </c>
    </row>
    <row r="556" spans="1:10" ht="26.4" x14ac:dyDescent="0.25">
      <c r="A556" s="4"/>
      <c r="B556" s="10" t="s">
        <v>98</v>
      </c>
      <c r="C556" s="19">
        <f>C26+C50+C74+C98+C122+C146+C170+C194+C218+C242+C267+C291+C315+C340+C364+C389+C413+C437+C461+C485+C509</f>
        <v>9.5</v>
      </c>
      <c r="D556" s="19">
        <f>D26+D50+D74+D98+D122+D146+D170+D194+D218+D242+D267+D291+D315+D340+D364+D389+D413+D437+D461+D485+D509</f>
        <v>6</v>
      </c>
      <c r="E556" s="19">
        <f>E26+E50+E74+E98+E122+E146+E170+E194+E218+E242+E267+E291+E315+E340+E364+E389+E413+E437+E461+E485+E509</f>
        <v>0.1</v>
      </c>
      <c r="F556" s="19">
        <f>F26+F50+F74+F98+F122+F146+F170+F194+F218+F242+F267+F291+F315+F340+F364+F389+F413+F437+F461+F485+F509</f>
        <v>0</v>
      </c>
      <c r="G556" s="5">
        <f>'расчёт зарплаты'!K32</f>
        <v>36808</v>
      </c>
      <c r="H556" s="5">
        <f t="shared" si="149"/>
        <v>1347172.8000000003</v>
      </c>
      <c r="I556" s="5">
        <f t="shared" si="155"/>
        <v>406846.18560000008</v>
      </c>
      <c r="J556" s="5">
        <f t="shared" si="156"/>
        <v>1754018.9856000002</v>
      </c>
    </row>
    <row r="557" spans="1:10" ht="66" x14ac:dyDescent="0.25">
      <c r="A557" s="4"/>
      <c r="B557" s="10" t="s">
        <v>104</v>
      </c>
      <c r="C557" s="19">
        <f>C316+C365</f>
        <v>3.25</v>
      </c>
      <c r="D557" s="19">
        <f>D316+D365</f>
        <v>2</v>
      </c>
      <c r="E557" s="19">
        <f>E316+E365</f>
        <v>2</v>
      </c>
      <c r="F557" s="19">
        <f>F316+F365</f>
        <v>2</v>
      </c>
      <c r="G557" s="5">
        <f>'расчёт зарплаты'!K46</f>
        <v>33936</v>
      </c>
      <c r="H557" s="5">
        <f t="shared" si="149"/>
        <v>814464</v>
      </c>
      <c r="I557" s="5">
        <f t="shared" si="155"/>
        <v>245968.128</v>
      </c>
      <c r="J557" s="5">
        <f t="shared" si="156"/>
        <v>1060432.128</v>
      </c>
    </row>
    <row r="558" spans="1:10" ht="26.4" x14ac:dyDescent="0.25">
      <c r="A558" s="4"/>
      <c r="B558" s="10" t="s">
        <v>9</v>
      </c>
      <c r="C558" s="19">
        <f>C27+C51+C75+C99+C123+C147+C171+C195+C219+C244+C268+C292+C317+C341+C366+C390+C414+C438+C462+C486+C510</f>
        <v>8</v>
      </c>
      <c r="D558" s="19">
        <f>D27+D51+D75+D99+D123+D147+D171+D195+D219+D244+D268+D292+D317+D341+D366+D390+D414+D438+D462+D486+D510</f>
        <v>7.5</v>
      </c>
      <c r="E558" s="19">
        <f>E27+E51+E75+E99+E123+E147+E171+E195+E219+E244+E268+E292+E317+E341+E366+E390+E414+E438+E462+E486+E510</f>
        <v>5</v>
      </c>
      <c r="F558" s="19">
        <f>F27+F51+F75+F99+F123+F147+F171+F195+F219+F244+F268+F292+F317+F341+F366+F390+F414+F438+F462+F486+F510</f>
        <v>5</v>
      </c>
      <c r="G558" s="5">
        <f>'расчёт зарплаты'!K6</f>
        <v>46112</v>
      </c>
      <c r="H558" s="5">
        <f t="shared" ref="H558" si="158">E558*G558*12</f>
        <v>2766720</v>
      </c>
      <c r="I558" s="5">
        <f t="shared" si="155"/>
        <v>835549.44</v>
      </c>
      <c r="J558" s="5">
        <f t="shared" si="156"/>
        <v>3602269.44</v>
      </c>
    </row>
  </sheetData>
  <mergeCells count="138">
    <mergeCell ref="B533:J533"/>
    <mergeCell ref="A534:B534"/>
    <mergeCell ref="A535:B535"/>
    <mergeCell ref="A540:B540"/>
    <mergeCell ref="A541:B541"/>
    <mergeCell ref="A548:B548"/>
    <mergeCell ref="B511:J511"/>
    <mergeCell ref="A512:B512"/>
    <mergeCell ref="A513:B513"/>
    <mergeCell ref="A518:B518"/>
    <mergeCell ref="A519:B519"/>
    <mergeCell ref="A526:B526"/>
    <mergeCell ref="B487:J487"/>
    <mergeCell ref="A488:B488"/>
    <mergeCell ref="A489:B489"/>
    <mergeCell ref="A494:B494"/>
    <mergeCell ref="A495:B495"/>
    <mergeCell ref="A502:B502"/>
    <mergeCell ref="B463:J463"/>
    <mergeCell ref="A464:B464"/>
    <mergeCell ref="A465:B465"/>
    <mergeCell ref="A470:B470"/>
    <mergeCell ref="A471:B471"/>
    <mergeCell ref="A478:B478"/>
    <mergeCell ref="B439:J439"/>
    <mergeCell ref="A440:B440"/>
    <mergeCell ref="A441:B441"/>
    <mergeCell ref="A446:B446"/>
    <mergeCell ref="A447:B447"/>
    <mergeCell ref="A454:B454"/>
    <mergeCell ref="B415:J415"/>
    <mergeCell ref="A416:B416"/>
    <mergeCell ref="A417:B417"/>
    <mergeCell ref="A422:B422"/>
    <mergeCell ref="A423:B423"/>
    <mergeCell ref="A430:B430"/>
    <mergeCell ref="B391:J391"/>
    <mergeCell ref="A392:B392"/>
    <mergeCell ref="A393:B393"/>
    <mergeCell ref="A398:B398"/>
    <mergeCell ref="A399:B399"/>
    <mergeCell ref="A406:B406"/>
    <mergeCell ref="B367:J367"/>
    <mergeCell ref="A368:B368"/>
    <mergeCell ref="A369:B369"/>
    <mergeCell ref="A374:B374"/>
    <mergeCell ref="A375:B375"/>
    <mergeCell ref="A382:B382"/>
    <mergeCell ref="B342:J342"/>
    <mergeCell ref="A343:B343"/>
    <mergeCell ref="A344:B344"/>
    <mergeCell ref="A349:B349"/>
    <mergeCell ref="A350:B350"/>
    <mergeCell ref="A357:B357"/>
    <mergeCell ref="B318:J318"/>
    <mergeCell ref="A319:B319"/>
    <mergeCell ref="A320:B320"/>
    <mergeCell ref="A325:B325"/>
    <mergeCell ref="A326:B326"/>
    <mergeCell ref="A333:B333"/>
    <mergeCell ref="B269:J269"/>
    <mergeCell ref="A270:B270"/>
    <mergeCell ref="A271:B271"/>
    <mergeCell ref="A276:B276"/>
    <mergeCell ref="A277:B277"/>
    <mergeCell ref="A284:B284"/>
    <mergeCell ref="B245:J245"/>
    <mergeCell ref="A246:B246"/>
    <mergeCell ref="A247:B247"/>
    <mergeCell ref="A252:B252"/>
    <mergeCell ref="A253:B253"/>
    <mergeCell ref="A260:B260"/>
    <mergeCell ref="B220:J220"/>
    <mergeCell ref="A221:B221"/>
    <mergeCell ref="A222:B222"/>
    <mergeCell ref="A227:B227"/>
    <mergeCell ref="A228:B228"/>
    <mergeCell ref="A235:B235"/>
    <mergeCell ref="B196:J196"/>
    <mergeCell ref="A197:B197"/>
    <mergeCell ref="A198:B198"/>
    <mergeCell ref="A203:B203"/>
    <mergeCell ref="A204:B204"/>
    <mergeCell ref="A211:B211"/>
    <mergeCell ref="B172:J172"/>
    <mergeCell ref="A173:B173"/>
    <mergeCell ref="A174:B174"/>
    <mergeCell ref="A179:B179"/>
    <mergeCell ref="A180:B180"/>
    <mergeCell ref="A187:B187"/>
    <mergeCell ref="B148:J148"/>
    <mergeCell ref="A149:B149"/>
    <mergeCell ref="A150:B150"/>
    <mergeCell ref="A155:B155"/>
    <mergeCell ref="A156:B156"/>
    <mergeCell ref="A163:B163"/>
    <mergeCell ref="A131:B131"/>
    <mergeCell ref="A132:B132"/>
    <mergeCell ref="A139:B139"/>
    <mergeCell ref="B100:J100"/>
    <mergeCell ref="A101:B101"/>
    <mergeCell ref="A102:B102"/>
    <mergeCell ref="A107:B107"/>
    <mergeCell ref="A108:B108"/>
    <mergeCell ref="A115:B115"/>
    <mergeCell ref="A83:B83"/>
    <mergeCell ref="A84:B84"/>
    <mergeCell ref="A91:B91"/>
    <mergeCell ref="A59:B59"/>
    <mergeCell ref="A60:B60"/>
    <mergeCell ref="A67:B67"/>
    <mergeCell ref="B124:J124"/>
    <mergeCell ref="A125:B125"/>
    <mergeCell ref="A126:B126"/>
    <mergeCell ref="B293:J293"/>
    <mergeCell ref="A294:B294"/>
    <mergeCell ref="A295:B295"/>
    <mergeCell ref="A300:B300"/>
    <mergeCell ref="A301:B301"/>
    <mergeCell ref="A308:B308"/>
    <mergeCell ref="B4:J4"/>
    <mergeCell ref="A5:B5"/>
    <mergeCell ref="A6:B6"/>
    <mergeCell ref="A11:B11"/>
    <mergeCell ref="A12:B12"/>
    <mergeCell ref="A19:B19"/>
    <mergeCell ref="B76:J76"/>
    <mergeCell ref="A77:B77"/>
    <mergeCell ref="A78:B78"/>
    <mergeCell ref="B52:J52"/>
    <mergeCell ref="A53:B53"/>
    <mergeCell ref="A54:B54"/>
    <mergeCell ref="B28:J28"/>
    <mergeCell ref="A29:B29"/>
    <mergeCell ref="A30:B30"/>
    <mergeCell ref="A35:B35"/>
    <mergeCell ref="A36:B36"/>
    <mergeCell ref="A43:B43"/>
  </mergeCells>
  <pageMargins left="0.31496062992125984" right="0" top="0.15748031496062992" bottom="0.15748031496062992" header="0.31496062992125984" footer="0.31496062992125984"/>
  <pageSetup paperSize="9" scale="65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3:U33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28" sqref="D28"/>
    </sheetView>
  </sheetViews>
  <sheetFormatPr defaultRowHeight="13.2" x14ac:dyDescent="0.25"/>
  <cols>
    <col min="1" max="1" width="32.6640625" customWidth="1"/>
    <col min="2" max="2" width="18.33203125" customWidth="1"/>
    <col min="3" max="7" width="17.6640625" customWidth="1"/>
    <col min="8" max="8" width="16.21875" hidden="1" customWidth="1"/>
    <col min="9" max="10" width="17.6640625" hidden="1" customWidth="1"/>
    <col min="11" max="11" width="16.44140625" hidden="1" customWidth="1"/>
    <col min="12" max="12" width="17.33203125" hidden="1" customWidth="1"/>
    <col min="13" max="13" width="15.6640625" hidden="1" customWidth="1"/>
    <col min="14" max="14" width="15.88671875" hidden="1" customWidth="1"/>
    <col min="15" max="15" width="16.44140625" hidden="1" customWidth="1"/>
    <col min="16" max="16" width="15.77734375" hidden="1" customWidth="1"/>
    <col min="17" max="17" width="16.6640625" hidden="1" customWidth="1"/>
    <col min="18" max="18" width="16.88671875" customWidth="1"/>
    <col min="19" max="19" width="19.33203125" customWidth="1"/>
    <col min="20" max="20" width="16.5546875" customWidth="1"/>
    <col min="21" max="21" width="16.6640625" customWidth="1"/>
  </cols>
  <sheetData>
    <row r="3" spans="1:21" x14ac:dyDescent="0.25">
      <c r="A3" s="4"/>
      <c r="B3" s="112" t="s">
        <v>64</v>
      </c>
      <c r="C3" s="112"/>
      <c r="D3" s="112"/>
      <c r="E3" s="112"/>
      <c r="F3" s="112"/>
      <c r="G3" s="112"/>
      <c r="L3" s="113" t="s">
        <v>96</v>
      </c>
      <c r="M3" s="113"/>
      <c r="N3" s="113"/>
      <c r="O3" s="16"/>
      <c r="P3" s="16"/>
      <c r="Q3" s="17"/>
      <c r="R3" s="114">
        <v>2025</v>
      </c>
      <c r="S3" s="114"/>
      <c r="T3" s="114"/>
    </row>
    <row r="4" spans="1:21" ht="26.4" x14ac:dyDescent="0.25">
      <c r="A4" s="4"/>
      <c r="B4" s="15" t="s">
        <v>65</v>
      </c>
      <c r="C4" s="91" t="s">
        <v>66</v>
      </c>
      <c r="D4" s="94" t="s">
        <v>66</v>
      </c>
      <c r="E4" s="15" t="s">
        <v>67</v>
      </c>
      <c r="F4" s="15" t="s">
        <v>68</v>
      </c>
      <c r="G4" s="17" t="s">
        <v>69</v>
      </c>
      <c r="H4" s="15" t="s">
        <v>70</v>
      </c>
      <c r="I4" s="15" t="s">
        <v>67</v>
      </c>
      <c r="J4" s="15" t="s">
        <v>68</v>
      </c>
      <c r="K4" s="15" t="s">
        <v>69</v>
      </c>
      <c r="L4" s="18" t="s">
        <v>67</v>
      </c>
      <c r="M4" s="18" t="s">
        <v>68</v>
      </c>
      <c r="N4" s="18" t="s">
        <v>69</v>
      </c>
      <c r="O4" s="16" t="s">
        <v>67</v>
      </c>
      <c r="P4" s="16" t="s">
        <v>68</v>
      </c>
      <c r="Q4" s="17" t="s">
        <v>69</v>
      </c>
      <c r="R4" s="47" t="s">
        <v>65</v>
      </c>
      <c r="S4" s="47" t="s">
        <v>66</v>
      </c>
      <c r="T4" s="47" t="s">
        <v>67</v>
      </c>
      <c r="U4">
        <v>213</v>
      </c>
    </row>
    <row r="5" spans="1:21" x14ac:dyDescent="0.25">
      <c r="A5" s="29" t="s">
        <v>71</v>
      </c>
      <c r="B5" s="5">
        <f>ROUND(1061600*1.069,-3)</f>
        <v>1135000</v>
      </c>
      <c r="C5" s="92">
        <f>'потр вспомог'!H6</f>
        <v>2958469.6320000002</v>
      </c>
      <c r="D5" s="20">
        <f>ROUND(C5,-3)</f>
        <v>2958000</v>
      </c>
      <c r="E5" s="20">
        <f>B5+D5</f>
        <v>4093000</v>
      </c>
      <c r="F5" s="5">
        <f>(B5+C5)*30.2%</f>
        <v>1236227.828864</v>
      </c>
      <c r="G5" s="21">
        <f>E5+F5</f>
        <v>5329227.8288639998</v>
      </c>
      <c r="H5" s="5"/>
      <c r="I5" s="20">
        <f>E5-H5</f>
        <v>4093000</v>
      </c>
      <c r="J5" s="20">
        <f>I5*30.2%</f>
        <v>1236086</v>
      </c>
      <c r="K5" s="20">
        <f>I5+J5</f>
        <v>5329086</v>
      </c>
      <c r="L5" s="48">
        <f>ROUND(C5-C5*6.5%,-2)</f>
        <v>2766200</v>
      </c>
      <c r="M5" s="23">
        <f>L5*30.2%</f>
        <v>835392.4</v>
      </c>
      <c r="N5" s="23">
        <f>L5+M5</f>
        <v>3601592.4</v>
      </c>
      <c r="O5" s="20">
        <f>B5+L5</f>
        <v>3901200</v>
      </c>
      <c r="P5" s="5">
        <f>O5*30.2%</f>
        <v>1178162.3999999999</v>
      </c>
      <c r="Q5" s="21">
        <f t="shared" ref="Q5:Q24" si="0">O5+P5</f>
        <v>5079362.4000000004</v>
      </c>
      <c r="R5" s="20">
        <f>ROUND(B5*1.04,-2)</f>
        <v>1180400</v>
      </c>
      <c r="S5" s="20">
        <f t="shared" ref="S5:S24" si="1">ROUND(C5-C5*10%,-2)</f>
        <v>2662600</v>
      </c>
      <c r="T5" s="56">
        <f>R5+S5</f>
        <v>3843000</v>
      </c>
    </row>
    <row r="6" spans="1:21" x14ac:dyDescent="0.25">
      <c r="A6" s="29" t="s">
        <v>72</v>
      </c>
      <c r="B6" s="5">
        <f>ROUND(915000*1.069,-2)</f>
        <v>978100</v>
      </c>
      <c r="C6" s="92">
        <f>'потр вспомог'!H30</f>
        <v>2754853.6320000002</v>
      </c>
      <c r="D6" s="20">
        <f t="shared" ref="D6:D24" si="2">ROUND(C6,-3)</f>
        <v>2755000</v>
      </c>
      <c r="E6" s="20">
        <f t="shared" ref="E6:E24" si="3">B6+D6</f>
        <v>3733100</v>
      </c>
      <c r="F6" s="5">
        <f t="shared" ref="F6:F24" si="4">(B6+C6)*30.2%</f>
        <v>1127351.9968640001</v>
      </c>
      <c r="G6" s="21">
        <f t="shared" ref="G6:G24" si="5">E6+F6</f>
        <v>4860451.9968640003</v>
      </c>
      <c r="H6" s="5"/>
      <c r="I6" s="20">
        <f t="shared" ref="I6:I24" si="6">E6-H6</f>
        <v>3733100</v>
      </c>
      <c r="J6" s="20">
        <f t="shared" ref="J6:J24" si="7">I6*30.2%</f>
        <v>1127396.2</v>
      </c>
      <c r="K6" s="20">
        <f t="shared" ref="K6:K24" si="8">I6+J6</f>
        <v>4860496.2</v>
      </c>
      <c r="L6" s="48">
        <f t="shared" ref="L6:L26" si="9">ROUND(C6-C6*6.5%,-2)</f>
        <v>2575800</v>
      </c>
      <c r="M6" s="23">
        <f t="shared" ref="M6:M24" si="10">L6*30.2%</f>
        <v>777891.6</v>
      </c>
      <c r="N6" s="23">
        <f t="shared" ref="N6:N24" si="11">L6+M6</f>
        <v>3353691.6</v>
      </c>
      <c r="O6" s="20">
        <f t="shared" ref="O6:O24" si="12">B6+L6</f>
        <v>3553900</v>
      </c>
      <c r="P6" s="5">
        <f t="shared" ref="P6:P24" si="13">O6*30.2%</f>
        <v>1073277.8</v>
      </c>
      <c r="Q6" s="21">
        <f t="shared" si="0"/>
        <v>4627177.8</v>
      </c>
      <c r="R6" s="20">
        <f t="shared" ref="R6:R25" si="14">ROUND(B6*1.04,-2)</f>
        <v>1017200</v>
      </c>
      <c r="S6" s="20">
        <f t="shared" si="1"/>
        <v>2479400</v>
      </c>
      <c r="T6" s="56">
        <f t="shared" ref="T6:T26" si="15">R6+S6</f>
        <v>3496600</v>
      </c>
    </row>
    <row r="7" spans="1:21" x14ac:dyDescent="0.25">
      <c r="A7" s="29" t="s">
        <v>73</v>
      </c>
      <c r="B7" s="5">
        <f>ROUND(1735000*1.069,-2)</f>
        <v>1854700</v>
      </c>
      <c r="C7" s="92">
        <f>'потр вспомог'!H54</f>
        <v>1631946.8160000001</v>
      </c>
      <c r="D7" s="20">
        <f t="shared" si="2"/>
        <v>1632000</v>
      </c>
      <c r="E7" s="20">
        <f t="shared" si="3"/>
        <v>3486700</v>
      </c>
      <c r="F7" s="5">
        <f t="shared" si="4"/>
        <v>1052967.338432</v>
      </c>
      <c r="G7" s="21">
        <f t="shared" si="5"/>
        <v>4539667.338432</v>
      </c>
      <c r="H7" s="5"/>
      <c r="I7" s="20">
        <f t="shared" si="6"/>
        <v>3486700</v>
      </c>
      <c r="J7" s="20">
        <f t="shared" si="7"/>
        <v>1052983.3999999999</v>
      </c>
      <c r="K7" s="20">
        <f t="shared" si="8"/>
        <v>4539683.4000000004</v>
      </c>
      <c r="L7" s="48">
        <f t="shared" si="9"/>
        <v>1525900</v>
      </c>
      <c r="M7" s="23">
        <f t="shared" si="10"/>
        <v>460821.8</v>
      </c>
      <c r="N7" s="23">
        <f t="shared" si="11"/>
        <v>1986721.8</v>
      </c>
      <c r="O7" s="20">
        <f t="shared" si="12"/>
        <v>3380600</v>
      </c>
      <c r="P7" s="5">
        <f t="shared" si="13"/>
        <v>1020941.2</v>
      </c>
      <c r="Q7" s="21">
        <f t="shared" si="0"/>
        <v>4401541.2</v>
      </c>
      <c r="R7" s="20">
        <f t="shared" si="14"/>
        <v>1928900</v>
      </c>
      <c r="S7" s="20">
        <f t="shared" si="1"/>
        <v>1468800</v>
      </c>
      <c r="T7" s="56">
        <f t="shared" si="15"/>
        <v>3397700</v>
      </c>
    </row>
    <row r="8" spans="1:21" x14ac:dyDescent="0.25">
      <c r="A8" s="29" t="s">
        <v>46</v>
      </c>
      <c r="B8" s="5">
        <f>ROUND(765000*1.069,-2)</f>
        <v>817800</v>
      </c>
      <c r="C8" s="92">
        <f>'потр вспомог'!H78</f>
        <v>1428330.8160000001</v>
      </c>
      <c r="D8" s="20">
        <f t="shared" si="2"/>
        <v>1428000</v>
      </c>
      <c r="E8" s="20">
        <f t="shared" si="3"/>
        <v>2245800</v>
      </c>
      <c r="F8" s="5">
        <f t="shared" si="4"/>
        <v>678331.50643199997</v>
      </c>
      <c r="G8" s="21">
        <f t="shared" si="5"/>
        <v>2924131.5064320001</v>
      </c>
      <c r="H8" s="5"/>
      <c r="I8" s="20">
        <f t="shared" si="6"/>
        <v>2245800</v>
      </c>
      <c r="J8" s="20">
        <f t="shared" si="7"/>
        <v>678231.6</v>
      </c>
      <c r="K8" s="20">
        <f t="shared" si="8"/>
        <v>2924031.6</v>
      </c>
      <c r="L8" s="48">
        <f t="shared" si="9"/>
        <v>1335500</v>
      </c>
      <c r="M8" s="23">
        <f t="shared" si="10"/>
        <v>403321</v>
      </c>
      <c r="N8" s="23">
        <f t="shared" si="11"/>
        <v>1738821</v>
      </c>
      <c r="O8" s="20">
        <f>B8+L8</f>
        <v>2153300</v>
      </c>
      <c r="P8" s="5">
        <f t="shared" si="13"/>
        <v>650296.6</v>
      </c>
      <c r="Q8" s="21">
        <f t="shared" si="0"/>
        <v>2803596.6</v>
      </c>
      <c r="R8" s="20">
        <f t="shared" si="14"/>
        <v>850500</v>
      </c>
      <c r="S8" s="20">
        <f t="shared" si="1"/>
        <v>1285500</v>
      </c>
      <c r="T8" s="56">
        <f t="shared" si="15"/>
        <v>2136000</v>
      </c>
    </row>
    <row r="9" spans="1:21" x14ac:dyDescent="0.25">
      <c r="A9" s="29" t="s">
        <v>74</v>
      </c>
      <c r="B9" s="5">
        <f>ROUND(2120000*1.069,-2)</f>
        <v>2266300</v>
      </c>
      <c r="C9" s="92">
        <f>'потр вспомог'!H102</f>
        <v>1631946.8160000001</v>
      </c>
      <c r="D9" s="20">
        <f t="shared" si="2"/>
        <v>1632000</v>
      </c>
      <c r="E9" s="20">
        <f t="shared" si="3"/>
        <v>3898300</v>
      </c>
      <c r="F9" s="5">
        <f t="shared" si="4"/>
        <v>1177270.538432</v>
      </c>
      <c r="G9" s="21">
        <f t="shared" si="5"/>
        <v>5075570.5384320002</v>
      </c>
      <c r="H9" s="5"/>
      <c r="I9" s="20">
        <f t="shared" si="6"/>
        <v>3898300</v>
      </c>
      <c r="J9" s="20">
        <f t="shared" si="7"/>
        <v>1177286.5999999999</v>
      </c>
      <c r="K9" s="20">
        <f t="shared" si="8"/>
        <v>5075586.5999999996</v>
      </c>
      <c r="L9" s="48">
        <f t="shared" si="9"/>
        <v>1525900</v>
      </c>
      <c r="M9" s="23">
        <f t="shared" si="10"/>
        <v>460821.8</v>
      </c>
      <c r="N9" s="23">
        <f t="shared" si="11"/>
        <v>1986721.8</v>
      </c>
      <c r="O9" s="20">
        <f t="shared" si="12"/>
        <v>3792200</v>
      </c>
      <c r="P9" s="5">
        <f t="shared" si="13"/>
        <v>1145244.3999999999</v>
      </c>
      <c r="Q9" s="21">
        <f t="shared" si="0"/>
        <v>4937444.4000000004</v>
      </c>
      <c r="R9" s="20">
        <f t="shared" si="14"/>
        <v>2357000</v>
      </c>
      <c r="S9" s="20">
        <f t="shared" si="1"/>
        <v>1468800</v>
      </c>
      <c r="T9" s="56">
        <f t="shared" si="15"/>
        <v>3825800</v>
      </c>
    </row>
    <row r="10" spans="1:21" x14ac:dyDescent="0.25">
      <c r="A10" s="29" t="s">
        <v>75</v>
      </c>
      <c r="B10" s="5">
        <f>ROUND(1118000*1.069,-2)</f>
        <v>1195100</v>
      </c>
      <c r="C10" s="92">
        <f>'потр вспомог'!H126</f>
        <v>1835562.8160000001</v>
      </c>
      <c r="D10" s="20">
        <f t="shared" si="2"/>
        <v>1836000</v>
      </c>
      <c r="E10" s="20">
        <f t="shared" si="3"/>
        <v>3031100</v>
      </c>
      <c r="F10" s="5">
        <f t="shared" si="4"/>
        <v>915260.17043199996</v>
      </c>
      <c r="G10" s="21">
        <f t="shared" si="5"/>
        <v>3946360.170432</v>
      </c>
      <c r="H10" s="5"/>
      <c r="I10" s="20">
        <f t="shared" si="6"/>
        <v>3031100</v>
      </c>
      <c r="J10" s="20">
        <f t="shared" si="7"/>
        <v>915392.2</v>
      </c>
      <c r="K10" s="20">
        <f t="shared" si="8"/>
        <v>3946492.2</v>
      </c>
      <c r="L10" s="48">
        <f t="shared" si="9"/>
        <v>1716300</v>
      </c>
      <c r="M10" s="23">
        <f t="shared" si="10"/>
        <v>518322.6</v>
      </c>
      <c r="N10" s="23">
        <f t="shared" si="11"/>
        <v>2234622.6</v>
      </c>
      <c r="O10" s="20">
        <f t="shared" si="12"/>
        <v>2911400</v>
      </c>
      <c r="P10" s="5">
        <f t="shared" si="13"/>
        <v>879242.79999999993</v>
      </c>
      <c r="Q10" s="21">
        <f t="shared" si="0"/>
        <v>3790642.8</v>
      </c>
      <c r="R10" s="20">
        <f t="shared" si="14"/>
        <v>1242900</v>
      </c>
      <c r="S10" s="20">
        <f t="shared" si="1"/>
        <v>1652000</v>
      </c>
      <c r="T10" s="56">
        <f t="shared" si="15"/>
        <v>2894900</v>
      </c>
    </row>
    <row r="11" spans="1:21" x14ac:dyDescent="0.25">
      <c r="A11" s="29" t="s">
        <v>76</v>
      </c>
      <c r="B11" s="5">
        <f>ROUND(1920000*1.069,-2)</f>
        <v>2052500</v>
      </c>
      <c r="C11" s="92">
        <f>'потр вспомог'!H150</f>
        <v>1631946.8160000001</v>
      </c>
      <c r="D11" s="20">
        <f t="shared" si="2"/>
        <v>1632000</v>
      </c>
      <c r="E11" s="20">
        <f t="shared" si="3"/>
        <v>3684500</v>
      </c>
      <c r="F11" s="5">
        <f t="shared" si="4"/>
        <v>1112702.9384320001</v>
      </c>
      <c r="G11" s="21">
        <f t="shared" si="5"/>
        <v>4797202.9384320006</v>
      </c>
      <c r="H11" s="5"/>
      <c r="I11" s="20">
        <f t="shared" si="6"/>
        <v>3684500</v>
      </c>
      <c r="J11" s="20">
        <f t="shared" si="7"/>
        <v>1112719</v>
      </c>
      <c r="K11" s="20">
        <f t="shared" si="8"/>
        <v>4797219</v>
      </c>
      <c r="L11" s="48">
        <f t="shared" si="9"/>
        <v>1525900</v>
      </c>
      <c r="M11" s="23">
        <f t="shared" si="10"/>
        <v>460821.8</v>
      </c>
      <c r="N11" s="23">
        <f t="shared" si="11"/>
        <v>1986721.8</v>
      </c>
      <c r="O11" s="20">
        <f t="shared" si="12"/>
        <v>3578400</v>
      </c>
      <c r="P11" s="5">
        <f t="shared" si="13"/>
        <v>1080676.8</v>
      </c>
      <c r="Q11" s="21">
        <f t="shared" si="0"/>
        <v>4659076.8</v>
      </c>
      <c r="R11" s="20">
        <f t="shared" si="14"/>
        <v>2134600</v>
      </c>
      <c r="S11" s="20">
        <f t="shared" si="1"/>
        <v>1468800</v>
      </c>
      <c r="T11" s="56">
        <f t="shared" si="15"/>
        <v>3603400</v>
      </c>
    </row>
    <row r="12" spans="1:21" x14ac:dyDescent="0.25">
      <c r="A12" s="29" t="s">
        <v>77</v>
      </c>
      <c r="B12" s="5">
        <f>ROUND(782000*1.069,-2)</f>
        <v>836000</v>
      </c>
      <c r="C12" s="92">
        <f>'потр вспомог'!H174</f>
        <v>1682976.6</v>
      </c>
      <c r="D12" s="20">
        <f t="shared" si="2"/>
        <v>1683000</v>
      </c>
      <c r="E12" s="20">
        <f t="shared" si="3"/>
        <v>2519000</v>
      </c>
      <c r="F12" s="5">
        <f t="shared" si="4"/>
        <v>760730.93319999997</v>
      </c>
      <c r="G12" s="21">
        <f t="shared" si="5"/>
        <v>3279730.9331999999</v>
      </c>
      <c r="H12" s="5"/>
      <c r="I12" s="20">
        <f t="shared" si="6"/>
        <v>2519000</v>
      </c>
      <c r="J12" s="20">
        <f t="shared" si="7"/>
        <v>760738</v>
      </c>
      <c r="K12" s="20">
        <f t="shared" si="8"/>
        <v>3279738</v>
      </c>
      <c r="L12" s="48">
        <f t="shared" si="9"/>
        <v>1573600</v>
      </c>
      <c r="M12" s="23">
        <f t="shared" si="10"/>
        <v>475227.2</v>
      </c>
      <c r="N12" s="23">
        <f t="shared" si="11"/>
        <v>2048827.2</v>
      </c>
      <c r="O12" s="20">
        <f t="shared" si="12"/>
        <v>2409600</v>
      </c>
      <c r="P12" s="5">
        <f t="shared" si="13"/>
        <v>727699.2</v>
      </c>
      <c r="Q12" s="21">
        <f t="shared" si="0"/>
        <v>3137299.2</v>
      </c>
      <c r="R12" s="20">
        <f t="shared" si="14"/>
        <v>869400</v>
      </c>
      <c r="S12" s="20">
        <f t="shared" si="1"/>
        <v>1514700</v>
      </c>
      <c r="T12" s="56">
        <f t="shared" si="15"/>
        <v>2384100</v>
      </c>
    </row>
    <row r="13" spans="1:21" x14ac:dyDescent="0.25">
      <c r="A13" s="29" t="s">
        <v>78</v>
      </c>
      <c r="B13" s="5">
        <f>ROUND(818000*1.069,-2)</f>
        <v>874400</v>
      </c>
      <c r="C13" s="92">
        <f>'потр вспомог'!H198</f>
        <v>1631946.8160000001</v>
      </c>
      <c r="D13" s="20">
        <f t="shared" si="2"/>
        <v>1632000</v>
      </c>
      <c r="E13" s="20">
        <f t="shared" si="3"/>
        <v>2506400</v>
      </c>
      <c r="F13" s="5">
        <f t="shared" si="4"/>
        <v>756916.73843200004</v>
      </c>
      <c r="G13" s="21">
        <f t="shared" si="5"/>
        <v>3263316.7384319999</v>
      </c>
      <c r="H13" s="5"/>
      <c r="I13" s="20">
        <f t="shared" si="6"/>
        <v>2506400</v>
      </c>
      <c r="J13" s="20">
        <f t="shared" si="7"/>
        <v>756932.79999999993</v>
      </c>
      <c r="K13" s="20">
        <f t="shared" si="8"/>
        <v>3263332.8</v>
      </c>
      <c r="L13" s="48">
        <f t="shared" si="9"/>
        <v>1525900</v>
      </c>
      <c r="M13" s="23">
        <f t="shared" si="10"/>
        <v>460821.8</v>
      </c>
      <c r="N13" s="23">
        <f t="shared" si="11"/>
        <v>1986721.8</v>
      </c>
      <c r="O13" s="20">
        <f t="shared" si="12"/>
        <v>2400300</v>
      </c>
      <c r="P13" s="5">
        <f t="shared" si="13"/>
        <v>724890.6</v>
      </c>
      <c r="Q13" s="21">
        <f t="shared" si="0"/>
        <v>3125190.6</v>
      </c>
      <c r="R13" s="20">
        <f t="shared" si="14"/>
        <v>909400</v>
      </c>
      <c r="S13" s="20">
        <f t="shared" si="1"/>
        <v>1468800</v>
      </c>
      <c r="T13" s="56">
        <f t="shared" si="15"/>
        <v>2378200</v>
      </c>
    </row>
    <row r="14" spans="1:21" x14ac:dyDescent="0.25">
      <c r="A14" s="29" t="s">
        <v>79</v>
      </c>
      <c r="B14" s="5">
        <f>ROUND(998000*1.069,-2)</f>
        <v>1066900</v>
      </c>
      <c r="C14" s="92">
        <f>'потр вспомог'!H222</f>
        <v>1530138.8160000001</v>
      </c>
      <c r="D14" s="20">
        <f t="shared" si="2"/>
        <v>1530000</v>
      </c>
      <c r="E14" s="20">
        <f t="shared" si="3"/>
        <v>2596900</v>
      </c>
      <c r="F14" s="5">
        <f t="shared" si="4"/>
        <v>784305.72243199998</v>
      </c>
      <c r="G14" s="21">
        <f t="shared" si="5"/>
        <v>3381205.7224320001</v>
      </c>
      <c r="H14" s="5"/>
      <c r="I14" s="20">
        <f t="shared" si="6"/>
        <v>2596900</v>
      </c>
      <c r="J14" s="20">
        <f t="shared" si="7"/>
        <v>784263.79999999993</v>
      </c>
      <c r="K14" s="20">
        <f t="shared" si="8"/>
        <v>3381163.8</v>
      </c>
      <c r="L14" s="48">
        <f t="shared" si="9"/>
        <v>1430700</v>
      </c>
      <c r="M14" s="23">
        <f t="shared" si="10"/>
        <v>432071.39999999997</v>
      </c>
      <c r="N14" s="23">
        <f t="shared" si="11"/>
        <v>1862771.4</v>
      </c>
      <c r="O14" s="20">
        <f t="shared" si="12"/>
        <v>2497600</v>
      </c>
      <c r="P14" s="5">
        <f t="shared" si="13"/>
        <v>754275.2</v>
      </c>
      <c r="Q14" s="21">
        <f t="shared" si="0"/>
        <v>3251875.2</v>
      </c>
      <c r="R14" s="20">
        <f t="shared" si="14"/>
        <v>1109600</v>
      </c>
      <c r="S14" s="20">
        <f t="shared" si="1"/>
        <v>1377100</v>
      </c>
      <c r="T14" s="56">
        <f t="shared" si="15"/>
        <v>2486700</v>
      </c>
    </row>
    <row r="15" spans="1:21" x14ac:dyDescent="0.25">
      <c r="A15" s="29" t="s">
        <v>80</v>
      </c>
      <c r="B15" s="5">
        <f>ROUND(852000*1.069,-2)</f>
        <v>910800</v>
      </c>
      <c r="C15" s="92">
        <f>'потр вспомог'!H247</f>
        <v>1821288.0960000001</v>
      </c>
      <c r="D15" s="20">
        <f t="shared" si="2"/>
        <v>1821000</v>
      </c>
      <c r="E15" s="20">
        <f t="shared" si="3"/>
        <v>2731800</v>
      </c>
      <c r="F15" s="5">
        <f t="shared" si="4"/>
        <v>825090.60499199992</v>
      </c>
      <c r="G15" s="21">
        <f t="shared" si="5"/>
        <v>3556890.6049919999</v>
      </c>
      <c r="H15" s="5"/>
      <c r="I15" s="20">
        <f t="shared" si="6"/>
        <v>2731800</v>
      </c>
      <c r="J15" s="20">
        <f t="shared" si="7"/>
        <v>825003.6</v>
      </c>
      <c r="K15" s="20">
        <f t="shared" si="8"/>
        <v>3556803.6</v>
      </c>
      <c r="L15" s="48">
        <f t="shared" si="9"/>
        <v>1702900</v>
      </c>
      <c r="M15" s="23">
        <f t="shared" si="10"/>
        <v>514275.8</v>
      </c>
      <c r="N15" s="23">
        <f t="shared" si="11"/>
        <v>2217175.7999999998</v>
      </c>
      <c r="O15" s="20">
        <f t="shared" si="12"/>
        <v>2613700</v>
      </c>
      <c r="P15" s="5">
        <f t="shared" si="13"/>
        <v>789337.4</v>
      </c>
      <c r="Q15" s="21">
        <f t="shared" si="0"/>
        <v>3403037.4</v>
      </c>
      <c r="R15" s="20">
        <f t="shared" si="14"/>
        <v>947200</v>
      </c>
      <c r="S15" s="20">
        <f t="shared" si="1"/>
        <v>1639200</v>
      </c>
      <c r="T15" s="56">
        <f t="shared" si="15"/>
        <v>2586400</v>
      </c>
    </row>
    <row r="16" spans="1:21" x14ac:dyDescent="0.25">
      <c r="A16" s="29" t="s">
        <v>54</v>
      </c>
      <c r="B16" s="5">
        <f>ROUND(1160000*1.069,-2)</f>
        <v>1240000</v>
      </c>
      <c r="C16" s="92">
        <f>'потр вспомог'!H271</f>
        <v>1652358.7296</v>
      </c>
      <c r="D16" s="20">
        <f t="shared" si="2"/>
        <v>1652000</v>
      </c>
      <c r="E16" s="20">
        <f t="shared" si="3"/>
        <v>2892000</v>
      </c>
      <c r="F16" s="5">
        <f t="shared" si="4"/>
        <v>873492.33633920003</v>
      </c>
      <c r="G16" s="21">
        <f t="shared" si="5"/>
        <v>3765492.3363391999</v>
      </c>
      <c r="H16" s="5"/>
      <c r="I16" s="20">
        <f t="shared" si="6"/>
        <v>2892000</v>
      </c>
      <c r="J16" s="20">
        <f t="shared" si="7"/>
        <v>873384</v>
      </c>
      <c r="K16" s="20">
        <f t="shared" si="8"/>
        <v>3765384</v>
      </c>
      <c r="L16" s="48">
        <f t="shared" si="9"/>
        <v>1545000</v>
      </c>
      <c r="M16" s="23">
        <f t="shared" si="10"/>
        <v>466590</v>
      </c>
      <c r="N16" s="23">
        <f t="shared" si="11"/>
        <v>2011590</v>
      </c>
      <c r="O16" s="20">
        <f t="shared" si="12"/>
        <v>2785000</v>
      </c>
      <c r="P16" s="5">
        <f t="shared" si="13"/>
        <v>841070</v>
      </c>
      <c r="Q16" s="21">
        <f t="shared" si="0"/>
        <v>3626070</v>
      </c>
      <c r="R16" s="20">
        <f t="shared" si="14"/>
        <v>1289600</v>
      </c>
      <c r="S16" s="20">
        <f t="shared" si="1"/>
        <v>1487100</v>
      </c>
      <c r="T16" s="56">
        <f t="shared" si="15"/>
        <v>2776700</v>
      </c>
    </row>
    <row r="17" spans="1:21" x14ac:dyDescent="0.25">
      <c r="A17" s="29" t="s">
        <v>55</v>
      </c>
      <c r="B17" s="5">
        <f>ROUND(835000*1.069,-2)</f>
        <v>892600</v>
      </c>
      <c r="C17" s="92">
        <f>'потр вспомог'!H320</f>
        <v>2653045.6320000002</v>
      </c>
      <c r="D17" s="20">
        <f t="shared" si="2"/>
        <v>2653000</v>
      </c>
      <c r="E17" s="20">
        <f t="shared" si="3"/>
        <v>3545600</v>
      </c>
      <c r="F17" s="5">
        <f t="shared" si="4"/>
        <v>1070784.980864</v>
      </c>
      <c r="G17" s="21">
        <f t="shared" si="5"/>
        <v>4616384.9808639996</v>
      </c>
      <c r="H17" s="5"/>
      <c r="I17" s="20">
        <f t="shared" si="6"/>
        <v>3545600</v>
      </c>
      <c r="J17" s="20">
        <f t="shared" si="7"/>
        <v>1070771.2</v>
      </c>
      <c r="K17" s="20">
        <f t="shared" si="8"/>
        <v>4616371.2</v>
      </c>
      <c r="L17" s="48">
        <f t="shared" si="9"/>
        <v>2480600</v>
      </c>
      <c r="M17" s="23">
        <f t="shared" si="10"/>
        <v>749141.2</v>
      </c>
      <c r="N17" s="23">
        <f t="shared" si="11"/>
        <v>3229741.2</v>
      </c>
      <c r="O17" s="20">
        <f t="shared" si="12"/>
        <v>3373200</v>
      </c>
      <c r="P17" s="5">
        <f t="shared" si="13"/>
        <v>1018706.4</v>
      </c>
      <c r="Q17" s="21">
        <f t="shared" si="0"/>
        <v>4391906.4000000004</v>
      </c>
      <c r="R17" s="20">
        <f t="shared" si="14"/>
        <v>928300</v>
      </c>
      <c r="S17" s="20">
        <f t="shared" si="1"/>
        <v>2387700</v>
      </c>
      <c r="T17" s="56">
        <f t="shared" si="15"/>
        <v>3316000</v>
      </c>
    </row>
    <row r="18" spans="1:21" x14ac:dyDescent="0.25">
      <c r="A18" s="29" t="s">
        <v>56</v>
      </c>
      <c r="B18" s="5">
        <f>ROUND(1967000*1.069,-2)</f>
        <v>2102700</v>
      </c>
      <c r="C18" s="92">
        <f>'потр вспомог'!H344</f>
        <v>2958469.6320000002</v>
      </c>
      <c r="D18" s="20">
        <f t="shared" si="2"/>
        <v>2958000</v>
      </c>
      <c r="E18" s="20">
        <f t="shared" si="3"/>
        <v>5060700</v>
      </c>
      <c r="F18" s="5">
        <f t="shared" si="4"/>
        <v>1528473.2288639999</v>
      </c>
      <c r="G18" s="21">
        <f t="shared" si="5"/>
        <v>6589173.2288640002</v>
      </c>
      <c r="H18" s="5"/>
      <c r="I18" s="20">
        <f t="shared" si="6"/>
        <v>5060700</v>
      </c>
      <c r="J18" s="20">
        <f t="shared" si="7"/>
        <v>1528331.4</v>
      </c>
      <c r="K18" s="20">
        <f t="shared" si="8"/>
        <v>6589031.4000000004</v>
      </c>
      <c r="L18" s="48">
        <f t="shared" si="9"/>
        <v>2766200</v>
      </c>
      <c r="M18" s="23">
        <f t="shared" si="10"/>
        <v>835392.4</v>
      </c>
      <c r="N18" s="23">
        <f t="shared" si="11"/>
        <v>3601592.4</v>
      </c>
      <c r="O18" s="20">
        <f t="shared" si="12"/>
        <v>4868900</v>
      </c>
      <c r="P18" s="5">
        <f t="shared" si="13"/>
        <v>1470407.8</v>
      </c>
      <c r="Q18" s="21">
        <f t="shared" si="0"/>
        <v>6339307.7999999998</v>
      </c>
      <c r="R18" s="20">
        <f t="shared" si="14"/>
        <v>2186800</v>
      </c>
      <c r="S18" s="20">
        <f t="shared" si="1"/>
        <v>2662600</v>
      </c>
      <c r="T18" s="56">
        <f t="shared" si="15"/>
        <v>4849400</v>
      </c>
    </row>
    <row r="19" spans="1:21" x14ac:dyDescent="0.25">
      <c r="A19" s="29" t="s">
        <v>57</v>
      </c>
      <c r="B19" s="5">
        <f>ROUND(784000*1.069,-2)</f>
        <v>838100</v>
      </c>
      <c r="C19" s="92">
        <f>'потр вспомог'!H369</f>
        <v>2958469.6320000002</v>
      </c>
      <c r="D19" s="20">
        <f t="shared" si="2"/>
        <v>2958000</v>
      </c>
      <c r="E19" s="20">
        <f t="shared" si="3"/>
        <v>3796100</v>
      </c>
      <c r="F19" s="5">
        <f t="shared" si="4"/>
        <v>1146564.028864</v>
      </c>
      <c r="G19" s="21">
        <f t="shared" si="5"/>
        <v>4942664.028864</v>
      </c>
      <c r="H19" s="5"/>
      <c r="I19" s="20">
        <f t="shared" si="6"/>
        <v>3796100</v>
      </c>
      <c r="J19" s="20">
        <f t="shared" si="7"/>
        <v>1146422.2</v>
      </c>
      <c r="K19" s="20">
        <f t="shared" si="8"/>
        <v>4942522.2</v>
      </c>
      <c r="L19" s="48">
        <f t="shared" si="9"/>
        <v>2766200</v>
      </c>
      <c r="M19" s="23">
        <f t="shared" si="10"/>
        <v>835392.4</v>
      </c>
      <c r="N19" s="23">
        <f t="shared" si="11"/>
        <v>3601592.4</v>
      </c>
      <c r="O19" s="20">
        <f t="shared" si="12"/>
        <v>3604300</v>
      </c>
      <c r="P19" s="5">
        <f t="shared" si="13"/>
        <v>1088498.5999999999</v>
      </c>
      <c r="Q19" s="21">
        <f t="shared" si="0"/>
        <v>4692798.5999999996</v>
      </c>
      <c r="R19" s="20">
        <f t="shared" si="14"/>
        <v>871600</v>
      </c>
      <c r="S19" s="20">
        <f t="shared" si="1"/>
        <v>2662600</v>
      </c>
      <c r="T19" s="56">
        <f t="shared" si="15"/>
        <v>3534200</v>
      </c>
    </row>
    <row r="20" spans="1:21" x14ac:dyDescent="0.25">
      <c r="A20" s="29" t="s">
        <v>58</v>
      </c>
      <c r="B20" s="5">
        <f>ROUND(775000*1.069,-2)</f>
        <v>828500</v>
      </c>
      <c r="C20" s="92">
        <f>'потр вспомог'!H393</f>
        <v>1428330.8160000001</v>
      </c>
      <c r="D20" s="20">
        <f t="shared" si="2"/>
        <v>1428000</v>
      </c>
      <c r="E20" s="20">
        <f t="shared" si="3"/>
        <v>2256500</v>
      </c>
      <c r="F20" s="5">
        <f t="shared" si="4"/>
        <v>681562.90643199999</v>
      </c>
      <c r="G20" s="21">
        <f t="shared" si="5"/>
        <v>2938062.906432</v>
      </c>
      <c r="H20" s="5"/>
      <c r="I20" s="20">
        <f t="shared" si="6"/>
        <v>2256500</v>
      </c>
      <c r="J20" s="20">
        <f t="shared" si="7"/>
        <v>681463</v>
      </c>
      <c r="K20" s="20">
        <f t="shared" si="8"/>
        <v>2937963</v>
      </c>
      <c r="L20" s="48">
        <f t="shared" si="9"/>
        <v>1335500</v>
      </c>
      <c r="M20" s="23">
        <f t="shared" si="10"/>
        <v>403321</v>
      </c>
      <c r="N20" s="23">
        <f t="shared" si="11"/>
        <v>1738821</v>
      </c>
      <c r="O20" s="20">
        <f>B20+L20</f>
        <v>2164000</v>
      </c>
      <c r="P20" s="5">
        <f t="shared" si="13"/>
        <v>653528</v>
      </c>
      <c r="Q20" s="21">
        <f t="shared" si="0"/>
        <v>2817528</v>
      </c>
      <c r="R20" s="20">
        <f t="shared" si="14"/>
        <v>861600</v>
      </c>
      <c r="S20" s="20">
        <f t="shared" si="1"/>
        <v>1285500</v>
      </c>
      <c r="T20" s="56">
        <f t="shared" si="15"/>
        <v>2147100</v>
      </c>
    </row>
    <row r="21" spans="1:21" x14ac:dyDescent="0.25">
      <c r="A21" s="29" t="s">
        <v>59</v>
      </c>
      <c r="B21" s="5">
        <f>ROUND(846000*1.069,-2)</f>
        <v>904400</v>
      </c>
      <c r="C21" s="92">
        <f>'потр вспомог'!H417</f>
        <v>3060277.6320000002</v>
      </c>
      <c r="D21" s="20">
        <f t="shared" si="2"/>
        <v>3060000</v>
      </c>
      <c r="E21" s="20">
        <f t="shared" si="3"/>
        <v>3964400</v>
      </c>
      <c r="F21" s="5">
        <f t="shared" si="4"/>
        <v>1197332.6448639999</v>
      </c>
      <c r="G21" s="21">
        <f t="shared" si="5"/>
        <v>5161732.6448640004</v>
      </c>
      <c r="H21" s="5"/>
      <c r="I21" s="20">
        <f t="shared" si="6"/>
        <v>3964400</v>
      </c>
      <c r="J21" s="20">
        <f t="shared" si="7"/>
        <v>1197248.8</v>
      </c>
      <c r="K21" s="20">
        <f t="shared" si="8"/>
        <v>5161648.8</v>
      </c>
      <c r="L21" s="48">
        <f t="shared" si="9"/>
        <v>2861400</v>
      </c>
      <c r="M21" s="23">
        <f t="shared" si="10"/>
        <v>864142.79999999993</v>
      </c>
      <c r="N21" s="23">
        <f t="shared" si="11"/>
        <v>3725542.8</v>
      </c>
      <c r="O21" s="20">
        <f t="shared" si="12"/>
        <v>3765800</v>
      </c>
      <c r="P21" s="5">
        <f t="shared" si="13"/>
        <v>1137271.5999999999</v>
      </c>
      <c r="Q21" s="21">
        <f t="shared" si="0"/>
        <v>4903071.5999999996</v>
      </c>
      <c r="R21" s="20">
        <f t="shared" si="14"/>
        <v>940600</v>
      </c>
      <c r="S21" s="20">
        <f t="shared" si="1"/>
        <v>2754200</v>
      </c>
      <c r="T21" s="56">
        <f t="shared" si="15"/>
        <v>3694800</v>
      </c>
    </row>
    <row r="22" spans="1:21" x14ac:dyDescent="0.25">
      <c r="A22" s="29" t="s">
        <v>60</v>
      </c>
      <c r="B22" s="5">
        <f>ROUND(1983000*1.069,-2)</f>
        <v>2119800</v>
      </c>
      <c r="C22" s="92">
        <f>'потр вспомог'!H441</f>
        <v>1795040.8703999999</v>
      </c>
      <c r="D22" s="20">
        <f t="shared" si="2"/>
        <v>1795000</v>
      </c>
      <c r="E22" s="20">
        <f t="shared" si="3"/>
        <v>3914800</v>
      </c>
      <c r="F22" s="5">
        <f t="shared" si="4"/>
        <v>1182281.9428607998</v>
      </c>
      <c r="G22" s="21">
        <f t="shared" si="5"/>
        <v>5097081.9428607998</v>
      </c>
      <c r="H22" s="5"/>
      <c r="I22" s="20">
        <f t="shared" si="6"/>
        <v>3914800</v>
      </c>
      <c r="J22" s="20">
        <f t="shared" si="7"/>
        <v>1182269.5999999999</v>
      </c>
      <c r="K22" s="20">
        <f t="shared" si="8"/>
        <v>5097069.5999999996</v>
      </c>
      <c r="L22" s="48">
        <f t="shared" si="9"/>
        <v>1678400</v>
      </c>
      <c r="M22" s="23">
        <f t="shared" si="10"/>
        <v>506876.8</v>
      </c>
      <c r="N22" s="23">
        <f t="shared" si="11"/>
        <v>2185276.7999999998</v>
      </c>
      <c r="O22" s="20">
        <f t="shared" si="12"/>
        <v>3798200</v>
      </c>
      <c r="P22" s="5">
        <f t="shared" si="13"/>
        <v>1147056.3999999999</v>
      </c>
      <c r="Q22" s="21">
        <f t="shared" si="0"/>
        <v>4945256.4000000004</v>
      </c>
      <c r="R22" s="20">
        <f t="shared" si="14"/>
        <v>2204600</v>
      </c>
      <c r="S22" s="20">
        <f t="shared" si="1"/>
        <v>1615500</v>
      </c>
      <c r="T22" s="56">
        <f t="shared" si="15"/>
        <v>3820100</v>
      </c>
    </row>
    <row r="23" spans="1:21" x14ac:dyDescent="0.25">
      <c r="A23" s="29" t="s">
        <v>61</v>
      </c>
      <c r="B23" s="5">
        <f>ROUND(753000*1.069,-2)</f>
        <v>805000</v>
      </c>
      <c r="C23" s="92">
        <f>'потр вспомог'!H465</f>
        <v>2010629.3760000002</v>
      </c>
      <c r="D23" s="20">
        <f t="shared" si="2"/>
        <v>2011000</v>
      </c>
      <c r="E23" s="20">
        <f t="shared" si="3"/>
        <v>2816000</v>
      </c>
      <c r="F23" s="5">
        <f t="shared" si="4"/>
        <v>850320.07155200001</v>
      </c>
      <c r="G23" s="21">
        <f t="shared" si="5"/>
        <v>3666320.071552</v>
      </c>
      <c r="H23" s="5"/>
      <c r="I23" s="20">
        <f t="shared" si="6"/>
        <v>2816000</v>
      </c>
      <c r="J23" s="20">
        <f t="shared" si="7"/>
        <v>850432</v>
      </c>
      <c r="K23" s="20">
        <f t="shared" si="8"/>
        <v>3666432</v>
      </c>
      <c r="L23" s="48">
        <f t="shared" si="9"/>
        <v>1879900</v>
      </c>
      <c r="M23" s="23">
        <f t="shared" si="10"/>
        <v>567729.79999999993</v>
      </c>
      <c r="N23" s="23">
        <f t="shared" si="11"/>
        <v>2447629.7999999998</v>
      </c>
      <c r="O23" s="20">
        <f t="shared" si="12"/>
        <v>2684900</v>
      </c>
      <c r="P23" s="5">
        <f t="shared" si="13"/>
        <v>810839.79999999993</v>
      </c>
      <c r="Q23" s="21">
        <f t="shared" si="0"/>
        <v>3495739.8</v>
      </c>
      <c r="R23" s="20">
        <f t="shared" si="14"/>
        <v>837200</v>
      </c>
      <c r="S23" s="20">
        <f t="shared" si="1"/>
        <v>1809600</v>
      </c>
      <c r="T23" s="56">
        <f t="shared" si="15"/>
        <v>2646800</v>
      </c>
    </row>
    <row r="24" spans="1:21" x14ac:dyDescent="0.25">
      <c r="A24" s="29" t="s">
        <v>62</v>
      </c>
      <c r="B24" s="5">
        <f>ROUND(753000*1.069,-2)</f>
        <v>805000</v>
      </c>
      <c r="C24" s="92">
        <f>'потр вспомог'!H489</f>
        <v>1631946.8160000001</v>
      </c>
      <c r="D24" s="20">
        <f t="shared" si="2"/>
        <v>1632000</v>
      </c>
      <c r="E24" s="20">
        <f t="shared" si="3"/>
        <v>2437000</v>
      </c>
      <c r="F24" s="5">
        <f t="shared" si="4"/>
        <v>735957.938432</v>
      </c>
      <c r="G24" s="21">
        <f t="shared" si="5"/>
        <v>3172957.9384320001</v>
      </c>
      <c r="H24" s="5"/>
      <c r="I24" s="20">
        <f t="shared" si="6"/>
        <v>2437000</v>
      </c>
      <c r="J24" s="20">
        <f t="shared" si="7"/>
        <v>735974</v>
      </c>
      <c r="K24" s="20">
        <f t="shared" si="8"/>
        <v>3172974</v>
      </c>
      <c r="L24" s="48">
        <f t="shared" si="9"/>
        <v>1525900</v>
      </c>
      <c r="M24" s="23">
        <f t="shared" si="10"/>
        <v>460821.8</v>
      </c>
      <c r="N24" s="23">
        <f t="shared" si="11"/>
        <v>1986721.8</v>
      </c>
      <c r="O24" s="20">
        <f t="shared" si="12"/>
        <v>2330900</v>
      </c>
      <c r="P24" s="5">
        <f t="shared" si="13"/>
        <v>703931.79999999993</v>
      </c>
      <c r="Q24" s="21">
        <f t="shared" si="0"/>
        <v>3034831.8</v>
      </c>
      <c r="R24" s="20">
        <f t="shared" si="14"/>
        <v>837200</v>
      </c>
      <c r="S24" s="20">
        <f t="shared" si="1"/>
        <v>1468800</v>
      </c>
      <c r="T24" s="56">
        <f t="shared" si="15"/>
        <v>2306000</v>
      </c>
    </row>
    <row r="25" spans="1:21" x14ac:dyDescent="0.25">
      <c r="A25" s="19" t="s">
        <v>63</v>
      </c>
      <c r="B25" s="5"/>
      <c r="C25" s="92"/>
      <c r="D25" s="30"/>
      <c r="E25" s="20">
        <f t="shared" ref="E25" si="16">B25+C25</f>
        <v>0</v>
      </c>
      <c r="F25" s="5">
        <f t="shared" ref="F25" si="17">(B25+C25)*30.2%</f>
        <v>0</v>
      </c>
      <c r="G25" s="21">
        <f t="shared" ref="G25:G26" si="18">E25+F25</f>
        <v>0</v>
      </c>
      <c r="H25" s="5"/>
      <c r="I25" s="4"/>
      <c r="J25" s="4"/>
      <c r="K25" s="4"/>
      <c r="L25" s="48">
        <f t="shared" si="9"/>
        <v>0</v>
      </c>
      <c r="M25" s="23">
        <f t="shared" ref="M25:M26" si="19">L25*30.2%</f>
        <v>0</v>
      </c>
      <c r="N25" s="23">
        <f t="shared" ref="N25:N26" si="20">L25+M25</f>
        <v>0</v>
      </c>
      <c r="O25" s="20">
        <f t="shared" ref="O25:O26" si="21">B25+L25</f>
        <v>0</v>
      </c>
      <c r="P25" s="5">
        <f t="shared" ref="P25:P26" si="22">O25*30.2%</f>
        <v>0</v>
      </c>
      <c r="Q25" s="21">
        <f t="shared" ref="Q25:Q26" si="23">O25+P25</f>
        <v>0</v>
      </c>
      <c r="R25" s="20">
        <f t="shared" si="14"/>
        <v>0</v>
      </c>
      <c r="S25" s="20">
        <f>ROUND(C25-C25*10%,-2)</f>
        <v>0</v>
      </c>
      <c r="T25" s="56">
        <f t="shared" si="15"/>
        <v>0</v>
      </c>
    </row>
    <row r="26" spans="1:21" hidden="1" x14ac:dyDescent="0.25">
      <c r="A26" s="19" t="s">
        <v>97</v>
      </c>
      <c r="B26" s="5"/>
      <c r="C26" s="92"/>
      <c r="D26" s="20"/>
      <c r="E26" s="20">
        <f>B26+C26</f>
        <v>0</v>
      </c>
      <c r="F26" s="5">
        <f>(B26+C26)*30.2%</f>
        <v>0</v>
      </c>
      <c r="G26" s="21">
        <f t="shared" si="18"/>
        <v>0</v>
      </c>
      <c r="H26" s="52"/>
      <c r="I26" s="53"/>
      <c r="J26" s="53"/>
      <c r="K26" s="53"/>
      <c r="L26" s="48">
        <f t="shared" si="9"/>
        <v>0</v>
      </c>
      <c r="M26" s="23">
        <f t="shared" si="19"/>
        <v>0</v>
      </c>
      <c r="N26" s="23">
        <f t="shared" si="20"/>
        <v>0</v>
      </c>
      <c r="O26" s="20">
        <f t="shared" si="21"/>
        <v>0</v>
      </c>
      <c r="P26" s="5">
        <f t="shared" si="22"/>
        <v>0</v>
      </c>
      <c r="Q26" s="21">
        <f t="shared" si="23"/>
        <v>0</v>
      </c>
      <c r="R26" s="20">
        <f>ROUND(B26/7*12*1.04,-2)</f>
        <v>0</v>
      </c>
      <c r="S26" s="20">
        <f>ROUND(C26/6*12-C26*10%,-2)</f>
        <v>0</v>
      </c>
      <c r="T26" s="56">
        <f t="shared" si="15"/>
        <v>0</v>
      </c>
    </row>
    <row r="27" spans="1:21" x14ac:dyDescent="0.25">
      <c r="A27" s="25" t="s">
        <v>36</v>
      </c>
      <c r="B27" s="26">
        <f>SUM(B5:B26)</f>
        <v>24523700</v>
      </c>
      <c r="C27" s="93">
        <f>SUM(C5:C26)</f>
        <v>40687976.807999998</v>
      </c>
      <c r="D27" s="119">
        <f>SUM(D5:D26)</f>
        <v>40686000</v>
      </c>
      <c r="E27" s="26">
        <f t="shared" ref="E27" si="24">SUM(E5:E26)</f>
        <v>65209700</v>
      </c>
      <c r="F27" s="26">
        <f t="shared" ref="F27" si="25">SUM(F5:F26)</f>
        <v>19693926.396016002</v>
      </c>
      <c r="G27" s="26">
        <f t="shared" ref="G27" si="26">SUM(G5:G26)</f>
        <v>84903626.396015987</v>
      </c>
      <c r="H27" s="26">
        <f t="shared" ref="H27" si="27">SUM(H5:H26)</f>
        <v>0</v>
      </c>
      <c r="I27" s="26">
        <f t="shared" ref="I27" si="28">SUM(I5:I26)</f>
        <v>65209700</v>
      </c>
      <c r="J27" s="26">
        <f t="shared" ref="J27" si="29">SUM(J5:J26)</f>
        <v>19693329.400000002</v>
      </c>
      <c r="K27" s="26">
        <f t="shared" ref="K27" si="30">SUM(K5:K26)</f>
        <v>84903029.399999991</v>
      </c>
      <c r="L27" s="26">
        <f t="shared" ref="L27" si="31">SUM(L5:L26)</f>
        <v>38043700</v>
      </c>
      <c r="M27" s="26">
        <f t="shared" ref="M27" si="32">SUM(M5:M26)</f>
        <v>11489197.400000002</v>
      </c>
      <c r="N27" s="26">
        <f t="shared" ref="N27:Q27" si="33">SUM(N5:N26)</f>
        <v>49532897.399999984</v>
      </c>
      <c r="O27" s="26">
        <f>SUM(O5:O26)</f>
        <v>62567400</v>
      </c>
      <c r="P27" s="26">
        <f t="shared" si="33"/>
        <v>18895354.800000001</v>
      </c>
      <c r="Q27" s="27">
        <f t="shared" si="33"/>
        <v>81462754.799999997</v>
      </c>
      <c r="R27" s="27">
        <f t="shared" ref="R27" si="34">SUM(R5:R26)</f>
        <v>25504600</v>
      </c>
      <c r="S27" s="27">
        <f t="shared" ref="S27" si="35">SUM(S5:S26)</f>
        <v>36619300</v>
      </c>
      <c r="T27" s="27">
        <f t="shared" ref="T27" si="36">SUM(T5:T26)</f>
        <v>62123900</v>
      </c>
      <c r="U27" s="31">
        <f>T27*30.2%</f>
        <v>18761417.800000001</v>
      </c>
    </row>
    <row r="28" spans="1:21" x14ac:dyDescent="0.25">
      <c r="A28" s="28" t="s">
        <v>81</v>
      </c>
      <c r="B28" s="24"/>
      <c r="C28" s="24"/>
      <c r="D28" s="24"/>
      <c r="E28" s="24">
        <v>67514400</v>
      </c>
      <c r="F28" s="24">
        <v>20389300</v>
      </c>
      <c r="G28" s="24">
        <f>E28+F28</f>
        <v>87903700</v>
      </c>
      <c r="H28" s="4"/>
      <c r="I28" s="24">
        <v>41440300</v>
      </c>
      <c r="J28" s="24">
        <v>12515000</v>
      </c>
      <c r="K28" s="24">
        <f>I28+J28</f>
        <v>53955300</v>
      </c>
      <c r="L28" s="22"/>
      <c r="M28" s="22"/>
      <c r="N28" s="22"/>
      <c r="O28" s="24"/>
      <c r="P28" s="24"/>
      <c r="Q28" s="24"/>
      <c r="T28" s="24">
        <v>68570900</v>
      </c>
      <c r="U28">
        <v>20708400</v>
      </c>
    </row>
    <row r="29" spans="1:21" x14ac:dyDescent="0.25">
      <c r="A29" s="28" t="s">
        <v>82</v>
      </c>
      <c r="B29" s="24"/>
      <c r="C29" s="24"/>
      <c r="D29" s="24"/>
      <c r="E29" s="24">
        <f>E28-E27</f>
        <v>2304700</v>
      </c>
      <c r="F29" s="24">
        <f>F28-F27</f>
        <v>695373.6039839983</v>
      </c>
      <c r="G29" s="24">
        <f>E29+F29</f>
        <v>3000073.6039839983</v>
      </c>
      <c r="H29" s="4"/>
      <c r="I29" s="24">
        <f>I28-I27</f>
        <v>-23769400</v>
      </c>
      <c r="J29" s="24">
        <f>J28-J27</f>
        <v>-7178329.4000000022</v>
      </c>
      <c r="K29" s="24">
        <f>I29+J29</f>
        <v>-30947729.400000002</v>
      </c>
      <c r="L29" s="22"/>
      <c r="M29" s="22"/>
      <c r="N29" s="22"/>
      <c r="O29" s="31"/>
      <c r="P29" s="31"/>
      <c r="Q29" s="31"/>
      <c r="T29" s="31">
        <f>T28-T27</f>
        <v>6447000</v>
      </c>
      <c r="U29" s="31">
        <f>U28-U27</f>
        <v>1946982.1999999993</v>
      </c>
    </row>
    <row r="30" spans="1:21" x14ac:dyDescent="0.25">
      <c r="B30" s="24"/>
      <c r="C30" s="24"/>
      <c r="D30" s="24"/>
      <c r="E30" s="24"/>
      <c r="F30" s="24"/>
      <c r="G30" s="24"/>
    </row>
    <row r="31" spans="1:21" x14ac:dyDescent="0.25">
      <c r="E31" s="31"/>
    </row>
    <row r="32" spans="1:21" x14ac:dyDescent="0.25">
      <c r="E32" s="51"/>
      <c r="Q32" s="55"/>
    </row>
    <row r="33" spans="5:5" x14ac:dyDescent="0.25">
      <c r="E33" s="54"/>
    </row>
  </sheetData>
  <mergeCells count="3">
    <mergeCell ref="B3:G3"/>
    <mergeCell ref="L3:N3"/>
    <mergeCell ref="R3:T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6:S61"/>
  <sheetViews>
    <sheetView zoomScale="120" zoomScaleNormal="12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19" sqref="A19:XFD29"/>
    </sheetView>
  </sheetViews>
  <sheetFormatPr defaultRowHeight="13.2" x14ac:dyDescent="0.25"/>
  <cols>
    <col min="1" max="1" width="21.44140625" customWidth="1"/>
    <col min="2" max="2" width="14.88671875" customWidth="1"/>
    <col min="3" max="3" width="13.33203125" customWidth="1"/>
    <col min="4" max="4" width="13.5546875" customWidth="1"/>
    <col min="5" max="5" width="14.33203125" customWidth="1"/>
    <col min="6" max="6" width="13.6640625" customWidth="1"/>
    <col min="7" max="7" width="14" customWidth="1"/>
    <col min="8" max="10" width="16.6640625" customWidth="1"/>
    <col min="11" max="13" width="15.6640625" hidden="1" customWidth="1"/>
    <col min="14" max="15" width="16.44140625" hidden="1" customWidth="1"/>
    <col min="16" max="16" width="14.6640625" hidden="1" customWidth="1"/>
    <col min="17" max="17" width="15.6640625" hidden="1" customWidth="1"/>
    <col min="18" max="18" width="15.88671875" hidden="1" customWidth="1"/>
    <col min="19" max="19" width="14.88671875" hidden="1" customWidth="1"/>
    <col min="20" max="20" width="12.6640625" customWidth="1"/>
  </cols>
  <sheetData>
    <row r="6" spans="1:19" ht="14.4" x14ac:dyDescent="0.3">
      <c r="A6" s="4"/>
      <c r="B6" s="32" t="s">
        <v>83</v>
      </c>
      <c r="C6" s="33"/>
      <c r="D6" s="33"/>
      <c r="E6" s="33"/>
      <c r="F6" s="33"/>
      <c r="G6" s="33"/>
      <c r="H6" s="33"/>
      <c r="I6" s="33"/>
      <c r="J6" s="34"/>
      <c r="K6" s="35" t="s">
        <v>84</v>
      </c>
      <c r="L6" s="36"/>
      <c r="M6" s="36"/>
      <c r="N6" s="36"/>
      <c r="O6" s="36"/>
      <c r="P6" s="36"/>
      <c r="Q6" s="36"/>
      <c r="R6" s="36"/>
      <c r="S6" s="37"/>
    </row>
    <row r="7" spans="1:19" ht="14.4" x14ac:dyDescent="0.3">
      <c r="A7" s="4"/>
      <c r="B7" s="38" t="s">
        <v>85</v>
      </c>
      <c r="C7" s="38" t="s">
        <v>86</v>
      </c>
      <c r="D7" s="38" t="s">
        <v>82</v>
      </c>
      <c r="E7" s="38" t="s">
        <v>85</v>
      </c>
      <c r="F7" s="38" t="s">
        <v>86</v>
      </c>
      <c r="G7" s="38" t="s">
        <v>82</v>
      </c>
      <c r="H7" s="38" t="s">
        <v>85</v>
      </c>
      <c r="I7" s="38" t="s">
        <v>86</v>
      </c>
      <c r="J7" s="49" t="s">
        <v>82</v>
      </c>
      <c r="K7" s="38" t="s">
        <v>85</v>
      </c>
      <c r="L7" s="38" t="s">
        <v>86</v>
      </c>
      <c r="M7" s="38" t="s">
        <v>82</v>
      </c>
      <c r="N7" s="38" t="s">
        <v>85</v>
      </c>
      <c r="O7" s="38" t="s">
        <v>86</v>
      </c>
      <c r="P7" s="38" t="s">
        <v>82</v>
      </c>
      <c r="Q7" s="38" t="s">
        <v>85</v>
      </c>
      <c r="R7" s="38" t="s">
        <v>86</v>
      </c>
      <c r="S7" s="38" t="s">
        <v>82</v>
      </c>
    </row>
    <row r="8" spans="1:19" ht="14.4" x14ac:dyDescent="0.3">
      <c r="A8" s="4"/>
      <c r="B8" s="118">
        <v>211</v>
      </c>
      <c r="C8" s="118"/>
      <c r="D8" s="118"/>
      <c r="E8" s="118">
        <v>213</v>
      </c>
      <c r="F8" s="118"/>
      <c r="G8" s="118"/>
      <c r="H8" s="118" t="s">
        <v>87</v>
      </c>
      <c r="I8" s="118"/>
      <c r="J8" s="118"/>
      <c r="K8" s="118">
        <v>211</v>
      </c>
      <c r="L8" s="118"/>
      <c r="M8" s="118"/>
      <c r="N8" s="118">
        <v>213</v>
      </c>
      <c r="O8" s="118"/>
      <c r="P8" s="118"/>
      <c r="Q8" s="115" t="s">
        <v>87</v>
      </c>
      <c r="R8" s="116"/>
      <c r="S8" s="117"/>
    </row>
    <row r="9" spans="1:19" ht="31.2" hidden="1" customHeight="1" x14ac:dyDescent="0.3">
      <c r="A9" s="39" t="s">
        <v>88</v>
      </c>
      <c r="B9" s="39"/>
      <c r="C9" s="39"/>
      <c r="D9" s="39"/>
      <c r="E9" s="39"/>
      <c r="F9" s="39"/>
      <c r="G9" s="39"/>
      <c r="H9" s="42"/>
      <c r="I9" s="39"/>
      <c r="J9" s="39"/>
      <c r="K9" s="39"/>
      <c r="L9" s="39"/>
      <c r="M9" s="39"/>
      <c r="N9" s="39"/>
      <c r="O9" s="39"/>
      <c r="P9" s="39"/>
      <c r="Q9" s="39"/>
      <c r="R9" s="40"/>
      <c r="S9" s="40"/>
    </row>
    <row r="10" spans="1:19" hidden="1" x14ac:dyDescent="0.25">
      <c r="A10" s="41" t="s">
        <v>89</v>
      </c>
      <c r="B10" s="42">
        <v>14535.6</v>
      </c>
      <c r="C10" s="42">
        <v>15076.7</v>
      </c>
      <c r="D10" s="42">
        <f>B10-C10</f>
        <v>-541.10000000000036</v>
      </c>
      <c r="E10" s="42">
        <f>B10*30.2%</f>
        <v>4389.7511999999997</v>
      </c>
      <c r="F10" s="42">
        <f>C10*30.2%</f>
        <v>4553.1634000000004</v>
      </c>
      <c r="G10" s="42">
        <f>E10-F10</f>
        <v>-163.41220000000067</v>
      </c>
      <c r="H10" s="42">
        <f t="shared" ref="H10:H11" si="0">B10+E10</f>
        <v>18925.351200000001</v>
      </c>
      <c r="I10" s="42">
        <f t="shared" ref="I10:I12" si="1">C10+F10</f>
        <v>19629.863400000002</v>
      </c>
      <c r="J10" s="42">
        <f>H10-I10</f>
        <v>-704.51220000000103</v>
      </c>
      <c r="K10" s="42">
        <v>39810.1</v>
      </c>
      <c r="L10" s="42">
        <v>53597.7</v>
      </c>
      <c r="M10" s="42">
        <f>K10-L10</f>
        <v>-13787.599999999999</v>
      </c>
      <c r="N10" s="42">
        <f t="shared" ref="N10:O12" si="2">K10*30.2%</f>
        <v>12022.6502</v>
      </c>
      <c r="O10" s="42">
        <f t="shared" si="2"/>
        <v>16186.505399999998</v>
      </c>
      <c r="P10" s="42">
        <f>N10-O10</f>
        <v>-4163.8551999999981</v>
      </c>
      <c r="Q10" s="42">
        <f t="shared" ref="Q10:R12" si="3">K10+N10</f>
        <v>51832.750199999995</v>
      </c>
      <c r="R10" s="42">
        <f t="shared" si="3"/>
        <v>69784.205399999992</v>
      </c>
      <c r="S10" s="42">
        <f>Q10-R10</f>
        <v>-17951.455199999997</v>
      </c>
    </row>
    <row r="11" spans="1:19" hidden="1" x14ac:dyDescent="0.25">
      <c r="A11" s="41" t="s">
        <v>90</v>
      </c>
      <c r="B11" s="42">
        <v>0</v>
      </c>
      <c r="C11" s="42"/>
      <c r="D11" s="42">
        <f>B11-C11</f>
        <v>0</v>
      </c>
      <c r="E11" s="42">
        <f t="shared" ref="E11:E12" si="4">B11*30.2%</f>
        <v>0</v>
      </c>
      <c r="F11" s="42">
        <f>C11*30.2%</f>
        <v>0</v>
      </c>
      <c r="G11" s="42">
        <f>E11-F11</f>
        <v>0</v>
      </c>
      <c r="H11" s="42">
        <f t="shared" si="0"/>
        <v>0</v>
      </c>
      <c r="I11" s="42">
        <f t="shared" si="1"/>
        <v>0</v>
      </c>
      <c r="J11" s="42">
        <f>H11-I11</f>
        <v>0</v>
      </c>
      <c r="K11" s="42">
        <v>595959.1</v>
      </c>
      <c r="L11" s="42">
        <v>560138</v>
      </c>
      <c r="M11" s="42">
        <f>K11-L11</f>
        <v>35821.099999999977</v>
      </c>
      <c r="N11" s="42">
        <f t="shared" si="2"/>
        <v>179979.6482</v>
      </c>
      <c r="O11" s="42">
        <f t="shared" si="2"/>
        <v>169161.67600000001</v>
      </c>
      <c r="P11" s="42">
        <f>N11-O11</f>
        <v>10817.972199999989</v>
      </c>
      <c r="Q11" s="42">
        <f t="shared" si="3"/>
        <v>775938.74820000003</v>
      </c>
      <c r="R11" s="42">
        <f t="shared" si="3"/>
        <v>729299.67599999998</v>
      </c>
      <c r="S11" s="42">
        <f>Q11-R11</f>
        <v>46639.072200000053</v>
      </c>
    </row>
    <row r="12" spans="1:19" hidden="1" x14ac:dyDescent="0.25">
      <c r="A12" s="41" t="s">
        <v>91</v>
      </c>
      <c r="B12" s="42">
        <v>327850.8</v>
      </c>
      <c r="C12" s="42">
        <v>375371.9</v>
      </c>
      <c r="D12" s="42">
        <f>B12-C12</f>
        <v>-47521.100000000035</v>
      </c>
      <c r="E12" s="42">
        <f t="shared" si="4"/>
        <v>99010.941599999991</v>
      </c>
      <c r="F12" s="42">
        <f>C12*30.2%</f>
        <v>113362.3138</v>
      </c>
      <c r="G12" s="42">
        <f>E12-F12</f>
        <v>-14351.372200000013</v>
      </c>
      <c r="H12" s="42">
        <f t="shared" ref="H12" si="5">B12+E12</f>
        <v>426861.74159999995</v>
      </c>
      <c r="I12" s="42">
        <f t="shared" si="1"/>
        <v>488734.21380000003</v>
      </c>
      <c r="J12" s="42">
        <f>H12-I12</f>
        <v>-61872.472200000077</v>
      </c>
      <c r="K12" s="42">
        <v>85393.1</v>
      </c>
      <c r="L12" s="42">
        <v>92468.1</v>
      </c>
      <c r="M12" s="42">
        <f>K12-L12</f>
        <v>-7075</v>
      </c>
      <c r="N12" s="42">
        <f t="shared" si="2"/>
        <v>25788.716200000003</v>
      </c>
      <c r="O12" s="42">
        <f t="shared" si="2"/>
        <v>27925.3662</v>
      </c>
      <c r="P12" s="42">
        <f>N12-O12</f>
        <v>-2136.6499999999978</v>
      </c>
      <c r="Q12" s="42">
        <f t="shared" si="3"/>
        <v>111181.8162</v>
      </c>
      <c r="R12" s="42">
        <f t="shared" si="3"/>
        <v>120393.46620000001</v>
      </c>
      <c r="S12" s="42">
        <f>Q12-R12</f>
        <v>-9211.6500000000087</v>
      </c>
    </row>
    <row r="13" spans="1:19" s="3" customFormat="1" hidden="1" x14ac:dyDescent="0.25">
      <c r="A13" s="43" t="s">
        <v>92</v>
      </c>
      <c r="B13" s="44">
        <f>B10+B11+B12</f>
        <v>342386.39999999997</v>
      </c>
      <c r="C13" s="44">
        <f>C10+C11+C12</f>
        <v>390448.60000000003</v>
      </c>
      <c r="D13" s="44">
        <f>D10+D11+D12</f>
        <v>-48062.200000000033</v>
      </c>
      <c r="E13" s="44">
        <f t="shared" ref="E13:L13" si="6">E10+E11+E12</f>
        <v>103400.69279999999</v>
      </c>
      <c r="F13" s="44">
        <f t="shared" si="6"/>
        <v>117915.47720000001</v>
      </c>
      <c r="G13" s="44">
        <f t="shared" si="6"/>
        <v>-14514.784400000013</v>
      </c>
      <c r="H13" s="44">
        <f t="shared" si="6"/>
        <v>445787.09279999993</v>
      </c>
      <c r="I13" s="44">
        <f t="shared" si="6"/>
        <v>508364.07720000006</v>
      </c>
      <c r="J13" s="50">
        <f t="shared" si="6"/>
        <v>-62576.984400000074</v>
      </c>
      <c r="K13" s="44">
        <f t="shared" si="6"/>
        <v>721162.29999999993</v>
      </c>
      <c r="L13" s="44">
        <f t="shared" si="6"/>
        <v>706203.79999999993</v>
      </c>
      <c r="M13" s="44">
        <f>M10+M11+M12</f>
        <v>14958.499999999978</v>
      </c>
      <c r="N13" s="44">
        <f t="shared" ref="N13:S13" si="7">N10+N11+N12</f>
        <v>217791.01459999999</v>
      </c>
      <c r="O13" s="44">
        <f>O10+O11+O12</f>
        <v>213273.54759999999</v>
      </c>
      <c r="P13" s="44">
        <f t="shared" si="7"/>
        <v>4517.4669999999933</v>
      </c>
      <c r="Q13" s="44">
        <f t="shared" si="7"/>
        <v>938953.31460000004</v>
      </c>
      <c r="R13" s="44">
        <f t="shared" si="7"/>
        <v>919477.34759999998</v>
      </c>
      <c r="S13" s="50">
        <f t="shared" si="7"/>
        <v>19475.967000000048</v>
      </c>
    </row>
    <row r="14" spans="1:19" ht="14.4" x14ac:dyDescent="0.3">
      <c r="A14" s="39" t="s">
        <v>93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40"/>
      <c r="S14" s="40"/>
    </row>
    <row r="15" spans="1:19" x14ac:dyDescent="0.25">
      <c r="A15" s="41" t="s">
        <v>89</v>
      </c>
      <c r="B15" s="42">
        <v>26411.9</v>
      </c>
      <c r="C15" s="42">
        <f>город!B27/1000</f>
        <v>24523.7</v>
      </c>
      <c r="D15" s="42">
        <f>B15-C15</f>
        <v>1888.2000000000007</v>
      </c>
      <c r="E15" s="42">
        <f t="shared" ref="E15:F17" si="8">B15*30.2%</f>
        <v>7976.3937999999998</v>
      </c>
      <c r="F15" s="42">
        <f t="shared" si="8"/>
        <v>7406.1574000000001</v>
      </c>
      <c r="G15" s="42">
        <f>E15-F15</f>
        <v>570.23639999999978</v>
      </c>
      <c r="H15" s="42">
        <f t="shared" ref="H15:I17" si="9">B15+E15</f>
        <v>34388.293799999999</v>
      </c>
      <c r="I15" s="42">
        <f t="shared" si="9"/>
        <v>31929.857400000001</v>
      </c>
      <c r="J15" s="42">
        <f>H15-I15</f>
        <v>2458.4363999999987</v>
      </c>
      <c r="K15" s="42" t="e">
        <f>#REF!/1000</f>
        <v>#REF!</v>
      </c>
      <c r="L15" s="42" t="e">
        <f>#REF!/1000</f>
        <v>#REF!</v>
      </c>
      <c r="M15" s="42" t="e">
        <f>K15-L15</f>
        <v>#REF!</v>
      </c>
      <c r="N15" s="42" t="e">
        <f t="shared" ref="N15:O17" si="10">K15*30.2%</f>
        <v>#REF!</v>
      </c>
      <c r="O15" s="42" t="e">
        <f t="shared" si="10"/>
        <v>#REF!</v>
      </c>
      <c r="P15" s="42" t="e">
        <f>N15-O15</f>
        <v>#REF!</v>
      </c>
      <c r="Q15" s="42" t="e">
        <f t="shared" ref="Q15:R17" si="11">K15+N15</f>
        <v>#REF!</v>
      </c>
      <c r="R15" s="42" t="e">
        <f t="shared" si="11"/>
        <v>#REF!</v>
      </c>
      <c r="S15" s="42" t="e">
        <f>Q15-R15</f>
        <v>#REF!</v>
      </c>
    </row>
    <row r="16" spans="1:19" x14ac:dyDescent="0.25">
      <c r="A16" s="41" t="s">
        <v>90</v>
      </c>
      <c r="B16" s="42"/>
      <c r="C16" s="42">
        <v>0</v>
      </c>
      <c r="D16" s="42">
        <f>B16-C16</f>
        <v>0</v>
      </c>
      <c r="E16" s="42">
        <f t="shared" si="8"/>
        <v>0</v>
      </c>
      <c r="F16" s="42">
        <f t="shared" si="8"/>
        <v>0</v>
      </c>
      <c r="G16" s="42">
        <f>E16-F16</f>
        <v>0</v>
      </c>
      <c r="H16" s="42">
        <f t="shared" si="9"/>
        <v>0</v>
      </c>
      <c r="I16" s="42">
        <f t="shared" si="9"/>
        <v>0</v>
      </c>
      <c r="J16" s="42">
        <f>H16-I16</f>
        <v>0</v>
      </c>
      <c r="K16" s="42" t="e">
        <f>#REF!/1000</f>
        <v>#REF!</v>
      </c>
      <c r="L16" s="42" t="e">
        <f>#REF!/1000</f>
        <v>#REF!</v>
      </c>
      <c r="M16" s="42" t="e">
        <f>K16-L16</f>
        <v>#REF!</v>
      </c>
      <c r="N16" s="42" t="e">
        <f t="shared" si="10"/>
        <v>#REF!</v>
      </c>
      <c r="O16" s="42" t="e">
        <f t="shared" si="10"/>
        <v>#REF!</v>
      </c>
      <c r="P16" s="42" t="e">
        <f>N16-O16</f>
        <v>#REF!</v>
      </c>
      <c r="Q16" s="42" t="e">
        <f t="shared" si="11"/>
        <v>#REF!</v>
      </c>
      <c r="R16" s="42" t="e">
        <f t="shared" si="11"/>
        <v>#REF!</v>
      </c>
      <c r="S16" s="42" t="e">
        <f>Q16-R16</f>
        <v>#REF!</v>
      </c>
    </row>
    <row r="17" spans="1:19" x14ac:dyDescent="0.25">
      <c r="A17" s="41" t="s">
        <v>91</v>
      </c>
      <c r="B17" s="42">
        <v>41102.5</v>
      </c>
      <c r="C17" s="42">
        <f>город!C27/1000</f>
        <v>40687.976807999999</v>
      </c>
      <c r="D17" s="42">
        <f>B17-C17</f>
        <v>414.52319200000056</v>
      </c>
      <c r="E17" s="42">
        <f t="shared" si="8"/>
        <v>12412.955</v>
      </c>
      <c r="F17" s="42">
        <f t="shared" si="8"/>
        <v>12287.768996015999</v>
      </c>
      <c r="G17" s="42">
        <f>E17-F17</f>
        <v>125.18600398400122</v>
      </c>
      <c r="H17" s="42">
        <f t="shared" si="9"/>
        <v>53515.455000000002</v>
      </c>
      <c r="I17" s="42">
        <f t="shared" si="9"/>
        <v>52975.745804015998</v>
      </c>
      <c r="J17" s="42">
        <f>H17-I17</f>
        <v>539.7091959840036</v>
      </c>
      <c r="K17" s="42" t="e">
        <f>#REF!/1000</f>
        <v>#REF!</v>
      </c>
      <c r="L17" s="42" t="e">
        <f>#REF!/1000</f>
        <v>#REF!</v>
      </c>
      <c r="M17" s="42" t="e">
        <f>K17-L17</f>
        <v>#REF!</v>
      </c>
      <c r="N17" s="42" t="e">
        <f t="shared" si="10"/>
        <v>#REF!</v>
      </c>
      <c r="O17" s="42" t="e">
        <f t="shared" si="10"/>
        <v>#REF!</v>
      </c>
      <c r="P17" s="42" t="e">
        <f>N17-O17</f>
        <v>#REF!</v>
      </c>
      <c r="Q17" s="42" t="e">
        <f t="shared" si="11"/>
        <v>#REF!</v>
      </c>
      <c r="R17" s="42" t="e">
        <f t="shared" si="11"/>
        <v>#REF!</v>
      </c>
      <c r="S17" s="42" t="e">
        <f>Q17-R17</f>
        <v>#REF!</v>
      </c>
    </row>
    <row r="18" spans="1:19" s="3" customFormat="1" x14ac:dyDescent="0.25">
      <c r="A18" s="43" t="s">
        <v>92</v>
      </c>
      <c r="B18" s="44">
        <f>B15+B16+B17</f>
        <v>67514.399999999994</v>
      </c>
      <c r="C18" s="44">
        <f>C15+C16+C17</f>
        <v>65211.676808000004</v>
      </c>
      <c r="D18" s="44">
        <f>D15+D16+D17</f>
        <v>2302.7231920000013</v>
      </c>
      <c r="E18" s="44">
        <f t="shared" ref="E18:L18" si="12">E15+E16+E17</f>
        <v>20389.3488</v>
      </c>
      <c r="F18" s="44">
        <f t="shared" si="12"/>
        <v>19693.926396015999</v>
      </c>
      <c r="G18" s="44">
        <f t="shared" si="12"/>
        <v>695.42240398400099</v>
      </c>
      <c r="H18" s="44">
        <f t="shared" si="12"/>
        <v>87903.748800000001</v>
      </c>
      <c r="I18" s="44">
        <f t="shared" si="12"/>
        <v>84905.603204015992</v>
      </c>
      <c r="J18" s="50">
        <f t="shared" si="12"/>
        <v>2998.1455959840023</v>
      </c>
      <c r="K18" s="44" t="e">
        <f t="shared" si="12"/>
        <v>#REF!</v>
      </c>
      <c r="L18" s="44" t="e">
        <f t="shared" si="12"/>
        <v>#REF!</v>
      </c>
      <c r="M18" s="44" t="e">
        <f>M15+M16+M17</f>
        <v>#REF!</v>
      </c>
      <c r="N18" s="44" t="e">
        <f t="shared" ref="N18:S18" si="13">N15+N16+N17</f>
        <v>#REF!</v>
      </c>
      <c r="O18" s="44" t="e">
        <f t="shared" si="13"/>
        <v>#REF!</v>
      </c>
      <c r="P18" s="44" t="e">
        <f t="shared" si="13"/>
        <v>#REF!</v>
      </c>
      <c r="Q18" s="44" t="e">
        <f t="shared" si="13"/>
        <v>#REF!</v>
      </c>
      <c r="R18" s="44" t="e">
        <f t="shared" si="13"/>
        <v>#REF!</v>
      </c>
      <c r="S18" s="50" t="e">
        <f t="shared" si="13"/>
        <v>#REF!</v>
      </c>
    </row>
    <row r="19" spans="1:19" ht="28.2" hidden="1" customHeight="1" x14ac:dyDescent="0.3">
      <c r="A19" s="39" t="s">
        <v>94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40"/>
      <c r="S19" s="40"/>
    </row>
    <row r="20" spans="1:19" hidden="1" x14ac:dyDescent="0.25">
      <c r="A20" s="41" t="s">
        <v>89</v>
      </c>
      <c r="B20" s="42">
        <v>8818</v>
      </c>
      <c r="C20" s="42">
        <v>9551.7999999999993</v>
      </c>
      <c r="D20" s="42">
        <f>B20-C20</f>
        <v>-733.79999999999927</v>
      </c>
      <c r="E20" s="42">
        <f>B20*30.2%</f>
        <v>2663.0360000000001</v>
      </c>
      <c r="F20" s="42">
        <f>C20*0.302</f>
        <v>2884.6435999999999</v>
      </c>
      <c r="G20" s="42">
        <f>E20-F20</f>
        <v>-221.60759999999982</v>
      </c>
      <c r="H20" s="42">
        <f t="shared" ref="H20:H22" si="14">B20+E20</f>
        <v>11481.036</v>
      </c>
      <c r="I20" s="42">
        <f t="shared" ref="I20:I22" si="15">C20+F20</f>
        <v>12436.443599999999</v>
      </c>
      <c r="J20" s="42">
        <f>H20-I20</f>
        <v>-955.40759999999864</v>
      </c>
      <c r="K20" s="42"/>
      <c r="L20" s="42"/>
      <c r="M20" s="42">
        <f>K20-L20</f>
        <v>0</v>
      </c>
      <c r="N20" s="42">
        <f t="shared" ref="N20:O22" si="16">K20*30.2%</f>
        <v>0</v>
      </c>
      <c r="O20" s="42">
        <f t="shared" si="16"/>
        <v>0</v>
      </c>
      <c r="P20" s="42">
        <f>N20-O20</f>
        <v>0</v>
      </c>
      <c r="Q20" s="42">
        <f t="shared" ref="Q20:R22" si="17">K20+N20</f>
        <v>0</v>
      </c>
      <c r="R20" s="42">
        <f t="shared" si="17"/>
        <v>0</v>
      </c>
      <c r="S20" s="42">
        <f>Q20-R20</f>
        <v>0</v>
      </c>
    </row>
    <row r="21" spans="1:19" hidden="1" x14ac:dyDescent="0.25">
      <c r="A21" s="41" t="s">
        <v>90</v>
      </c>
      <c r="B21" s="42">
        <v>55275.5</v>
      </c>
      <c r="C21" s="42">
        <v>44993.5</v>
      </c>
      <c r="D21" s="42">
        <f>B21-C21</f>
        <v>10282</v>
      </c>
      <c r="E21" s="42">
        <f t="shared" ref="E21" si="18">B21*30.2%</f>
        <v>16693.201000000001</v>
      </c>
      <c r="F21" s="42">
        <f>C21*0.302</f>
        <v>13588.037</v>
      </c>
      <c r="G21" s="42">
        <f>E21-F21</f>
        <v>3105.1640000000007</v>
      </c>
      <c r="H21" s="42">
        <f t="shared" si="14"/>
        <v>71968.701000000001</v>
      </c>
      <c r="I21" s="42">
        <f t="shared" si="15"/>
        <v>58581.536999999997</v>
      </c>
      <c r="J21" s="42">
        <f>H21-I21</f>
        <v>13387.164000000004</v>
      </c>
      <c r="K21" s="42"/>
      <c r="L21" s="42"/>
      <c r="M21" s="42">
        <f>K21-L21</f>
        <v>0</v>
      </c>
      <c r="N21" s="42">
        <f t="shared" si="16"/>
        <v>0</v>
      </c>
      <c r="O21" s="42">
        <f t="shared" si="16"/>
        <v>0</v>
      </c>
      <c r="P21" s="42">
        <f>N21-O21</f>
        <v>0</v>
      </c>
      <c r="Q21" s="42">
        <f t="shared" si="17"/>
        <v>0</v>
      </c>
      <c r="R21" s="42">
        <f t="shared" si="17"/>
        <v>0</v>
      </c>
      <c r="S21" s="42">
        <f>Q21-R21</f>
        <v>0</v>
      </c>
    </row>
    <row r="22" spans="1:19" hidden="1" x14ac:dyDescent="0.25">
      <c r="A22" s="41" t="s">
        <v>91</v>
      </c>
      <c r="B22" s="42">
        <v>36143.599999999999</v>
      </c>
      <c r="C22" s="42">
        <v>43445</v>
      </c>
      <c r="D22" s="42">
        <f>B22-C22</f>
        <v>-7301.4000000000015</v>
      </c>
      <c r="E22" s="42">
        <f>B22*30.2%</f>
        <v>10915.367199999999</v>
      </c>
      <c r="F22" s="42">
        <f>C22*0.302</f>
        <v>13120.39</v>
      </c>
      <c r="G22" s="42">
        <f>E22-F22</f>
        <v>-2205.0228000000006</v>
      </c>
      <c r="H22" s="42">
        <f t="shared" si="14"/>
        <v>47058.967199999999</v>
      </c>
      <c r="I22" s="42">
        <f t="shared" si="15"/>
        <v>56565.39</v>
      </c>
      <c r="J22" s="42">
        <f>H22-I22</f>
        <v>-9506.4228000000003</v>
      </c>
      <c r="K22" s="42"/>
      <c r="L22" s="42"/>
      <c r="M22" s="42">
        <f>K22-L22</f>
        <v>0</v>
      </c>
      <c r="N22" s="42">
        <f t="shared" si="16"/>
        <v>0</v>
      </c>
      <c r="O22" s="42">
        <f t="shared" si="16"/>
        <v>0</v>
      </c>
      <c r="P22" s="42">
        <f>N22-O22</f>
        <v>0</v>
      </c>
      <c r="Q22" s="42">
        <f t="shared" si="17"/>
        <v>0</v>
      </c>
      <c r="R22" s="42">
        <f t="shared" si="17"/>
        <v>0</v>
      </c>
      <c r="S22" s="42">
        <f>Q22-R22</f>
        <v>0</v>
      </c>
    </row>
    <row r="23" spans="1:19" s="3" customFormat="1" hidden="1" x14ac:dyDescent="0.25">
      <c r="A23" s="43" t="s">
        <v>92</v>
      </c>
      <c r="B23" s="44">
        <f>B20+B21+B22</f>
        <v>100237.1</v>
      </c>
      <c r="C23" s="44">
        <f>C20+C21+C22</f>
        <v>97990.3</v>
      </c>
      <c r="D23" s="44">
        <f>D20+D21+D22</f>
        <v>2246.7999999999993</v>
      </c>
      <c r="E23" s="44">
        <f t="shared" ref="E23:L23" si="19">E20+E21+E22</f>
        <v>30271.604200000002</v>
      </c>
      <c r="F23" s="44">
        <f t="shared" si="19"/>
        <v>29593.070599999999</v>
      </c>
      <c r="G23" s="44">
        <f t="shared" si="19"/>
        <v>678.53360000000021</v>
      </c>
      <c r="H23" s="44">
        <f t="shared" si="19"/>
        <v>130508.70419999999</v>
      </c>
      <c r="I23" s="44">
        <f t="shared" si="19"/>
        <v>127583.37059999999</v>
      </c>
      <c r="J23" s="50">
        <f t="shared" si="19"/>
        <v>2925.3336000000054</v>
      </c>
      <c r="K23" s="44">
        <f t="shared" si="19"/>
        <v>0</v>
      </c>
      <c r="L23" s="44">
        <f t="shared" si="19"/>
        <v>0</v>
      </c>
      <c r="M23" s="44">
        <f>M20+M21+M22</f>
        <v>0</v>
      </c>
      <c r="N23" s="44">
        <f t="shared" ref="N23:S23" si="20">N20+N21+N22</f>
        <v>0</v>
      </c>
      <c r="O23" s="44">
        <f t="shared" si="20"/>
        <v>0</v>
      </c>
      <c r="P23" s="44">
        <f t="shared" si="20"/>
        <v>0</v>
      </c>
      <c r="Q23" s="44">
        <f t="shared" si="20"/>
        <v>0</v>
      </c>
      <c r="R23" s="44">
        <f t="shared" si="20"/>
        <v>0</v>
      </c>
      <c r="S23" s="44">
        <f t="shared" si="20"/>
        <v>0</v>
      </c>
    </row>
    <row r="24" spans="1:19" s="3" customFormat="1" ht="14.4" hidden="1" x14ac:dyDescent="0.3">
      <c r="A24" s="39" t="s">
        <v>107</v>
      </c>
      <c r="B24" s="39"/>
      <c r="C24" s="39"/>
      <c r="D24" s="39"/>
      <c r="E24" s="39"/>
      <c r="F24" s="39"/>
      <c r="G24" s="39"/>
      <c r="H24" s="39"/>
      <c r="I24" s="39"/>
      <c r="J24" s="50"/>
      <c r="K24" s="44"/>
      <c r="L24" s="44"/>
      <c r="M24" s="44"/>
      <c r="N24" s="44"/>
      <c r="O24" s="44"/>
      <c r="P24" s="44"/>
      <c r="Q24" s="44"/>
      <c r="R24" s="44"/>
      <c r="S24" s="44"/>
    </row>
    <row r="25" spans="1:19" s="3" customFormat="1" hidden="1" x14ac:dyDescent="0.25">
      <c r="A25" s="41" t="s">
        <v>89</v>
      </c>
      <c r="B25" s="42">
        <v>16510.099999999999</v>
      </c>
      <c r="C25" s="42">
        <v>17456.5</v>
      </c>
      <c r="D25" s="42">
        <f>B25-C25</f>
        <v>-946.40000000000146</v>
      </c>
      <c r="E25" s="42">
        <f>B25*30.2%</f>
        <v>4986.0501999999997</v>
      </c>
      <c r="F25" s="42">
        <f>C25*0.302</f>
        <v>5271.8630000000003</v>
      </c>
      <c r="G25" s="42">
        <f>E25-F25</f>
        <v>-285.81280000000061</v>
      </c>
      <c r="H25" s="42">
        <f t="shared" ref="H25:H27" si="21">B25+E25</f>
        <v>21496.150199999996</v>
      </c>
      <c r="I25" s="42">
        <f t="shared" ref="I25:I27" si="22">C25+F25</f>
        <v>22728.363000000001</v>
      </c>
      <c r="J25" s="90">
        <f>H25-I25</f>
        <v>-1232.2128000000048</v>
      </c>
      <c r="K25" s="44"/>
      <c r="L25" s="44"/>
      <c r="M25" s="44"/>
      <c r="N25" s="44"/>
      <c r="O25" s="44"/>
      <c r="P25" s="44"/>
      <c r="Q25" s="44"/>
      <c r="R25" s="44"/>
      <c r="S25" s="44"/>
    </row>
    <row r="26" spans="1:19" s="3" customFormat="1" hidden="1" x14ac:dyDescent="0.25">
      <c r="A26" s="41" t="s">
        <v>90</v>
      </c>
      <c r="B26" s="42">
        <v>34437.5</v>
      </c>
      <c r="C26" s="42">
        <v>34584</v>
      </c>
      <c r="D26" s="42">
        <f>B26-C26</f>
        <v>-146.5</v>
      </c>
      <c r="E26" s="42">
        <f t="shared" ref="E26" si="23">B26*30.2%</f>
        <v>10400.125</v>
      </c>
      <c r="F26" s="42">
        <f>C26*0.302</f>
        <v>10444.368</v>
      </c>
      <c r="G26" s="42">
        <f>E26-F26</f>
        <v>-44.243000000000393</v>
      </c>
      <c r="H26" s="42">
        <f t="shared" si="21"/>
        <v>44837.625</v>
      </c>
      <c r="I26" s="42">
        <f t="shared" si="22"/>
        <v>45028.368000000002</v>
      </c>
      <c r="J26" s="90">
        <f>H26-I26</f>
        <v>-190.74300000000221</v>
      </c>
      <c r="K26" s="44"/>
      <c r="L26" s="44"/>
      <c r="M26" s="44"/>
      <c r="N26" s="44"/>
      <c r="O26" s="44"/>
      <c r="P26" s="44"/>
      <c r="Q26" s="44"/>
      <c r="R26" s="44"/>
      <c r="S26" s="44"/>
    </row>
    <row r="27" spans="1:19" s="3" customFormat="1" hidden="1" x14ac:dyDescent="0.25">
      <c r="A27" s="41" t="s">
        <v>91</v>
      </c>
      <c r="B27" s="42">
        <v>11335.8</v>
      </c>
      <c r="C27" s="42">
        <v>18681.400000000001</v>
      </c>
      <c r="D27" s="42">
        <f>B27-C27</f>
        <v>-7345.6000000000022</v>
      </c>
      <c r="E27" s="42">
        <f>B27*30.2%</f>
        <v>3423.4115999999995</v>
      </c>
      <c r="F27" s="42">
        <f>C27*0.302</f>
        <v>5641.7828</v>
      </c>
      <c r="G27" s="42">
        <f>E27-F27</f>
        <v>-2218.3712000000005</v>
      </c>
      <c r="H27" s="42">
        <f t="shared" si="21"/>
        <v>14759.211599999999</v>
      </c>
      <c r="I27" s="42">
        <f t="shared" si="22"/>
        <v>24323.182800000002</v>
      </c>
      <c r="J27" s="90">
        <f>H27-I27</f>
        <v>-9563.9712000000036</v>
      </c>
      <c r="K27" s="44"/>
      <c r="L27" s="44"/>
      <c r="M27" s="44"/>
      <c r="N27" s="44"/>
      <c r="O27" s="44"/>
      <c r="P27" s="44"/>
      <c r="Q27" s="44"/>
      <c r="R27" s="44"/>
      <c r="S27" s="44"/>
    </row>
    <row r="28" spans="1:19" s="3" customFormat="1" hidden="1" x14ac:dyDescent="0.25">
      <c r="A28" s="43" t="s">
        <v>92</v>
      </c>
      <c r="B28" s="44">
        <f>B25+B26+B27</f>
        <v>62283.399999999994</v>
      </c>
      <c r="C28" s="44">
        <f>C25+C26+C27</f>
        <v>70721.899999999994</v>
      </c>
      <c r="D28" s="44">
        <f>D25+D26+D27</f>
        <v>-8438.5000000000036</v>
      </c>
      <c r="E28" s="44">
        <f t="shared" ref="E28:J28" si="24">E25+E26+E27</f>
        <v>18809.586799999997</v>
      </c>
      <c r="F28" s="44">
        <f t="shared" si="24"/>
        <v>21358.013800000001</v>
      </c>
      <c r="G28" s="44">
        <f t="shared" si="24"/>
        <v>-2548.4270000000015</v>
      </c>
      <c r="H28" s="44">
        <f t="shared" si="24"/>
        <v>81092.986799999999</v>
      </c>
      <c r="I28" s="44">
        <f t="shared" si="24"/>
        <v>92079.913800000009</v>
      </c>
      <c r="J28" s="50">
        <f t="shared" si="24"/>
        <v>-10986.927000000011</v>
      </c>
      <c r="K28" s="44"/>
      <c r="L28" s="44"/>
      <c r="M28" s="44"/>
      <c r="N28" s="44"/>
      <c r="O28" s="44"/>
      <c r="P28" s="44"/>
      <c r="Q28" s="44"/>
      <c r="R28" s="44"/>
      <c r="S28" s="44"/>
    </row>
    <row r="29" spans="1:19" s="3" customFormat="1" hidden="1" x14ac:dyDescent="0.25">
      <c r="A29" s="45" t="s">
        <v>95</v>
      </c>
      <c r="B29" s="46">
        <f>B23+B18+B13+B28</f>
        <v>572421.29999999993</v>
      </c>
      <c r="C29" s="46">
        <f t="shared" ref="C29:S29" si="25">C23+C18+C13+C28</f>
        <v>624372.47680800001</v>
      </c>
      <c r="D29" s="46">
        <f t="shared" si="25"/>
        <v>-51951.176808000033</v>
      </c>
      <c r="E29" s="46">
        <f t="shared" si="25"/>
        <v>172871.23259999999</v>
      </c>
      <c r="F29" s="46">
        <f t="shared" si="25"/>
        <v>188560.48799601599</v>
      </c>
      <c r="G29" s="46">
        <f t="shared" si="25"/>
        <v>-15689.255396016013</v>
      </c>
      <c r="H29" s="46">
        <f t="shared" si="25"/>
        <v>745292.53259999992</v>
      </c>
      <c r="I29" s="46">
        <f t="shared" si="25"/>
        <v>812932.96480401605</v>
      </c>
      <c r="J29" s="46">
        <f t="shared" si="25"/>
        <v>-67640.432204016077</v>
      </c>
      <c r="K29" s="46" t="e">
        <f t="shared" si="25"/>
        <v>#REF!</v>
      </c>
      <c r="L29" s="46" t="e">
        <f t="shared" si="25"/>
        <v>#REF!</v>
      </c>
      <c r="M29" s="46" t="e">
        <f t="shared" si="25"/>
        <v>#REF!</v>
      </c>
      <c r="N29" s="46" t="e">
        <f t="shared" si="25"/>
        <v>#REF!</v>
      </c>
      <c r="O29" s="46" t="e">
        <f t="shared" si="25"/>
        <v>#REF!</v>
      </c>
      <c r="P29" s="46" t="e">
        <f t="shared" si="25"/>
        <v>#REF!</v>
      </c>
      <c r="Q29" s="46" t="e">
        <f t="shared" si="25"/>
        <v>#REF!</v>
      </c>
      <c r="R29" s="46" t="e">
        <f t="shared" si="25"/>
        <v>#REF!</v>
      </c>
      <c r="S29" s="46" t="e">
        <f t="shared" si="25"/>
        <v>#REF!</v>
      </c>
    </row>
    <row r="35" spans="6:6" x14ac:dyDescent="0.25">
      <c r="F35" s="31"/>
    </row>
    <row r="61" spans="17:17" x14ac:dyDescent="0.25">
      <c r="Q61">
        <v>570000</v>
      </c>
    </row>
  </sheetData>
  <mergeCells count="6">
    <mergeCell ref="Q8:S8"/>
    <mergeCell ref="B8:D8"/>
    <mergeCell ref="E8:G8"/>
    <mergeCell ref="H8:J8"/>
    <mergeCell ref="K8:M8"/>
    <mergeCell ref="N8:P8"/>
  </mergeCells>
  <pageMargins left="0.51181102362204722" right="0.51181102362204722" top="0.74803149606299213" bottom="0.74803149606299213" header="0.31496062992125984" footer="0.31496062992125984"/>
  <pageSetup paperSize="9" scale="78" orientation="landscape" verticalDpi="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расчёт зарплаты</vt:lpstr>
      <vt:lpstr>потр вспомог</vt:lpstr>
      <vt:lpstr>город</vt:lpstr>
      <vt:lpstr>распределение бюджета 2024</vt:lpstr>
      <vt:lpstr>'распределение бюджета 2024'!Заголовки_для_печати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2023-10-24T05:55:37Z</cp:lastPrinted>
  <dcterms:created xsi:type="dcterms:W3CDTF">2021-11-23T01:08:43Z</dcterms:created>
  <dcterms:modified xsi:type="dcterms:W3CDTF">2023-12-03T02:51:55Z</dcterms:modified>
</cp:coreProperties>
</file>