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-1470" yWindow="120" windowWidth="20550" windowHeight="12570"/>
  </bookViews>
  <sheets>
    <sheet name="1" sheetId="5" r:id="rId1"/>
  </sheets>
  <definedNames>
    <definedName name="_xlnm.Print_Titles" localSheetId="0">'1'!$8:$8</definedName>
    <definedName name="_xlnm.Print_Area" localSheetId="0">'1'!$A$1:$P$380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353" i="5" l="1"/>
  <c r="N313" i="5"/>
  <c r="M288" i="5" l="1"/>
  <c r="M45" i="5" l="1"/>
  <c r="M221" i="5"/>
  <c r="M323" i="5" l="1"/>
  <c r="M318" i="5"/>
  <c r="M313" i="5"/>
  <c r="M164" i="5" l="1"/>
  <c r="M60" i="5"/>
  <c r="M162" i="5" l="1"/>
  <c r="M353" i="5" l="1"/>
  <c r="M277" i="5" l="1"/>
  <c r="M33" i="5" l="1"/>
  <c r="D267" i="5"/>
  <c r="D266" i="5"/>
  <c r="D265" i="5"/>
  <c r="D264" i="5"/>
  <c r="P263" i="5"/>
  <c r="O263" i="5"/>
  <c r="N263" i="5"/>
  <c r="M263" i="5"/>
  <c r="L263" i="5"/>
  <c r="K263" i="5"/>
  <c r="J263" i="5"/>
  <c r="I263" i="5"/>
  <c r="H263" i="5"/>
  <c r="G263" i="5"/>
  <c r="F263" i="5"/>
  <c r="E263" i="5"/>
  <c r="D263" i="5" l="1"/>
  <c r="O318" i="5"/>
  <c r="O302" i="5" l="1"/>
  <c r="P302" i="5"/>
  <c r="D379" i="5" l="1"/>
  <c r="D378" i="5"/>
  <c r="D377" i="5"/>
  <c r="D376" i="5"/>
  <c r="P375" i="5"/>
  <c r="O375" i="5"/>
  <c r="N375" i="5"/>
  <c r="M375" i="5"/>
  <c r="L375" i="5"/>
  <c r="K375" i="5"/>
  <c r="J375" i="5"/>
  <c r="I375" i="5"/>
  <c r="H375" i="5"/>
  <c r="G375" i="5"/>
  <c r="F375" i="5"/>
  <c r="E375" i="5"/>
  <c r="D375" i="5" l="1"/>
  <c r="O363" i="5"/>
  <c r="N352" i="5"/>
  <c r="N302" i="5" s="1"/>
  <c r="N297" i="5" s="1"/>
  <c r="O323" i="5"/>
  <c r="N323" i="5"/>
  <c r="N318" i="5"/>
  <c r="D306" i="5"/>
  <c r="D307" i="5"/>
  <c r="D308" i="5"/>
  <c r="D309" i="5"/>
  <c r="D311" i="5"/>
  <c r="D312" i="5"/>
  <c r="D314" i="5"/>
  <c r="D316" i="5"/>
  <c r="D317" i="5"/>
  <c r="D319" i="5"/>
  <c r="D321" i="5"/>
  <c r="D322" i="5"/>
  <c r="D324" i="5"/>
  <c r="D326" i="5"/>
  <c r="D327" i="5"/>
  <c r="D328" i="5"/>
  <c r="D329" i="5"/>
  <c r="D331" i="5"/>
  <c r="D332" i="5"/>
  <c r="D334" i="5"/>
  <c r="D336" i="5"/>
  <c r="D337" i="5"/>
  <c r="D338" i="5"/>
  <c r="D339" i="5"/>
  <c r="D341" i="5"/>
  <c r="D342" i="5"/>
  <c r="D344" i="5"/>
  <c r="D346" i="5"/>
  <c r="D347" i="5"/>
  <c r="D348" i="5"/>
  <c r="D349" i="5"/>
  <c r="D351" i="5"/>
  <c r="D354" i="5"/>
  <c r="D356" i="5"/>
  <c r="D357" i="5"/>
  <c r="D359" i="5"/>
  <c r="D361" i="5"/>
  <c r="D362" i="5"/>
  <c r="D363" i="5"/>
  <c r="D364" i="5"/>
  <c r="D366" i="5"/>
  <c r="D367" i="5"/>
  <c r="D368" i="5"/>
  <c r="D369" i="5"/>
  <c r="D371" i="5"/>
  <c r="D372" i="5"/>
  <c r="D373" i="5"/>
  <c r="D374" i="5"/>
  <c r="O288" i="5"/>
  <c r="N288" i="5"/>
  <c r="O277" i="5"/>
  <c r="N277" i="5"/>
  <c r="N303" i="5" l="1"/>
  <c r="D271" i="5"/>
  <c r="D273" i="5"/>
  <c r="D278" i="5"/>
  <c r="D279" i="5"/>
  <c r="D281" i="5"/>
  <c r="D282" i="5"/>
  <c r="D283" i="5"/>
  <c r="D284" i="5"/>
  <c r="D286" i="5"/>
  <c r="D287" i="5"/>
  <c r="D289" i="5"/>
  <c r="D291" i="5"/>
  <c r="D292" i="5"/>
  <c r="D293" i="5"/>
  <c r="D294" i="5"/>
  <c r="D66" i="5"/>
  <c r="D68" i="5"/>
  <c r="D69" i="5"/>
  <c r="D70" i="5"/>
  <c r="D71" i="5"/>
  <c r="D73" i="5"/>
  <c r="D74" i="5"/>
  <c r="D76" i="5"/>
  <c r="D77" i="5"/>
  <c r="D78" i="5"/>
  <c r="D79" i="5"/>
  <c r="D82" i="5"/>
  <c r="D83" i="5"/>
  <c r="D84" i="5"/>
  <c r="D85" i="5"/>
  <c r="D86" i="5"/>
  <c r="D88" i="5"/>
  <c r="D89" i="5"/>
  <c r="D90" i="5"/>
  <c r="D91" i="5"/>
  <c r="D92" i="5"/>
  <c r="D93" i="5"/>
  <c r="D94" i="5"/>
  <c r="D96" i="5"/>
  <c r="D97" i="5"/>
  <c r="D98" i="5"/>
  <c r="D99" i="5"/>
  <c r="D100" i="5"/>
  <c r="D101" i="5"/>
  <c r="D103" i="5"/>
  <c r="D104" i="5"/>
  <c r="D105" i="5"/>
  <c r="D106" i="5"/>
  <c r="D107" i="5"/>
  <c r="D109" i="5"/>
  <c r="D110" i="5"/>
  <c r="D111" i="5"/>
  <c r="D112" i="5"/>
  <c r="D113" i="5"/>
  <c r="D115" i="5"/>
  <c r="D116" i="5"/>
  <c r="D117" i="5"/>
  <c r="D118" i="5"/>
  <c r="D119" i="5"/>
  <c r="D121" i="5"/>
  <c r="D122" i="5"/>
  <c r="D124" i="5"/>
  <c r="D125" i="5"/>
  <c r="D126" i="5"/>
  <c r="D128" i="5"/>
  <c r="D129" i="5"/>
  <c r="D130" i="5"/>
  <c r="D131" i="5"/>
  <c r="D132" i="5"/>
  <c r="D133" i="5"/>
  <c r="D135" i="5"/>
  <c r="D136" i="5"/>
  <c r="D137" i="5"/>
  <c r="D138" i="5"/>
  <c r="D140" i="5"/>
  <c r="D141" i="5"/>
  <c r="D143" i="5"/>
  <c r="D145" i="5"/>
  <c r="D147" i="5"/>
  <c r="D148" i="5"/>
  <c r="D150" i="5"/>
  <c r="D151" i="5"/>
  <c r="D152" i="5"/>
  <c r="D153" i="5"/>
  <c r="D155" i="5"/>
  <c r="D156" i="5"/>
  <c r="D157" i="5"/>
  <c r="D158" i="5"/>
  <c r="D159" i="5"/>
  <c r="D161" i="5"/>
  <c r="D163" i="5"/>
  <c r="D165" i="5"/>
  <c r="D166" i="5"/>
  <c r="D167" i="5"/>
  <c r="D169" i="5"/>
  <c r="D170" i="5"/>
  <c r="D171" i="5"/>
  <c r="D172" i="5"/>
  <c r="D174" i="5"/>
  <c r="D175" i="5"/>
  <c r="D176" i="5"/>
  <c r="D177" i="5"/>
  <c r="D179" i="5"/>
  <c r="D180" i="5"/>
  <c r="D182" i="5"/>
  <c r="D184" i="5"/>
  <c r="D187" i="5"/>
  <c r="D189" i="5"/>
  <c r="D190" i="5"/>
  <c r="D191" i="5"/>
  <c r="D192" i="5"/>
  <c r="D194" i="5"/>
  <c r="D195" i="5"/>
  <c r="D197" i="5"/>
  <c r="D199" i="5"/>
  <c r="D200" i="5"/>
  <c r="D201" i="5"/>
  <c r="D202" i="5"/>
  <c r="D204" i="5"/>
  <c r="D205" i="5"/>
  <c r="D206" i="5"/>
  <c r="D207" i="5"/>
  <c r="D209" i="5"/>
  <c r="D210" i="5"/>
  <c r="D212" i="5"/>
  <c r="D214" i="5"/>
  <c r="D217" i="5"/>
  <c r="D219" i="5"/>
  <c r="D220" i="5"/>
  <c r="D222" i="5"/>
  <c r="D224" i="5"/>
  <c r="D225" i="5"/>
  <c r="D227" i="5"/>
  <c r="D229" i="5"/>
  <c r="D230" i="5"/>
  <c r="D232" i="5"/>
  <c r="D234" i="5"/>
  <c r="D235" i="5"/>
  <c r="D237" i="5"/>
  <c r="D239" i="5"/>
  <c r="D240" i="5"/>
  <c r="D242" i="5"/>
  <c r="D244" i="5"/>
  <c r="D245" i="5"/>
  <c r="D246" i="5"/>
  <c r="D247" i="5"/>
  <c r="D249" i="5"/>
  <c r="D250" i="5"/>
  <c r="D251" i="5"/>
  <c r="D252" i="5"/>
  <c r="D254" i="5"/>
  <c r="D255" i="5"/>
  <c r="D256" i="5"/>
  <c r="D257" i="5"/>
  <c r="D259" i="5"/>
  <c r="D260" i="5"/>
  <c r="D261" i="5"/>
  <c r="D262" i="5"/>
  <c r="D63" i="5"/>
  <c r="D59" i="5"/>
  <c r="D61" i="5"/>
  <c r="D58" i="5"/>
  <c r="D54" i="5"/>
  <c r="D55" i="5"/>
  <c r="D56" i="5"/>
  <c r="D53" i="5"/>
  <c r="D51" i="5"/>
  <c r="D44" i="5"/>
  <c r="D46" i="5"/>
  <c r="D43" i="5"/>
  <c r="D39" i="5"/>
  <c r="D40" i="5"/>
  <c r="D41" i="5"/>
  <c r="D38" i="5"/>
  <c r="D37" i="5" s="1"/>
  <c r="D36" i="5"/>
  <c r="O30" i="5"/>
  <c r="P30" i="5"/>
  <c r="P258" i="5"/>
  <c r="O258" i="5"/>
  <c r="N258" i="5"/>
  <c r="M258" i="5"/>
  <c r="L258" i="5"/>
  <c r="K258" i="5"/>
  <c r="J258" i="5"/>
  <c r="I258" i="5"/>
  <c r="H258" i="5"/>
  <c r="G258" i="5"/>
  <c r="F258" i="5"/>
  <c r="E258" i="5"/>
  <c r="D258" i="5" s="1"/>
  <c r="O221" i="5"/>
  <c r="N221" i="5"/>
  <c r="O162" i="5"/>
  <c r="O164" i="5"/>
  <c r="N164" i="5"/>
  <c r="N162" i="5"/>
  <c r="N30" i="5" s="1"/>
  <c r="O64" i="5"/>
  <c r="O65" i="5"/>
  <c r="D65" i="5" s="1"/>
  <c r="O60" i="5"/>
  <c r="N60" i="5"/>
  <c r="O49" i="5"/>
  <c r="O50" i="5"/>
  <c r="N49" i="5"/>
  <c r="N50" i="5"/>
  <c r="N45" i="5"/>
  <c r="P370" i="5"/>
  <c r="P365" i="5"/>
  <c r="P360" i="5"/>
  <c r="P355" i="5"/>
  <c r="P350" i="5"/>
  <c r="P333" i="5"/>
  <c r="P303" i="5" s="1"/>
  <c r="P330" i="5"/>
  <c r="P320" i="5"/>
  <c r="P315" i="5"/>
  <c r="P310" i="5"/>
  <c r="P305" i="5"/>
  <c r="P298" i="5"/>
  <c r="P301" i="5"/>
  <c r="P300" i="5" s="1"/>
  <c r="P297" i="5"/>
  <c r="P296" i="5"/>
  <c r="P11" i="5" s="1"/>
  <c r="P290" i="5"/>
  <c r="P285" i="5"/>
  <c r="P280" i="5"/>
  <c r="P275" i="5"/>
  <c r="P274" i="5"/>
  <c r="P270" i="5"/>
  <c r="P269" i="5"/>
  <c r="P253" i="5"/>
  <c r="P248" i="5"/>
  <c r="P243" i="5"/>
  <c r="P238" i="5"/>
  <c r="P233" i="5"/>
  <c r="P228" i="5"/>
  <c r="P223" i="5"/>
  <c r="P218" i="5"/>
  <c r="P213" i="5"/>
  <c r="P208" i="5"/>
  <c r="P203" i="5"/>
  <c r="P198" i="5"/>
  <c r="P193" i="5"/>
  <c r="P188" i="5"/>
  <c r="P183" i="5"/>
  <c r="P178" i="5"/>
  <c r="P173" i="5"/>
  <c r="P168" i="5"/>
  <c r="P160" i="5"/>
  <c r="P154" i="5"/>
  <c r="P149" i="5"/>
  <c r="P144" i="5"/>
  <c r="P142" i="5"/>
  <c r="P134" i="5"/>
  <c r="P127" i="5"/>
  <c r="P120" i="5"/>
  <c r="P114" i="5"/>
  <c r="P108" i="5"/>
  <c r="P102" i="5"/>
  <c r="P95" i="5"/>
  <c r="P80" i="5"/>
  <c r="P67" i="5"/>
  <c r="P62" i="5"/>
  <c r="P57" i="5"/>
  <c r="P52" i="5"/>
  <c r="P47" i="5"/>
  <c r="P42" i="5"/>
  <c r="P37" i="5"/>
  <c r="P35" i="5"/>
  <c r="P34" i="5"/>
  <c r="P32" i="5"/>
  <c r="P31" i="5"/>
  <c r="P29" i="5"/>
  <c r="P27" i="5"/>
  <c r="P26" i="5"/>
  <c r="P25" i="5"/>
  <c r="P23" i="5"/>
  <c r="P22" i="5"/>
  <c r="P20" i="5"/>
  <c r="P18" i="5"/>
  <c r="P17" i="5"/>
  <c r="P16" i="5"/>
  <c r="P14" i="5"/>
  <c r="M196" i="5"/>
  <c r="P33" i="5" l="1"/>
  <c r="P139" i="5"/>
  <c r="D52" i="5"/>
  <c r="P21" i="5"/>
  <c r="P12" i="5" s="1"/>
  <c r="P295" i="5"/>
  <c r="P28" i="5"/>
  <c r="P272" i="5"/>
  <c r="P268" i="5" s="1"/>
  <c r="P24" i="5" l="1"/>
  <c r="P19" i="5" l="1"/>
  <c r="P9" i="5" s="1"/>
  <c r="P15" i="5"/>
  <c r="F370" i="5" l="1"/>
  <c r="G370" i="5"/>
  <c r="H370" i="5"/>
  <c r="I370" i="5"/>
  <c r="J370" i="5"/>
  <c r="K370" i="5"/>
  <c r="L370" i="5"/>
  <c r="M370" i="5"/>
  <c r="N370" i="5"/>
  <c r="O370" i="5"/>
  <c r="E370" i="5"/>
  <c r="D370" i="5" s="1"/>
  <c r="F253" i="5"/>
  <c r="G253" i="5"/>
  <c r="H253" i="5"/>
  <c r="I253" i="5"/>
  <c r="J253" i="5"/>
  <c r="K253" i="5"/>
  <c r="L253" i="5"/>
  <c r="M253" i="5"/>
  <c r="N253" i="5"/>
  <c r="O253" i="5"/>
  <c r="E253" i="5"/>
  <c r="D253" i="5" l="1"/>
  <c r="M272" i="5" l="1"/>
  <c r="O290" i="5" l="1"/>
  <c r="N290" i="5"/>
  <c r="M290" i="5"/>
  <c r="L290" i="5"/>
  <c r="K290" i="5"/>
  <c r="J290" i="5"/>
  <c r="I290" i="5"/>
  <c r="H290" i="5"/>
  <c r="G290" i="5"/>
  <c r="F290" i="5"/>
  <c r="E290" i="5"/>
  <c r="D290" i="5" s="1"/>
  <c r="D221" i="5" l="1"/>
  <c r="E26" i="5" l="1"/>
  <c r="F26" i="5"/>
  <c r="F17" i="5" s="1"/>
  <c r="G26" i="5"/>
  <c r="G17" i="5" s="1"/>
  <c r="H26" i="5"/>
  <c r="H17" i="5" s="1"/>
  <c r="I26" i="5"/>
  <c r="I17" i="5" s="1"/>
  <c r="J26" i="5"/>
  <c r="J17" i="5" s="1"/>
  <c r="K26" i="5"/>
  <c r="K17" i="5" s="1"/>
  <c r="L26" i="5"/>
  <c r="L17" i="5" s="1"/>
  <c r="E23" i="5"/>
  <c r="F23" i="5"/>
  <c r="G23" i="5"/>
  <c r="H23" i="5"/>
  <c r="I23" i="5"/>
  <c r="J23" i="5"/>
  <c r="K23" i="5"/>
  <c r="L23" i="5"/>
  <c r="N35" i="5"/>
  <c r="N26" i="5" s="1"/>
  <c r="N17" i="5" s="1"/>
  <c r="O35" i="5"/>
  <c r="O26" i="5" s="1"/>
  <c r="O17" i="5" s="1"/>
  <c r="N32" i="5"/>
  <c r="N23" i="5" s="1"/>
  <c r="N14" i="5" s="1"/>
  <c r="O32" i="5"/>
  <c r="O23" i="5" s="1"/>
  <c r="O14" i="5" s="1"/>
  <c r="M35" i="5"/>
  <c r="M32" i="5"/>
  <c r="M26" i="5" l="1"/>
  <c r="M17" i="5" s="1"/>
  <c r="D35" i="5"/>
  <c r="D23" i="5"/>
  <c r="M23" i="5"/>
  <c r="M14" i="5" s="1"/>
  <c r="D14" i="5" s="1"/>
  <c r="D32" i="5"/>
  <c r="E17" i="5"/>
  <c r="D26" i="5"/>
  <c r="D17" i="5" l="1"/>
  <c r="L353" i="5"/>
  <c r="L323" i="5" l="1"/>
  <c r="L318" i="5"/>
  <c r="L313" i="5"/>
  <c r="L60" i="5" l="1"/>
  <c r="L45" i="5"/>
  <c r="L215" i="5" l="1"/>
  <c r="D215" i="5" s="1"/>
  <c r="L216" i="5"/>
  <c r="L236" i="5" l="1"/>
  <c r="L231" i="5"/>
  <c r="L162" i="5" l="1"/>
  <c r="L164" i="5" l="1"/>
  <c r="O272" i="5" l="1"/>
  <c r="M50" i="5" l="1"/>
  <c r="M49" i="5"/>
  <c r="M30" i="5" s="1"/>
  <c r="N272" i="5" l="1"/>
  <c r="M352" i="5"/>
  <c r="M302" i="5" s="1"/>
  <c r="M343" i="5"/>
  <c r="D343" i="5" s="1"/>
  <c r="O333" i="5" l="1"/>
  <c r="O313" i="5" l="1"/>
  <c r="O303" i="5" s="1"/>
  <c r="M303" i="5"/>
  <c r="N241" i="5"/>
  <c r="M241" i="5"/>
  <c r="N236" i="5"/>
  <c r="M231" i="5"/>
  <c r="D231" i="5" s="1"/>
  <c r="N216" i="5"/>
  <c r="N33" i="5" s="1"/>
  <c r="M298" i="5" l="1"/>
  <c r="O142" i="5"/>
  <c r="O33" i="5" s="1"/>
  <c r="O47" i="5"/>
  <c r="M301" i="5" l="1"/>
  <c r="M300" i="5" s="1"/>
  <c r="N301" i="5"/>
  <c r="O301" i="5"/>
  <c r="L303" i="5"/>
  <c r="L301" i="5"/>
  <c r="O365" i="5" l="1"/>
  <c r="N365" i="5"/>
  <c r="M365" i="5"/>
  <c r="L365" i="5"/>
  <c r="K365" i="5"/>
  <c r="J365" i="5"/>
  <c r="I365" i="5"/>
  <c r="H365" i="5"/>
  <c r="G365" i="5"/>
  <c r="F365" i="5"/>
  <c r="E365" i="5"/>
  <c r="D365" i="5" l="1"/>
  <c r="M236" i="5"/>
  <c r="D236" i="5" s="1"/>
  <c r="L241" i="5" l="1"/>
  <c r="D241" i="5" s="1"/>
  <c r="O248" i="5" l="1"/>
  <c r="N248" i="5"/>
  <c r="M248" i="5"/>
  <c r="L248" i="5"/>
  <c r="K248" i="5"/>
  <c r="J248" i="5"/>
  <c r="I248" i="5"/>
  <c r="H248" i="5"/>
  <c r="G248" i="5"/>
  <c r="F248" i="5"/>
  <c r="E248" i="5"/>
  <c r="D248" i="5" s="1"/>
  <c r="O243" i="5" l="1"/>
  <c r="N243" i="5"/>
  <c r="M243" i="5"/>
  <c r="L243" i="5"/>
  <c r="K243" i="5"/>
  <c r="J243" i="5"/>
  <c r="I243" i="5"/>
  <c r="H243" i="5"/>
  <c r="G243" i="5"/>
  <c r="F243" i="5"/>
  <c r="E243" i="5"/>
  <c r="D243" i="5" s="1"/>
  <c r="L298" i="5" l="1"/>
  <c r="O360" i="5" l="1"/>
  <c r="N360" i="5"/>
  <c r="M360" i="5"/>
  <c r="L360" i="5"/>
  <c r="K360" i="5"/>
  <c r="J360" i="5"/>
  <c r="I360" i="5"/>
  <c r="H360" i="5"/>
  <c r="G360" i="5"/>
  <c r="F360" i="5"/>
  <c r="E360" i="5"/>
  <c r="D360" i="5" l="1"/>
  <c r="L50" i="5"/>
  <c r="L49" i="5"/>
  <c r="L30" i="5" s="1"/>
  <c r="L33" i="5" l="1"/>
  <c r="D50" i="5"/>
  <c r="L288" i="5"/>
  <c r="M186" i="5" l="1"/>
  <c r="M216" i="5" l="1"/>
  <c r="D216" i="5" s="1"/>
  <c r="L352" i="5" l="1"/>
  <c r="L302" i="5" l="1"/>
  <c r="L297" i="5" s="1"/>
  <c r="D352" i="5"/>
  <c r="K353" i="5"/>
  <c r="K60" i="5" l="1"/>
  <c r="K45" i="5"/>
  <c r="J353" i="5" l="1"/>
  <c r="D353" i="5" s="1"/>
  <c r="K226" i="5"/>
  <c r="D226" i="5" s="1"/>
  <c r="K276" i="5" l="1"/>
  <c r="D276" i="5" s="1"/>
  <c r="O238" i="5" l="1"/>
  <c r="N238" i="5"/>
  <c r="M238" i="5"/>
  <c r="L238" i="5"/>
  <c r="K238" i="5"/>
  <c r="J238" i="5"/>
  <c r="I238" i="5"/>
  <c r="H238" i="5"/>
  <c r="G238" i="5"/>
  <c r="F238" i="5"/>
  <c r="E238" i="5"/>
  <c r="D238" i="5" s="1"/>
  <c r="O233" i="5"/>
  <c r="N233" i="5"/>
  <c r="M233" i="5"/>
  <c r="L233" i="5"/>
  <c r="K233" i="5"/>
  <c r="J233" i="5"/>
  <c r="I233" i="5"/>
  <c r="H233" i="5"/>
  <c r="G233" i="5"/>
  <c r="F233" i="5"/>
  <c r="E233" i="5"/>
  <c r="F228" i="5"/>
  <c r="O228" i="5"/>
  <c r="N228" i="5"/>
  <c r="M228" i="5"/>
  <c r="L228" i="5"/>
  <c r="K228" i="5"/>
  <c r="J228" i="5"/>
  <c r="I228" i="5"/>
  <c r="H228" i="5"/>
  <c r="G228" i="5"/>
  <c r="E228" i="5"/>
  <c r="D228" i="5" s="1"/>
  <c r="D233" i="5" l="1"/>
  <c r="L57" i="5"/>
  <c r="M57" i="5"/>
  <c r="N57" i="5"/>
  <c r="O223" i="5" l="1"/>
  <c r="N223" i="5"/>
  <c r="M223" i="5"/>
  <c r="L223" i="5"/>
  <c r="K223" i="5"/>
  <c r="J223" i="5"/>
  <c r="I223" i="5"/>
  <c r="H223" i="5"/>
  <c r="G223" i="5"/>
  <c r="F223" i="5"/>
  <c r="E223" i="5"/>
  <c r="D223" i="5" s="1"/>
  <c r="K196" i="5"/>
  <c r="K358" i="5" l="1"/>
  <c r="D358" i="5" s="1"/>
  <c r="K313" i="5"/>
  <c r="D313" i="5" s="1"/>
  <c r="K333" i="5" l="1"/>
  <c r="K30" i="5" l="1"/>
  <c r="K211" i="5" l="1"/>
  <c r="K33" i="5" l="1"/>
  <c r="D211" i="5"/>
  <c r="K288" i="5"/>
  <c r="D288" i="5" s="1"/>
  <c r="K47" i="5" l="1"/>
  <c r="L277" i="5"/>
  <c r="M345" i="5" l="1"/>
  <c r="M340" i="5"/>
  <c r="M350" i="5"/>
  <c r="L350" i="5" l="1"/>
  <c r="O218" i="5"/>
  <c r="N218" i="5"/>
  <c r="M218" i="5"/>
  <c r="L218" i="5"/>
  <c r="K218" i="5"/>
  <c r="J218" i="5"/>
  <c r="I218" i="5"/>
  <c r="H218" i="5"/>
  <c r="G218" i="5"/>
  <c r="F218" i="5"/>
  <c r="E218" i="5"/>
  <c r="D218" i="5" l="1"/>
  <c r="L272" i="5"/>
  <c r="L24" i="5" s="1"/>
  <c r="M275" i="5"/>
  <c r="L270" i="5"/>
  <c r="K272" i="5"/>
  <c r="J272" i="5"/>
  <c r="E285" i="5"/>
  <c r="O285" i="5"/>
  <c r="N285" i="5"/>
  <c r="M285" i="5"/>
  <c r="L285" i="5"/>
  <c r="K285" i="5"/>
  <c r="J285" i="5"/>
  <c r="I285" i="5"/>
  <c r="H285" i="5"/>
  <c r="G285" i="5"/>
  <c r="F285" i="5"/>
  <c r="E280" i="5"/>
  <c r="J302" i="5"/>
  <c r="E301" i="5"/>
  <c r="L275" i="5"/>
  <c r="K330" i="5"/>
  <c r="K350" i="5"/>
  <c r="D285" i="5" l="1"/>
  <c r="K24" i="5"/>
  <c r="K303" i="5"/>
  <c r="K298" i="5" s="1"/>
  <c r="K15" i="5" l="1"/>
  <c r="M355" i="5"/>
  <c r="L355" i="5"/>
  <c r="K355" i="5"/>
  <c r="O355" i="5"/>
  <c r="N355" i="5"/>
  <c r="J355" i="5"/>
  <c r="I355" i="5"/>
  <c r="H355" i="5"/>
  <c r="G355" i="5"/>
  <c r="F355" i="5"/>
  <c r="E355" i="5"/>
  <c r="D355" i="5" l="1"/>
  <c r="J333" i="5"/>
  <c r="J323" i="5"/>
  <c r="J318" i="5"/>
  <c r="J277" i="5"/>
  <c r="D277" i="5" s="1"/>
  <c r="J45" i="5"/>
  <c r="J196" i="5" l="1"/>
  <c r="D196" i="5" s="1"/>
  <c r="J142" i="5"/>
  <c r="J60" i="5"/>
  <c r="O213" i="5" l="1"/>
  <c r="N213" i="5"/>
  <c r="M213" i="5"/>
  <c r="L213" i="5"/>
  <c r="K213" i="5"/>
  <c r="J213" i="5"/>
  <c r="I213" i="5"/>
  <c r="H213" i="5"/>
  <c r="G213" i="5"/>
  <c r="F213" i="5"/>
  <c r="E213" i="5"/>
  <c r="D213" i="5" s="1"/>
  <c r="J164" i="5"/>
  <c r="J162" i="5"/>
  <c r="D162" i="5" s="1"/>
  <c r="O120" i="5" l="1"/>
  <c r="L120" i="5"/>
  <c r="M120" i="5"/>
  <c r="N120" i="5"/>
  <c r="K275" i="5" l="1"/>
  <c r="O208" i="5"/>
  <c r="N208" i="5"/>
  <c r="M208" i="5"/>
  <c r="L208" i="5"/>
  <c r="K208" i="5"/>
  <c r="J208" i="5"/>
  <c r="I208" i="5"/>
  <c r="H208" i="5"/>
  <c r="G208" i="5"/>
  <c r="F208" i="5"/>
  <c r="E208" i="5"/>
  <c r="J160" i="5"/>
  <c r="J269" i="5"/>
  <c r="J270" i="5"/>
  <c r="J280" i="5"/>
  <c r="O280" i="5"/>
  <c r="N280" i="5"/>
  <c r="M280" i="5"/>
  <c r="L280" i="5"/>
  <c r="K280" i="5"/>
  <c r="I280" i="5"/>
  <c r="H280" i="5"/>
  <c r="G280" i="5"/>
  <c r="F280" i="5"/>
  <c r="D280" i="5" s="1"/>
  <c r="O203" i="5"/>
  <c r="N203" i="5"/>
  <c r="M203" i="5"/>
  <c r="L203" i="5"/>
  <c r="K203" i="5"/>
  <c r="J203" i="5"/>
  <c r="I203" i="5"/>
  <c r="H203" i="5"/>
  <c r="G203" i="5"/>
  <c r="F203" i="5"/>
  <c r="E203" i="5"/>
  <c r="J29" i="5"/>
  <c r="J20" i="5" s="1"/>
  <c r="O198" i="5"/>
  <c r="N198" i="5"/>
  <c r="M198" i="5"/>
  <c r="L198" i="5"/>
  <c r="K198" i="5"/>
  <c r="J198" i="5"/>
  <c r="I198" i="5"/>
  <c r="H198" i="5"/>
  <c r="G198" i="5"/>
  <c r="F198" i="5"/>
  <c r="E198" i="5"/>
  <c r="J64" i="5"/>
  <c r="D64" i="5" s="1"/>
  <c r="J49" i="5"/>
  <c r="J47" i="5" s="1"/>
  <c r="J146" i="5"/>
  <c r="D146" i="5" s="1"/>
  <c r="J181" i="5"/>
  <c r="J178" i="5" s="1"/>
  <c r="I318" i="5"/>
  <c r="D318" i="5" s="1"/>
  <c r="I323" i="5"/>
  <c r="D323" i="5" s="1"/>
  <c r="L345" i="5"/>
  <c r="L340" i="5"/>
  <c r="F33" i="5"/>
  <c r="E33" i="5"/>
  <c r="H30" i="5"/>
  <c r="G30" i="5"/>
  <c r="F30" i="5"/>
  <c r="E30" i="5"/>
  <c r="K29" i="5"/>
  <c r="K28" i="5" s="1"/>
  <c r="L29" i="5"/>
  <c r="M29" i="5"/>
  <c r="N29" i="5"/>
  <c r="O29" i="5"/>
  <c r="I29" i="5"/>
  <c r="H29" i="5"/>
  <c r="G29" i="5"/>
  <c r="F29" i="5"/>
  <c r="E29" i="5"/>
  <c r="O193" i="5"/>
  <c r="N193" i="5"/>
  <c r="M193" i="5"/>
  <c r="L193" i="5"/>
  <c r="K193" i="5"/>
  <c r="J193" i="5"/>
  <c r="I193" i="5"/>
  <c r="H193" i="5"/>
  <c r="G193" i="5"/>
  <c r="F193" i="5"/>
  <c r="E193" i="5"/>
  <c r="D193" i="5" s="1"/>
  <c r="I275" i="5"/>
  <c r="O34" i="5"/>
  <c r="O25" i="5" s="1"/>
  <c r="O16" i="5" s="1"/>
  <c r="N34" i="5"/>
  <c r="N25" i="5" s="1"/>
  <c r="N16" i="5" s="1"/>
  <c r="M34" i="5"/>
  <c r="M25" i="5" s="1"/>
  <c r="M16" i="5" s="1"/>
  <c r="L34" i="5"/>
  <c r="L25" i="5" s="1"/>
  <c r="L16" i="5" s="1"/>
  <c r="K34" i="5"/>
  <c r="K25" i="5" s="1"/>
  <c r="K16" i="5" s="1"/>
  <c r="J34" i="5"/>
  <c r="J25" i="5" s="1"/>
  <c r="J16" i="5" s="1"/>
  <c r="I34" i="5"/>
  <c r="I25" i="5" s="1"/>
  <c r="I16" i="5" s="1"/>
  <c r="H34" i="5"/>
  <c r="H25" i="5" s="1"/>
  <c r="H16" i="5" s="1"/>
  <c r="G34" i="5"/>
  <c r="G25" i="5" s="1"/>
  <c r="G16" i="5" s="1"/>
  <c r="F34" i="5"/>
  <c r="F25" i="5" s="1"/>
  <c r="E34" i="5"/>
  <c r="O31" i="5"/>
  <c r="O22" i="5" s="1"/>
  <c r="N31" i="5"/>
  <c r="N22" i="5" s="1"/>
  <c r="M31" i="5"/>
  <c r="M22" i="5" s="1"/>
  <c r="L31" i="5"/>
  <c r="L22" i="5" s="1"/>
  <c r="K31" i="5"/>
  <c r="K22" i="5" s="1"/>
  <c r="J31" i="5"/>
  <c r="J22" i="5" s="1"/>
  <c r="I31" i="5"/>
  <c r="I22" i="5" s="1"/>
  <c r="I13" i="5" s="1"/>
  <c r="H31" i="5"/>
  <c r="H22" i="5" s="1"/>
  <c r="H13" i="5" s="1"/>
  <c r="G31" i="5"/>
  <c r="G22" i="5" s="1"/>
  <c r="F31" i="5"/>
  <c r="F22" i="5" s="1"/>
  <c r="F13" i="5" s="1"/>
  <c r="E31" i="5"/>
  <c r="F269" i="5"/>
  <c r="G269" i="5"/>
  <c r="H269" i="5"/>
  <c r="I269" i="5"/>
  <c r="K269" i="5"/>
  <c r="L269" i="5"/>
  <c r="M269" i="5"/>
  <c r="N269" i="5"/>
  <c r="O269" i="5"/>
  <c r="F270" i="5"/>
  <c r="G270" i="5"/>
  <c r="H270" i="5"/>
  <c r="I270" i="5"/>
  <c r="N270" i="5"/>
  <c r="O270" i="5"/>
  <c r="F272" i="5"/>
  <c r="G272" i="5"/>
  <c r="H272" i="5"/>
  <c r="I272" i="5"/>
  <c r="F274" i="5"/>
  <c r="F27" i="5" s="1"/>
  <c r="G274" i="5"/>
  <c r="G27" i="5" s="1"/>
  <c r="H274" i="5"/>
  <c r="H27" i="5" s="1"/>
  <c r="I274" i="5"/>
  <c r="I27" i="5" s="1"/>
  <c r="J274" i="5"/>
  <c r="J27" i="5" s="1"/>
  <c r="J18" i="5" s="1"/>
  <c r="K274" i="5"/>
  <c r="K27" i="5" s="1"/>
  <c r="K18" i="5" s="1"/>
  <c r="L274" i="5"/>
  <c r="L27" i="5" s="1"/>
  <c r="L18" i="5" s="1"/>
  <c r="M274" i="5"/>
  <c r="M27" i="5" s="1"/>
  <c r="M18" i="5" s="1"/>
  <c r="N274" i="5"/>
  <c r="N27" i="5" s="1"/>
  <c r="N18" i="5" s="1"/>
  <c r="O274" i="5"/>
  <c r="O27" i="5" s="1"/>
  <c r="O18" i="5" s="1"/>
  <c r="E274" i="5"/>
  <c r="E272" i="5"/>
  <c r="D272" i="5" s="1"/>
  <c r="E270" i="5"/>
  <c r="E269" i="5"/>
  <c r="D269" i="5" s="1"/>
  <c r="J303" i="5"/>
  <c r="J298" i="5" s="1"/>
  <c r="E303" i="5"/>
  <c r="F302" i="5"/>
  <c r="F297" i="5" s="1"/>
  <c r="G302" i="5"/>
  <c r="G297" i="5" s="1"/>
  <c r="H302" i="5"/>
  <c r="H297" i="5" s="1"/>
  <c r="I302" i="5"/>
  <c r="I297" i="5" s="1"/>
  <c r="K302" i="5"/>
  <c r="K297" i="5" s="1"/>
  <c r="O297" i="5"/>
  <c r="E302" i="5"/>
  <c r="F303" i="5"/>
  <c r="G303" i="5"/>
  <c r="H303" i="5"/>
  <c r="H298" i="5" s="1"/>
  <c r="O298" i="5"/>
  <c r="I350" i="5"/>
  <c r="O350" i="5"/>
  <c r="N350" i="5"/>
  <c r="J350" i="5"/>
  <c r="H350" i="5"/>
  <c r="G350" i="5"/>
  <c r="F350" i="5"/>
  <c r="E350" i="5"/>
  <c r="I333" i="5"/>
  <c r="D333" i="5" s="1"/>
  <c r="I60" i="5"/>
  <c r="D60" i="5" s="1"/>
  <c r="D57" i="5" s="1"/>
  <c r="I142" i="5"/>
  <c r="D142" i="5" s="1"/>
  <c r="I45" i="5"/>
  <c r="D45" i="5" s="1"/>
  <c r="D42" i="5" s="1"/>
  <c r="I49" i="5"/>
  <c r="I186" i="5"/>
  <c r="D186" i="5" s="1"/>
  <c r="I185" i="5"/>
  <c r="D185" i="5" s="1"/>
  <c r="I181" i="5"/>
  <c r="D181" i="5" s="1"/>
  <c r="I164" i="5"/>
  <c r="I160" i="5" s="1"/>
  <c r="I72" i="5"/>
  <c r="J42" i="5"/>
  <c r="K42" i="5"/>
  <c r="D48" i="5"/>
  <c r="O296" i="5"/>
  <c r="L330" i="5"/>
  <c r="M330" i="5"/>
  <c r="N330" i="5"/>
  <c r="O330" i="5"/>
  <c r="L320" i="5"/>
  <c r="M320" i="5"/>
  <c r="N320" i="5"/>
  <c r="O320" i="5"/>
  <c r="N315" i="5"/>
  <c r="O315" i="5"/>
  <c r="L310" i="5"/>
  <c r="M310" i="5"/>
  <c r="N310" i="5"/>
  <c r="O310" i="5"/>
  <c r="L305" i="5"/>
  <c r="M305" i="5"/>
  <c r="N305" i="5"/>
  <c r="O305" i="5"/>
  <c r="K188" i="5"/>
  <c r="L188" i="5"/>
  <c r="M188" i="5"/>
  <c r="N188" i="5"/>
  <c r="O188" i="5"/>
  <c r="N275" i="5"/>
  <c r="O275" i="5"/>
  <c r="L183" i="5"/>
  <c r="M183" i="5"/>
  <c r="N183" i="5"/>
  <c r="O183" i="5"/>
  <c r="L178" i="5"/>
  <c r="M178" i="5"/>
  <c r="N178" i="5"/>
  <c r="O178" i="5"/>
  <c r="K173" i="5"/>
  <c r="L173" i="5"/>
  <c r="M173" i="5"/>
  <c r="N173" i="5"/>
  <c r="O173" i="5"/>
  <c r="L168" i="5"/>
  <c r="M168" i="5"/>
  <c r="N168" i="5"/>
  <c r="O168" i="5"/>
  <c r="N160" i="5"/>
  <c r="O160" i="5"/>
  <c r="L154" i="5"/>
  <c r="M154" i="5"/>
  <c r="N154" i="5"/>
  <c r="O154" i="5"/>
  <c r="L149" i="5"/>
  <c r="M149" i="5"/>
  <c r="N149" i="5"/>
  <c r="O149" i="5"/>
  <c r="L144" i="5"/>
  <c r="M144" i="5"/>
  <c r="N144" i="5"/>
  <c r="O144" i="5"/>
  <c r="L139" i="5"/>
  <c r="M139" i="5"/>
  <c r="N139" i="5"/>
  <c r="O139" i="5"/>
  <c r="L134" i="5"/>
  <c r="M134" i="5"/>
  <c r="N134" i="5"/>
  <c r="O134" i="5"/>
  <c r="L127" i="5"/>
  <c r="M127" i="5"/>
  <c r="N127" i="5"/>
  <c r="O127" i="5"/>
  <c r="L114" i="5"/>
  <c r="M114" i="5"/>
  <c r="N114" i="5"/>
  <c r="O114" i="5"/>
  <c r="L108" i="5"/>
  <c r="M108" i="5"/>
  <c r="N108" i="5"/>
  <c r="O108" i="5"/>
  <c r="L102" i="5"/>
  <c r="M102" i="5"/>
  <c r="N102" i="5"/>
  <c r="O102" i="5"/>
  <c r="L95" i="5"/>
  <c r="M95" i="5"/>
  <c r="N95" i="5"/>
  <c r="O95" i="5"/>
  <c r="L80" i="5"/>
  <c r="M80" i="5"/>
  <c r="N80" i="5"/>
  <c r="O80" i="5"/>
  <c r="L67" i="5"/>
  <c r="M67" i="5"/>
  <c r="N67" i="5"/>
  <c r="O67" i="5"/>
  <c r="L62" i="5"/>
  <c r="M62" i="5"/>
  <c r="N62" i="5"/>
  <c r="O62" i="5"/>
  <c r="O57" i="5"/>
  <c r="L52" i="5"/>
  <c r="M52" i="5"/>
  <c r="N52" i="5"/>
  <c r="O52" i="5"/>
  <c r="L47" i="5"/>
  <c r="M47" i="5"/>
  <c r="N47" i="5"/>
  <c r="L42" i="5"/>
  <c r="M42" i="5"/>
  <c r="N42" i="5"/>
  <c r="O42" i="5"/>
  <c r="F37" i="5"/>
  <c r="G37" i="5"/>
  <c r="H37" i="5"/>
  <c r="I37" i="5"/>
  <c r="J37" i="5"/>
  <c r="K37" i="5"/>
  <c r="L37" i="5"/>
  <c r="M37" i="5"/>
  <c r="N37" i="5"/>
  <c r="O37" i="5"/>
  <c r="E37" i="5"/>
  <c r="J188" i="5"/>
  <c r="I188" i="5"/>
  <c r="H188" i="5"/>
  <c r="G188" i="5"/>
  <c r="F188" i="5"/>
  <c r="E188" i="5"/>
  <c r="D188" i="5" s="1"/>
  <c r="J275" i="5"/>
  <c r="H275" i="5"/>
  <c r="G275" i="5"/>
  <c r="F275" i="5"/>
  <c r="E275" i="5"/>
  <c r="L296" i="5"/>
  <c r="K183" i="5"/>
  <c r="J183" i="5"/>
  <c r="H183" i="5"/>
  <c r="G183" i="5"/>
  <c r="F183" i="5"/>
  <c r="E183" i="5"/>
  <c r="H164" i="5"/>
  <c r="K144" i="5"/>
  <c r="J144" i="5"/>
  <c r="I144" i="5"/>
  <c r="H144" i="5"/>
  <c r="G144" i="5"/>
  <c r="F144" i="5"/>
  <c r="E144" i="5"/>
  <c r="D144" i="5" s="1"/>
  <c r="K62" i="5"/>
  <c r="I62" i="5"/>
  <c r="H62" i="5"/>
  <c r="G62" i="5"/>
  <c r="F62" i="5"/>
  <c r="E62" i="5"/>
  <c r="H47" i="5"/>
  <c r="G47" i="5"/>
  <c r="F47" i="5"/>
  <c r="E47" i="5"/>
  <c r="H67" i="5"/>
  <c r="F298" i="5"/>
  <c r="E304" i="5"/>
  <c r="F301" i="5"/>
  <c r="G301" i="5"/>
  <c r="H301" i="5"/>
  <c r="H296" i="5" s="1"/>
  <c r="I301" i="5"/>
  <c r="I296" i="5" s="1"/>
  <c r="J301" i="5"/>
  <c r="J296" i="5" s="1"/>
  <c r="K301" i="5"/>
  <c r="E296" i="5"/>
  <c r="K340" i="5"/>
  <c r="K305" i="5"/>
  <c r="K310" i="5"/>
  <c r="K320" i="5"/>
  <c r="K315" i="5"/>
  <c r="K80" i="5"/>
  <c r="K95" i="5"/>
  <c r="K108" i="5"/>
  <c r="K102" i="5"/>
  <c r="K120" i="5"/>
  <c r="K149" i="5"/>
  <c r="K168" i="5"/>
  <c r="F160" i="5"/>
  <c r="G160" i="5"/>
  <c r="E160" i="5"/>
  <c r="K139" i="5"/>
  <c r="K178" i="5"/>
  <c r="K154" i="5"/>
  <c r="K134" i="5"/>
  <c r="K127" i="5"/>
  <c r="K114" i="5"/>
  <c r="K67" i="5"/>
  <c r="K57" i="5"/>
  <c r="K52" i="5"/>
  <c r="H178" i="5"/>
  <c r="G178" i="5"/>
  <c r="F178" i="5"/>
  <c r="E178" i="5"/>
  <c r="J173" i="5"/>
  <c r="I173" i="5"/>
  <c r="H173" i="5"/>
  <c r="G173" i="5"/>
  <c r="F173" i="5"/>
  <c r="E173" i="5"/>
  <c r="D173" i="5" s="1"/>
  <c r="G57" i="5"/>
  <c r="F168" i="5"/>
  <c r="G168" i="5"/>
  <c r="H168" i="5"/>
  <c r="I168" i="5"/>
  <c r="J168" i="5"/>
  <c r="E168" i="5"/>
  <c r="G345" i="5"/>
  <c r="I345" i="5"/>
  <c r="H345" i="5"/>
  <c r="F345" i="5"/>
  <c r="E345" i="5"/>
  <c r="G72" i="5"/>
  <c r="D72" i="5" s="1"/>
  <c r="G335" i="5"/>
  <c r="F139" i="5"/>
  <c r="G123" i="5"/>
  <c r="D123" i="5" s="1"/>
  <c r="G67" i="5"/>
  <c r="J154" i="5"/>
  <c r="I154" i="5"/>
  <c r="H154" i="5"/>
  <c r="G154" i="5"/>
  <c r="F154" i="5"/>
  <c r="E154" i="5"/>
  <c r="G330" i="5"/>
  <c r="H330" i="5"/>
  <c r="J330" i="5"/>
  <c r="L335" i="5"/>
  <c r="M335" i="5"/>
  <c r="N335" i="5"/>
  <c r="J149" i="5"/>
  <c r="I149" i="5"/>
  <c r="H149" i="5"/>
  <c r="G149" i="5"/>
  <c r="F149" i="5"/>
  <c r="E149" i="5"/>
  <c r="F340" i="5"/>
  <c r="G340" i="5"/>
  <c r="H340" i="5"/>
  <c r="I340" i="5"/>
  <c r="J340" i="5"/>
  <c r="E340" i="5"/>
  <c r="E335" i="5"/>
  <c r="D335" i="5" s="1"/>
  <c r="F330" i="5"/>
  <c r="E330" i="5"/>
  <c r="E325" i="5"/>
  <c r="D325" i="5" s="1"/>
  <c r="J320" i="5"/>
  <c r="H320" i="5"/>
  <c r="G320" i="5"/>
  <c r="F320" i="5"/>
  <c r="E320" i="5"/>
  <c r="J315" i="5"/>
  <c r="H315" i="5"/>
  <c r="G315" i="5"/>
  <c r="F315" i="5"/>
  <c r="E315" i="5"/>
  <c r="J310" i="5"/>
  <c r="I310" i="5"/>
  <c r="H310" i="5"/>
  <c r="G310" i="5"/>
  <c r="F310" i="5"/>
  <c r="E310" i="5"/>
  <c r="J305" i="5"/>
  <c r="I305" i="5"/>
  <c r="H305" i="5"/>
  <c r="G305" i="5"/>
  <c r="F305" i="5"/>
  <c r="E305" i="5"/>
  <c r="J139" i="5"/>
  <c r="H139" i="5"/>
  <c r="G139" i="5"/>
  <c r="E139" i="5"/>
  <c r="J134" i="5"/>
  <c r="I134" i="5"/>
  <c r="H134" i="5"/>
  <c r="G134" i="5"/>
  <c r="F134" i="5"/>
  <c r="E134" i="5"/>
  <c r="J127" i="5"/>
  <c r="I127" i="5"/>
  <c r="H127" i="5"/>
  <c r="G127" i="5"/>
  <c r="F127" i="5"/>
  <c r="E127" i="5"/>
  <c r="J120" i="5"/>
  <c r="I120" i="5"/>
  <c r="H120" i="5"/>
  <c r="F120" i="5"/>
  <c r="E120" i="5"/>
  <c r="J114" i="5"/>
  <c r="I114" i="5"/>
  <c r="H114" i="5"/>
  <c r="G114" i="5"/>
  <c r="F114" i="5"/>
  <c r="E114" i="5"/>
  <c r="D114" i="5" s="1"/>
  <c r="J108" i="5"/>
  <c r="I108" i="5"/>
  <c r="H108" i="5"/>
  <c r="G108" i="5"/>
  <c r="F108" i="5"/>
  <c r="E108" i="5"/>
  <c r="D108" i="5" s="1"/>
  <c r="J102" i="5"/>
  <c r="I102" i="5"/>
  <c r="H102" i="5"/>
  <c r="G102" i="5"/>
  <c r="F102" i="5"/>
  <c r="E102" i="5"/>
  <c r="D102" i="5" s="1"/>
  <c r="J95" i="5"/>
  <c r="I95" i="5"/>
  <c r="H95" i="5"/>
  <c r="G95" i="5"/>
  <c r="F95" i="5"/>
  <c r="E95" i="5"/>
  <c r="D95" i="5" s="1"/>
  <c r="E87" i="5"/>
  <c r="D87" i="5" s="1"/>
  <c r="E81" i="5"/>
  <c r="D81" i="5" s="1"/>
  <c r="J80" i="5"/>
  <c r="I80" i="5"/>
  <c r="H80" i="5"/>
  <c r="G80" i="5"/>
  <c r="F80" i="5"/>
  <c r="E80" i="5"/>
  <c r="D80" i="5" s="1"/>
  <c r="J75" i="5"/>
  <c r="I75" i="5"/>
  <c r="H75" i="5"/>
  <c r="G75" i="5"/>
  <c r="F75" i="5"/>
  <c r="E75" i="5"/>
  <c r="D75" i="5" s="1"/>
  <c r="J67" i="5"/>
  <c r="F67" i="5"/>
  <c r="E67" i="5"/>
  <c r="J57" i="5"/>
  <c r="F57" i="5"/>
  <c r="E57" i="5"/>
  <c r="J52" i="5"/>
  <c r="I52" i="5"/>
  <c r="H52" i="5"/>
  <c r="G52" i="5"/>
  <c r="F52" i="5"/>
  <c r="E52" i="5"/>
  <c r="H42" i="5"/>
  <c r="G42" i="5"/>
  <c r="F42" i="5"/>
  <c r="E42" i="5"/>
  <c r="H57" i="5"/>
  <c r="D127" i="5" l="1"/>
  <c r="D134" i="5"/>
  <c r="D305" i="5"/>
  <c r="D149" i="5"/>
  <c r="D154" i="5"/>
  <c r="D168" i="5"/>
  <c r="E299" i="5"/>
  <c r="D299" i="5" s="1"/>
  <c r="D304" i="5"/>
  <c r="H33" i="5"/>
  <c r="D164" i="5"/>
  <c r="D275" i="5"/>
  <c r="E297" i="5"/>
  <c r="D302" i="5"/>
  <c r="E27" i="5"/>
  <c r="D274" i="5"/>
  <c r="D18" i="5"/>
  <c r="E22" i="5"/>
  <c r="D22" i="5" s="1"/>
  <c r="D31" i="5"/>
  <c r="E28" i="5"/>
  <c r="D29" i="5"/>
  <c r="D30" i="5"/>
  <c r="D198" i="5"/>
  <c r="D203" i="5"/>
  <c r="D208" i="5"/>
  <c r="D301" i="5"/>
  <c r="D310" i="5"/>
  <c r="I47" i="5"/>
  <c r="D49" i="5"/>
  <c r="D47" i="5" s="1"/>
  <c r="D350" i="5"/>
  <c r="E298" i="5"/>
  <c r="E295" i="5" s="1"/>
  <c r="O268" i="5"/>
  <c r="E25" i="5"/>
  <c r="D34" i="5"/>
  <c r="E16" i="5"/>
  <c r="D25" i="5"/>
  <c r="D27" i="5"/>
  <c r="E13" i="5"/>
  <c r="D13" i="5" s="1"/>
  <c r="O28" i="5"/>
  <c r="N28" i="5"/>
  <c r="E21" i="5"/>
  <c r="E12" i="5" s="1"/>
  <c r="L20" i="5"/>
  <c r="L11" i="5" s="1"/>
  <c r="E10" i="5"/>
  <c r="O21" i="5"/>
  <c r="F268" i="5"/>
  <c r="G20" i="5"/>
  <c r="I57" i="5"/>
  <c r="L315" i="5"/>
  <c r="M20" i="5"/>
  <c r="H20" i="5"/>
  <c r="H11" i="5" s="1"/>
  <c r="F21" i="5"/>
  <c r="F12" i="5" s="1"/>
  <c r="G300" i="5"/>
  <c r="N20" i="5"/>
  <c r="N24" i="5"/>
  <c r="G298" i="5"/>
  <c r="I320" i="5"/>
  <c r="D320" i="5" s="1"/>
  <c r="I268" i="5"/>
  <c r="O20" i="5"/>
  <c r="O11" i="5" s="1"/>
  <c r="F24" i="5"/>
  <c r="F15" i="5" s="1"/>
  <c r="H268" i="5"/>
  <c r="I183" i="5"/>
  <c r="D183" i="5" s="1"/>
  <c r="I139" i="5"/>
  <c r="D139" i="5" s="1"/>
  <c r="O300" i="5"/>
  <c r="J30" i="5"/>
  <c r="H160" i="5"/>
  <c r="E20" i="5"/>
  <c r="M315" i="5"/>
  <c r="L300" i="5"/>
  <c r="J33" i="5"/>
  <c r="J24" i="5" s="1"/>
  <c r="J15" i="5" s="1"/>
  <c r="G33" i="5"/>
  <c r="G28" i="5" s="1"/>
  <c r="F296" i="5"/>
  <c r="F295" i="5" s="1"/>
  <c r="K296" i="5"/>
  <c r="K295" i="5" s="1"/>
  <c r="K300" i="5"/>
  <c r="J268" i="5"/>
  <c r="G120" i="5"/>
  <c r="D120" i="5" s="1"/>
  <c r="I30" i="5"/>
  <c r="I21" i="5" s="1"/>
  <c r="I12" i="5" s="1"/>
  <c r="I33" i="5"/>
  <c r="H21" i="5"/>
  <c r="H12" i="5" s="1"/>
  <c r="O24" i="5"/>
  <c r="F28" i="5"/>
  <c r="E24" i="5"/>
  <c r="F20" i="5"/>
  <c r="D62" i="5"/>
  <c r="E300" i="5"/>
  <c r="F300" i="5"/>
  <c r="O295" i="5"/>
  <c r="H300" i="5"/>
  <c r="E268" i="5"/>
  <c r="H10" i="5"/>
  <c r="I20" i="5"/>
  <c r="I11" i="5" s="1"/>
  <c r="G21" i="5"/>
  <c r="G12" i="5" s="1"/>
  <c r="N268" i="5"/>
  <c r="G268" i="5"/>
  <c r="N21" i="5"/>
  <c r="G13" i="5"/>
  <c r="G10" i="5" s="1"/>
  <c r="F16" i="5"/>
  <c r="J11" i="5"/>
  <c r="I10" i="5"/>
  <c r="G296" i="5"/>
  <c r="H24" i="5"/>
  <c r="H28" i="5"/>
  <c r="I330" i="5"/>
  <c r="D330" i="5" s="1"/>
  <c r="H295" i="5"/>
  <c r="I178" i="5"/>
  <c r="D178" i="5" s="1"/>
  <c r="I42" i="5"/>
  <c r="I303" i="5"/>
  <c r="D303" i="5" s="1"/>
  <c r="I67" i="5"/>
  <c r="D67" i="5" s="1"/>
  <c r="J297" i="5"/>
  <c r="J295" i="5" s="1"/>
  <c r="J300" i="5"/>
  <c r="K20" i="5"/>
  <c r="I315" i="5"/>
  <c r="D315" i="5" s="1"/>
  <c r="J62" i="5"/>
  <c r="E15" i="5" l="1"/>
  <c r="D16" i="5"/>
  <c r="D33" i="5"/>
  <c r="E11" i="5"/>
  <c r="D20" i="5"/>
  <c r="O12" i="5"/>
  <c r="N19" i="5"/>
  <c r="O15" i="5"/>
  <c r="O19" i="5"/>
  <c r="L295" i="5"/>
  <c r="G24" i="5"/>
  <c r="G15" i="5" s="1"/>
  <c r="F19" i="5"/>
  <c r="F9" i="5" s="1"/>
  <c r="F11" i="5"/>
  <c r="E19" i="5"/>
  <c r="E9" i="5" s="1"/>
  <c r="F10" i="5"/>
  <c r="D10" i="5" s="1"/>
  <c r="G295" i="5"/>
  <c r="G11" i="5"/>
  <c r="I298" i="5"/>
  <c r="I300" i="5"/>
  <c r="I24" i="5"/>
  <c r="I28" i="5"/>
  <c r="J28" i="5"/>
  <c r="J21" i="5"/>
  <c r="K11" i="5"/>
  <c r="H15" i="5"/>
  <c r="H19" i="5"/>
  <c r="H9" i="5" s="1"/>
  <c r="O9" i="5" l="1"/>
  <c r="G19" i="5"/>
  <c r="G9" i="5" s="1"/>
  <c r="I15" i="5"/>
  <c r="I19" i="5"/>
  <c r="I295" i="5"/>
  <c r="N345" i="5"/>
  <c r="D345" i="5" s="1"/>
  <c r="J12" i="5"/>
  <c r="J19" i="5"/>
  <c r="J9" i="5" s="1"/>
  <c r="M297" i="5" l="1"/>
  <c r="I9" i="5"/>
  <c r="N298" i="5" l="1"/>
  <c r="D298" i="5" s="1"/>
  <c r="M296" i="5"/>
  <c r="N340" i="5" l="1"/>
  <c r="D340" i="5" s="1"/>
  <c r="M295" i="5"/>
  <c r="M11" i="5"/>
  <c r="D297" i="5"/>
  <c r="N15" i="5"/>
  <c r="N12" i="5" l="1"/>
  <c r="N300" i="5"/>
  <c r="D300" i="5" s="1"/>
  <c r="N296" i="5"/>
  <c r="D296" i="5" s="1"/>
  <c r="N11" i="5" l="1"/>
  <c r="D11" i="5" s="1"/>
  <c r="N295" i="5"/>
  <c r="D295" i="5" s="1"/>
  <c r="N9" i="5" l="1"/>
  <c r="M270" i="5" l="1"/>
  <c r="K270" i="5" l="1"/>
  <c r="D270" i="5" s="1"/>
  <c r="M268" i="5" l="1"/>
  <c r="K268" i="5"/>
  <c r="L268" i="5"/>
  <c r="D268" i="5" l="1"/>
  <c r="L15" i="5"/>
  <c r="M24" i="5"/>
  <c r="D24" i="5" s="1"/>
  <c r="M160" i="5"/>
  <c r="L160" i="5"/>
  <c r="L21" i="5"/>
  <c r="K160" i="5"/>
  <c r="D160" i="5" l="1"/>
  <c r="M21" i="5"/>
  <c r="M19" i="5" s="1"/>
  <c r="M9" i="5" s="1"/>
  <c r="M28" i="5"/>
  <c r="M15" i="5"/>
  <c r="D15" i="5" s="1"/>
  <c r="L19" i="5"/>
  <c r="K21" i="5"/>
  <c r="D21" i="5" s="1"/>
  <c r="L12" i="5"/>
  <c r="L28" i="5"/>
  <c r="D28" i="5" l="1"/>
  <c r="M12" i="5"/>
  <c r="L9" i="5"/>
  <c r="K19" i="5"/>
  <c r="D19" i="5" s="1"/>
  <c r="K12" i="5"/>
  <c r="D12" i="5" l="1"/>
  <c r="K9" i="5"/>
  <c r="D9" i="5" s="1"/>
</calcChain>
</file>

<file path=xl/comments1.xml><?xml version="1.0" encoding="utf-8"?>
<comments xmlns="http://schemas.openxmlformats.org/spreadsheetml/2006/main">
  <authors>
    <author>User</author>
    <author>Екатерина Журавлева</author>
    <author>Татьяна Викторовна Журавлёва</author>
    <author>Мельникова Мария Александровна</author>
  </authors>
  <commentList>
    <comment ref="B160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измен наименование</t>
        </r>
      </text>
    </comment>
    <comment ref="K160" authorId="1">
      <text>
        <r>
          <rPr>
            <b/>
            <sz val="9"/>
            <color indexed="81"/>
            <rFont val="Tahoma"/>
            <family val="2"/>
            <charset val="204"/>
          </rPr>
          <t>Екатерина Журавлева:</t>
        </r>
        <r>
          <rPr>
            <sz val="9"/>
            <color indexed="81"/>
            <rFont val="Tahoma"/>
            <family val="2"/>
            <charset val="204"/>
          </rPr>
          <t xml:space="preserve">
перекидка с админ на ЖКХ 25.11.2021
</t>
        </r>
      </text>
    </comment>
    <comment ref="N16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 соглаш ,3876,0 гор пока не убираем</t>
        </r>
      </text>
    </comment>
    <comment ref="O16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 соглаш ,3876,0 гор пока не убираем</t>
        </r>
      </text>
    </comment>
    <comment ref="P16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 соглаш ,3876,0 гор пока не убираем</t>
        </r>
      </text>
    </comment>
    <comment ref="A188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ранее 1.1.28</t>
        </r>
      </text>
    </comment>
    <comment ref="A198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новое мероприятие</t>
        </r>
      </text>
    </comment>
    <comment ref="A203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новое мероприятие</t>
        </r>
      </text>
    </comment>
    <comment ref="A208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новое мероприятие</t>
        </r>
      </text>
    </comment>
    <comment ref="B208" authorId="3">
      <text>
        <r>
          <rPr>
            <b/>
            <sz val="9"/>
            <color indexed="81"/>
            <rFont val="Tahoma"/>
            <family val="2"/>
            <charset val="204"/>
          </rPr>
          <t>новое мероприятие</t>
        </r>
      </text>
    </comment>
    <comment ref="K20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на основаниизапроса архитектуры от 30.04.2021 № 1019/19 в реш Думы этих измен нет</t>
        </r>
      </text>
    </comment>
    <comment ref="A213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новое мероприятие</t>
        </r>
      </text>
    </comment>
    <comment ref="B213" authorId="3">
      <text>
        <r>
          <rPr>
            <b/>
            <sz val="9"/>
            <color indexed="81"/>
            <rFont val="Tahoma"/>
            <family val="2"/>
            <charset val="204"/>
          </rPr>
          <t>новое мероприятие</t>
        </r>
      </text>
    </comment>
    <comment ref="B218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Userдобавила новое 11.03
</t>
        </r>
      </text>
    </comment>
    <comment ref="A22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09.2021</t>
        </r>
      </text>
    </comment>
    <comment ref="B2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Userдобавила новое </t>
        </r>
        <r>
          <rPr>
            <b/>
            <sz val="11"/>
            <color indexed="81"/>
            <rFont val="Tahoma"/>
            <family val="2"/>
            <charset val="204"/>
          </rPr>
          <t>26.03 новое</t>
        </r>
        <r>
          <rPr>
            <b/>
            <sz val="8"/>
            <color indexed="81"/>
            <rFont val="Tahoma"/>
            <family val="2"/>
            <charset val="204"/>
          </rPr>
          <t xml:space="preserve">
</t>
        </r>
      </text>
    </comment>
    <comment ref="A22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в проекте на 2022-2024</t>
        </r>
      </text>
    </comment>
    <comment ref="A23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в проекте на 2022-2024</t>
        </r>
      </text>
    </comment>
    <comment ref="L23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до конца года лимиты снимут мероприятие не будет реализовано</t>
        </r>
      </text>
    </comment>
    <comment ref="M23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23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в проекте на 2022-2024</t>
        </r>
      </text>
    </comment>
    <comment ref="A24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в проекте на 2022-2024</t>
        </r>
      </text>
    </comment>
    <comment ref="A24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в проекте на 2022-2024</t>
        </r>
      </text>
    </comment>
    <comment ref="A275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 2020 года было мер-е 1.1.27.</t>
        </r>
      </text>
    </comment>
    <comment ref="B275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переименоваоли</t>
        </r>
      </text>
    </comment>
    <comment ref="A280" authorId="0">
      <text>
        <r>
          <rPr>
            <b/>
            <sz val="9"/>
            <color indexed="81"/>
            <rFont val="Tahoma"/>
            <family val="2"/>
            <charset val="204"/>
          </rPr>
          <t>новое</t>
        </r>
      </text>
    </comment>
    <comment ref="A285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 2020 года было мер-е 1.1.27.</t>
        </r>
      </text>
    </comment>
    <comment ref="A290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 2020 года было мер-е 1.1.27.</t>
        </r>
      </text>
    </comment>
    <comment ref="B355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доп. мероприятие</t>
        </r>
      </text>
    </comment>
    <comment ref="B360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доп. мероприятие</t>
        </r>
      </text>
    </comment>
    <comment ref="B365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доп. мероприятие</t>
        </r>
      </text>
    </comment>
  </commentList>
</comments>
</file>

<file path=xl/sharedStrings.xml><?xml version="1.0" encoding="utf-8"?>
<sst xmlns="http://schemas.openxmlformats.org/spreadsheetml/2006/main" count="527" uniqueCount="166">
  <si>
    <t>всего</t>
  </si>
  <si>
    <t>федеральный бюджет</t>
  </si>
  <si>
    <t>областной бюджет</t>
  </si>
  <si>
    <t>городской бюджет</t>
  </si>
  <si>
    <t>внебюджетные источники</t>
  </si>
  <si>
    <t>Статус</t>
  </si>
  <si>
    <t>Подпрограмма 1</t>
  </si>
  <si>
    <t>Основное мероприятие 1.1.</t>
  </si>
  <si>
    <t>Субсидии казенным предприятиям на возмещение затрат, связанных с выполнением заказа по содержанию и ремонту улично-дорожной сети</t>
  </si>
  <si>
    <t xml:space="preserve">Осуществление дорожной деятельности в отношении автомобильных дорог общего пользования местного значения  </t>
  </si>
  <si>
    <t>2015 год</t>
  </si>
  <si>
    <t>2016 год</t>
  </si>
  <si>
    <t>2017 год</t>
  </si>
  <si>
    <t>2018 год</t>
  </si>
  <si>
    <t>2019 год</t>
  </si>
  <si>
    <t>2020 год</t>
  </si>
  <si>
    <t>Субсидии транспортным предприятиям на возмещение затрат, связанных с погашением кредита, оплатой лизинговых платежей за приобретаемые в муниципальную собственность транспортные средства, оборудование  для участка  технического обслуживания и ремонта с целью осуществления пассажирских перевозок</t>
  </si>
  <si>
    <t>Муниципальная программа</t>
  </si>
  <si>
    <t>Магистральные улицы Северного жилого района г.Благовещенска, Амурская область (1-ая очередь ул.50 лет Октября от ул.Кольцевой до ул.Школьной)</t>
  </si>
  <si>
    <t>Субсидии юридическим лицам  на возмещение затрат, связанных с выполнением работ по устройству, ремонту и модернизации отдельных элементов обустройства автомобильных  дорог в границах городского округа</t>
  </si>
  <si>
    <t>Обеспечение беспрепятственного доступа инвалидов к услугам транспорта и транспортной инфраструктуре города Благовещенска</t>
  </si>
  <si>
    <t>Источники финансирования</t>
  </si>
  <si>
    <t>Развитие пассажирского транспорта в городе Благовещенске</t>
  </si>
  <si>
    <t>областной бюджет, в том числе:</t>
  </si>
  <si>
    <t>городской бюджет, в том числе:</t>
  </si>
  <si>
    <t>погашение кредиторской задолженности</t>
  </si>
  <si>
    <t>Мероприятие 1.1.1.</t>
  </si>
  <si>
    <t>Мероприятие 1.1.2.</t>
  </si>
  <si>
    <t>Мероприятие 1.1.3.</t>
  </si>
  <si>
    <t>Мероприятие 1.1.4.</t>
  </si>
  <si>
    <t>Мероприятие 1.1.5.</t>
  </si>
  <si>
    <t>Мероприятие 1.1.6.</t>
  </si>
  <si>
    <t>Мероприятие 1.1.7.</t>
  </si>
  <si>
    <t>Мероприятие 1.1.8.</t>
  </si>
  <si>
    <t>Мероприятие 1.1.9.</t>
  </si>
  <si>
    <t>Мероприятие 1.1.11.</t>
  </si>
  <si>
    <t>Мероприятие 1.1.12.</t>
  </si>
  <si>
    <t>Мероприятие 1.1.13.</t>
  </si>
  <si>
    <t>Мероприятие 1.1.14.</t>
  </si>
  <si>
    <t>Мероприятие 1.1.16.</t>
  </si>
  <si>
    <t>Мероприятие 1.1.17.</t>
  </si>
  <si>
    <t>Мероприятие 1.1.18.</t>
  </si>
  <si>
    <t xml:space="preserve">Создание условий для предоставления транспортных услуг населению и организация транспортного обслуживания населения в границах городского округа </t>
  </si>
  <si>
    <t>Основное мероприятие 2.1.</t>
  </si>
  <si>
    <t>Мероприятие 2.1.1.</t>
  </si>
  <si>
    <t xml:space="preserve">Мероприятие 2.1.2. </t>
  </si>
  <si>
    <t>Мероприятие 2.1.3.</t>
  </si>
  <si>
    <t xml:space="preserve">Мероприятие 2.1.4. </t>
  </si>
  <si>
    <t>Мероприятие 2.1.5.</t>
  </si>
  <si>
    <t>Мероприятие 2.1.6.</t>
  </si>
  <si>
    <t>Мероприятие 2.1.7.</t>
  </si>
  <si>
    <t>Развитие улично-дорожной сети города Благовещенска</t>
  </si>
  <si>
    <t>Субсидии юридическим лицам  на возмещение затрат, связанных с выполнением работ по содержанию и ремонту улично-дорожной сети</t>
  </si>
  <si>
    <t>Субсидии юридическим лицам, выполняющим работы, оказывающим услуги по содержанию и обслуживанию средств регулирования дорожного движения</t>
  </si>
  <si>
    <t>Мероприятие 1.1.20.</t>
  </si>
  <si>
    <t>Мероприятие 1.1.21.</t>
  </si>
  <si>
    <t>Наименование муниципальной программы, подпрограммы, основного мероприятия, мероприятия</t>
  </si>
  <si>
    <t>Субсидии предприятиям электротранспорта на возмещение выпадающих доходов в результате ограничения транспортного движения в связи с проведением работ по реконструкции канализационного коллектора по ул. Зейской</t>
  </si>
  <si>
    <t>Капитальный ремонт перекрестка ул.Мухина и ул.Игнатьевское шоссе (в т.ч. проектные работы)</t>
  </si>
  <si>
    <t>Мероприятие 2.1.8.</t>
  </si>
  <si>
    <t xml:space="preserve"> Магистральные улицы Северного планировочного района г.Благовещенска, Амурская область (ул.Шафира, ул.Муравьева-Амурского, ул.Зеленая)</t>
  </si>
  <si>
    <t>Мероприятие 1.1.22.</t>
  </si>
  <si>
    <t>Адаптация пешеходных путей для инвалидов и маломобильных групп населения</t>
  </si>
  <si>
    <t>Мероприятие 1.1.23.</t>
  </si>
  <si>
    <t>Капитальный ремонт путепровода через ул. Загородная - ул. Северная (в т. ч. проектные работы)</t>
  </si>
  <si>
    <t>Строительство дорог в районе «5-й стройки» для обеспечения транспортной инфраструктурой земельных участков, предоставленных многодетным семьям (ул.Придорожная от ул.Центральная до ул.Энтузиастов, ул.Энтузиастов от ул.Придорожная до ул.Театральная, ул.Ромашковая от ул.Центральная до ул.Березовая) I этап</t>
  </si>
  <si>
    <t>Мероприятие 2.1.9.</t>
  </si>
  <si>
    <t>Мероприятия государственной программы Российской Федерации "Доступная среда" на 2011-2020 годы, направленные на адаптацию с учетом нужд инвалидов и других маломобильных групп населения</t>
  </si>
  <si>
    <t>Мероприятия государственной программы Российской Федерации "Доступная среда" на 2011-2020 годы, направленная на адаптацию с учетом нужд инвалидов и других маломобильных групп населения транспортной инфраструктуры</t>
  </si>
  <si>
    <t xml:space="preserve">Вдольтрассовый проезд (велосипедный) в районе Новотроицкого шоссе </t>
  </si>
  <si>
    <t>Субсидии транспортным предприятиям на возмещение затрат, не обеспеченных утвержденным экономически обоснованным тарифом, связанных с осуществлением перевозок пассажиров по нерентабельным муниципальным автобусным  маршрутам регулярных перевозок в городском сообщении, включая садовые маршруты</t>
  </si>
  <si>
    <t>неиспользованные лимиты прошлых лет</t>
  </si>
  <si>
    <t>Строительство дорог в Северном планировочном районе 4 км Новотроицкого шоссе с обеспечением инженерной инфраструктурой земельных участков, предоставленных многодетным семьям (проектные работы)</t>
  </si>
  <si>
    <t>Мероприятие 1.1.24.</t>
  </si>
  <si>
    <t>2021 год</t>
  </si>
  <si>
    <t>Магистральные улицы Северного планировочного  района г.Благовещенска, Амурская область (ул. Зеленая от ул. Новотроицкое шоссе до ул. 50 лет Октября (в т.ч. проектные работы)</t>
  </si>
  <si>
    <t>Реконструкция автомобильной дороги по ул.Тепличная города Благовещенска (в т.ч. проектные работы)</t>
  </si>
  <si>
    <t>Выравнивание обеспеченности муниципальных образований по реализации ими отдельных расходных обязательств (предоставление субсидии казенным предприятиям на возмещение затрат, связанных с выполнением заказа по содержанию и ремонту улично-дорожной сети)</t>
  </si>
  <si>
    <t>Мероприятие 1.1.15.</t>
  </si>
  <si>
    <t>Выравнивание обеспеченности муниципальных образований по реализации ими отдельных расходных обязательств (предоставление субсидии юридическим лицам на возмещение затрат, связанных с выполнением работ по устройству, ремонту и модернизации отдельных элементов обустройства автомобильных дорог в границах городского округа</t>
  </si>
  <si>
    <t>Мероприятие 1.1.25.</t>
  </si>
  <si>
    <t>Мероприятие 1.1.26.</t>
  </si>
  <si>
    <t>Мероприятие 1.1.27.</t>
  </si>
  <si>
    <t>Капитальный ремонт ул.Мухина от ул.Пролетарская до ул.Зейская (в т.ч. проектные работы)</t>
  </si>
  <si>
    <t>Строительство дорог в районе «5-й стройки» для обеспечения транспортной инфраструктурой земельных участков, предоставленных многодетным семьям (ул.Центральная  на участке от ул.Театральная до ул.Дальняя г. Благовещенска)</t>
  </si>
  <si>
    <t>Строительство дорог в районе «5-й стройки» для обеспечения транспортной инфраструктурой земельных участков, предоставленных многодетным семьям (ул.Ромашковая  на участке от ул.Центральная до ул.Энтузиастов г. Благовещенска)</t>
  </si>
  <si>
    <t>Разработка проекта организации дорожного движения на кольцевой развязке по ул. Калинина</t>
  </si>
  <si>
    <t>2022 год</t>
  </si>
  <si>
    <t>2023 год</t>
  </si>
  <si>
    <t>2024 год</t>
  </si>
  <si>
    <t>2025 год</t>
  </si>
  <si>
    <t>Мероприятие 1.1.19.</t>
  </si>
  <si>
    <t>Всего</t>
  </si>
  <si>
    <t>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перевозок, следующих к местам расположения садовых участков</t>
  </si>
  <si>
    <t>*  Параметры  в отношении мероприятия 2.1.10 применяются в соответствии с Решением Благовещенской городской Думы от 29.11.2018 года № 50/114 «О городском бюджете на 2019 год и плановый период 2020 и 2021 годов» (в ред. от 24.12.2019 № 6/50) с целью заключения соглашения с министерством транспорта и дорожного хозяйства Амурской  области о предоставлении субсидии из областного бюджета в 2020 году.</t>
  </si>
  <si>
    <t>Расходы на обеспечение деятельности (оказание услуг, выполнение работ) муниципальных организаций (учреждений)</t>
  </si>
  <si>
    <t>Основное мероприятие 1.2.</t>
  </si>
  <si>
    <t>Мероприятие 1.2.1.</t>
  </si>
  <si>
    <t>Мероприятие 1.1.10.</t>
  </si>
  <si>
    <t xml:space="preserve">Развитие транспортной системы города Благовещенска </t>
  </si>
  <si>
    <t>Субсидии транспортным предприятиям на компенсацию  выпадающих доходов по тарифам, не обеспечивающим экономически обоснованные  затраты</t>
  </si>
  <si>
    <t>Приложение № 3 к муниципальной программе</t>
  </si>
  <si>
    <t>Оценка расходов (тыс. руб.), годы</t>
  </si>
  <si>
    <t>Субсидии казенным предприятиям на возмещение затрат, связанных с выполнением заказа по содержанию и обслуживанию средств регулирования дорожного движения</t>
  </si>
  <si>
    <t>Подпрограмма 2</t>
  </si>
  <si>
    <t>Мероприятие 1.1.28.</t>
  </si>
  <si>
    <t>Ремонт улично-дорожной сети города Благовещенска</t>
  </si>
  <si>
    <t>Мероприятие 1.1.29.</t>
  </si>
  <si>
    <t xml:space="preserve">Строительство дорог в районе «5-ой стройки» для обеспечения транспортной инфраструктурой земельных участков, предоставленных многодетным семьям </t>
  </si>
  <si>
    <t>Финансовое обеспечение дорожной деятельности на достижение целевых показателей муниципальных программ в сфере дорожного хозяйства, предусматривающих приведение в нормативное состояние, развитие и увеличение пропускной способности сети автомобильных дорог общего пользования местного значения</t>
  </si>
  <si>
    <t>Изъятие земельных участков, расположенных в квартале 252 города Благовещенска для строительства автомобильной дороги по ул. Конная</t>
  </si>
  <si>
    <t>Мероприятие 1.2.2.</t>
  </si>
  <si>
    <t>Финансовое обеспечение дорожной деятельности за счет средств резервного фонда Правительства Российской Федерации</t>
  </si>
  <si>
    <t>Капитальный ремонт автомобильного моста через р.Зея, г.Благовещенск, Амурская область</t>
  </si>
  <si>
    <t>Ресурсное обеспечение и прогнозная (справочная) оценка расходов на реализацию муниципальной программы за счет всех источников финансирования</t>
  </si>
  <si>
    <t>Финансовое обеспечение расходов, связанных с созданием и содержанием дорожного патруля</t>
  </si>
  <si>
    <t>Региональный проект "Дорожная сеть"</t>
  </si>
  <si>
    <t>Мероприятие 2.1.11.</t>
  </si>
  <si>
    <t>Мероприятие 1.2.3.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</si>
  <si>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</si>
  <si>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(осуществление строительного контроля)</t>
  </si>
  <si>
    <t>Разработка комплексной схемы организации транспортного обслуживания населения общественным транспортом</t>
  </si>
  <si>
    <t>Обустройство автомобильных дорог и обеспечение условий для безопасного дорожного движения на территории Амурской области</t>
  </si>
  <si>
    <t>Разработка, актуализация проектов и схем организации дорожного движения на участках улично-дорожной сети города Благовещенска, разработка рабочей документации на ремонт улично-дорожной сети города Благовещенска</t>
  </si>
  <si>
    <t>Мероприятие 1.1.35</t>
  </si>
  <si>
    <t>Субсидия казенным предприятиям города Благовещенска  на возмещение затрат, связанных с выполнением заказа по устройству, ремонту и модернизации отдельных элементов обустройства автомобильных дорог в границах города Благовещенска</t>
  </si>
  <si>
    <t>Мероприятие 1.1.36</t>
  </si>
  <si>
    <t>Магистральные улицы Северного планировочного  района г.Благовещенска, Амурская область (ул. Зеленая от ул. Новотроицкое шоссе до ул. 50 лет Октября)</t>
  </si>
  <si>
    <t>Мероприятие 1.1.37</t>
  </si>
  <si>
    <t>Строительство дорог в районе «5-й стройки» для обеспечения транспортной инфраструктурой земельных участков, предоставленных многодетным семьям (ул.Молодежная от ул. Центральная до ул.Энтузиастов) (в т.ч. проектные работы)</t>
  </si>
  <si>
    <t>Строительство дорог в районе «5-й стройки» для обеспечения транспортной инфраструктурой земельных участков, предоставленных многодетным семьям (ул.Степная от ул.Дальняя до ул.Театральная, ул.Лесная от ул.Молодежная до ул.Театральная) (в т.ч. проектные работы)</t>
  </si>
  <si>
    <t>Мероприятие 2.1.12.</t>
  </si>
  <si>
    <t>Выполнение работ, связанных с осуществлением регулярных перевозок пассажиров и багажа по муниципальным маршрутам регулярных перевозок по регулируемым тарифам</t>
  </si>
  <si>
    <t>Выполнение работ по ремонту бетонного основания площадки передвижного поста весового контроля</t>
  </si>
  <si>
    <t>Автомобильная дорога по ул.Конная от ул.Пушкина до ул.Набережная, г.Благовещенск, Амурская область (прочие затраты)</t>
  </si>
  <si>
    <t>Мероприятие 2.1.13.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</si>
  <si>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</t>
  </si>
  <si>
    <t>Оказание поддержки бюджетам муниципальных образований, связанной с организацией транспортного обслуживания  населения</t>
  </si>
  <si>
    <t>Приобретение бланков с защитой от подделки (карты маршрута регулярных перевозок)</t>
  </si>
  <si>
    <t>Осуществление дорожной деятельности в рамках реализации национального проекта "Безопасные качественные  дороги".</t>
  </si>
  <si>
    <t>Осуществление дорожной деятельности в рамках реализации национального проекта "Безопасные качественные  дороги" (осуществление строительного контроля, авторского надзора)</t>
  </si>
  <si>
    <t>Выравнивание обеспеченности муниципальных образований по реализации ими отдельных расходных обязательств (предоставление cубсидии казенным предприятиям на возмещение затрат, связанных с выполнением заказа по содержанию и обслуживанию средств регулирования дорожного движения)</t>
  </si>
  <si>
    <t>неиспользованный остаток прошлых лет</t>
  </si>
  <si>
    <t>Мероприятие 1.2.4.</t>
  </si>
  <si>
    <t>Осуществление дорожной деятельности в рамках реализации национального проекта "Безопасные качественные  дороги" (прочие затраты)</t>
  </si>
  <si>
    <t>Реализация мероприятий по приобретению подвижного состава пассажирского транспорта общего пользования, источником финансового обеспечения которых являются специальные казначейские кредиты</t>
  </si>
  <si>
    <t>Реализация мероприятий в транспортной сфере, одобренных Президиумом (штабом) Правительственной комиссии по региональному развитию в Российской Федерации</t>
  </si>
  <si>
    <t>Мероприятие 2.1.14.</t>
  </si>
  <si>
    <t>1.1.30.</t>
  </si>
  <si>
    <t>1.1.31.</t>
  </si>
  <si>
    <t>Мероприятие 1.1.32.</t>
  </si>
  <si>
    <t>Мероприятие 1.1.33.</t>
  </si>
  <si>
    <t>Мероприятие 1.1.34.</t>
  </si>
  <si>
    <t>Мероприятие 1.1.35.</t>
  </si>
  <si>
    <t>Мероприятие 1.1.30.</t>
  </si>
  <si>
    <t>Мероприятие 1.1.31.</t>
  </si>
  <si>
    <t>2026 год</t>
  </si>
  <si>
    <t>Мероприятие 1.1.36.</t>
  </si>
  <si>
    <t>Расходы на обустройство остановок для школьных маршрутов, а также освещение улично-дорожной сети населенных пунктов Амурской области</t>
  </si>
  <si>
    <t>Мероприятие 2.1.15.</t>
  </si>
  <si>
    <t>Реализация инфраструктурных проектов, источником финансового обеспечения которых являются бюджетные кредиты</t>
  </si>
  <si>
    <t>Мероприятие 1.1.37.</t>
  </si>
  <si>
    <t>Приобретение специализированной техники для содержания улично-дорожной сети города Благовещенска</t>
  </si>
  <si>
    <r>
      <t>Мероприятие 2.1.10.</t>
    </r>
    <r>
      <rPr>
        <sz val="14"/>
        <rFont val="Times New Roman"/>
        <family val="1"/>
        <charset val="204"/>
      </rPr>
      <t>*</t>
    </r>
  </si>
  <si>
    <t xml:space="preserve">Приложение № 3   к постановлению администрации города Благовещенска </t>
  </si>
  <si>
    <t>от 01.02.2024 № 350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</si>
</sst>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"/>
    <numFmt numFmtId="166" formatCode="_(* #,##0.00_);_(* \(#,##0.00\);_(* &quot;-&quot;??_);_(@_)"/>
  </numFmts>
  <fonts count="19" x14ac:knownFonts="1">
    <font>
      <sz val="10"/>
      <name val="Arial"/>
    </font>
    <font>
      <sz val="10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12"/>
      <color theme="1"/>
      <name val="Times New Roman"/>
      <family val="2"/>
      <charset val="204"/>
    </font>
    <font>
      <b/>
      <sz val="11"/>
      <color indexed="81"/>
      <name val="Tahoma"/>
      <family val="2"/>
      <charset val="204"/>
    </font>
    <font>
      <sz val="10.5"/>
      <color rgb="FFFF0000"/>
      <name val="Times New Roman"/>
      <family val="1"/>
      <charset val="204"/>
    </font>
    <font>
      <sz val="10.5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3.5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.5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.5"/>
      <name val="Times New Roman"/>
      <family val="1"/>
      <charset val="204"/>
    </font>
    <font>
      <sz val="12"/>
      <name val="Arial"/>
      <family val="2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6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63">
    <xf numFmtId="0" fontId="0" fillId="0" borderId="0" xfId="0"/>
    <xf numFmtId="165" fontId="8" fillId="0" borderId="1" xfId="3" applyNumberFormat="1" applyFont="1" applyFill="1" applyBorder="1" applyAlignment="1">
      <alignment horizontal="center" vertical="center" wrapText="1"/>
    </xf>
    <xf numFmtId="165" fontId="9" fillId="0" borderId="1" xfId="3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left" wrapText="1"/>
    </xf>
    <xf numFmtId="0" fontId="11" fillId="0" borderId="0" xfId="0" applyFont="1" applyFill="1" applyAlignment="1">
      <alignment wrapText="1"/>
    </xf>
    <xf numFmtId="0" fontId="1" fillId="0" borderId="0" xfId="0" applyFont="1" applyFill="1" applyAlignment="1"/>
    <xf numFmtId="165" fontId="11" fillId="0" borderId="0" xfId="0" applyNumberFormat="1" applyFont="1" applyFill="1" applyAlignment="1">
      <alignment wrapText="1"/>
    </xf>
    <xf numFmtId="0" fontId="1" fillId="0" borderId="0" xfId="0" applyFont="1" applyFill="1"/>
    <xf numFmtId="0" fontId="11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165" fontId="14" fillId="0" borderId="1" xfId="3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vertical="center" wrapText="1"/>
    </xf>
    <xf numFmtId="165" fontId="16" fillId="0" borderId="1" xfId="3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165" fontId="9" fillId="0" borderId="1" xfId="2" applyNumberFormat="1" applyFont="1" applyFill="1" applyBorder="1" applyAlignment="1">
      <alignment horizontal="center" vertical="center"/>
    </xf>
    <xf numFmtId="165" fontId="1" fillId="0" borderId="0" xfId="0" applyNumberFormat="1" applyFont="1" applyFill="1"/>
    <xf numFmtId="0" fontId="11" fillId="0" borderId="1" xfId="0" applyFont="1" applyFill="1" applyBorder="1" applyAlignment="1">
      <alignment vertical="center"/>
    </xf>
    <xf numFmtId="165" fontId="9" fillId="0" borderId="1" xfId="3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/>
    <xf numFmtId="165" fontId="16" fillId="0" borderId="1" xfId="3" applyNumberFormat="1" applyFont="1" applyFill="1" applyBorder="1" applyAlignment="1">
      <alignment horizontal="center" vertical="center"/>
    </xf>
    <xf numFmtId="165" fontId="9" fillId="0" borderId="1" xfId="3" applyNumberFormat="1" applyFont="1" applyFill="1" applyBorder="1" applyAlignment="1">
      <alignment horizontal="center"/>
    </xf>
    <xf numFmtId="165" fontId="9" fillId="0" borderId="1" xfId="3" applyNumberFormat="1" applyFont="1" applyFill="1" applyBorder="1" applyAlignment="1">
      <alignment horizontal="center" wrapText="1"/>
    </xf>
    <xf numFmtId="165" fontId="9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vertical="center" wrapText="1"/>
    </xf>
    <xf numFmtId="165" fontId="9" fillId="2" borderId="1" xfId="3" applyNumberFormat="1" applyFont="1" applyFill="1" applyBorder="1" applyAlignment="1">
      <alignment horizontal="center" vertical="center"/>
    </xf>
    <xf numFmtId="0" fontId="1" fillId="2" borderId="0" xfId="0" applyFont="1" applyFill="1"/>
    <xf numFmtId="165" fontId="9" fillId="2" borderId="1" xfId="3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vertical="center"/>
    </xf>
    <xf numFmtId="0" fontId="11" fillId="0" borderId="0" xfId="0" applyFont="1" applyFill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 wrapText="1"/>
    </xf>
    <xf numFmtId="165" fontId="8" fillId="0" borderId="1" xfId="3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vertical="top" wrapText="1"/>
    </xf>
    <xf numFmtId="0" fontId="11" fillId="0" borderId="1" xfId="0" applyFont="1" applyFill="1" applyBorder="1" applyAlignment="1">
      <alignment horizontal="left" vertical="top"/>
    </xf>
    <xf numFmtId="0" fontId="11" fillId="0" borderId="4" xfId="0" applyFont="1" applyFill="1" applyBorder="1" applyAlignment="1">
      <alignment horizontal="left" vertical="top" wrapText="1"/>
    </xf>
    <xf numFmtId="0" fontId="11" fillId="0" borderId="5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0" fontId="11" fillId="0" borderId="5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  <xf numFmtId="0" fontId="11" fillId="0" borderId="0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7" fillId="0" borderId="1" xfId="0" applyFont="1" applyFill="1" applyBorder="1" applyAlignment="1">
      <alignment horizontal="left" vertical="top" wrapText="1"/>
    </xf>
    <xf numFmtId="0" fontId="11" fillId="0" borderId="0" xfId="0" applyFont="1" applyFill="1" applyAlignment="1">
      <alignment horizontal="left" wrapText="1"/>
    </xf>
    <xf numFmtId="0" fontId="1" fillId="0" borderId="1" xfId="0" applyFont="1" applyFill="1" applyBorder="1" applyAlignment="1">
      <alignment vertical="top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top"/>
    </xf>
    <xf numFmtId="0" fontId="11" fillId="2" borderId="1" xfId="0" applyFont="1" applyFill="1" applyBorder="1" applyAlignment="1">
      <alignment horizontal="left" vertical="top" wrapText="1"/>
    </xf>
    <xf numFmtId="0" fontId="11" fillId="2" borderId="4" xfId="0" applyFont="1" applyFill="1" applyBorder="1" applyAlignment="1">
      <alignment horizontal="left" vertical="top" wrapText="1"/>
    </xf>
    <xf numFmtId="0" fontId="11" fillId="2" borderId="5" xfId="0" applyFont="1" applyFill="1" applyBorder="1" applyAlignment="1">
      <alignment horizontal="left" vertical="top" wrapText="1"/>
    </xf>
    <xf numFmtId="0" fontId="11" fillId="2" borderId="2" xfId="0" applyFont="1" applyFill="1" applyBorder="1" applyAlignment="1">
      <alignment horizontal="left" vertical="top" wrapText="1"/>
    </xf>
  </cellXfs>
  <cellStyles count="5">
    <cellStyle name="Обычный" xfId="0" builtinId="0"/>
    <cellStyle name="Обычный 2" xfId="1"/>
    <cellStyle name="Обычный 6" xfId="2"/>
    <cellStyle name="Финансовый" xfId="3" builtinId="3"/>
    <cellStyle name="Финансовый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R385"/>
  <sheetViews>
    <sheetView tabSelected="1" view="pageBreakPreview" zoomScale="70" zoomScaleSheetLayoutView="7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C3" sqref="C3"/>
    </sheetView>
  </sheetViews>
  <sheetFormatPr defaultColWidth="9.140625" defaultRowHeight="12.75" x14ac:dyDescent="0.2"/>
  <cols>
    <col min="1" max="1" width="19" style="32" customWidth="1"/>
    <col min="2" max="2" width="41.85546875" style="33" customWidth="1"/>
    <col min="3" max="3" width="27" style="7" customWidth="1"/>
    <col min="4" max="4" width="14.5703125" style="7" customWidth="1"/>
    <col min="5" max="5" width="11.85546875" style="7" customWidth="1"/>
    <col min="6" max="6" width="12" style="7" customWidth="1"/>
    <col min="7" max="7" width="11.28515625" style="7" customWidth="1"/>
    <col min="8" max="9" width="12.42578125" style="7" customWidth="1"/>
    <col min="10" max="10" width="12.5703125" style="7" customWidth="1"/>
    <col min="11" max="11" width="13" style="7" customWidth="1"/>
    <col min="12" max="12" width="13.42578125" style="7" customWidth="1"/>
    <col min="13" max="13" width="12.85546875" style="7" customWidth="1"/>
    <col min="14" max="14" width="11.7109375" style="7" customWidth="1"/>
    <col min="15" max="15" width="11.42578125" style="7" customWidth="1"/>
    <col min="16" max="16" width="11.28515625" style="7" bestFit="1" customWidth="1"/>
    <col min="17" max="17" width="9" style="7" customWidth="1"/>
    <col min="18" max="16384" width="9.140625" style="7"/>
  </cols>
  <sheetData>
    <row r="1" spans="1:16" s="5" customFormat="1" ht="53.25" customHeight="1" x14ac:dyDescent="0.25">
      <c r="A1" s="3"/>
      <c r="B1" s="4"/>
      <c r="C1" s="4"/>
      <c r="D1" s="4"/>
      <c r="E1" s="4"/>
      <c r="G1" s="6"/>
      <c r="L1" s="50" t="s">
        <v>164</v>
      </c>
      <c r="M1" s="50"/>
      <c r="N1" s="50"/>
      <c r="O1" s="50"/>
    </row>
    <row r="2" spans="1:16" s="5" customFormat="1" ht="15" customHeight="1" x14ac:dyDescent="0.25">
      <c r="A2" s="3"/>
      <c r="B2" s="4"/>
      <c r="C2" s="4"/>
      <c r="D2" s="4"/>
      <c r="E2" s="4"/>
      <c r="G2" s="4"/>
      <c r="L2" s="54" t="s">
        <v>165</v>
      </c>
      <c r="M2" s="54"/>
      <c r="N2" s="54"/>
      <c r="O2" s="54"/>
    </row>
    <row r="3" spans="1:16" s="5" customFormat="1" ht="35.25" customHeight="1" x14ac:dyDescent="0.25">
      <c r="A3" s="3"/>
      <c r="B3" s="4"/>
      <c r="C3" s="4"/>
      <c r="D3" s="4"/>
      <c r="E3" s="4"/>
      <c r="G3" s="4"/>
      <c r="L3" s="50" t="s">
        <v>101</v>
      </c>
      <c r="M3" s="50"/>
      <c r="N3" s="50"/>
      <c r="O3" s="50"/>
    </row>
    <row r="4" spans="1:16" s="5" customFormat="1" ht="15" customHeight="1" x14ac:dyDescent="0.25">
      <c r="A4" s="3"/>
      <c r="B4" s="4"/>
      <c r="C4" s="4"/>
      <c r="D4" s="4"/>
      <c r="E4" s="4"/>
      <c r="G4" s="4"/>
      <c r="L4" s="34"/>
      <c r="M4" s="34"/>
      <c r="N4" s="34"/>
      <c r="O4" s="34"/>
    </row>
    <row r="5" spans="1:16" ht="51.75" customHeight="1" x14ac:dyDescent="0.2">
      <c r="A5" s="52" t="s">
        <v>114</v>
      </c>
      <c r="B5" s="52"/>
      <c r="C5" s="52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</row>
    <row r="6" spans="1:16" ht="20.25" customHeight="1" x14ac:dyDescent="0.2">
      <c r="A6" s="56" t="s">
        <v>5</v>
      </c>
      <c r="B6" s="55" t="s">
        <v>56</v>
      </c>
      <c r="C6" s="55" t="s">
        <v>21</v>
      </c>
      <c r="D6" s="55" t="s">
        <v>102</v>
      </c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</row>
    <row r="7" spans="1:16" ht="39.75" customHeight="1" x14ac:dyDescent="0.2">
      <c r="A7" s="57"/>
      <c r="B7" s="55"/>
      <c r="C7" s="55"/>
      <c r="D7" s="35" t="s">
        <v>0</v>
      </c>
      <c r="E7" s="35" t="s">
        <v>10</v>
      </c>
      <c r="F7" s="35" t="s">
        <v>11</v>
      </c>
      <c r="G7" s="35" t="s">
        <v>12</v>
      </c>
      <c r="H7" s="35" t="s">
        <v>13</v>
      </c>
      <c r="I7" s="35" t="s">
        <v>14</v>
      </c>
      <c r="J7" s="35" t="s">
        <v>15</v>
      </c>
      <c r="K7" s="35" t="s">
        <v>74</v>
      </c>
      <c r="L7" s="35" t="s">
        <v>87</v>
      </c>
      <c r="M7" s="35" t="s">
        <v>88</v>
      </c>
      <c r="N7" s="35" t="s">
        <v>89</v>
      </c>
      <c r="O7" s="35" t="s">
        <v>90</v>
      </c>
      <c r="P7" s="35" t="s">
        <v>156</v>
      </c>
    </row>
    <row r="8" spans="1:16" ht="15" customHeight="1" x14ac:dyDescent="0.2">
      <c r="A8" s="8">
        <v>1</v>
      </c>
      <c r="B8" s="8">
        <v>2</v>
      </c>
      <c r="C8" s="8">
        <v>3</v>
      </c>
      <c r="D8" s="8">
        <v>4</v>
      </c>
      <c r="E8" s="8">
        <v>5</v>
      </c>
      <c r="F8" s="8">
        <v>6</v>
      </c>
      <c r="G8" s="8">
        <v>7</v>
      </c>
      <c r="H8" s="8">
        <v>8</v>
      </c>
      <c r="I8" s="8">
        <v>9</v>
      </c>
      <c r="J8" s="8">
        <v>10</v>
      </c>
      <c r="K8" s="8">
        <v>11</v>
      </c>
      <c r="L8" s="8">
        <v>12</v>
      </c>
      <c r="M8" s="8">
        <v>13</v>
      </c>
      <c r="N8" s="8">
        <v>14</v>
      </c>
      <c r="O8" s="8">
        <v>15</v>
      </c>
      <c r="P8" s="8">
        <v>16</v>
      </c>
    </row>
    <row r="9" spans="1:16" ht="15.75" x14ac:dyDescent="0.2">
      <c r="A9" s="38" t="s">
        <v>17</v>
      </c>
      <c r="B9" s="38" t="s">
        <v>99</v>
      </c>
      <c r="C9" s="9" t="s">
        <v>92</v>
      </c>
      <c r="D9" s="10">
        <f>E9+F9+G9+H9+I9+J9+K9+L9+M9+N9+O9+P9</f>
        <v>14033909.040000003</v>
      </c>
      <c r="E9" s="10">
        <f t="shared" ref="E9:P9" si="0">E19+E295</f>
        <v>763177.3</v>
      </c>
      <c r="F9" s="10">
        <f t="shared" si="0"/>
        <v>720249.84</v>
      </c>
      <c r="G9" s="10">
        <f t="shared" si="0"/>
        <v>787661.3</v>
      </c>
      <c r="H9" s="10">
        <f t="shared" si="0"/>
        <v>723709.7</v>
      </c>
      <c r="I9" s="10">
        <f t="shared" si="0"/>
        <v>1123197</v>
      </c>
      <c r="J9" s="10">
        <f t="shared" si="0"/>
        <v>1887122.0999999996</v>
      </c>
      <c r="K9" s="10">
        <f t="shared" si="0"/>
        <v>1976958.4</v>
      </c>
      <c r="L9" s="10">
        <f t="shared" si="0"/>
        <v>2124881.5</v>
      </c>
      <c r="M9" s="10">
        <f t="shared" si="0"/>
        <v>1916830.8000000003</v>
      </c>
      <c r="N9" s="10">
        <f t="shared" si="0"/>
        <v>1223110.5</v>
      </c>
      <c r="O9" s="10">
        <f t="shared" si="0"/>
        <v>393555.30000000005</v>
      </c>
      <c r="P9" s="10">
        <f t="shared" si="0"/>
        <v>393455.30000000005</v>
      </c>
    </row>
    <row r="10" spans="1:16" ht="49.5" customHeight="1" x14ac:dyDescent="0.2">
      <c r="A10" s="38"/>
      <c r="B10" s="38"/>
      <c r="C10" s="11" t="s">
        <v>25</v>
      </c>
      <c r="D10" s="12">
        <f>E10+F10+G10+H10+I10+J10+K10+L10+M10+N10+O10+P10</f>
        <v>55407.539999999994</v>
      </c>
      <c r="E10" s="12">
        <f>E13+E16</f>
        <v>34421.74</v>
      </c>
      <c r="F10" s="12">
        <f>F13+F16</f>
        <v>17132.8</v>
      </c>
      <c r="G10" s="12">
        <f>G13+G16</f>
        <v>2099.7999999999997</v>
      </c>
      <c r="H10" s="12">
        <f>H13+H16</f>
        <v>1753.2</v>
      </c>
      <c r="I10" s="12">
        <f>I13+I16</f>
        <v>0</v>
      </c>
      <c r="J10" s="12">
        <v>0</v>
      </c>
      <c r="K10" s="12">
        <v>0</v>
      </c>
      <c r="L10" s="12">
        <v>0</v>
      </c>
      <c r="M10" s="12">
        <v>0</v>
      </c>
      <c r="N10" s="12">
        <v>0</v>
      </c>
      <c r="O10" s="12">
        <v>0</v>
      </c>
      <c r="P10" s="12">
        <v>0</v>
      </c>
    </row>
    <row r="11" spans="1:16" ht="15.75" x14ac:dyDescent="0.2">
      <c r="A11" s="38"/>
      <c r="B11" s="38"/>
      <c r="C11" s="13" t="s">
        <v>1</v>
      </c>
      <c r="D11" s="2">
        <f t="shared" ref="D11:D18" si="1">E11+F11+G11+H11+I11+J11+K11+L11+M11+N11+O11+P11</f>
        <v>904820.10000000009</v>
      </c>
      <c r="E11" s="2">
        <f t="shared" ref="E11:P11" si="2">E20+E296</f>
        <v>14872.6</v>
      </c>
      <c r="F11" s="2">
        <f t="shared" si="2"/>
        <v>818.3</v>
      </c>
      <c r="G11" s="2">
        <f t="shared" si="2"/>
        <v>2394.3000000000002</v>
      </c>
      <c r="H11" s="2">
        <f t="shared" si="2"/>
        <v>0</v>
      </c>
      <c r="I11" s="2">
        <f t="shared" si="2"/>
        <v>403667</v>
      </c>
      <c r="J11" s="2">
        <f t="shared" si="2"/>
        <v>36000</v>
      </c>
      <c r="K11" s="2">
        <f t="shared" si="2"/>
        <v>369567.9</v>
      </c>
      <c r="L11" s="2">
        <f t="shared" si="2"/>
        <v>77500</v>
      </c>
      <c r="M11" s="2">
        <f t="shared" si="2"/>
        <v>0</v>
      </c>
      <c r="N11" s="2">
        <f t="shared" si="2"/>
        <v>0</v>
      </c>
      <c r="O11" s="2">
        <f t="shared" si="2"/>
        <v>0</v>
      </c>
      <c r="P11" s="2">
        <f t="shared" si="2"/>
        <v>0</v>
      </c>
    </row>
    <row r="12" spans="1:16" ht="31.5" x14ac:dyDescent="0.2">
      <c r="A12" s="38"/>
      <c r="B12" s="38"/>
      <c r="C12" s="13" t="s">
        <v>23</v>
      </c>
      <c r="D12" s="2">
        <f t="shared" si="1"/>
        <v>8684717.1399999987</v>
      </c>
      <c r="E12" s="2">
        <f t="shared" ref="E12:P12" si="3">E21+E297</f>
        <v>299339.3</v>
      </c>
      <c r="F12" s="2">
        <f t="shared" si="3"/>
        <v>320678.94</v>
      </c>
      <c r="G12" s="2">
        <f t="shared" si="3"/>
        <v>342311</v>
      </c>
      <c r="H12" s="2">
        <f t="shared" si="3"/>
        <v>304123.2</v>
      </c>
      <c r="I12" s="2">
        <f t="shared" si="3"/>
        <v>445203</v>
      </c>
      <c r="J12" s="2">
        <f t="shared" si="3"/>
        <v>1526457.7999999998</v>
      </c>
      <c r="K12" s="2">
        <f t="shared" si="3"/>
        <v>1153669.2</v>
      </c>
      <c r="L12" s="2">
        <f t="shared" si="3"/>
        <v>1576946.5</v>
      </c>
      <c r="M12" s="2">
        <f t="shared" si="3"/>
        <v>1490013.2000000002</v>
      </c>
      <c r="N12" s="2">
        <f t="shared" si="3"/>
        <v>925732.6</v>
      </c>
      <c r="O12" s="2">
        <f t="shared" si="3"/>
        <v>150121.20000000001</v>
      </c>
      <c r="P12" s="2">
        <f t="shared" si="3"/>
        <v>150121.20000000001</v>
      </c>
    </row>
    <row r="13" spans="1:16" ht="51.75" customHeight="1" x14ac:dyDescent="0.2">
      <c r="A13" s="38"/>
      <c r="B13" s="38"/>
      <c r="C13" s="11" t="s">
        <v>25</v>
      </c>
      <c r="D13" s="12">
        <f t="shared" si="1"/>
        <v>31785.5</v>
      </c>
      <c r="E13" s="12">
        <f>E22</f>
        <v>31785.5</v>
      </c>
      <c r="F13" s="12">
        <f>F22</f>
        <v>0</v>
      </c>
      <c r="G13" s="12">
        <f>G22</f>
        <v>0</v>
      </c>
      <c r="H13" s="12">
        <f>H22</f>
        <v>0</v>
      </c>
      <c r="I13" s="12">
        <f>I22</f>
        <v>0</v>
      </c>
      <c r="J13" s="12">
        <v>0</v>
      </c>
      <c r="K13" s="12">
        <v>0</v>
      </c>
      <c r="L13" s="12">
        <v>0</v>
      </c>
      <c r="M13" s="12">
        <v>0</v>
      </c>
      <c r="N13" s="12">
        <v>0</v>
      </c>
      <c r="O13" s="12">
        <v>0</v>
      </c>
      <c r="P13" s="12">
        <v>0</v>
      </c>
    </row>
    <row r="14" spans="1:16" ht="51.75" customHeight="1" x14ac:dyDescent="0.2">
      <c r="A14" s="38"/>
      <c r="B14" s="38"/>
      <c r="C14" s="14" t="s">
        <v>142</v>
      </c>
      <c r="D14" s="12">
        <f t="shared" si="1"/>
        <v>35791.300000000003</v>
      </c>
      <c r="E14" s="2">
        <v>0</v>
      </c>
      <c r="F14" s="2">
        <v>0</v>
      </c>
      <c r="G14" s="2">
        <v>0</v>
      </c>
      <c r="H14" s="2">
        <v>0</v>
      </c>
      <c r="I14" s="2">
        <v>0</v>
      </c>
      <c r="J14" s="2">
        <v>0</v>
      </c>
      <c r="K14" s="2">
        <v>0</v>
      </c>
      <c r="L14" s="2">
        <v>0</v>
      </c>
      <c r="M14" s="12">
        <f>M23</f>
        <v>35791.300000000003</v>
      </c>
      <c r="N14" s="12">
        <f t="shared" ref="N14:O14" si="4">N23</f>
        <v>0</v>
      </c>
      <c r="O14" s="12">
        <f t="shared" si="4"/>
        <v>0</v>
      </c>
      <c r="P14" s="12">
        <f t="shared" ref="P14" si="5">P23</f>
        <v>0</v>
      </c>
    </row>
    <row r="15" spans="1:16" ht="31.5" x14ac:dyDescent="0.2">
      <c r="A15" s="38"/>
      <c r="B15" s="38"/>
      <c r="C15" s="13" t="s">
        <v>24</v>
      </c>
      <c r="D15" s="2">
        <f t="shared" si="1"/>
        <v>4444371.7999999989</v>
      </c>
      <c r="E15" s="2">
        <f t="shared" ref="E15:P15" si="6">E24+E298</f>
        <v>448965.40000000008</v>
      </c>
      <c r="F15" s="2">
        <f t="shared" si="6"/>
        <v>398752.6</v>
      </c>
      <c r="G15" s="2">
        <f t="shared" si="6"/>
        <v>442955.99999999994</v>
      </c>
      <c r="H15" s="2">
        <f t="shared" si="6"/>
        <v>419586.49999999994</v>
      </c>
      <c r="I15" s="2">
        <f t="shared" si="6"/>
        <v>274327.00000000006</v>
      </c>
      <c r="J15" s="2">
        <f t="shared" si="6"/>
        <v>324664.29999999993</v>
      </c>
      <c r="K15" s="2">
        <f t="shared" si="6"/>
        <v>453721.30000000005</v>
      </c>
      <c r="L15" s="2">
        <f t="shared" si="6"/>
        <v>470435.00000000006</v>
      </c>
      <c r="M15" s="2">
        <f t="shared" si="6"/>
        <v>426817.60000000003</v>
      </c>
      <c r="N15" s="2">
        <f t="shared" si="6"/>
        <v>297377.90000000002</v>
      </c>
      <c r="O15" s="2">
        <f t="shared" si="6"/>
        <v>243434.10000000003</v>
      </c>
      <c r="P15" s="2">
        <f t="shared" si="6"/>
        <v>243334.10000000003</v>
      </c>
    </row>
    <row r="16" spans="1:16" ht="51" customHeight="1" x14ac:dyDescent="0.2">
      <c r="A16" s="38"/>
      <c r="B16" s="38"/>
      <c r="C16" s="11" t="s">
        <v>25</v>
      </c>
      <c r="D16" s="12">
        <f t="shared" si="1"/>
        <v>23622.04</v>
      </c>
      <c r="E16" s="12">
        <f>E25</f>
        <v>2636.2400000000002</v>
      </c>
      <c r="F16" s="12">
        <f t="shared" ref="F16:O16" si="7">F25</f>
        <v>17132.8</v>
      </c>
      <c r="G16" s="12">
        <f t="shared" si="7"/>
        <v>2099.7999999999997</v>
      </c>
      <c r="H16" s="12">
        <f t="shared" si="7"/>
        <v>1753.2</v>
      </c>
      <c r="I16" s="12">
        <f t="shared" si="7"/>
        <v>0</v>
      </c>
      <c r="J16" s="12">
        <f t="shared" si="7"/>
        <v>0</v>
      </c>
      <c r="K16" s="12">
        <f t="shared" si="7"/>
        <v>0</v>
      </c>
      <c r="L16" s="12">
        <f t="shared" si="7"/>
        <v>0</v>
      </c>
      <c r="M16" s="12">
        <f t="shared" si="7"/>
        <v>0</v>
      </c>
      <c r="N16" s="12">
        <f t="shared" si="7"/>
        <v>0</v>
      </c>
      <c r="O16" s="12">
        <f t="shared" si="7"/>
        <v>0</v>
      </c>
      <c r="P16" s="12">
        <f t="shared" ref="P16" si="8">P25</f>
        <v>0</v>
      </c>
    </row>
    <row r="17" spans="1:16" ht="51" customHeight="1" x14ac:dyDescent="0.2">
      <c r="A17" s="38"/>
      <c r="B17" s="38"/>
      <c r="C17" s="14" t="s">
        <v>71</v>
      </c>
      <c r="D17" s="12">
        <f t="shared" si="1"/>
        <v>2284.5</v>
      </c>
      <c r="E17" s="12">
        <f t="shared" ref="E17:O17" si="9">E26</f>
        <v>0</v>
      </c>
      <c r="F17" s="12">
        <f t="shared" si="9"/>
        <v>0</v>
      </c>
      <c r="G17" s="12">
        <f t="shared" si="9"/>
        <v>0</v>
      </c>
      <c r="H17" s="12">
        <f t="shared" si="9"/>
        <v>0</v>
      </c>
      <c r="I17" s="12">
        <f t="shared" si="9"/>
        <v>0</v>
      </c>
      <c r="J17" s="12">
        <f t="shared" si="9"/>
        <v>0</v>
      </c>
      <c r="K17" s="12">
        <f t="shared" si="9"/>
        <v>0</v>
      </c>
      <c r="L17" s="12">
        <f t="shared" si="9"/>
        <v>0</v>
      </c>
      <c r="M17" s="12">
        <f t="shared" si="9"/>
        <v>2284.5</v>
      </c>
      <c r="N17" s="12">
        <f t="shared" si="9"/>
        <v>0</v>
      </c>
      <c r="O17" s="12">
        <f t="shared" si="9"/>
        <v>0</v>
      </c>
      <c r="P17" s="12">
        <f t="shared" ref="P17" si="10">P26</f>
        <v>0</v>
      </c>
    </row>
    <row r="18" spans="1:16" ht="21" customHeight="1" x14ac:dyDescent="0.2">
      <c r="A18" s="38"/>
      <c r="B18" s="38"/>
      <c r="C18" s="15" t="s">
        <v>4</v>
      </c>
      <c r="D18" s="2">
        <f t="shared" si="1"/>
        <v>0</v>
      </c>
      <c r="E18" s="2">
        <v>0</v>
      </c>
      <c r="F18" s="2">
        <v>0</v>
      </c>
      <c r="G18" s="2">
        <v>0</v>
      </c>
      <c r="H18" s="2">
        <v>0</v>
      </c>
      <c r="I18" s="2">
        <v>0</v>
      </c>
      <c r="J18" s="2">
        <f t="shared" ref="J18:P18" si="11">J27+J299</f>
        <v>0</v>
      </c>
      <c r="K18" s="2">
        <f t="shared" si="11"/>
        <v>0</v>
      </c>
      <c r="L18" s="2">
        <f t="shared" si="11"/>
        <v>0</v>
      </c>
      <c r="M18" s="2">
        <f t="shared" si="11"/>
        <v>0</v>
      </c>
      <c r="N18" s="2">
        <f t="shared" si="11"/>
        <v>0</v>
      </c>
      <c r="O18" s="2">
        <f t="shared" si="11"/>
        <v>0</v>
      </c>
      <c r="P18" s="2">
        <f t="shared" si="11"/>
        <v>0</v>
      </c>
    </row>
    <row r="19" spans="1:16" ht="15.75" x14ac:dyDescent="0.2">
      <c r="A19" s="58" t="s">
        <v>6</v>
      </c>
      <c r="B19" s="38" t="s">
        <v>9</v>
      </c>
      <c r="C19" s="9" t="s">
        <v>92</v>
      </c>
      <c r="D19" s="10">
        <f>E19+F19+G19+H19+I19+J19+K19+L19+M19+N19+O19+P19</f>
        <v>12357682.839999998</v>
      </c>
      <c r="E19" s="10">
        <f>E20+E21+E24+E27</f>
        <v>648991.20000000007</v>
      </c>
      <c r="F19" s="10">
        <f>F20+F21+F24+F27</f>
        <v>661777.24</v>
      </c>
      <c r="G19" s="10">
        <f>G20+G21+G24+G27</f>
        <v>711501</v>
      </c>
      <c r="H19" s="10">
        <f t="shared" ref="H19" si="12">H20+H21+H24+H27</f>
        <v>669033.1</v>
      </c>
      <c r="I19" s="10">
        <f>I20+I21+I24+I27</f>
        <v>1052941.7</v>
      </c>
      <c r="J19" s="10">
        <f>J20+J21+J24+J27</f>
        <v>1795285.6999999997</v>
      </c>
      <c r="K19" s="10">
        <f>K20+K21+K24+K27</f>
        <v>1804328.9</v>
      </c>
      <c r="L19" s="10">
        <f>L20+L21+L24+L27</f>
        <v>1802646.8</v>
      </c>
      <c r="M19" s="10">
        <f t="shared" ref="M19:O19" si="13">M20+M21+M24+M27</f>
        <v>1557154.2000000002</v>
      </c>
      <c r="N19" s="10">
        <f t="shared" si="13"/>
        <v>964349.6</v>
      </c>
      <c r="O19" s="10">
        <f t="shared" si="13"/>
        <v>344836.70000000007</v>
      </c>
      <c r="P19" s="10">
        <f t="shared" ref="P19" si="14">P20+P21+P24+P27</f>
        <v>344836.70000000007</v>
      </c>
    </row>
    <row r="20" spans="1:16" ht="15.75" x14ac:dyDescent="0.2">
      <c r="A20" s="58"/>
      <c r="B20" s="38"/>
      <c r="C20" s="13" t="s">
        <v>1</v>
      </c>
      <c r="D20" s="2">
        <f>E20+F20+G20+H20+I20+J20+K20+L20+M20+N20+O20+P20</f>
        <v>814605.10000000009</v>
      </c>
      <c r="E20" s="2">
        <f t="shared" ref="E20:P20" si="15">E29+E269</f>
        <v>3757.6</v>
      </c>
      <c r="F20" s="2">
        <f t="shared" si="15"/>
        <v>818.3</v>
      </c>
      <c r="G20" s="2">
        <f t="shared" si="15"/>
        <v>794.3</v>
      </c>
      <c r="H20" s="2">
        <f t="shared" si="15"/>
        <v>0</v>
      </c>
      <c r="I20" s="2">
        <f t="shared" si="15"/>
        <v>403667</v>
      </c>
      <c r="J20" s="2">
        <f t="shared" si="15"/>
        <v>36000</v>
      </c>
      <c r="K20" s="2">
        <f t="shared" si="15"/>
        <v>369567.9</v>
      </c>
      <c r="L20" s="2">
        <f t="shared" si="15"/>
        <v>0</v>
      </c>
      <c r="M20" s="2">
        <f t="shared" si="15"/>
        <v>0</v>
      </c>
      <c r="N20" s="2">
        <f t="shared" si="15"/>
        <v>0</v>
      </c>
      <c r="O20" s="2">
        <f t="shared" si="15"/>
        <v>0</v>
      </c>
      <c r="P20" s="2">
        <f t="shared" si="15"/>
        <v>0</v>
      </c>
    </row>
    <row r="21" spans="1:16" ht="31.5" x14ac:dyDescent="0.2">
      <c r="A21" s="58"/>
      <c r="B21" s="38"/>
      <c r="C21" s="13" t="s">
        <v>23</v>
      </c>
      <c r="D21" s="2">
        <f t="shared" ref="D21:D27" si="16">E21+F21+G21+H21+I21+J21+K21+L21+M21+N21+O21+P21</f>
        <v>8110486.7400000002</v>
      </c>
      <c r="E21" s="2">
        <f t="shared" ref="E21:P21" si="17">E30+E270</f>
        <v>290106.7</v>
      </c>
      <c r="F21" s="2">
        <f t="shared" si="17"/>
        <v>320678.94</v>
      </c>
      <c r="G21" s="2">
        <f t="shared" si="17"/>
        <v>342311</v>
      </c>
      <c r="H21" s="2">
        <f t="shared" si="17"/>
        <v>304123.2</v>
      </c>
      <c r="I21" s="2">
        <f t="shared" si="17"/>
        <v>445203</v>
      </c>
      <c r="J21" s="2">
        <f t="shared" si="17"/>
        <v>1514103.2999999998</v>
      </c>
      <c r="K21" s="2">
        <f t="shared" si="17"/>
        <v>1129118</v>
      </c>
      <c r="L21" s="2">
        <f t="shared" si="17"/>
        <v>1499419.5</v>
      </c>
      <c r="M21" s="2">
        <f t="shared" si="17"/>
        <v>1276208.6000000001</v>
      </c>
      <c r="N21" s="2">
        <f t="shared" si="17"/>
        <v>688972.1</v>
      </c>
      <c r="O21" s="2">
        <f t="shared" si="17"/>
        <v>150121.20000000001</v>
      </c>
      <c r="P21" s="2">
        <f t="shared" si="17"/>
        <v>150121.20000000001</v>
      </c>
    </row>
    <row r="22" spans="1:16" ht="54.75" customHeight="1" x14ac:dyDescent="0.2">
      <c r="A22" s="58"/>
      <c r="B22" s="38"/>
      <c r="C22" s="11" t="s">
        <v>25</v>
      </c>
      <c r="D22" s="2">
        <f t="shared" si="16"/>
        <v>31785.5</v>
      </c>
      <c r="E22" s="2">
        <f t="shared" ref="E22:P22" si="18">E31+E271</f>
        <v>31785.5</v>
      </c>
      <c r="F22" s="2">
        <f t="shared" si="18"/>
        <v>0</v>
      </c>
      <c r="G22" s="2">
        <f t="shared" si="18"/>
        <v>0</v>
      </c>
      <c r="H22" s="2">
        <f t="shared" si="18"/>
        <v>0</v>
      </c>
      <c r="I22" s="2">
        <f t="shared" si="18"/>
        <v>0</v>
      </c>
      <c r="J22" s="2">
        <f t="shared" si="18"/>
        <v>0</v>
      </c>
      <c r="K22" s="2">
        <f t="shared" si="18"/>
        <v>0</v>
      </c>
      <c r="L22" s="2">
        <f t="shared" si="18"/>
        <v>0</v>
      </c>
      <c r="M22" s="2">
        <f t="shared" si="18"/>
        <v>0</v>
      </c>
      <c r="N22" s="2">
        <f t="shared" si="18"/>
        <v>0</v>
      </c>
      <c r="O22" s="2">
        <f t="shared" si="18"/>
        <v>0</v>
      </c>
      <c r="P22" s="2">
        <f t="shared" si="18"/>
        <v>0</v>
      </c>
    </row>
    <row r="23" spans="1:16" ht="54.75" customHeight="1" x14ac:dyDescent="0.2">
      <c r="A23" s="58"/>
      <c r="B23" s="38"/>
      <c r="C23" s="14" t="s">
        <v>142</v>
      </c>
      <c r="D23" s="2">
        <f>E23+F23+G23+H23+I23+J23+K23+L23+M23+N23+O23+P23</f>
        <v>35791.300000000003</v>
      </c>
      <c r="E23" s="2">
        <f t="shared" ref="E23:O23" si="19">E32</f>
        <v>0</v>
      </c>
      <c r="F23" s="2">
        <f t="shared" si="19"/>
        <v>0</v>
      </c>
      <c r="G23" s="2">
        <f t="shared" si="19"/>
        <v>0</v>
      </c>
      <c r="H23" s="2">
        <f t="shared" si="19"/>
        <v>0</v>
      </c>
      <c r="I23" s="2">
        <f t="shared" si="19"/>
        <v>0</v>
      </c>
      <c r="J23" s="2">
        <f t="shared" si="19"/>
        <v>0</v>
      </c>
      <c r="K23" s="2">
        <f t="shared" si="19"/>
        <v>0</v>
      </c>
      <c r="L23" s="2">
        <f t="shared" si="19"/>
        <v>0</v>
      </c>
      <c r="M23" s="2">
        <f t="shared" si="19"/>
        <v>35791.300000000003</v>
      </c>
      <c r="N23" s="2">
        <f t="shared" si="19"/>
        <v>0</v>
      </c>
      <c r="O23" s="2">
        <f t="shared" si="19"/>
        <v>0</v>
      </c>
      <c r="P23" s="2">
        <f t="shared" ref="P23" si="20">P32</f>
        <v>0</v>
      </c>
    </row>
    <row r="24" spans="1:16" ht="31.5" x14ac:dyDescent="0.2">
      <c r="A24" s="58"/>
      <c r="B24" s="38"/>
      <c r="C24" s="13" t="s">
        <v>24</v>
      </c>
      <c r="D24" s="2">
        <f t="shared" si="16"/>
        <v>3432591.0000000005</v>
      </c>
      <c r="E24" s="2">
        <f t="shared" ref="E24:P24" si="21">E33+E272</f>
        <v>355126.90000000008</v>
      </c>
      <c r="F24" s="2">
        <f t="shared" si="21"/>
        <v>340280</v>
      </c>
      <c r="G24" s="2">
        <f t="shared" si="21"/>
        <v>368395.69999999995</v>
      </c>
      <c r="H24" s="2">
        <f t="shared" si="21"/>
        <v>364909.89999999997</v>
      </c>
      <c r="I24" s="2">
        <f t="shared" si="21"/>
        <v>204071.70000000004</v>
      </c>
      <c r="J24" s="2">
        <f t="shared" si="21"/>
        <v>245182.39999999994</v>
      </c>
      <c r="K24" s="2">
        <f t="shared" si="21"/>
        <v>305643.00000000006</v>
      </c>
      <c r="L24" s="2">
        <f t="shared" si="21"/>
        <v>303227.30000000005</v>
      </c>
      <c r="M24" s="2">
        <f t="shared" si="21"/>
        <v>280945.60000000003</v>
      </c>
      <c r="N24" s="2">
        <f t="shared" si="21"/>
        <v>275377.5</v>
      </c>
      <c r="O24" s="2">
        <f t="shared" si="21"/>
        <v>194715.50000000003</v>
      </c>
      <c r="P24" s="2">
        <f t="shared" si="21"/>
        <v>194715.50000000003</v>
      </c>
    </row>
    <row r="25" spans="1:16" ht="54" customHeight="1" x14ac:dyDescent="0.2">
      <c r="A25" s="58"/>
      <c r="B25" s="38"/>
      <c r="C25" s="11" t="s">
        <v>25</v>
      </c>
      <c r="D25" s="2">
        <f t="shared" si="16"/>
        <v>23622.04</v>
      </c>
      <c r="E25" s="2">
        <f t="shared" ref="E25:P25" si="22">E34+E273</f>
        <v>2636.2400000000002</v>
      </c>
      <c r="F25" s="2">
        <f t="shared" si="22"/>
        <v>17132.8</v>
      </c>
      <c r="G25" s="2">
        <f t="shared" si="22"/>
        <v>2099.7999999999997</v>
      </c>
      <c r="H25" s="2">
        <f t="shared" si="22"/>
        <v>1753.2</v>
      </c>
      <c r="I25" s="2">
        <f t="shared" si="22"/>
        <v>0</v>
      </c>
      <c r="J25" s="2">
        <f t="shared" si="22"/>
        <v>0</v>
      </c>
      <c r="K25" s="2">
        <f t="shared" si="22"/>
        <v>0</v>
      </c>
      <c r="L25" s="2">
        <f t="shared" si="22"/>
        <v>0</v>
      </c>
      <c r="M25" s="2">
        <f t="shared" si="22"/>
        <v>0</v>
      </c>
      <c r="N25" s="2">
        <f t="shared" si="22"/>
        <v>0</v>
      </c>
      <c r="O25" s="2">
        <f t="shared" si="22"/>
        <v>0</v>
      </c>
      <c r="P25" s="2">
        <f t="shared" si="22"/>
        <v>0</v>
      </c>
    </row>
    <row r="26" spans="1:16" ht="54" customHeight="1" x14ac:dyDescent="0.2">
      <c r="A26" s="58"/>
      <c r="B26" s="38"/>
      <c r="C26" s="14" t="s">
        <v>71</v>
      </c>
      <c r="D26" s="2">
        <f t="shared" si="16"/>
        <v>2284.5</v>
      </c>
      <c r="E26" s="2">
        <f t="shared" ref="E26:O26" si="23">E35</f>
        <v>0</v>
      </c>
      <c r="F26" s="2">
        <f t="shared" si="23"/>
        <v>0</v>
      </c>
      <c r="G26" s="2">
        <f t="shared" si="23"/>
        <v>0</v>
      </c>
      <c r="H26" s="2">
        <f t="shared" si="23"/>
        <v>0</v>
      </c>
      <c r="I26" s="2">
        <f t="shared" si="23"/>
        <v>0</v>
      </c>
      <c r="J26" s="2">
        <f t="shared" si="23"/>
        <v>0</v>
      </c>
      <c r="K26" s="2">
        <f t="shared" si="23"/>
        <v>0</v>
      </c>
      <c r="L26" s="2">
        <f t="shared" si="23"/>
        <v>0</v>
      </c>
      <c r="M26" s="2">
        <f t="shared" si="23"/>
        <v>2284.5</v>
      </c>
      <c r="N26" s="2">
        <f t="shared" si="23"/>
        <v>0</v>
      </c>
      <c r="O26" s="2">
        <f t="shared" si="23"/>
        <v>0</v>
      </c>
      <c r="P26" s="2">
        <f t="shared" ref="P26" si="24">P35</f>
        <v>0</v>
      </c>
    </row>
    <row r="27" spans="1:16" ht="19.5" customHeight="1" x14ac:dyDescent="0.2">
      <c r="A27" s="58"/>
      <c r="B27" s="38"/>
      <c r="C27" s="13" t="s">
        <v>4</v>
      </c>
      <c r="D27" s="2">
        <f t="shared" si="16"/>
        <v>0</v>
      </c>
      <c r="E27" s="2">
        <f t="shared" ref="E27:P27" si="25">E36+E274</f>
        <v>0</v>
      </c>
      <c r="F27" s="2">
        <f t="shared" si="25"/>
        <v>0</v>
      </c>
      <c r="G27" s="2">
        <f t="shared" si="25"/>
        <v>0</v>
      </c>
      <c r="H27" s="2">
        <f t="shared" si="25"/>
        <v>0</v>
      </c>
      <c r="I27" s="2">
        <f t="shared" si="25"/>
        <v>0</v>
      </c>
      <c r="J27" s="2">
        <f t="shared" si="25"/>
        <v>0</v>
      </c>
      <c r="K27" s="2">
        <f t="shared" si="25"/>
        <v>0</v>
      </c>
      <c r="L27" s="2">
        <f t="shared" si="25"/>
        <v>0</v>
      </c>
      <c r="M27" s="2">
        <f t="shared" si="25"/>
        <v>0</v>
      </c>
      <c r="N27" s="2">
        <f t="shared" si="25"/>
        <v>0</v>
      </c>
      <c r="O27" s="2">
        <f t="shared" si="25"/>
        <v>0</v>
      </c>
      <c r="P27" s="2">
        <f t="shared" si="25"/>
        <v>0</v>
      </c>
    </row>
    <row r="28" spans="1:16" ht="15.75" x14ac:dyDescent="0.2">
      <c r="A28" s="39" t="s">
        <v>7</v>
      </c>
      <c r="B28" s="39" t="s">
        <v>51</v>
      </c>
      <c r="C28" s="13" t="s">
        <v>92</v>
      </c>
      <c r="D28" s="2">
        <f>E28+F28+G28+H28+I28+J28+K28+L28+M28+N28+O28+P28</f>
        <v>8719775.7399999984</v>
      </c>
      <c r="E28" s="2">
        <f t="shared" ref="E28:O28" si="26">E29+E30++E33+E36</f>
        <v>648991.20000000007</v>
      </c>
      <c r="F28" s="2">
        <f t="shared" si="26"/>
        <v>661777.24</v>
      </c>
      <c r="G28" s="2">
        <f t="shared" si="26"/>
        <v>711501</v>
      </c>
      <c r="H28" s="2">
        <f t="shared" si="26"/>
        <v>669033.1</v>
      </c>
      <c r="I28" s="2">
        <f t="shared" si="26"/>
        <v>550128.5</v>
      </c>
      <c r="J28" s="2">
        <f t="shared" si="26"/>
        <v>957744.69999999984</v>
      </c>
      <c r="K28" s="2">
        <f>K29+K30++K33+K36</f>
        <v>1211086.1000000001</v>
      </c>
      <c r="L28" s="2">
        <f t="shared" si="26"/>
        <v>1101292.9000000001</v>
      </c>
      <c r="M28" s="2">
        <f t="shared" si="26"/>
        <v>1229847.1000000001</v>
      </c>
      <c r="N28" s="2">
        <f t="shared" si="26"/>
        <v>390840.5</v>
      </c>
      <c r="O28" s="2">
        <f t="shared" si="26"/>
        <v>293766.70000000007</v>
      </c>
      <c r="P28" s="2">
        <f t="shared" ref="P28" si="27">P29+P30++P33+P36</f>
        <v>293766.7</v>
      </c>
    </row>
    <row r="29" spans="1:16" ht="15.75" x14ac:dyDescent="0.2">
      <c r="A29" s="39"/>
      <c r="B29" s="39"/>
      <c r="C29" s="13" t="s">
        <v>1</v>
      </c>
      <c r="D29" s="2">
        <f t="shared" ref="D29:D36" si="28">E29+F29+G29+H29+I29+J29+K29+L29+M29+N29+O29+P29</f>
        <v>41370.199999999997</v>
      </c>
      <c r="E29" s="2">
        <f>E38+E43+E53+E58+E69+E76+E82+E89+E96+E103+E109+E115+E121+E128+E135+E140+E150+E155+E161+E169+E174+E179+E184+E189+E194</f>
        <v>3757.6</v>
      </c>
      <c r="F29" s="2">
        <f>F38+F43+F53+F58+F69+F76+F82+F89+F96+F103+F109+F115+F121+F128+F135+F140+F150+F155+F161+F169+F174+F179+F184+F189+F194</f>
        <v>818.3</v>
      </c>
      <c r="G29" s="2">
        <f>G38+G43+G53+G58+G69+G76+G82+G89+G96+G103+G109+G115+G121+G128+G135+G140+G150+G155+G161+G169+G174+G179+G184+G189+G194</f>
        <v>794.3</v>
      </c>
      <c r="H29" s="2">
        <f>H38+H43+H53+H58+H69+H76+H82+H89+H96+H103+H109+H115+H121+H128+H135+H140+H150+H155+H161+H169+H174+H179+H184+H189+H194</f>
        <v>0</v>
      </c>
      <c r="I29" s="2">
        <f>I38+I43+I53+I58+I69+I76+I82+I89+I96+I103+I109+I115+I121+I128+I135+I140+I150+I155+I161+I169+I174+I179+I184+I189+I194</f>
        <v>0</v>
      </c>
      <c r="J29" s="2">
        <f>J38+J43+J53+J58+J69+J76+J82+J89+J96+J103+J109+J115+J121+J128+J135+J140+J150+J155+J161+J169+J174+J179+J184+J189+J194+J199</f>
        <v>36000</v>
      </c>
      <c r="K29" s="2">
        <f t="shared" ref="K29:P29" si="29">K38+K43+K53+K58+K69+K76+K82+K89+K96+K103+K109+K115+K121+K128+K135+K140+K150+K155+K161+K169+K174+K179+K184+K189+K194</f>
        <v>0</v>
      </c>
      <c r="L29" s="2">
        <f t="shared" si="29"/>
        <v>0</v>
      </c>
      <c r="M29" s="2">
        <f t="shared" si="29"/>
        <v>0</v>
      </c>
      <c r="N29" s="2">
        <f t="shared" si="29"/>
        <v>0</v>
      </c>
      <c r="O29" s="2">
        <f t="shared" si="29"/>
        <v>0</v>
      </c>
      <c r="P29" s="2">
        <f t="shared" si="29"/>
        <v>0</v>
      </c>
    </row>
    <row r="30" spans="1:16" ht="31.5" x14ac:dyDescent="0.2">
      <c r="A30" s="39"/>
      <c r="B30" s="39"/>
      <c r="C30" s="13" t="s">
        <v>23</v>
      </c>
      <c r="D30" s="2">
        <f t="shared" si="28"/>
        <v>5314673.84</v>
      </c>
      <c r="E30" s="2">
        <f>E39+E44+E54+E59+E70+E77+E83+E90+E97+E104+E110+E116+E122+E129+E136+E151+E156+E162+E170+E175+E141+E180+E49+E64+E146+E185+E190+E195</f>
        <v>290106.7</v>
      </c>
      <c r="F30" s="2">
        <f>F39+F44+F54+F59+F70+F77+F83+F90+F97+F104+F110+F116+F122+F129+F136+F151+F156+F162+F170+F175+F141+F180+F49+F64+F146+F185+F190+F195</f>
        <v>320678.94</v>
      </c>
      <c r="G30" s="2">
        <f>G39+G44+G54+G59+G70+G77+G83+G90+G97+G104+G110+G116+G122+G129+G136+G151+G156+G162+G170+G175+G141+G180+G49+G64+G146+G185+G190+G195</f>
        <v>342311</v>
      </c>
      <c r="H30" s="2">
        <f>H39+H44+H54+H59+H70+H77+H83+H90+H97+H104+H110+H116+H122+H129+H136+H151+H156+H162+H170+H175+H141+H180+H49+H64+H146+H185+H190+H195</f>
        <v>304123.2</v>
      </c>
      <c r="I30" s="2">
        <f>I39+I44+I54+I59+I70+I77+I83+I90+I97+I104+I110+I116+I122+I129+I136+I151+I156+I162+I170+I175+I141+I180+I49+I64+I146+I185+I190+I195+I215</f>
        <v>353471</v>
      </c>
      <c r="J30" s="2">
        <f>J39+J44+J54+J59+J70+J77+J83+J90+J97+J104+J110+J116+J122+J129+J136+J151+J156+J162+J170+J175+J141+J180+J49+J64+J146+J185+J190+J195+J215</f>
        <v>689569.59999999986</v>
      </c>
      <c r="K30" s="2">
        <f>K39+K44+K54+K59+K70+K77+K83+K90+K97+K104+K110+K116+K122+K129+K136+K151+K156+K162+K170+K175+K141+K180+K49+K64+K146+K185+K190+K195+K215</f>
        <v>915048.6</v>
      </c>
      <c r="L30" s="2">
        <f>L39+L44+L54+L59+L70+L77+L83+L90+L97+L104+L110+L116+L122+L129+L136+L151+L156+L162+L170+L175+L141+L180+L49+L64+L146+L185+L190+L195+L215</f>
        <v>810963.50000000012</v>
      </c>
      <c r="M30" s="2">
        <f>M39+M44+M54+M59+M70+M77+M83+M90+M97+M104+M110+M116+M122+M129+M136+M151+M156+M162+M170+M175+M141+M180+M49+M64+M146+M185+M190+M195+M253</f>
        <v>961836.79999999993</v>
      </c>
      <c r="N30" s="2">
        <f>N39+N44+N54+N59+N70+N77+N83+N90+N97+N104+N110+N116+N122+N129+N136+N151+N156+N162+N170+N175+N141+N180+N49+N64+N146+N185+N190+N195+N260</f>
        <v>126322.09999999999</v>
      </c>
      <c r="O30" s="2">
        <f t="shared" ref="O30:P30" si="30">O39+O44+O54+O59+O70+O77+O83+O90+O97+O104+O110+O116+O122+O129+O136+O151+O156+O162+O170+O175+O141+O180+O49+O64+O146+O185+O190+O195+O260</f>
        <v>100121.20000000001</v>
      </c>
      <c r="P30" s="2">
        <f t="shared" si="30"/>
        <v>100121.2</v>
      </c>
    </row>
    <row r="31" spans="1:16" ht="51.75" customHeight="1" x14ac:dyDescent="0.2">
      <c r="A31" s="39"/>
      <c r="B31" s="39"/>
      <c r="C31" s="11" t="s">
        <v>25</v>
      </c>
      <c r="D31" s="2">
        <f t="shared" si="28"/>
        <v>31785.5</v>
      </c>
      <c r="E31" s="12">
        <f t="shared" ref="E31:O31" si="31">E71+E91+E98</f>
        <v>31785.5</v>
      </c>
      <c r="F31" s="12">
        <f t="shared" si="31"/>
        <v>0</v>
      </c>
      <c r="G31" s="12">
        <f t="shared" si="31"/>
        <v>0</v>
      </c>
      <c r="H31" s="12">
        <f t="shared" si="31"/>
        <v>0</v>
      </c>
      <c r="I31" s="12">
        <f t="shared" si="31"/>
        <v>0</v>
      </c>
      <c r="J31" s="12">
        <f t="shared" si="31"/>
        <v>0</v>
      </c>
      <c r="K31" s="12">
        <f t="shared" si="31"/>
        <v>0</v>
      </c>
      <c r="L31" s="12">
        <f t="shared" si="31"/>
        <v>0</v>
      </c>
      <c r="M31" s="12">
        <f t="shared" si="31"/>
        <v>0</v>
      </c>
      <c r="N31" s="12">
        <f t="shared" si="31"/>
        <v>0</v>
      </c>
      <c r="O31" s="12">
        <f t="shared" si="31"/>
        <v>0</v>
      </c>
      <c r="P31" s="12">
        <f t="shared" ref="P31" si="32">P71+P91+P98</f>
        <v>0</v>
      </c>
    </row>
    <row r="32" spans="1:16" ht="51.75" customHeight="1" x14ac:dyDescent="0.2">
      <c r="A32" s="39"/>
      <c r="B32" s="39"/>
      <c r="C32" s="14" t="s">
        <v>142</v>
      </c>
      <c r="D32" s="2">
        <f t="shared" si="28"/>
        <v>35791.300000000003</v>
      </c>
      <c r="E32" s="2">
        <v>0</v>
      </c>
      <c r="F32" s="2">
        <v>0</v>
      </c>
      <c r="G32" s="2">
        <v>0</v>
      </c>
      <c r="H32" s="2">
        <v>0</v>
      </c>
      <c r="I32" s="2">
        <v>0</v>
      </c>
      <c r="J32" s="2">
        <v>0</v>
      </c>
      <c r="K32" s="2">
        <v>0</v>
      </c>
      <c r="L32" s="2">
        <v>0</v>
      </c>
      <c r="M32" s="12">
        <f>M163</f>
        <v>35791.300000000003</v>
      </c>
      <c r="N32" s="12">
        <f t="shared" ref="N32:O32" si="33">N163</f>
        <v>0</v>
      </c>
      <c r="O32" s="12">
        <f t="shared" si="33"/>
        <v>0</v>
      </c>
      <c r="P32" s="12">
        <f t="shared" ref="P32" si="34">P163</f>
        <v>0</v>
      </c>
    </row>
    <row r="33" spans="1:18" ht="31.5" x14ac:dyDescent="0.2">
      <c r="A33" s="39"/>
      <c r="B33" s="39"/>
      <c r="C33" s="13" t="s">
        <v>24</v>
      </c>
      <c r="D33" s="2">
        <f t="shared" si="28"/>
        <v>3363731.6999999997</v>
      </c>
      <c r="E33" s="2">
        <f>E40+E45+E50+E55+E60+E65+E72+E78+E84+E92+E99+E105+E111+E117+E123+E130+E137+E142+E147+E152+E157+E164+E171+E176+E181+E186+E191+E196</f>
        <v>355126.90000000008</v>
      </c>
      <c r="F33" s="2">
        <f>F40+F45+F50+F55+F60+F65+F72+F78+F84+F92+F99+F105+F111+F117+F123+F130+F137+F142+F147+F152+F157+F164+F171+F176+F181+F186+F191+F196</f>
        <v>340280</v>
      </c>
      <c r="G33" s="2">
        <f>G40+G45+G50+G55+G60+G65+G72+G78+G84+G92+G99+G105+G111+G117+G123+G130+G137+G142+G147+G152+G157+G164+G171+G176+G181+G186+G191+G196</f>
        <v>368395.69999999995</v>
      </c>
      <c r="H33" s="2">
        <f>H40+H45+H50+H55+H60+H65+H72+H78+H84+H92+H99+H105+H111+H117+H123+H130+H137+H142+H147+H152+H157+H164+H171+H176+H181+H186+H191+H196</f>
        <v>364909.89999999997</v>
      </c>
      <c r="I33" s="2">
        <f>I40+I45+I50+I55+I60+I65+I72+I78+I84+I92+I99+I105+I111+I117+I123+I130+I137+I142+I147+I152+I157+I164+I171+I176+I181+I186+I191+I196+I216</f>
        <v>196657.50000000003</v>
      </c>
      <c r="J33" s="2">
        <f>J40+J45+J50+J55+J60+J65+J72+J78+J84+J92+J99+J105+J111+J117+J123+J130+J137+J142+J147+J152+J157+J164+J171+J176+J181+J186+J191+J196+J201+J206+J216</f>
        <v>232175.09999999995</v>
      </c>
      <c r="K33" s="2">
        <f>K40+K45+K50+K55+K60+K65+K72+K78+K84+K92+K99+K105+K111+K117+K123+K130+K137+K142+K147+K152+K157+K164+K171+K176+K181+K186+K191+K196+K211+K216+K221+K226</f>
        <v>296037.50000000006</v>
      </c>
      <c r="L33" s="2">
        <f>L40+L45+L50+L55+L60+L65+L72+L78+L84+L92+L99+L105+L111+L117+L123+L130+L137+L142+L147+L152+L157+L164+L171+L176+L181+L186+L191+L196+L211+L216+L221+L226+L231+L236+L241+L246+L251</f>
        <v>290329.40000000002</v>
      </c>
      <c r="M33" s="2">
        <f>M40+M45+M50+M55+M60+M65+M72+M78+M84+M92+M99+M105+M111+M117+M123+M130+M137+M142+M147+M152+M157+M164+M171+M176+M181+M186+M191+M196+M211+M216+M221+M226+M231+M236+M241+M246+M251+M266</f>
        <v>268010.30000000005</v>
      </c>
      <c r="N33" s="2">
        <f>N40+N45+N50+N55+N60+N65+N72+N78+N84+N92+N99+N105+N111+N117+N123+N130+N137+N142+N147+N152+N157+N164+N171+N176+N181+N186+N191+N196+N211+N216+N221+N226+N231+N236+N241+N246+N251+N261</f>
        <v>264518.40000000002</v>
      </c>
      <c r="O33" s="2">
        <f t="shared" ref="O33:P33" si="35">O40+O45+O50+O55+O60+O65+O72+O78+O84+O92+O99+O105+O111+O117+O123+O130+O137+O142+O147+O152+O157+O164+O171+O176+O181+O186+O191+O196+O211+O216+O221+O226+O231+O236+O241+O246+O251+O261</f>
        <v>193645.50000000003</v>
      </c>
      <c r="P33" s="2">
        <f t="shared" si="35"/>
        <v>193645.50000000003</v>
      </c>
    </row>
    <row r="34" spans="1:18" ht="46.5" customHeight="1" x14ac:dyDescent="0.2">
      <c r="A34" s="39"/>
      <c r="B34" s="39"/>
      <c r="C34" s="11" t="s">
        <v>25</v>
      </c>
      <c r="D34" s="2">
        <f t="shared" si="28"/>
        <v>23622.04</v>
      </c>
      <c r="E34" s="12">
        <f t="shared" ref="E34:O34" si="36">E73+E85+E93+E100+E106+E112+E125+E132+E165</f>
        <v>2636.2400000000002</v>
      </c>
      <c r="F34" s="12">
        <f t="shared" si="36"/>
        <v>17132.8</v>
      </c>
      <c r="G34" s="12">
        <f t="shared" si="36"/>
        <v>2099.7999999999997</v>
      </c>
      <c r="H34" s="12">
        <f t="shared" si="36"/>
        <v>1753.2</v>
      </c>
      <c r="I34" s="12">
        <f t="shared" si="36"/>
        <v>0</v>
      </c>
      <c r="J34" s="12">
        <f t="shared" si="36"/>
        <v>0</v>
      </c>
      <c r="K34" s="12">
        <f t="shared" si="36"/>
        <v>0</v>
      </c>
      <c r="L34" s="12">
        <f t="shared" si="36"/>
        <v>0</v>
      </c>
      <c r="M34" s="12">
        <f t="shared" si="36"/>
        <v>0</v>
      </c>
      <c r="N34" s="12">
        <f t="shared" si="36"/>
        <v>0</v>
      </c>
      <c r="O34" s="12">
        <f t="shared" si="36"/>
        <v>0</v>
      </c>
      <c r="P34" s="12">
        <f t="shared" ref="P34" si="37">P73+P85+P93+P100+P106+P112+P125+P132+P165</f>
        <v>0</v>
      </c>
    </row>
    <row r="35" spans="1:18" ht="46.5" customHeight="1" x14ac:dyDescent="0.2">
      <c r="A35" s="39"/>
      <c r="B35" s="39"/>
      <c r="C35" s="14" t="s">
        <v>71</v>
      </c>
      <c r="D35" s="2">
        <f t="shared" si="28"/>
        <v>2284.5</v>
      </c>
      <c r="E35" s="2">
        <v>0</v>
      </c>
      <c r="F35" s="2">
        <v>0</v>
      </c>
      <c r="G35" s="2">
        <v>0</v>
      </c>
      <c r="H35" s="2">
        <v>0</v>
      </c>
      <c r="I35" s="2">
        <v>0</v>
      </c>
      <c r="J35" s="2">
        <v>0</v>
      </c>
      <c r="K35" s="2">
        <v>0</v>
      </c>
      <c r="L35" s="2">
        <v>0</v>
      </c>
      <c r="M35" s="12">
        <f>M166</f>
        <v>2284.5</v>
      </c>
      <c r="N35" s="12">
        <f t="shared" ref="N35:O35" si="38">N166</f>
        <v>0</v>
      </c>
      <c r="O35" s="12">
        <f t="shared" si="38"/>
        <v>0</v>
      </c>
      <c r="P35" s="12">
        <f t="shared" ref="P35" si="39">P166</f>
        <v>0</v>
      </c>
    </row>
    <row r="36" spans="1:18" ht="24" customHeight="1" x14ac:dyDescent="0.2">
      <c r="A36" s="39"/>
      <c r="B36" s="39"/>
      <c r="C36" s="13" t="s">
        <v>4</v>
      </c>
      <c r="D36" s="2">
        <f t="shared" si="28"/>
        <v>0</v>
      </c>
      <c r="E36" s="2">
        <v>0</v>
      </c>
      <c r="F36" s="2">
        <v>0</v>
      </c>
      <c r="G36" s="2">
        <v>0</v>
      </c>
      <c r="H36" s="2">
        <v>0</v>
      </c>
      <c r="I36" s="2">
        <v>0</v>
      </c>
      <c r="J36" s="2">
        <v>0</v>
      </c>
      <c r="K36" s="2">
        <v>0</v>
      </c>
      <c r="L36" s="2">
        <v>0</v>
      </c>
      <c r="M36" s="2">
        <v>0</v>
      </c>
      <c r="N36" s="2">
        <v>0</v>
      </c>
      <c r="O36" s="2">
        <v>0</v>
      </c>
      <c r="P36" s="2">
        <v>0</v>
      </c>
    </row>
    <row r="37" spans="1:18" ht="19.5" customHeight="1" x14ac:dyDescent="0.2">
      <c r="A37" s="39" t="s">
        <v>26</v>
      </c>
      <c r="B37" s="39" t="s">
        <v>52</v>
      </c>
      <c r="C37" s="13" t="s">
        <v>92</v>
      </c>
      <c r="D37" s="2">
        <f>D38+D39+D40+D41</f>
        <v>226467.9</v>
      </c>
      <c r="E37" s="2">
        <f>SUM(E38:E41)</f>
        <v>226467.9</v>
      </c>
      <c r="F37" s="2">
        <f t="shared" ref="F37:O37" si="40">SUM(F38:F41)</f>
        <v>0</v>
      </c>
      <c r="G37" s="2">
        <f t="shared" si="40"/>
        <v>0</v>
      </c>
      <c r="H37" s="2">
        <f t="shared" si="40"/>
        <v>0</v>
      </c>
      <c r="I37" s="2">
        <f t="shared" si="40"/>
        <v>0</v>
      </c>
      <c r="J37" s="2">
        <f t="shared" si="40"/>
        <v>0</v>
      </c>
      <c r="K37" s="2">
        <f t="shared" si="40"/>
        <v>0</v>
      </c>
      <c r="L37" s="2">
        <f t="shared" si="40"/>
        <v>0</v>
      </c>
      <c r="M37" s="2">
        <f t="shared" si="40"/>
        <v>0</v>
      </c>
      <c r="N37" s="2">
        <f t="shared" si="40"/>
        <v>0</v>
      </c>
      <c r="O37" s="2">
        <f t="shared" si="40"/>
        <v>0</v>
      </c>
      <c r="P37" s="2">
        <f t="shared" ref="P37" si="41">SUM(P38:P41)</f>
        <v>0</v>
      </c>
    </row>
    <row r="38" spans="1:18" ht="19.5" customHeight="1" x14ac:dyDescent="0.2">
      <c r="A38" s="51"/>
      <c r="B38" s="39"/>
      <c r="C38" s="13" t="s">
        <v>1</v>
      </c>
      <c r="D38" s="2">
        <f>E38+F38+G38+H38+I38+J38+K38+L38+M38+N38+O38+P38</f>
        <v>0</v>
      </c>
      <c r="E38" s="2">
        <v>0</v>
      </c>
      <c r="F38" s="2">
        <v>0</v>
      </c>
      <c r="G38" s="2">
        <v>0</v>
      </c>
      <c r="H38" s="2">
        <v>0</v>
      </c>
      <c r="I38" s="2">
        <v>0</v>
      </c>
      <c r="J38" s="2">
        <v>0</v>
      </c>
      <c r="K38" s="2">
        <v>0</v>
      </c>
      <c r="L38" s="2">
        <v>0</v>
      </c>
      <c r="M38" s="2">
        <v>0</v>
      </c>
      <c r="N38" s="2">
        <v>0</v>
      </c>
      <c r="O38" s="2">
        <v>0</v>
      </c>
      <c r="P38" s="2">
        <v>0</v>
      </c>
    </row>
    <row r="39" spans="1:18" ht="19.5" customHeight="1" x14ac:dyDescent="0.2">
      <c r="A39" s="51"/>
      <c r="B39" s="39"/>
      <c r="C39" s="13" t="s">
        <v>2</v>
      </c>
      <c r="D39" s="2">
        <f t="shared" ref="D39:D41" si="42">E39+F39+G39+H39+I39+J39+K39+L39+M39+N39+O39+P39</f>
        <v>0</v>
      </c>
      <c r="E39" s="2">
        <v>0</v>
      </c>
      <c r="F39" s="2">
        <v>0</v>
      </c>
      <c r="G39" s="2">
        <v>0</v>
      </c>
      <c r="H39" s="2">
        <v>0</v>
      </c>
      <c r="I39" s="2">
        <v>0</v>
      </c>
      <c r="J39" s="2">
        <v>0</v>
      </c>
      <c r="K39" s="2">
        <v>0</v>
      </c>
      <c r="L39" s="2">
        <v>0</v>
      </c>
      <c r="M39" s="2">
        <v>0</v>
      </c>
      <c r="N39" s="2">
        <v>0</v>
      </c>
      <c r="O39" s="2">
        <v>0</v>
      </c>
      <c r="P39" s="2">
        <v>0</v>
      </c>
    </row>
    <row r="40" spans="1:18" ht="19.5" customHeight="1" x14ac:dyDescent="0.2">
      <c r="A40" s="51"/>
      <c r="B40" s="39"/>
      <c r="C40" s="13" t="s">
        <v>3</v>
      </c>
      <c r="D40" s="2">
        <f t="shared" si="42"/>
        <v>226467.9</v>
      </c>
      <c r="E40" s="2">
        <v>226467.9</v>
      </c>
      <c r="F40" s="2">
        <v>0</v>
      </c>
      <c r="G40" s="2">
        <v>0</v>
      </c>
      <c r="H40" s="2">
        <v>0</v>
      </c>
      <c r="I40" s="2">
        <v>0</v>
      </c>
      <c r="J40" s="2">
        <v>0</v>
      </c>
      <c r="K40" s="2">
        <v>0</v>
      </c>
      <c r="L40" s="2">
        <v>0</v>
      </c>
      <c r="M40" s="2">
        <v>0</v>
      </c>
      <c r="N40" s="2">
        <v>0</v>
      </c>
      <c r="O40" s="2">
        <v>0</v>
      </c>
      <c r="P40" s="2">
        <v>0</v>
      </c>
    </row>
    <row r="41" spans="1:18" ht="19.5" customHeight="1" x14ac:dyDescent="0.2">
      <c r="A41" s="51"/>
      <c r="B41" s="39"/>
      <c r="C41" s="13" t="s">
        <v>4</v>
      </c>
      <c r="D41" s="2">
        <f t="shared" si="42"/>
        <v>0</v>
      </c>
      <c r="E41" s="2">
        <v>0</v>
      </c>
      <c r="F41" s="2">
        <v>0</v>
      </c>
      <c r="G41" s="2">
        <v>0</v>
      </c>
      <c r="H41" s="2">
        <v>0</v>
      </c>
      <c r="I41" s="2">
        <v>0</v>
      </c>
      <c r="J41" s="2">
        <v>0</v>
      </c>
      <c r="K41" s="2">
        <v>0</v>
      </c>
      <c r="L41" s="2">
        <v>0</v>
      </c>
      <c r="M41" s="2">
        <v>0</v>
      </c>
      <c r="N41" s="2">
        <v>0</v>
      </c>
      <c r="O41" s="2">
        <v>0</v>
      </c>
      <c r="P41" s="2">
        <v>0</v>
      </c>
    </row>
    <row r="42" spans="1:18" ht="19.5" customHeight="1" x14ac:dyDescent="0.2">
      <c r="A42" s="39" t="s">
        <v>27</v>
      </c>
      <c r="B42" s="37" t="s">
        <v>8</v>
      </c>
      <c r="C42" s="13" t="s">
        <v>92</v>
      </c>
      <c r="D42" s="2">
        <f>D43+D44+D45+D46</f>
        <v>2020495.5999999999</v>
      </c>
      <c r="E42" s="2">
        <f t="shared" ref="E42:O42" si="43">SUM(E43:E46)</f>
        <v>45288</v>
      </c>
      <c r="F42" s="2">
        <f t="shared" si="43"/>
        <v>227495.3</v>
      </c>
      <c r="G42" s="2">
        <f t="shared" si="43"/>
        <v>251456.3</v>
      </c>
      <c r="H42" s="2">
        <f t="shared" si="43"/>
        <v>258156.3</v>
      </c>
      <c r="I42" s="2">
        <f t="shared" si="43"/>
        <v>96899.9</v>
      </c>
      <c r="J42" s="2">
        <f t="shared" si="43"/>
        <v>156910.29999999999</v>
      </c>
      <c r="K42" s="2">
        <f t="shared" si="43"/>
        <v>164434.20000000001</v>
      </c>
      <c r="L42" s="2">
        <f t="shared" si="43"/>
        <v>169575.7</v>
      </c>
      <c r="M42" s="2">
        <f t="shared" si="43"/>
        <v>134579.20000000001</v>
      </c>
      <c r="N42" s="2">
        <f t="shared" si="43"/>
        <v>211358.19999999998</v>
      </c>
      <c r="O42" s="2">
        <f t="shared" si="43"/>
        <v>152171.1</v>
      </c>
      <c r="P42" s="2">
        <f t="shared" ref="P42" si="44">SUM(P43:P46)</f>
        <v>152171.1</v>
      </c>
    </row>
    <row r="43" spans="1:18" ht="19.5" customHeight="1" x14ac:dyDescent="0.2">
      <c r="A43" s="51"/>
      <c r="B43" s="37"/>
      <c r="C43" s="13" t="s">
        <v>1</v>
      </c>
      <c r="D43" s="2">
        <f>E43+F43+G43+H43+I43+J43+K43+L43+M43+N43+O43+P43</f>
        <v>0</v>
      </c>
      <c r="E43" s="2">
        <v>0</v>
      </c>
      <c r="F43" s="2">
        <v>0</v>
      </c>
      <c r="G43" s="2">
        <v>0</v>
      </c>
      <c r="H43" s="2">
        <v>0</v>
      </c>
      <c r="I43" s="2">
        <v>0</v>
      </c>
      <c r="J43" s="2">
        <v>0</v>
      </c>
      <c r="K43" s="2">
        <v>0</v>
      </c>
      <c r="L43" s="2">
        <v>0</v>
      </c>
      <c r="M43" s="2">
        <v>0</v>
      </c>
      <c r="N43" s="2">
        <v>0</v>
      </c>
      <c r="O43" s="2">
        <v>0</v>
      </c>
      <c r="P43" s="2">
        <v>0</v>
      </c>
    </row>
    <row r="44" spans="1:18" ht="19.5" customHeight="1" x14ac:dyDescent="0.2">
      <c r="A44" s="51"/>
      <c r="B44" s="37"/>
      <c r="C44" s="13" t="s">
        <v>2</v>
      </c>
      <c r="D44" s="2">
        <f t="shared" ref="D44:D46" si="45">E44+F44+G44+H44+I44+J44+K44+L44+M44+N44+O44+P44</f>
        <v>0</v>
      </c>
      <c r="E44" s="2">
        <v>0</v>
      </c>
      <c r="F44" s="2">
        <v>0</v>
      </c>
      <c r="G44" s="2">
        <v>0</v>
      </c>
      <c r="H44" s="2">
        <v>0</v>
      </c>
      <c r="I44" s="2">
        <v>0</v>
      </c>
      <c r="J44" s="2">
        <v>0</v>
      </c>
      <c r="K44" s="2">
        <v>0</v>
      </c>
      <c r="L44" s="2">
        <v>0</v>
      </c>
      <c r="M44" s="2">
        <v>0</v>
      </c>
      <c r="N44" s="2">
        <v>0</v>
      </c>
      <c r="O44" s="2">
        <v>0</v>
      </c>
      <c r="P44" s="2">
        <v>0</v>
      </c>
    </row>
    <row r="45" spans="1:18" ht="19.5" customHeight="1" x14ac:dyDescent="0.2">
      <c r="A45" s="51"/>
      <c r="B45" s="37"/>
      <c r="C45" s="13" t="s">
        <v>3</v>
      </c>
      <c r="D45" s="2">
        <f t="shared" si="45"/>
        <v>2020495.5999999999</v>
      </c>
      <c r="E45" s="2">
        <v>45288</v>
      </c>
      <c r="F45" s="2">
        <v>227495.3</v>
      </c>
      <c r="G45" s="2">
        <v>251456.3</v>
      </c>
      <c r="H45" s="2">
        <v>258156.3</v>
      </c>
      <c r="I45" s="2">
        <f>84107.8+2081.3+7633.4+3077.4</f>
        <v>96899.9</v>
      </c>
      <c r="J45" s="16">
        <f>98066-70000-1700+50044.3+20000+9000+20000+31500</f>
        <v>156910.29999999999</v>
      </c>
      <c r="K45" s="16">
        <f>82071.9+1000+1476.7-110.9+20814+21432.2+37750.3</f>
        <v>164434.20000000001</v>
      </c>
      <c r="L45" s="2">
        <f>104853.6+0.2+400+184.8+6000+35000+199.6+15302+7635.5</f>
        <v>169575.7</v>
      </c>
      <c r="M45" s="2">
        <f>104869+15-100801.9+421.8+494.6+991.7+0.1+1900.6+10000+9649.7+17636.1+16000+5255+35647.5+31000+1500</f>
        <v>134579.20000000001</v>
      </c>
      <c r="N45" s="2">
        <f>104869+18.5-73174.6+179645.3</f>
        <v>211358.19999999998</v>
      </c>
      <c r="O45" s="2">
        <v>152171.1</v>
      </c>
      <c r="P45" s="2">
        <v>152171.1</v>
      </c>
      <c r="Q45" s="7">
        <v>1</v>
      </c>
      <c r="R45" s="17"/>
    </row>
    <row r="46" spans="1:18" ht="19.5" customHeight="1" x14ac:dyDescent="0.2">
      <c r="A46" s="51"/>
      <c r="B46" s="37"/>
      <c r="C46" s="13" t="s">
        <v>4</v>
      </c>
      <c r="D46" s="2">
        <f t="shared" si="45"/>
        <v>0</v>
      </c>
      <c r="E46" s="2">
        <v>0</v>
      </c>
      <c r="F46" s="2">
        <v>0</v>
      </c>
      <c r="G46" s="2">
        <v>0</v>
      </c>
      <c r="H46" s="2">
        <v>0</v>
      </c>
      <c r="I46" s="2">
        <v>0</v>
      </c>
      <c r="J46" s="2">
        <v>0</v>
      </c>
      <c r="K46" s="2">
        <v>0</v>
      </c>
      <c r="L46" s="2">
        <v>0</v>
      </c>
      <c r="M46" s="2">
        <v>0</v>
      </c>
      <c r="N46" s="2">
        <v>0</v>
      </c>
      <c r="O46" s="2">
        <v>0</v>
      </c>
      <c r="P46" s="2">
        <v>0</v>
      </c>
    </row>
    <row r="47" spans="1:18" ht="33" customHeight="1" x14ac:dyDescent="0.2">
      <c r="A47" s="39" t="s">
        <v>28</v>
      </c>
      <c r="B47" s="37" t="s">
        <v>77</v>
      </c>
      <c r="C47" s="13" t="s">
        <v>92</v>
      </c>
      <c r="D47" s="2">
        <f>D48+D49+D50+D51</f>
        <v>605046.39999999991</v>
      </c>
      <c r="E47" s="2">
        <f t="shared" ref="E47:O47" si="46">SUM(E48:E51)</f>
        <v>0</v>
      </c>
      <c r="F47" s="2">
        <f t="shared" si="46"/>
        <v>0</v>
      </c>
      <c r="G47" s="2">
        <f t="shared" si="46"/>
        <v>0</v>
      </c>
      <c r="H47" s="2">
        <f t="shared" si="46"/>
        <v>0</v>
      </c>
      <c r="I47" s="2">
        <f t="shared" si="46"/>
        <v>151508</v>
      </c>
      <c r="J47" s="2">
        <f t="shared" si="46"/>
        <v>61051.599999999991</v>
      </c>
      <c r="K47" s="2">
        <f>SUM(K48:K51)</f>
        <v>126445.2</v>
      </c>
      <c r="L47" s="2">
        <f t="shared" si="46"/>
        <v>126686.5</v>
      </c>
      <c r="M47" s="2">
        <f t="shared" si="46"/>
        <v>139355.1</v>
      </c>
      <c r="N47" s="2">
        <f t="shared" si="46"/>
        <v>0</v>
      </c>
      <c r="O47" s="2">
        <f t="shared" si="46"/>
        <v>0</v>
      </c>
      <c r="P47" s="2">
        <f t="shared" ref="P47" si="47">SUM(P48:P51)</f>
        <v>0</v>
      </c>
    </row>
    <row r="48" spans="1:18" ht="33" customHeight="1" x14ac:dyDescent="0.2">
      <c r="A48" s="51"/>
      <c r="B48" s="37"/>
      <c r="C48" s="13" t="s">
        <v>1</v>
      </c>
      <c r="D48" s="2">
        <f>E48+F48+G48+H48+I48+J48+K48+L48+M48+N48+O48</f>
        <v>0</v>
      </c>
      <c r="E48" s="2">
        <v>0</v>
      </c>
      <c r="F48" s="2">
        <v>0</v>
      </c>
      <c r="G48" s="2">
        <v>0</v>
      </c>
      <c r="H48" s="2">
        <v>0</v>
      </c>
      <c r="I48" s="2">
        <v>0</v>
      </c>
      <c r="J48" s="2">
        <v>0</v>
      </c>
      <c r="K48" s="2">
        <v>0</v>
      </c>
      <c r="L48" s="2">
        <v>0</v>
      </c>
      <c r="M48" s="2">
        <v>0</v>
      </c>
      <c r="N48" s="2">
        <v>0</v>
      </c>
      <c r="O48" s="2">
        <v>0</v>
      </c>
      <c r="P48" s="2">
        <v>0</v>
      </c>
    </row>
    <row r="49" spans="1:18" ht="27.75" customHeight="1" x14ac:dyDescent="0.2">
      <c r="A49" s="51"/>
      <c r="B49" s="37"/>
      <c r="C49" s="13" t="s">
        <v>2</v>
      </c>
      <c r="D49" s="2">
        <f>E49+F49+G49+H49+I49+J49+K49+L49+M49+N49+O49+P49</f>
        <v>581497.19999999995</v>
      </c>
      <c r="E49" s="2">
        <v>0</v>
      </c>
      <c r="F49" s="2">
        <v>0</v>
      </c>
      <c r="G49" s="2">
        <v>0</v>
      </c>
      <c r="H49" s="2">
        <v>0</v>
      </c>
      <c r="I49" s="2">
        <f>150731.3+776.7</f>
        <v>151508</v>
      </c>
      <c r="J49" s="16">
        <f>111095.9-50044.3</f>
        <v>61051.599999999991</v>
      </c>
      <c r="K49" s="16">
        <v>118858.5</v>
      </c>
      <c r="L49" s="16">
        <f>119088.7-3.4</f>
        <v>119085.3</v>
      </c>
      <c r="M49" s="16">
        <f>118858.5-235.8+12371.1</f>
        <v>130993.8</v>
      </c>
      <c r="N49" s="16">
        <f>118858.5-289.3-53260.3-65308.9</f>
        <v>0</v>
      </c>
      <c r="O49" s="16">
        <f>143040.8-143040.8</f>
        <v>0</v>
      </c>
      <c r="P49" s="16">
        <v>0</v>
      </c>
    </row>
    <row r="50" spans="1:18" ht="15.75" x14ac:dyDescent="0.2">
      <c r="A50" s="51"/>
      <c r="B50" s="37"/>
      <c r="C50" s="13" t="s">
        <v>3</v>
      </c>
      <c r="D50" s="2">
        <f t="shared" ref="D50:D51" si="48">E50+F50+G50+H50+I50+J50+K50+L50+M50+N50+O50+P50</f>
        <v>23549.199999999997</v>
      </c>
      <c r="E50" s="2">
        <v>0</v>
      </c>
      <c r="F50" s="2">
        <v>0</v>
      </c>
      <c r="G50" s="2">
        <v>0</v>
      </c>
      <c r="H50" s="2">
        <v>0</v>
      </c>
      <c r="I50" s="2">
        <v>0</v>
      </c>
      <c r="J50" s="2">
        <v>0</v>
      </c>
      <c r="K50" s="2">
        <v>7586.7</v>
      </c>
      <c r="L50" s="2">
        <f>7601.4-0.2</f>
        <v>7601.2</v>
      </c>
      <c r="M50" s="2">
        <f>7585.7+1-15+789.6</f>
        <v>8361.2999999999993</v>
      </c>
      <c r="N50" s="2">
        <f>7585.7+1-18.5-3399.5-4168.7</f>
        <v>0</v>
      </c>
      <c r="O50" s="2">
        <f>9130.3-9130.3</f>
        <v>0</v>
      </c>
      <c r="P50" s="2">
        <v>0</v>
      </c>
    </row>
    <row r="51" spans="1:18" ht="20.25" customHeight="1" x14ac:dyDescent="0.2">
      <c r="A51" s="51"/>
      <c r="B51" s="37"/>
      <c r="C51" s="13" t="s">
        <v>4</v>
      </c>
      <c r="D51" s="2">
        <f t="shared" si="48"/>
        <v>0</v>
      </c>
      <c r="E51" s="2">
        <v>0</v>
      </c>
      <c r="F51" s="2">
        <v>0</v>
      </c>
      <c r="G51" s="2">
        <v>0</v>
      </c>
      <c r="H51" s="2">
        <v>0</v>
      </c>
      <c r="I51" s="2">
        <v>0</v>
      </c>
      <c r="J51" s="2">
        <v>0</v>
      </c>
      <c r="K51" s="2">
        <v>0</v>
      </c>
      <c r="L51" s="2">
        <v>0</v>
      </c>
      <c r="M51" s="2">
        <v>0</v>
      </c>
      <c r="N51" s="2">
        <v>0</v>
      </c>
      <c r="O51" s="2">
        <v>0</v>
      </c>
      <c r="P51" s="2">
        <v>0</v>
      </c>
    </row>
    <row r="52" spans="1:18" ht="21" customHeight="1" x14ac:dyDescent="0.2">
      <c r="A52" s="39" t="s">
        <v>29</v>
      </c>
      <c r="B52" s="37" t="s">
        <v>53</v>
      </c>
      <c r="C52" s="18" t="s">
        <v>92</v>
      </c>
      <c r="D52" s="19">
        <f>D53+D54+D55+D56</f>
        <v>34506.6</v>
      </c>
      <c r="E52" s="19">
        <f>E53+E54+E55+E56</f>
        <v>34506.6</v>
      </c>
      <c r="F52" s="19">
        <f t="shared" ref="F52:O52" si="49">F53+F54+F55+F56</f>
        <v>0</v>
      </c>
      <c r="G52" s="19">
        <f t="shared" si="49"/>
        <v>0</v>
      </c>
      <c r="H52" s="19">
        <f t="shared" si="49"/>
        <v>0</v>
      </c>
      <c r="I52" s="19">
        <f t="shared" si="49"/>
        <v>0</v>
      </c>
      <c r="J52" s="19">
        <f t="shared" si="49"/>
        <v>0</v>
      </c>
      <c r="K52" s="19">
        <f t="shared" si="49"/>
        <v>0</v>
      </c>
      <c r="L52" s="19">
        <f t="shared" si="49"/>
        <v>0</v>
      </c>
      <c r="M52" s="19">
        <f t="shared" si="49"/>
        <v>0</v>
      </c>
      <c r="N52" s="19">
        <f t="shared" si="49"/>
        <v>0</v>
      </c>
      <c r="O52" s="19">
        <f t="shared" si="49"/>
        <v>0</v>
      </c>
      <c r="P52" s="19">
        <f t="shared" ref="P52" si="50">P53+P54+P55+P56</f>
        <v>0</v>
      </c>
    </row>
    <row r="53" spans="1:18" ht="21" customHeight="1" x14ac:dyDescent="0.2">
      <c r="A53" s="51"/>
      <c r="B53" s="37"/>
      <c r="C53" s="13" t="s">
        <v>1</v>
      </c>
      <c r="D53" s="19">
        <f>E53+F53+G53+H53+I53+J53+K53+L53+M53+N53+O53+P53</f>
        <v>0</v>
      </c>
      <c r="E53" s="2">
        <v>0</v>
      </c>
      <c r="F53" s="2">
        <v>0</v>
      </c>
      <c r="G53" s="2">
        <v>0</v>
      </c>
      <c r="H53" s="2">
        <v>0</v>
      </c>
      <c r="I53" s="2">
        <v>0</v>
      </c>
      <c r="J53" s="2">
        <v>0</v>
      </c>
      <c r="K53" s="2">
        <v>0</v>
      </c>
      <c r="L53" s="2">
        <v>0</v>
      </c>
      <c r="M53" s="2">
        <v>0</v>
      </c>
      <c r="N53" s="2">
        <v>0</v>
      </c>
      <c r="O53" s="2">
        <v>0</v>
      </c>
      <c r="P53" s="2">
        <v>0</v>
      </c>
    </row>
    <row r="54" spans="1:18" ht="21" customHeight="1" x14ac:dyDescent="0.2">
      <c r="A54" s="51"/>
      <c r="B54" s="37"/>
      <c r="C54" s="13" t="s">
        <v>2</v>
      </c>
      <c r="D54" s="19">
        <f t="shared" ref="D54:D56" si="51">E54+F54+G54+H54+I54+J54+K54+L54+M54+N54+O54+P54</f>
        <v>0</v>
      </c>
      <c r="E54" s="2">
        <v>0</v>
      </c>
      <c r="F54" s="2">
        <v>0</v>
      </c>
      <c r="G54" s="2">
        <v>0</v>
      </c>
      <c r="H54" s="2">
        <v>0</v>
      </c>
      <c r="I54" s="2">
        <v>0</v>
      </c>
      <c r="J54" s="2">
        <v>0</v>
      </c>
      <c r="K54" s="2">
        <v>0</v>
      </c>
      <c r="L54" s="2">
        <v>0</v>
      </c>
      <c r="M54" s="2">
        <v>0</v>
      </c>
      <c r="N54" s="2">
        <v>0</v>
      </c>
      <c r="O54" s="2">
        <v>0</v>
      </c>
      <c r="P54" s="2">
        <v>0</v>
      </c>
    </row>
    <row r="55" spans="1:18" ht="21" customHeight="1" x14ac:dyDescent="0.2">
      <c r="A55" s="51"/>
      <c r="B55" s="37"/>
      <c r="C55" s="13" t="s">
        <v>3</v>
      </c>
      <c r="D55" s="19">
        <f t="shared" si="51"/>
        <v>34506.6</v>
      </c>
      <c r="E55" s="2">
        <v>34506.6</v>
      </c>
      <c r="F55" s="2">
        <v>0</v>
      </c>
      <c r="G55" s="2">
        <v>0</v>
      </c>
      <c r="H55" s="2">
        <v>0</v>
      </c>
      <c r="I55" s="2">
        <v>0</v>
      </c>
      <c r="J55" s="2">
        <v>0</v>
      </c>
      <c r="K55" s="2">
        <v>0</v>
      </c>
      <c r="L55" s="2">
        <v>0</v>
      </c>
      <c r="M55" s="2">
        <v>0</v>
      </c>
      <c r="N55" s="2">
        <v>0</v>
      </c>
      <c r="O55" s="2">
        <v>0</v>
      </c>
      <c r="P55" s="2">
        <v>0</v>
      </c>
    </row>
    <row r="56" spans="1:18" ht="21" customHeight="1" x14ac:dyDescent="0.2">
      <c r="A56" s="51"/>
      <c r="B56" s="37"/>
      <c r="C56" s="13" t="s">
        <v>4</v>
      </c>
      <c r="D56" s="19">
        <f t="shared" si="51"/>
        <v>0</v>
      </c>
      <c r="E56" s="2">
        <v>0</v>
      </c>
      <c r="F56" s="2">
        <v>0</v>
      </c>
      <c r="G56" s="2">
        <v>0</v>
      </c>
      <c r="H56" s="2">
        <v>0</v>
      </c>
      <c r="I56" s="2">
        <v>0</v>
      </c>
      <c r="J56" s="2">
        <v>0</v>
      </c>
      <c r="K56" s="2">
        <v>0</v>
      </c>
      <c r="L56" s="2">
        <v>0</v>
      </c>
      <c r="M56" s="2">
        <v>0</v>
      </c>
      <c r="N56" s="2">
        <v>0</v>
      </c>
      <c r="O56" s="2">
        <v>0</v>
      </c>
      <c r="P56" s="2">
        <v>0</v>
      </c>
    </row>
    <row r="57" spans="1:18" ht="21" customHeight="1" x14ac:dyDescent="0.25">
      <c r="A57" s="39" t="s">
        <v>30</v>
      </c>
      <c r="B57" s="37" t="s">
        <v>103</v>
      </c>
      <c r="C57" s="20" t="s">
        <v>92</v>
      </c>
      <c r="D57" s="19">
        <f>D58+D59+D60+D61</f>
        <v>455149.69999999995</v>
      </c>
      <c r="E57" s="19">
        <f>E58+E59+E60+E61</f>
        <v>1830.8</v>
      </c>
      <c r="F57" s="19">
        <f t="shared" ref="F57:O57" si="52">F58+F59+F60+F61</f>
        <v>50844.5</v>
      </c>
      <c r="G57" s="19">
        <f>G58+G59+G60+G61</f>
        <v>37890.699999999997</v>
      </c>
      <c r="H57" s="19">
        <f t="shared" si="52"/>
        <v>37516.300000000003</v>
      </c>
      <c r="I57" s="19">
        <f t="shared" si="52"/>
        <v>21897.599999999999</v>
      </c>
      <c r="J57" s="19">
        <f t="shared" si="52"/>
        <v>19163.400000000001</v>
      </c>
      <c r="K57" s="19">
        <f t="shared" si="52"/>
        <v>58056</v>
      </c>
      <c r="L57" s="19">
        <f t="shared" si="52"/>
        <v>60934.7</v>
      </c>
      <c r="M57" s="19">
        <f t="shared" si="52"/>
        <v>56233.5</v>
      </c>
      <c r="N57" s="19">
        <f t="shared" si="52"/>
        <v>43603.000000000007</v>
      </c>
      <c r="O57" s="19">
        <f t="shared" si="52"/>
        <v>33589.600000000006</v>
      </c>
      <c r="P57" s="19">
        <f t="shared" ref="P57" si="53">P58+P59+P60+P61</f>
        <v>33589.599999999999</v>
      </c>
      <c r="R57" s="17"/>
    </row>
    <row r="58" spans="1:18" ht="21" customHeight="1" x14ac:dyDescent="0.2">
      <c r="A58" s="51"/>
      <c r="B58" s="37"/>
      <c r="C58" s="13" t="s">
        <v>1</v>
      </c>
      <c r="D58" s="19">
        <f>E58+F58+G58+H58+I58+J58+K58+L58+M58+N58+O58+P58</f>
        <v>0</v>
      </c>
      <c r="E58" s="2">
        <v>0</v>
      </c>
      <c r="F58" s="2">
        <v>0</v>
      </c>
      <c r="G58" s="2">
        <v>0</v>
      </c>
      <c r="H58" s="2">
        <v>0</v>
      </c>
      <c r="I58" s="2">
        <v>0</v>
      </c>
      <c r="J58" s="2">
        <v>0</v>
      </c>
      <c r="K58" s="2">
        <v>0</v>
      </c>
      <c r="L58" s="2">
        <v>0</v>
      </c>
      <c r="M58" s="2">
        <v>0</v>
      </c>
      <c r="N58" s="2">
        <v>0</v>
      </c>
      <c r="O58" s="2">
        <v>0</v>
      </c>
      <c r="P58" s="2">
        <v>0</v>
      </c>
    </row>
    <row r="59" spans="1:18" ht="21" customHeight="1" x14ac:dyDescent="0.2">
      <c r="A59" s="51"/>
      <c r="B59" s="37"/>
      <c r="C59" s="13" t="s">
        <v>2</v>
      </c>
      <c r="D59" s="19">
        <f t="shared" ref="D59:D61" si="54">E59+F59+G59+H59+I59+J59+K59+L59+M59+N59+O59+P59</f>
        <v>0</v>
      </c>
      <c r="E59" s="2">
        <v>0</v>
      </c>
      <c r="F59" s="2">
        <v>0</v>
      </c>
      <c r="G59" s="2">
        <v>0</v>
      </c>
      <c r="H59" s="2">
        <v>0</v>
      </c>
      <c r="I59" s="2">
        <v>0</v>
      </c>
      <c r="J59" s="2">
        <v>0</v>
      </c>
      <c r="K59" s="2">
        <v>0</v>
      </c>
      <c r="L59" s="2">
        <v>0</v>
      </c>
      <c r="M59" s="2">
        <v>0</v>
      </c>
      <c r="N59" s="2">
        <v>0</v>
      </c>
      <c r="O59" s="2">
        <v>0</v>
      </c>
      <c r="P59" s="2">
        <v>0</v>
      </c>
    </row>
    <row r="60" spans="1:18" ht="21" customHeight="1" x14ac:dyDescent="0.2">
      <c r="A60" s="51"/>
      <c r="B60" s="37"/>
      <c r="C60" s="13" t="s">
        <v>3</v>
      </c>
      <c r="D60" s="19">
        <f t="shared" si="54"/>
        <v>455149.69999999995</v>
      </c>
      <c r="E60" s="2">
        <v>1830.8</v>
      </c>
      <c r="F60" s="2">
        <v>50844.5</v>
      </c>
      <c r="G60" s="2">
        <v>37890.699999999997</v>
      </c>
      <c r="H60" s="2">
        <v>37516.300000000003</v>
      </c>
      <c r="I60" s="2">
        <f>20927.8+969.8</f>
        <v>21897.599999999999</v>
      </c>
      <c r="J60" s="2">
        <f>16425.4+92.1+2645.9</f>
        <v>19163.400000000001</v>
      </c>
      <c r="K60" s="2">
        <f>32451.6+7655.4+10704+7245</f>
        <v>58056</v>
      </c>
      <c r="L60" s="2">
        <f>40107+1002.3+301.7+10000-0.1+9523.8</f>
        <v>60934.7</v>
      </c>
      <c r="M60" s="2">
        <f>40107-11176+79.4+11.3+171.6+15000+8000+2040.2+2000</f>
        <v>56233.5</v>
      </c>
      <c r="N60" s="2">
        <f>40107-6014.2+12.8+9497.4</f>
        <v>43603.000000000007</v>
      </c>
      <c r="O60" s="2">
        <f>83270-77694.4+28014</f>
        <v>33589.600000000006</v>
      </c>
      <c r="P60" s="2">
        <v>33589.599999999999</v>
      </c>
    </row>
    <row r="61" spans="1:18" ht="21" customHeight="1" x14ac:dyDescent="0.2">
      <c r="A61" s="51"/>
      <c r="B61" s="37"/>
      <c r="C61" s="13" t="s">
        <v>4</v>
      </c>
      <c r="D61" s="19">
        <f t="shared" si="54"/>
        <v>0</v>
      </c>
      <c r="E61" s="2">
        <v>0</v>
      </c>
      <c r="F61" s="2">
        <v>0</v>
      </c>
      <c r="G61" s="2">
        <v>0</v>
      </c>
      <c r="H61" s="2">
        <v>0</v>
      </c>
      <c r="I61" s="2">
        <v>0</v>
      </c>
      <c r="J61" s="2">
        <v>0</v>
      </c>
      <c r="K61" s="2">
        <v>0</v>
      </c>
      <c r="L61" s="2">
        <v>0</v>
      </c>
      <c r="M61" s="2">
        <v>0</v>
      </c>
      <c r="N61" s="2">
        <v>0</v>
      </c>
      <c r="O61" s="2">
        <v>0</v>
      </c>
      <c r="P61" s="2">
        <v>0</v>
      </c>
    </row>
    <row r="62" spans="1:18" ht="15.75" x14ac:dyDescent="0.25">
      <c r="A62" s="39" t="s">
        <v>31</v>
      </c>
      <c r="B62" s="37" t="s">
        <v>141</v>
      </c>
      <c r="C62" s="20" t="s">
        <v>92</v>
      </c>
      <c r="D62" s="19">
        <f>D63+D64+D65+D66</f>
        <v>47325.9</v>
      </c>
      <c r="E62" s="19">
        <f>E63+E64+E65+E66</f>
        <v>0</v>
      </c>
      <c r="F62" s="19">
        <f>F63+F64+F65+F66</f>
        <v>0</v>
      </c>
      <c r="G62" s="19">
        <f>G63+G64+G65+G66</f>
        <v>0</v>
      </c>
      <c r="H62" s="19">
        <f t="shared" ref="H62:O62" si="55">H63+H64+H65+H66</f>
        <v>0</v>
      </c>
      <c r="I62" s="19">
        <f t="shared" si="55"/>
        <v>25642.400000000001</v>
      </c>
      <c r="J62" s="19">
        <f t="shared" si="55"/>
        <v>21683.5</v>
      </c>
      <c r="K62" s="19">
        <f t="shared" si="55"/>
        <v>0</v>
      </c>
      <c r="L62" s="19">
        <f t="shared" si="55"/>
        <v>0</v>
      </c>
      <c r="M62" s="19">
        <f t="shared" si="55"/>
        <v>0</v>
      </c>
      <c r="N62" s="19">
        <f t="shared" si="55"/>
        <v>0</v>
      </c>
      <c r="O62" s="19">
        <f t="shared" si="55"/>
        <v>0</v>
      </c>
      <c r="P62" s="19">
        <f t="shared" ref="P62" si="56">P63+P64+P65+P66</f>
        <v>0</v>
      </c>
    </row>
    <row r="63" spans="1:18" ht="19.5" customHeight="1" x14ac:dyDescent="0.2">
      <c r="A63" s="51"/>
      <c r="B63" s="37"/>
      <c r="C63" s="13" t="s">
        <v>1</v>
      </c>
      <c r="D63" s="19">
        <f>E63+F63+G63+H63+I63+J63+K63+L63+M63+N63+O63+P63</f>
        <v>0</v>
      </c>
      <c r="E63" s="2">
        <v>0</v>
      </c>
      <c r="F63" s="2">
        <v>0</v>
      </c>
      <c r="G63" s="2">
        <v>0</v>
      </c>
      <c r="H63" s="2">
        <v>0</v>
      </c>
      <c r="I63" s="2">
        <v>0</v>
      </c>
      <c r="J63" s="2">
        <v>0</v>
      </c>
      <c r="K63" s="2">
        <v>0</v>
      </c>
      <c r="L63" s="2">
        <v>0</v>
      </c>
      <c r="M63" s="2">
        <v>0</v>
      </c>
      <c r="N63" s="2">
        <v>0</v>
      </c>
      <c r="O63" s="2">
        <v>0</v>
      </c>
      <c r="P63" s="2">
        <v>0</v>
      </c>
    </row>
    <row r="64" spans="1:18" ht="19.5" customHeight="1" x14ac:dyDescent="0.2">
      <c r="A64" s="51"/>
      <c r="B64" s="37"/>
      <c r="C64" s="13" t="s">
        <v>2</v>
      </c>
      <c r="D64" s="19">
        <f t="shared" ref="D64:D127" si="57">E64+F64+G64+H64+I64+J64+K64+L64+M64+N64+O64+P64</f>
        <v>47325.9</v>
      </c>
      <c r="E64" s="2">
        <v>0</v>
      </c>
      <c r="F64" s="2">
        <v>0</v>
      </c>
      <c r="G64" s="2">
        <v>0</v>
      </c>
      <c r="H64" s="2">
        <v>0</v>
      </c>
      <c r="I64" s="2">
        <v>25642.400000000001</v>
      </c>
      <c r="J64" s="2">
        <f>38108.9-16425.4</f>
        <v>21683.5</v>
      </c>
      <c r="K64" s="2">
        <v>0</v>
      </c>
      <c r="L64" s="2">
        <v>0</v>
      </c>
      <c r="M64" s="2">
        <v>0</v>
      </c>
      <c r="N64" s="2">
        <v>0</v>
      </c>
      <c r="O64" s="2">
        <f>26333.2-26333.2</f>
        <v>0</v>
      </c>
      <c r="P64" s="2">
        <v>0</v>
      </c>
    </row>
    <row r="65" spans="1:16" ht="24" customHeight="1" x14ac:dyDescent="0.2">
      <c r="A65" s="51"/>
      <c r="B65" s="37"/>
      <c r="C65" s="13" t="s">
        <v>3</v>
      </c>
      <c r="D65" s="19">
        <f t="shared" si="57"/>
        <v>0</v>
      </c>
      <c r="E65" s="2">
        <v>0</v>
      </c>
      <c r="F65" s="2">
        <v>0</v>
      </c>
      <c r="G65" s="2">
        <v>0</v>
      </c>
      <c r="H65" s="2">
        <v>0</v>
      </c>
      <c r="I65" s="2">
        <v>0</v>
      </c>
      <c r="J65" s="2">
        <v>0</v>
      </c>
      <c r="K65" s="2">
        <v>0</v>
      </c>
      <c r="L65" s="2">
        <v>0</v>
      </c>
      <c r="M65" s="2">
        <v>0</v>
      </c>
      <c r="N65" s="2">
        <v>0</v>
      </c>
      <c r="O65" s="2">
        <f>1680.8-1680.8</f>
        <v>0</v>
      </c>
      <c r="P65" s="2">
        <v>0</v>
      </c>
    </row>
    <row r="66" spans="1:16" ht="55.5" customHeight="1" x14ac:dyDescent="0.2">
      <c r="A66" s="51"/>
      <c r="B66" s="37"/>
      <c r="C66" s="13" t="s">
        <v>4</v>
      </c>
      <c r="D66" s="19">
        <f t="shared" si="57"/>
        <v>0</v>
      </c>
      <c r="E66" s="2">
        <v>0</v>
      </c>
      <c r="F66" s="2">
        <v>0</v>
      </c>
      <c r="G66" s="2">
        <v>0</v>
      </c>
      <c r="H66" s="2">
        <v>0</v>
      </c>
      <c r="I66" s="2">
        <v>0</v>
      </c>
      <c r="J66" s="2">
        <v>0</v>
      </c>
      <c r="K66" s="2">
        <v>0</v>
      </c>
      <c r="L66" s="2">
        <v>0</v>
      </c>
      <c r="M66" s="2">
        <v>0</v>
      </c>
      <c r="N66" s="2">
        <v>0</v>
      </c>
      <c r="O66" s="2">
        <v>0</v>
      </c>
      <c r="P66" s="2">
        <v>0</v>
      </c>
    </row>
    <row r="67" spans="1:16" ht="15.75" x14ac:dyDescent="0.2">
      <c r="A67" s="37" t="s">
        <v>32</v>
      </c>
      <c r="B67" s="37" t="s">
        <v>106</v>
      </c>
      <c r="C67" s="13" t="s">
        <v>92</v>
      </c>
      <c r="D67" s="19">
        <f t="shared" si="57"/>
        <v>548392.5</v>
      </c>
      <c r="E67" s="19">
        <f>E69+E70+E72+E74</f>
        <v>242817.69999999998</v>
      </c>
      <c r="F67" s="19">
        <f t="shared" ref="F67:O67" si="58">F69+F70+F72+F74</f>
        <v>209002.9</v>
      </c>
      <c r="G67" s="19">
        <f>G69+G70+G72+G74</f>
        <v>99.8</v>
      </c>
      <c r="H67" s="19">
        <f>H69+H70+H72+H74</f>
        <v>40083.300000000003</v>
      </c>
      <c r="I67" s="19">
        <f t="shared" si="58"/>
        <v>55550.9</v>
      </c>
      <c r="J67" s="19">
        <f t="shared" si="58"/>
        <v>837.9</v>
      </c>
      <c r="K67" s="19">
        <f t="shared" si="58"/>
        <v>0</v>
      </c>
      <c r="L67" s="19">
        <f t="shared" si="58"/>
        <v>0</v>
      </c>
      <c r="M67" s="19">
        <f t="shared" si="58"/>
        <v>0</v>
      </c>
      <c r="N67" s="19">
        <f t="shared" si="58"/>
        <v>0</v>
      </c>
      <c r="O67" s="19">
        <f t="shared" si="58"/>
        <v>0</v>
      </c>
      <c r="P67" s="19">
        <f t="shared" ref="P67" si="59">P69+P70+P72+P74</f>
        <v>0</v>
      </c>
    </row>
    <row r="68" spans="1:16" ht="48.75" customHeight="1" x14ac:dyDescent="0.2">
      <c r="A68" s="37"/>
      <c r="B68" s="38"/>
      <c r="C68" s="11" t="s">
        <v>25</v>
      </c>
      <c r="D68" s="19">
        <f t="shared" si="57"/>
        <v>22528.54</v>
      </c>
      <c r="E68" s="21">
        <v>22528.54</v>
      </c>
      <c r="F68" s="21">
        <v>0</v>
      </c>
      <c r="G68" s="21">
        <v>0</v>
      </c>
      <c r="H68" s="21">
        <v>0</v>
      </c>
      <c r="I68" s="21">
        <v>0</v>
      </c>
      <c r="J68" s="21">
        <v>0</v>
      </c>
      <c r="K68" s="21">
        <v>0</v>
      </c>
      <c r="L68" s="21">
        <v>0</v>
      </c>
      <c r="M68" s="21">
        <v>0</v>
      </c>
      <c r="N68" s="21">
        <v>0</v>
      </c>
      <c r="O68" s="21">
        <v>0</v>
      </c>
      <c r="P68" s="21">
        <v>0</v>
      </c>
    </row>
    <row r="69" spans="1:16" ht="15.75" x14ac:dyDescent="0.2">
      <c r="A69" s="37"/>
      <c r="B69" s="40"/>
      <c r="C69" s="13" t="s">
        <v>1</v>
      </c>
      <c r="D69" s="19">
        <f t="shared" si="57"/>
        <v>0</v>
      </c>
      <c r="E69" s="2">
        <v>0</v>
      </c>
      <c r="F69" s="2">
        <v>0</v>
      </c>
      <c r="G69" s="2">
        <v>0</v>
      </c>
      <c r="H69" s="2">
        <v>0</v>
      </c>
      <c r="I69" s="2">
        <v>0</v>
      </c>
      <c r="J69" s="2">
        <v>0</v>
      </c>
      <c r="K69" s="2">
        <v>0</v>
      </c>
      <c r="L69" s="2">
        <v>0</v>
      </c>
      <c r="M69" s="2">
        <v>0</v>
      </c>
      <c r="N69" s="2">
        <v>0</v>
      </c>
      <c r="O69" s="2">
        <v>0</v>
      </c>
      <c r="P69" s="2">
        <v>0</v>
      </c>
    </row>
    <row r="70" spans="1:16" ht="31.5" x14ac:dyDescent="0.2">
      <c r="A70" s="37"/>
      <c r="B70" s="40"/>
      <c r="C70" s="13" t="s">
        <v>23</v>
      </c>
      <c r="D70" s="19">
        <f t="shared" si="57"/>
        <v>426355.6</v>
      </c>
      <c r="E70" s="19">
        <v>230842.8</v>
      </c>
      <c r="F70" s="19">
        <v>195512.8</v>
      </c>
      <c r="G70" s="19">
        <v>0</v>
      </c>
      <c r="H70" s="19">
        <v>0</v>
      </c>
      <c r="I70" s="19">
        <v>0</v>
      </c>
      <c r="J70" s="19">
        <v>0</v>
      </c>
      <c r="K70" s="2">
        <v>0</v>
      </c>
      <c r="L70" s="2">
        <v>0</v>
      </c>
      <c r="M70" s="2">
        <v>0</v>
      </c>
      <c r="N70" s="2">
        <v>0</v>
      </c>
      <c r="O70" s="2">
        <v>0</v>
      </c>
      <c r="P70" s="2">
        <v>0</v>
      </c>
    </row>
    <row r="71" spans="1:16" ht="54" customHeight="1" x14ac:dyDescent="0.2">
      <c r="A71" s="37"/>
      <c r="B71" s="40"/>
      <c r="C71" s="11" t="s">
        <v>25</v>
      </c>
      <c r="D71" s="19">
        <f t="shared" si="57"/>
        <v>21568.1</v>
      </c>
      <c r="E71" s="21">
        <v>21568.1</v>
      </c>
      <c r="F71" s="2">
        <v>0</v>
      </c>
      <c r="G71" s="2">
        <v>0</v>
      </c>
      <c r="H71" s="2">
        <v>0</v>
      </c>
      <c r="I71" s="2">
        <v>0</v>
      </c>
      <c r="J71" s="2">
        <v>0</v>
      </c>
      <c r="K71" s="2">
        <v>0</v>
      </c>
      <c r="L71" s="2">
        <v>0</v>
      </c>
      <c r="M71" s="2">
        <v>0</v>
      </c>
      <c r="N71" s="2">
        <v>0</v>
      </c>
      <c r="O71" s="2">
        <v>0</v>
      </c>
      <c r="P71" s="2">
        <v>0</v>
      </c>
    </row>
    <row r="72" spans="1:16" ht="31.5" x14ac:dyDescent="0.2">
      <c r="A72" s="37"/>
      <c r="B72" s="40"/>
      <c r="C72" s="13" t="s">
        <v>24</v>
      </c>
      <c r="D72" s="19">
        <f t="shared" si="57"/>
        <v>122036.9</v>
      </c>
      <c r="E72" s="19">
        <v>11974.9</v>
      </c>
      <c r="F72" s="19">
        <v>13490.1</v>
      </c>
      <c r="G72" s="19">
        <f>99.8</f>
        <v>99.8</v>
      </c>
      <c r="H72" s="19">
        <v>40083.300000000003</v>
      </c>
      <c r="I72" s="19">
        <f>55550.9</f>
        <v>55550.9</v>
      </c>
      <c r="J72" s="19">
        <v>837.9</v>
      </c>
      <c r="K72" s="2">
        <v>0</v>
      </c>
      <c r="L72" s="2">
        <v>0</v>
      </c>
      <c r="M72" s="2">
        <v>0</v>
      </c>
      <c r="N72" s="2">
        <v>0</v>
      </c>
      <c r="O72" s="2">
        <v>0</v>
      </c>
      <c r="P72" s="2">
        <v>0</v>
      </c>
    </row>
    <row r="73" spans="1:16" ht="51" customHeight="1" x14ac:dyDescent="0.2">
      <c r="A73" s="37"/>
      <c r="B73" s="40"/>
      <c r="C73" s="11" t="s">
        <v>25</v>
      </c>
      <c r="D73" s="19">
        <f t="shared" si="57"/>
        <v>1060.24</v>
      </c>
      <c r="E73" s="21">
        <v>960.44</v>
      </c>
      <c r="F73" s="2">
        <v>0</v>
      </c>
      <c r="G73" s="2">
        <v>99.8</v>
      </c>
      <c r="H73" s="2">
        <v>0</v>
      </c>
      <c r="I73" s="2">
        <v>0</v>
      </c>
      <c r="J73" s="2">
        <v>0</v>
      </c>
      <c r="K73" s="2">
        <v>0</v>
      </c>
      <c r="L73" s="2">
        <v>0</v>
      </c>
      <c r="M73" s="2">
        <v>0</v>
      </c>
      <c r="N73" s="2">
        <v>0</v>
      </c>
      <c r="O73" s="2">
        <v>0</v>
      </c>
      <c r="P73" s="2">
        <v>0</v>
      </c>
    </row>
    <row r="74" spans="1:16" ht="16.5" customHeight="1" x14ac:dyDescent="0.2">
      <c r="A74" s="37"/>
      <c r="B74" s="40"/>
      <c r="C74" s="13" t="s">
        <v>4</v>
      </c>
      <c r="D74" s="19">
        <f t="shared" si="57"/>
        <v>0</v>
      </c>
      <c r="E74" s="2">
        <v>0</v>
      </c>
      <c r="F74" s="2">
        <v>0</v>
      </c>
      <c r="G74" s="2">
        <v>0</v>
      </c>
      <c r="H74" s="2">
        <v>0</v>
      </c>
      <c r="I74" s="2">
        <v>0</v>
      </c>
      <c r="J74" s="2">
        <v>0</v>
      </c>
      <c r="K74" s="2">
        <v>0</v>
      </c>
      <c r="L74" s="2">
        <v>0</v>
      </c>
      <c r="M74" s="2">
        <v>0</v>
      </c>
      <c r="N74" s="2">
        <v>0</v>
      </c>
      <c r="O74" s="2">
        <v>0</v>
      </c>
      <c r="P74" s="2">
        <v>0</v>
      </c>
    </row>
    <row r="75" spans="1:16" ht="15.75" x14ac:dyDescent="0.2">
      <c r="A75" s="37" t="s">
        <v>33</v>
      </c>
      <c r="B75" s="37" t="s">
        <v>18</v>
      </c>
      <c r="C75" s="13" t="s">
        <v>92</v>
      </c>
      <c r="D75" s="19">
        <f t="shared" si="57"/>
        <v>4689.8</v>
      </c>
      <c r="E75" s="19">
        <f t="shared" ref="E75:J75" si="60">E76+E77+E78+E79</f>
        <v>4689.8</v>
      </c>
      <c r="F75" s="19">
        <f t="shared" si="60"/>
        <v>0</v>
      </c>
      <c r="G75" s="19">
        <f t="shared" si="60"/>
        <v>0</v>
      </c>
      <c r="H75" s="19">
        <f t="shared" si="60"/>
        <v>0</v>
      </c>
      <c r="I75" s="19">
        <f t="shared" si="60"/>
        <v>0</v>
      </c>
      <c r="J75" s="19">
        <f t="shared" si="60"/>
        <v>0</v>
      </c>
      <c r="K75" s="2">
        <v>0</v>
      </c>
      <c r="L75" s="2">
        <v>0</v>
      </c>
      <c r="M75" s="2">
        <v>0</v>
      </c>
      <c r="N75" s="2">
        <v>0</v>
      </c>
      <c r="O75" s="2">
        <v>0</v>
      </c>
      <c r="P75" s="2">
        <v>0</v>
      </c>
    </row>
    <row r="76" spans="1:16" ht="15.75" x14ac:dyDescent="0.2">
      <c r="A76" s="37"/>
      <c r="B76" s="37"/>
      <c r="C76" s="13" t="s">
        <v>1</v>
      </c>
      <c r="D76" s="19">
        <f t="shared" si="57"/>
        <v>0</v>
      </c>
      <c r="E76" s="19">
        <v>0</v>
      </c>
      <c r="F76" s="2">
        <v>0</v>
      </c>
      <c r="G76" s="2">
        <v>0</v>
      </c>
      <c r="H76" s="19">
        <v>0</v>
      </c>
      <c r="I76" s="2">
        <v>0</v>
      </c>
      <c r="J76" s="2">
        <v>0</v>
      </c>
      <c r="K76" s="2">
        <v>0</v>
      </c>
      <c r="L76" s="2">
        <v>0</v>
      </c>
      <c r="M76" s="2">
        <v>0</v>
      </c>
      <c r="N76" s="2">
        <v>0</v>
      </c>
      <c r="O76" s="2">
        <v>0</v>
      </c>
      <c r="P76" s="2">
        <v>0</v>
      </c>
    </row>
    <row r="77" spans="1:16" ht="15.75" x14ac:dyDescent="0.2">
      <c r="A77" s="37"/>
      <c r="B77" s="37"/>
      <c r="C77" s="13" t="s">
        <v>2</v>
      </c>
      <c r="D77" s="19">
        <f t="shared" si="57"/>
        <v>4416.1000000000004</v>
      </c>
      <c r="E77" s="19">
        <v>4416.1000000000004</v>
      </c>
      <c r="F77" s="2">
        <v>0</v>
      </c>
      <c r="G77" s="2">
        <v>0</v>
      </c>
      <c r="H77" s="19">
        <v>0</v>
      </c>
      <c r="I77" s="2">
        <v>0</v>
      </c>
      <c r="J77" s="2">
        <v>0</v>
      </c>
      <c r="K77" s="2">
        <v>0</v>
      </c>
      <c r="L77" s="2">
        <v>0</v>
      </c>
      <c r="M77" s="2">
        <v>0</v>
      </c>
      <c r="N77" s="2">
        <v>0</v>
      </c>
      <c r="O77" s="2">
        <v>0</v>
      </c>
      <c r="P77" s="2">
        <v>0</v>
      </c>
    </row>
    <row r="78" spans="1:16" ht="15.75" x14ac:dyDescent="0.2">
      <c r="A78" s="37"/>
      <c r="B78" s="37"/>
      <c r="C78" s="13" t="s">
        <v>3</v>
      </c>
      <c r="D78" s="19">
        <f t="shared" si="57"/>
        <v>273.7</v>
      </c>
      <c r="E78" s="19">
        <v>273.7</v>
      </c>
      <c r="F78" s="2">
        <v>0</v>
      </c>
      <c r="G78" s="2">
        <v>0</v>
      </c>
      <c r="H78" s="19">
        <v>0</v>
      </c>
      <c r="I78" s="2">
        <v>0</v>
      </c>
      <c r="J78" s="2">
        <v>0</v>
      </c>
      <c r="K78" s="2">
        <v>0</v>
      </c>
      <c r="L78" s="2">
        <v>0</v>
      </c>
      <c r="M78" s="2">
        <v>0</v>
      </c>
      <c r="N78" s="2">
        <v>0</v>
      </c>
      <c r="O78" s="2">
        <v>0</v>
      </c>
      <c r="P78" s="2">
        <v>0</v>
      </c>
    </row>
    <row r="79" spans="1:16" ht="17.25" customHeight="1" x14ac:dyDescent="0.2">
      <c r="A79" s="37"/>
      <c r="B79" s="37"/>
      <c r="C79" s="13" t="s">
        <v>4</v>
      </c>
      <c r="D79" s="19">
        <f t="shared" si="57"/>
        <v>0</v>
      </c>
      <c r="E79" s="2">
        <v>0</v>
      </c>
      <c r="F79" s="2">
        <v>0</v>
      </c>
      <c r="G79" s="2">
        <v>0</v>
      </c>
      <c r="H79" s="2">
        <v>0</v>
      </c>
      <c r="I79" s="2">
        <v>0</v>
      </c>
      <c r="J79" s="2">
        <v>0</v>
      </c>
      <c r="K79" s="2">
        <v>0</v>
      </c>
      <c r="L79" s="2">
        <v>0</v>
      </c>
      <c r="M79" s="2">
        <v>0</v>
      </c>
      <c r="N79" s="2">
        <v>0</v>
      </c>
      <c r="O79" s="2">
        <v>0</v>
      </c>
      <c r="P79" s="2">
        <v>0</v>
      </c>
    </row>
    <row r="80" spans="1:16" ht="15.75" customHeight="1" x14ac:dyDescent="0.2">
      <c r="A80" s="37" t="s">
        <v>34</v>
      </c>
      <c r="B80" s="37" t="s">
        <v>60</v>
      </c>
      <c r="C80" s="13" t="s">
        <v>92</v>
      </c>
      <c r="D80" s="19">
        <f t="shared" si="57"/>
        <v>103144</v>
      </c>
      <c r="E80" s="19">
        <f>E82+E83+E84+E86</f>
        <v>47143.9</v>
      </c>
      <c r="F80" s="19">
        <f t="shared" ref="F80:O80" si="61">F82+F83+F84+F86</f>
        <v>56000</v>
      </c>
      <c r="G80" s="19">
        <f t="shared" si="61"/>
        <v>0.1</v>
      </c>
      <c r="H80" s="19">
        <f t="shared" si="61"/>
        <v>0</v>
      </c>
      <c r="I80" s="19">
        <f t="shared" si="61"/>
        <v>0</v>
      </c>
      <c r="J80" s="19">
        <f t="shared" si="61"/>
        <v>0</v>
      </c>
      <c r="K80" s="19">
        <f t="shared" si="61"/>
        <v>0</v>
      </c>
      <c r="L80" s="19">
        <f t="shared" si="61"/>
        <v>0</v>
      </c>
      <c r="M80" s="19">
        <f t="shared" si="61"/>
        <v>0</v>
      </c>
      <c r="N80" s="19">
        <f t="shared" si="61"/>
        <v>0</v>
      </c>
      <c r="O80" s="19">
        <f t="shared" si="61"/>
        <v>0</v>
      </c>
      <c r="P80" s="19">
        <f t="shared" ref="P80" si="62">P82+P83+P84+P86</f>
        <v>0</v>
      </c>
    </row>
    <row r="81" spans="1:16" ht="48.75" customHeight="1" x14ac:dyDescent="0.2">
      <c r="A81" s="37"/>
      <c r="B81" s="37"/>
      <c r="C81" s="11" t="s">
        <v>25</v>
      </c>
      <c r="D81" s="19">
        <f t="shared" si="57"/>
        <v>866.4</v>
      </c>
      <c r="E81" s="21">
        <f>E85</f>
        <v>866.4</v>
      </c>
      <c r="F81" s="12">
        <v>0</v>
      </c>
      <c r="G81" s="12">
        <v>0</v>
      </c>
      <c r="H81" s="12">
        <v>0</v>
      </c>
      <c r="I81" s="12">
        <v>0</v>
      </c>
      <c r="J81" s="12">
        <v>0</v>
      </c>
      <c r="K81" s="12">
        <v>0</v>
      </c>
      <c r="L81" s="12">
        <v>0</v>
      </c>
      <c r="M81" s="12">
        <v>0</v>
      </c>
      <c r="N81" s="12">
        <v>0</v>
      </c>
      <c r="O81" s="12">
        <v>0</v>
      </c>
      <c r="P81" s="12">
        <v>0</v>
      </c>
    </row>
    <row r="82" spans="1:16" ht="15.75" x14ac:dyDescent="0.2">
      <c r="A82" s="37"/>
      <c r="B82" s="37"/>
      <c r="C82" s="13" t="s">
        <v>1</v>
      </c>
      <c r="D82" s="19">
        <f t="shared" si="57"/>
        <v>0</v>
      </c>
      <c r="E82" s="19">
        <v>0</v>
      </c>
      <c r="F82" s="2">
        <v>0</v>
      </c>
      <c r="G82" s="2">
        <v>0</v>
      </c>
      <c r="H82" s="2">
        <v>0</v>
      </c>
      <c r="I82" s="2">
        <v>0</v>
      </c>
      <c r="J82" s="2">
        <v>0</v>
      </c>
      <c r="K82" s="2">
        <v>0</v>
      </c>
      <c r="L82" s="2">
        <v>0</v>
      </c>
      <c r="M82" s="2">
        <v>0</v>
      </c>
      <c r="N82" s="2">
        <v>0</v>
      </c>
      <c r="O82" s="2">
        <v>0</v>
      </c>
      <c r="P82" s="2">
        <v>0</v>
      </c>
    </row>
    <row r="83" spans="1:16" ht="15.75" x14ac:dyDescent="0.2">
      <c r="A83" s="37"/>
      <c r="B83" s="37"/>
      <c r="C83" s="13" t="s">
        <v>2</v>
      </c>
      <c r="D83" s="19">
        <f t="shared" si="57"/>
        <v>90334.3</v>
      </c>
      <c r="E83" s="19">
        <v>36834.300000000003</v>
      </c>
      <c r="F83" s="2">
        <v>53500</v>
      </c>
      <c r="G83" s="2">
        <v>0</v>
      </c>
      <c r="H83" s="2">
        <v>0</v>
      </c>
      <c r="I83" s="2">
        <v>0</v>
      </c>
      <c r="J83" s="2">
        <v>0</v>
      </c>
      <c r="K83" s="2">
        <v>0</v>
      </c>
      <c r="L83" s="2">
        <v>0</v>
      </c>
      <c r="M83" s="2">
        <v>0</v>
      </c>
      <c r="N83" s="2">
        <v>0</v>
      </c>
      <c r="O83" s="2">
        <v>0</v>
      </c>
      <c r="P83" s="2">
        <v>0</v>
      </c>
    </row>
    <row r="84" spans="1:16" ht="31.5" x14ac:dyDescent="0.2">
      <c r="A84" s="37"/>
      <c r="B84" s="37"/>
      <c r="C84" s="13" t="s">
        <v>24</v>
      </c>
      <c r="D84" s="19">
        <f t="shared" si="57"/>
        <v>12809.7</v>
      </c>
      <c r="E84" s="19">
        <v>10309.6</v>
      </c>
      <c r="F84" s="2">
        <v>2500</v>
      </c>
      <c r="G84" s="2">
        <v>0.1</v>
      </c>
      <c r="H84" s="2">
        <v>0</v>
      </c>
      <c r="I84" s="2">
        <v>0</v>
      </c>
      <c r="J84" s="2">
        <v>0</v>
      </c>
      <c r="K84" s="2">
        <v>0</v>
      </c>
      <c r="L84" s="2">
        <v>0</v>
      </c>
      <c r="M84" s="2">
        <v>0</v>
      </c>
      <c r="N84" s="2">
        <v>0</v>
      </c>
      <c r="O84" s="2">
        <v>0</v>
      </c>
      <c r="P84" s="2">
        <v>0</v>
      </c>
    </row>
    <row r="85" spans="1:16" ht="53.25" customHeight="1" x14ac:dyDescent="0.2">
      <c r="A85" s="37"/>
      <c r="B85" s="37"/>
      <c r="C85" s="11" t="s">
        <v>25</v>
      </c>
      <c r="D85" s="19">
        <f t="shared" si="57"/>
        <v>866.4</v>
      </c>
      <c r="E85" s="21">
        <v>866.4</v>
      </c>
      <c r="F85" s="2">
        <v>0</v>
      </c>
      <c r="G85" s="2">
        <v>0</v>
      </c>
      <c r="H85" s="2">
        <v>0</v>
      </c>
      <c r="I85" s="2">
        <v>0</v>
      </c>
      <c r="J85" s="2">
        <v>0</v>
      </c>
      <c r="K85" s="2">
        <v>0</v>
      </c>
      <c r="L85" s="2">
        <v>0</v>
      </c>
      <c r="M85" s="2">
        <v>0</v>
      </c>
      <c r="N85" s="2">
        <v>0</v>
      </c>
      <c r="O85" s="2">
        <v>0</v>
      </c>
      <c r="P85" s="2">
        <v>0</v>
      </c>
    </row>
    <row r="86" spans="1:16" ht="18.75" customHeight="1" x14ac:dyDescent="0.2">
      <c r="A86" s="37"/>
      <c r="B86" s="37"/>
      <c r="C86" s="13" t="s">
        <v>4</v>
      </c>
      <c r="D86" s="19">
        <f t="shared" si="57"/>
        <v>0</v>
      </c>
      <c r="E86" s="2">
        <v>0</v>
      </c>
      <c r="F86" s="2">
        <v>0</v>
      </c>
      <c r="G86" s="2">
        <v>0</v>
      </c>
      <c r="H86" s="2">
        <v>0</v>
      </c>
      <c r="I86" s="2">
        <v>0</v>
      </c>
      <c r="J86" s="2">
        <v>0</v>
      </c>
      <c r="K86" s="2">
        <v>0</v>
      </c>
      <c r="L86" s="2">
        <v>0</v>
      </c>
      <c r="M86" s="2">
        <v>0</v>
      </c>
      <c r="N86" s="2">
        <v>0</v>
      </c>
      <c r="O86" s="2">
        <v>0</v>
      </c>
      <c r="P86" s="2">
        <v>0</v>
      </c>
    </row>
    <row r="87" spans="1:16" ht="18" customHeight="1" x14ac:dyDescent="0.2">
      <c r="A87" s="37" t="s">
        <v>98</v>
      </c>
      <c r="B87" s="37" t="s">
        <v>84</v>
      </c>
      <c r="C87" s="13" t="s">
        <v>92</v>
      </c>
      <c r="D87" s="19">
        <f t="shared" si="57"/>
        <v>10148.699999999999</v>
      </c>
      <c r="E87" s="19">
        <f>E89+E90+E92+E94</f>
        <v>10148.699999999999</v>
      </c>
      <c r="F87" s="2">
        <v>0</v>
      </c>
      <c r="G87" s="2">
        <v>0</v>
      </c>
      <c r="H87" s="2">
        <v>0</v>
      </c>
      <c r="I87" s="2">
        <v>0</v>
      </c>
      <c r="J87" s="2">
        <v>0</v>
      </c>
      <c r="K87" s="2">
        <v>0</v>
      </c>
      <c r="L87" s="2">
        <v>0</v>
      </c>
      <c r="M87" s="2">
        <v>0</v>
      </c>
      <c r="N87" s="2">
        <v>0</v>
      </c>
      <c r="O87" s="2">
        <v>0</v>
      </c>
      <c r="P87" s="2">
        <v>0</v>
      </c>
    </row>
    <row r="88" spans="1:16" ht="49.5" customHeight="1" x14ac:dyDescent="0.2">
      <c r="A88" s="37"/>
      <c r="B88" s="37"/>
      <c r="C88" s="11" t="s">
        <v>25</v>
      </c>
      <c r="D88" s="19">
        <f t="shared" si="57"/>
        <v>4612.6000000000004</v>
      </c>
      <c r="E88" s="21">
        <v>4612.6000000000004</v>
      </c>
      <c r="F88" s="12">
        <v>0</v>
      </c>
      <c r="G88" s="12">
        <v>0</v>
      </c>
      <c r="H88" s="12">
        <v>0</v>
      </c>
      <c r="I88" s="12">
        <v>0</v>
      </c>
      <c r="J88" s="12">
        <v>0</v>
      </c>
      <c r="K88" s="12">
        <v>0</v>
      </c>
      <c r="L88" s="12">
        <v>0</v>
      </c>
      <c r="M88" s="12">
        <v>0</v>
      </c>
      <c r="N88" s="12">
        <v>0</v>
      </c>
      <c r="O88" s="12">
        <v>0</v>
      </c>
      <c r="P88" s="12">
        <v>0</v>
      </c>
    </row>
    <row r="89" spans="1:16" ht="15.75" x14ac:dyDescent="0.2">
      <c r="A89" s="37"/>
      <c r="B89" s="37"/>
      <c r="C89" s="13" t="s">
        <v>1</v>
      </c>
      <c r="D89" s="19">
        <f t="shared" si="57"/>
        <v>0</v>
      </c>
      <c r="E89" s="19">
        <v>0</v>
      </c>
      <c r="F89" s="2">
        <v>0</v>
      </c>
      <c r="G89" s="2">
        <v>0</v>
      </c>
      <c r="H89" s="2">
        <v>0</v>
      </c>
      <c r="I89" s="2">
        <v>0</v>
      </c>
      <c r="J89" s="2">
        <v>0</v>
      </c>
      <c r="K89" s="2">
        <v>0</v>
      </c>
      <c r="L89" s="2">
        <v>0</v>
      </c>
      <c r="M89" s="2">
        <v>0</v>
      </c>
      <c r="N89" s="2">
        <v>0</v>
      </c>
      <c r="O89" s="2">
        <v>0</v>
      </c>
      <c r="P89" s="2">
        <v>0</v>
      </c>
    </row>
    <row r="90" spans="1:16" ht="32.25" customHeight="1" x14ac:dyDescent="0.2">
      <c r="A90" s="37"/>
      <c r="B90" s="37"/>
      <c r="C90" s="13" t="s">
        <v>23</v>
      </c>
      <c r="D90" s="19">
        <f t="shared" si="57"/>
        <v>9442.7999999999993</v>
      </c>
      <c r="E90" s="19">
        <v>9442.7999999999993</v>
      </c>
      <c r="F90" s="2">
        <v>0</v>
      </c>
      <c r="G90" s="2">
        <v>0</v>
      </c>
      <c r="H90" s="2">
        <v>0</v>
      </c>
      <c r="I90" s="2">
        <v>0</v>
      </c>
      <c r="J90" s="2">
        <v>0</v>
      </c>
      <c r="K90" s="2">
        <v>0</v>
      </c>
      <c r="L90" s="2">
        <v>0</v>
      </c>
      <c r="M90" s="2">
        <v>0</v>
      </c>
      <c r="N90" s="2">
        <v>0</v>
      </c>
      <c r="O90" s="2">
        <v>0</v>
      </c>
      <c r="P90" s="2">
        <v>0</v>
      </c>
    </row>
    <row r="91" spans="1:16" ht="53.25" customHeight="1" x14ac:dyDescent="0.2">
      <c r="A91" s="37"/>
      <c r="B91" s="37"/>
      <c r="C91" s="11" t="s">
        <v>25</v>
      </c>
      <c r="D91" s="19">
        <f t="shared" si="57"/>
        <v>4294</v>
      </c>
      <c r="E91" s="21">
        <v>4294</v>
      </c>
      <c r="F91" s="2">
        <v>0</v>
      </c>
      <c r="G91" s="2">
        <v>0</v>
      </c>
      <c r="H91" s="2">
        <v>0</v>
      </c>
      <c r="I91" s="2">
        <v>0</v>
      </c>
      <c r="J91" s="2">
        <v>0</v>
      </c>
      <c r="K91" s="2">
        <v>0</v>
      </c>
      <c r="L91" s="2">
        <v>0</v>
      </c>
      <c r="M91" s="2">
        <v>0</v>
      </c>
      <c r="N91" s="2">
        <v>0</v>
      </c>
      <c r="O91" s="2">
        <v>0</v>
      </c>
      <c r="P91" s="2">
        <v>0</v>
      </c>
    </row>
    <row r="92" spans="1:16" ht="31.5" x14ac:dyDescent="0.2">
      <c r="A92" s="37"/>
      <c r="B92" s="37"/>
      <c r="C92" s="13" t="s">
        <v>24</v>
      </c>
      <c r="D92" s="19">
        <f t="shared" si="57"/>
        <v>705.9</v>
      </c>
      <c r="E92" s="19">
        <v>705.9</v>
      </c>
      <c r="F92" s="2">
        <v>0</v>
      </c>
      <c r="G92" s="2">
        <v>0</v>
      </c>
      <c r="H92" s="2">
        <v>0</v>
      </c>
      <c r="I92" s="2">
        <v>0</v>
      </c>
      <c r="J92" s="2">
        <v>0</v>
      </c>
      <c r="K92" s="2">
        <v>0</v>
      </c>
      <c r="L92" s="2">
        <v>0</v>
      </c>
      <c r="M92" s="2">
        <v>0</v>
      </c>
      <c r="N92" s="2">
        <v>0</v>
      </c>
      <c r="O92" s="2">
        <v>0</v>
      </c>
      <c r="P92" s="2">
        <v>0</v>
      </c>
    </row>
    <row r="93" spans="1:16" ht="51.75" customHeight="1" x14ac:dyDescent="0.2">
      <c r="A93" s="37"/>
      <c r="B93" s="37"/>
      <c r="C93" s="11" t="s">
        <v>25</v>
      </c>
      <c r="D93" s="19">
        <f t="shared" si="57"/>
        <v>318.60000000000002</v>
      </c>
      <c r="E93" s="21">
        <v>318.60000000000002</v>
      </c>
      <c r="F93" s="2">
        <v>0</v>
      </c>
      <c r="G93" s="2">
        <v>0</v>
      </c>
      <c r="H93" s="2">
        <v>0</v>
      </c>
      <c r="I93" s="2">
        <v>0</v>
      </c>
      <c r="J93" s="2">
        <v>0</v>
      </c>
      <c r="K93" s="2">
        <v>0</v>
      </c>
      <c r="L93" s="2">
        <v>0</v>
      </c>
      <c r="M93" s="2">
        <v>0</v>
      </c>
      <c r="N93" s="2">
        <v>0</v>
      </c>
      <c r="O93" s="2">
        <v>0</v>
      </c>
      <c r="P93" s="2">
        <v>0</v>
      </c>
    </row>
    <row r="94" spans="1:16" ht="21" customHeight="1" x14ac:dyDescent="0.2">
      <c r="A94" s="37"/>
      <c r="B94" s="37"/>
      <c r="C94" s="13" t="s">
        <v>4</v>
      </c>
      <c r="D94" s="19">
        <f t="shared" si="57"/>
        <v>0</v>
      </c>
      <c r="E94" s="2">
        <v>0</v>
      </c>
      <c r="F94" s="2">
        <v>0</v>
      </c>
      <c r="G94" s="2">
        <v>0</v>
      </c>
      <c r="H94" s="2">
        <v>0</v>
      </c>
      <c r="I94" s="2">
        <v>0</v>
      </c>
      <c r="J94" s="2">
        <v>0</v>
      </c>
      <c r="K94" s="2">
        <v>0</v>
      </c>
      <c r="L94" s="2">
        <v>0</v>
      </c>
      <c r="M94" s="2">
        <v>0</v>
      </c>
      <c r="N94" s="2">
        <v>0</v>
      </c>
      <c r="O94" s="2">
        <v>0</v>
      </c>
      <c r="P94" s="2">
        <v>0</v>
      </c>
    </row>
    <row r="95" spans="1:16" ht="15.75" x14ac:dyDescent="0.2">
      <c r="A95" s="37" t="s">
        <v>35</v>
      </c>
      <c r="B95" s="37" t="s">
        <v>85</v>
      </c>
      <c r="C95" s="13" t="s">
        <v>92</v>
      </c>
      <c r="D95" s="19">
        <f t="shared" si="57"/>
        <v>7901.4</v>
      </c>
      <c r="E95" s="19">
        <f>E96+E97+E99+E101</f>
        <v>7901.4</v>
      </c>
      <c r="F95" s="19">
        <f t="shared" ref="F95:O95" si="63">F96+F97+F99+F101</f>
        <v>0</v>
      </c>
      <c r="G95" s="19">
        <f t="shared" si="63"/>
        <v>0</v>
      </c>
      <c r="H95" s="19">
        <f t="shared" si="63"/>
        <v>0</v>
      </c>
      <c r="I95" s="19">
        <f t="shared" si="63"/>
        <v>0</v>
      </c>
      <c r="J95" s="19">
        <f t="shared" si="63"/>
        <v>0</v>
      </c>
      <c r="K95" s="19">
        <f t="shared" si="63"/>
        <v>0</v>
      </c>
      <c r="L95" s="19">
        <f t="shared" si="63"/>
        <v>0</v>
      </c>
      <c r="M95" s="19">
        <f t="shared" si="63"/>
        <v>0</v>
      </c>
      <c r="N95" s="19">
        <f t="shared" si="63"/>
        <v>0</v>
      </c>
      <c r="O95" s="19">
        <f t="shared" si="63"/>
        <v>0</v>
      </c>
      <c r="P95" s="19">
        <f t="shared" ref="P95" si="64">P96+P97+P99+P101</f>
        <v>0</v>
      </c>
    </row>
    <row r="96" spans="1:16" ht="15.75" x14ac:dyDescent="0.2">
      <c r="A96" s="37"/>
      <c r="B96" s="37"/>
      <c r="C96" s="13" t="s">
        <v>1</v>
      </c>
      <c r="D96" s="19">
        <f t="shared" si="57"/>
        <v>0</v>
      </c>
      <c r="E96" s="2">
        <v>0</v>
      </c>
      <c r="F96" s="2">
        <v>0</v>
      </c>
      <c r="G96" s="2">
        <v>0</v>
      </c>
      <c r="H96" s="2">
        <v>0</v>
      </c>
      <c r="I96" s="2">
        <v>0</v>
      </c>
      <c r="J96" s="2">
        <v>0</v>
      </c>
      <c r="K96" s="2">
        <v>0</v>
      </c>
      <c r="L96" s="2">
        <v>0</v>
      </c>
      <c r="M96" s="2">
        <v>0</v>
      </c>
      <c r="N96" s="2">
        <v>0</v>
      </c>
      <c r="O96" s="2">
        <v>0</v>
      </c>
      <c r="P96" s="2">
        <v>0</v>
      </c>
    </row>
    <row r="97" spans="1:16" ht="31.5" x14ac:dyDescent="0.2">
      <c r="A97" s="37"/>
      <c r="B97" s="37"/>
      <c r="C97" s="13" t="s">
        <v>23</v>
      </c>
      <c r="D97" s="19">
        <f t="shared" si="57"/>
        <v>7353</v>
      </c>
      <c r="E97" s="19">
        <v>7353</v>
      </c>
      <c r="F97" s="2">
        <v>0</v>
      </c>
      <c r="G97" s="2">
        <v>0</v>
      </c>
      <c r="H97" s="2">
        <v>0</v>
      </c>
      <c r="I97" s="2">
        <v>0</v>
      </c>
      <c r="J97" s="2">
        <v>0</v>
      </c>
      <c r="K97" s="2">
        <v>0</v>
      </c>
      <c r="L97" s="2">
        <v>0</v>
      </c>
      <c r="M97" s="2">
        <v>0</v>
      </c>
      <c r="N97" s="2">
        <v>0</v>
      </c>
      <c r="O97" s="2">
        <v>0</v>
      </c>
      <c r="P97" s="2">
        <v>0</v>
      </c>
    </row>
    <row r="98" spans="1:16" ht="49.5" customHeight="1" x14ac:dyDescent="0.2">
      <c r="A98" s="37"/>
      <c r="B98" s="37"/>
      <c r="C98" s="11" t="s">
        <v>25</v>
      </c>
      <c r="D98" s="19">
        <f t="shared" si="57"/>
        <v>5923.4</v>
      </c>
      <c r="E98" s="21">
        <v>5923.4</v>
      </c>
      <c r="F98" s="2">
        <v>0</v>
      </c>
      <c r="G98" s="2">
        <v>0</v>
      </c>
      <c r="H98" s="2">
        <v>0</v>
      </c>
      <c r="I98" s="2">
        <v>0</v>
      </c>
      <c r="J98" s="2">
        <v>0</v>
      </c>
      <c r="K98" s="2">
        <v>0</v>
      </c>
      <c r="L98" s="2">
        <v>0</v>
      </c>
      <c r="M98" s="2">
        <v>0</v>
      </c>
      <c r="N98" s="2">
        <v>0</v>
      </c>
      <c r="O98" s="2">
        <v>0</v>
      </c>
      <c r="P98" s="2">
        <v>0</v>
      </c>
    </row>
    <row r="99" spans="1:16" ht="31.5" x14ac:dyDescent="0.2">
      <c r="A99" s="37"/>
      <c r="B99" s="37"/>
      <c r="C99" s="13" t="s">
        <v>24</v>
      </c>
      <c r="D99" s="19">
        <f t="shared" si="57"/>
        <v>548.4</v>
      </c>
      <c r="E99" s="19">
        <v>548.4</v>
      </c>
      <c r="F99" s="2">
        <v>0</v>
      </c>
      <c r="G99" s="2">
        <v>0</v>
      </c>
      <c r="H99" s="2">
        <v>0</v>
      </c>
      <c r="I99" s="2">
        <v>0</v>
      </c>
      <c r="J99" s="2">
        <v>0</v>
      </c>
      <c r="K99" s="2">
        <v>0</v>
      </c>
      <c r="L99" s="2">
        <v>0</v>
      </c>
      <c r="M99" s="2">
        <v>0</v>
      </c>
      <c r="N99" s="2">
        <v>0</v>
      </c>
      <c r="O99" s="2">
        <v>0</v>
      </c>
      <c r="P99" s="2">
        <v>0</v>
      </c>
    </row>
    <row r="100" spans="1:16" ht="50.25" customHeight="1" x14ac:dyDescent="0.2">
      <c r="A100" s="37"/>
      <c r="B100" s="37"/>
      <c r="C100" s="11" t="s">
        <v>25</v>
      </c>
      <c r="D100" s="19">
        <f t="shared" si="57"/>
        <v>405.5</v>
      </c>
      <c r="E100" s="21">
        <v>405.5</v>
      </c>
      <c r="F100" s="2">
        <v>0</v>
      </c>
      <c r="G100" s="2">
        <v>0</v>
      </c>
      <c r="H100" s="2">
        <v>0</v>
      </c>
      <c r="I100" s="2">
        <v>0</v>
      </c>
      <c r="J100" s="2">
        <v>0</v>
      </c>
      <c r="K100" s="2">
        <v>0</v>
      </c>
      <c r="L100" s="2">
        <v>0</v>
      </c>
      <c r="M100" s="2">
        <v>0</v>
      </c>
      <c r="N100" s="2">
        <v>0</v>
      </c>
      <c r="O100" s="2">
        <v>0</v>
      </c>
      <c r="P100" s="2">
        <v>0</v>
      </c>
    </row>
    <row r="101" spans="1:16" ht="20.25" customHeight="1" x14ac:dyDescent="0.2">
      <c r="A101" s="37"/>
      <c r="B101" s="37"/>
      <c r="C101" s="13" t="s">
        <v>4</v>
      </c>
      <c r="D101" s="19">
        <f t="shared" si="57"/>
        <v>0</v>
      </c>
      <c r="E101" s="2">
        <v>0</v>
      </c>
      <c r="F101" s="2">
        <v>0</v>
      </c>
      <c r="G101" s="2">
        <v>0</v>
      </c>
      <c r="H101" s="2">
        <v>0</v>
      </c>
      <c r="I101" s="2">
        <v>0</v>
      </c>
      <c r="J101" s="2">
        <v>0</v>
      </c>
      <c r="K101" s="2">
        <v>0</v>
      </c>
      <c r="L101" s="2">
        <v>0</v>
      </c>
      <c r="M101" s="2">
        <v>0</v>
      </c>
      <c r="N101" s="2">
        <v>0</v>
      </c>
      <c r="O101" s="2">
        <v>0</v>
      </c>
      <c r="P101" s="2">
        <v>0</v>
      </c>
    </row>
    <row r="102" spans="1:16" ht="15.75" x14ac:dyDescent="0.2">
      <c r="A102" s="37" t="s">
        <v>36</v>
      </c>
      <c r="B102" s="37" t="s">
        <v>65</v>
      </c>
      <c r="C102" s="13" t="s">
        <v>92</v>
      </c>
      <c r="D102" s="19">
        <f t="shared" si="57"/>
        <v>32899.9</v>
      </c>
      <c r="E102" s="19">
        <f>E103+E104+E105+E107</f>
        <v>0</v>
      </c>
      <c r="F102" s="19">
        <f t="shared" ref="F102:O102" si="65">F103+F104+F105+F107</f>
        <v>31052.300000000003</v>
      </c>
      <c r="G102" s="19">
        <f t="shared" si="65"/>
        <v>1847.6</v>
      </c>
      <c r="H102" s="19">
        <f t="shared" si="65"/>
        <v>0</v>
      </c>
      <c r="I102" s="19">
        <f t="shared" si="65"/>
        <v>0</v>
      </c>
      <c r="J102" s="19">
        <f t="shared" si="65"/>
        <v>0</v>
      </c>
      <c r="K102" s="19">
        <f t="shared" si="65"/>
        <v>0</v>
      </c>
      <c r="L102" s="19">
        <f t="shared" si="65"/>
        <v>0</v>
      </c>
      <c r="M102" s="19">
        <f t="shared" si="65"/>
        <v>0</v>
      </c>
      <c r="N102" s="19">
        <f t="shared" si="65"/>
        <v>0</v>
      </c>
      <c r="O102" s="19">
        <f t="shared" si="65"/>
        <v>0</v>
      </c>
      <c r="P102" s="19">
        <f t="shared" ref="P102" si="66">P103+P104+P105+P107</f>
        <v>0</v>
      </c>
    </row>
    <row r="103" spans="1:16" ht="15.75" x14ac:dyDescent="0.2">
      <c r="A103" s="37"/>
      <c r="B103" s="37"/>
      <c r="C103" s="13" t="s">
        <v>1</v>
      </c>
      <c r="D103" s="19">
        <f t="shared" si="57"/>
        <v>0</v>
      </c>
      <c r="E103" s="2">
        <v>0</v>
      </c>
      <c r="F103" s="2">
        <v>0</v>
      </c>
      <c r="G103" s="2">
        <v>0</v>
      </c>
      <c r="H103" s="2">
        <v>0</v>
      </c>
      <c r="I103" s="2">
        <v>0</v>
      </c>
      <c r="J103" s="2">
        <v>0</v>
      </c>
      <c r="K103" s="2">
        <v>0</v>
      </c>
      <c r="L103" s="2">
        <v>0</v>
      </c>
      <c r="M103" s="2">
        <v>0</v>
      </c>
      <c r="N103" s="2">
        <v>0</v>
      </c>
      <c r="O103" s="2">
        <v>0</v>
      </c>
      <c r="P103" s="2">
        <v>0</v>
      </c>
    </row>
    <row r="104" spans="1:16" ht="15.75" x14ac:dyDescent="0.2">
      <c r="A104" s="37"/>
      <c r="B104" s="37"/>
      <c r="C104" s="13" t="s">
        <v>2</v>
      </c>
      <c r="D104" s="19">
        <f t="shared" si="57"/>
        <v>27744.400000000001</v>
      </c>
      <c r="E104" s="2">
        <v>0</v>
      </c>
      <c r="F104" s="2">
        <v>27744.400000000001</v>
      </c>
      <c r="G104" s="2">
        <v>0</v>
      </c>
      <c r="H104" s="19">
        <v>0</v>
      </c>
      <c r="I104" s="2">
        <v>0</v>
      </c>
      <c r="J104" s="2">
        <v>0</v>
      </c>
      <c r="K104" s="2">
        <v>0</v>
      </c>
      <c r="L104" s="2">
        <v>0</v>
      </c>
      <c r="M104" s="2">
        <v>0</v>
      </c>
      <c r="N104" s="2">
        <v>0</v>
      </c>
      <c r="O104" s="2">
        <v>0</v>
      </c>
      <c r="P104" s="2">
        <v>0</v>
      </c>
    </row>
    <row r="105" spans="1:16" ht="31.5" x14ac:dyDescent="0.2">
      <c r="A105" s="37"/>
      <c r="B105" s="37"/>
      <c r="C105" s="13" t="s">
        <v>24</v>
      </c>
      <c r="D105" s="19">
        <f t="shared" si="57"/>
        <v>5155.5</v>
      </c>
      <c r="E105" s="2">
        <v>0</v>
      </c>
      <c r="F105" s="2">
        <v>3307.9</v>
      </c>
      <c r="G105" s="2">
        <v>1847.6</v>
      </c>
      <c r="H105" s="19">
        <v>0</v>
      </c>
      <c r="I105" s="2">
        <v>0</v>
      </c>
      <c r="J105" s="2">
        <v>0</v>
      </c>
      <c r="K105" s="2">
        <v>0</v>
      </c>
      <c r="L105" s="2">
        <v>0</v>
      </c>
      <c r="M105" s="2">
        <v>0</v>
      </c>
      <c r="N105" s="2">
        <v>0</v>
      </c>
      <c r="O105" s="2">
        <v>0</v>
      </c>
      <c r="P105" s="2">
        <v>0</v>
      </c>
    </row>
    <row r="106" spans="1:16" ht="50.25" customHeight="1" x14ac:dyDescent="0.2">
      <c r="A106" s="37"/>
      <c r="B106" s="37"/>
      <c r="C106" s="11" t="s">
        <v>25</v>
      </c>
      <c r="D106" s="19">
        <f t="shared" si="57"/>
        <v>1847.6</v>
      </c>
      <c r="E106" s="21">
        <v>0</v>
      </c>
      <c r="F106" s="12">
        <v>0</v>
      </c>
      <c r="G106" s="2">
        <v>1847.6</v>
      </c>
      <c r="H106" s="21">
        <v>0</v>
      </c>
      <c r="I106" s="12">
        <v>0</v>
      </c>
      <c r="J106" s="12">
        <v>0</v>
      </c>
      <c r="K106" s="2">
        <v>0</v>
      </c>
      <c r="L106" s="2">
        <v>0</v>
      </c>
      <c r="M106" s="2">
        <v>0</v>
      </c>
      <c r="N106" s="2">
        <v>0</v>
      </c>
      <c r="O106" s="2">
        <v>0</v>
      </c>
      <c r="P106" s="2">
        <v>0</v>
      </c>
    </row>
    <row r="107" spans="1:16" ht="21.75" customHeight="1" x14ac:dyDescent="0.2">
      <c r="A107" s="37"/>
      <c r="B107" s="37"/>
      <c r="C107" s="13" t="s">
        <v>4</v>
      </c>
      <c r="D107" s="19">
        <f t="shared" si="57"/>
        <v>0</v>
      </c>
      <c r="E107" s="2">
        <v>0</v>
      </c>
      <c r="F107" s="2">
        <v>0</v>
      </c>
      <c r="G107" s="2">
        <v>0</v>
      </c>
      <c r="H107" s="2">
        <v>0</v>
      </c>
      <c r="I107" s="2">
        <v>0</v>
      </c>
      <c r="J107" s="2">
        <v>0</v>
      </c>
      <c r="K107" s="2">
        <v>0</v>
      </c>
      <c r="L107" s="2">
        <v>0</v>
      </c>
      <c r="M107" s="2">
        <v>0</v>
      </c>
      <c r="N107" s="2">
        <v>0</v>
      </c>
      <c r="O107" s="2">
        <v>0</v>
      </c>
      <c r="P107" s="2">
        <v>0</v>
      </c>
    </row>
    <row r="108" spans="1:16" ht="15" customHeight="1" x14ac:dyDescent="0.2">
      <c r="A108" s="37" t="s">
        <v>37</v>
      </c>
      <c r="B108" s="37" t="s">
        <v>108</v>
      </c>
      <c r="C108" s="13" t="s">
        <v>92</v>
      </c>
      <c r="D108" s="19">
        <f t="shared" si="57"/>
        <v>8327.2999999999993</v>
      </c>
      <c r="E108" s="19">
        <f t="shared" ref="E108:O108" si="67">E109+E110+E111+E113</f>
        <v>3585.3</v>
      </c>
      <c r="F108" s="19">
        <f t="shared" si="67"/>
        <v>3502</v>
      </c>
      <c r="G108" s="19">
        <f t="shared" si="67"/>
        <v>0</v>
      </c>
      <c r="H108" s="19">
        <f t="shared" si="67"/>
        <v>1240</v>
      </c>
      <c r="I108" s="19">
        <f t="shared" si="67"/>
        <v>0</v>
      </c>
      <c r="J108" s="19">
        <f t="shared" si="67"/>
        <v>0</v>
      </c>
      <c r="K108" s="19">
        <f t="shared" si="67"/>
        <v>0</v>
      </c>
      <c r="L108" s="19">
        <f t="shared" si="67"/>
        <v>0</v>
      </c>
      <c r="M108" s="19">
        <f t="shared" si="67"/>
        <v>0</v>
      </c>
      <c r="N108" s="19">
        <f t="shared" si="67"/>
        <v>0</v>
      </c>
      <c r="O108" s="19">
        <f t="shared" si="67"/>
        <v>0</v>
      </c>
      <c r="P108" s="19">
        <f t="shared" ref="P108" si="68">P109+P110+P111+P113</f>
        <v>0</v>
      </c>
    </row>
    <row r="109" spans="1:16" ht="15.75" x14ac:dyDescent="0.2">
      <c r="A109" s="37"/>
      <c r="B109" s="37"/>
      <c r="C109" s="13" t="s">
        <v>1</v>
      </c>
      <c r="D109" s="19">
        <f t="shared" si="57"/>
        <v>0</v>
      </c>
      <c r="E109" s="19">
        <v>0</v>
      </c>
      <c r="F109" s="19">
        <v>0</v>
      </c>
      <c r="G109" s="19">
        <v>0</v>
      </c>
      <c r="H109" s="19">
        <v>0</v>
      </c>
      <c r="I109" s="19">
        <v>0</v>
      </c>
      <c r="J109" s="2">
        <v>0</v>
      </c>
      <c r="K109" s="2">
        <v>0</v>
      </c>
      <c r="L109" s="2">
        <v>0</v>
      </c>
      <c r="M109" s="2">
        <v>0</v>
      </c>
      <c r="N109" s="2">
        <v>0</v>
      </c>
      <c r="O109" s="2">
        <v>0</v>
      </c>
      <c r="P109" s="2">
        <v>0</v>
      </c>
    </row>
    <row r="110" spans="1:16" ht="15.75" x14ac:dyDescent="0.2">
      <c r="A110" s="37"/>
      <c r="B110" s="37"/>
      <c r="C110" s="13" t="s">
        <v>2</v>
      </c>
      <c r="D110" s="19">
        <f t="shared" si="57"/>
        <v>0</v>
      </c>
      <c r="E110" s="19">
        <v>0</v>
      </c>
      <c r="F110" s="19">
        <v>0</v>
      </c>
      <c r="G110" s="19">
        <v>0</v>
      </c>
      <c r="H110" s="19">
        <v>0</v>
      </c>
      <c r="I110" s="19">
        <v>0</v>
      </c>
      <c r="J110" s="2">
        <v>0</v>
      </c>
      <c r="K110" s="2">
        <v>0</v>
      </c>
      <c r="L110" s="2">
        <v>0</v>
      </c>
      <c r="M110" s="2">
        <v>0</v>
      </c>
      <c r="N110" s="2">
        <v>0</v>
      </c>
      <c r="O110" s="2">
        <v>0</v>
      </c>
      <c r="P110" s="2">
        <v>0</v>
      </c>
    </row>
    <row r="111" spans="1:16" ht="15.75" x14ac:dyDescent="0.2">
      <c r="A111" s="37"/>
      <c r="B111" s="37"/>
      <c r="C111" s="13" t="s">
        <v>3</v>
      </c>
      <c r="D111" s="19">
        <f t="shared" si="57"/>
        <v>8327.2999999999993</v>
      </c>
      <c r="E111" s="19">
        <v>3585.3</v>
      </c>
      <c r="F111" s="19">
        <v>3502</v>
      </c>
      <c r="G111" s="19">
        <v>0</v>
      </c>
      <c r="H111" s="19">
        <v>1240</v>
      </c>
      <c r="I111" s="19">
        <v>0</v>
      </c>
      <c r="J111" s="2">
        <v>0</v>
      </c>
      <c r="K111" s="2">
        <v>0</v>
      </c>
      <c r="L111" s="2">
        <v>0</v>
      </c>
      <c r="M111" s="2">
        <v>0</v>
      </c>
      <c r="N111" s="2">
        <v>0</v>
      </c>
      <c r="O111" s="2">
        <v>0</v>
      </c>
      <c r="P111" s="2">
        <v>0</v>
      </c>
    </row>
    <row r="112" spans="1:16" ht="48.75" customHeight="1" x14ac:dyDescent="0.2">
      <c r="A112" s="37"/>
      <c r="B112" s="37"/>
      <c r="C112" s="11" t="s">
        <v>25</v>
      </c>
      <c r="D112" s="19">
        <f t="shared" si="57"/>
        <v>3530.4</v>
      </c>
      <c r="E112" s="21">
        <v>85.3</v>
      </c>
      <c r="F112" s="21">
        <v>3445.1</v>
      </c>
      <c r="G112" s="21">
        <v>0</v>
      </c>
      <c r="H112" s="21">
        <v>0</v>
      </c>
      <c r="I112" s="21">
        <v>0</v>
      </c>
      <c r="J112" s="2">
        <v>0</v>
      </c>
      <c r="K112" s="2">
        <v>0</v>
      </c>
      <c r="L112" s="2">
        <v>0</v>
      </c>
      <c r="M112" s="2">
        <v>0</v>
      </c>
      <c r="N112" s="2">
        <v>0</v>
      </c>
      <c r="O112" s="2">
        <v>0</v>
      </c>
      <c r="P112" s="2">
        <v>0</v>
      </c>
    </row>
    <row r="113" spans="1:16" ht="17.25" customHeight="1" x14ac:dyDescent="0.2">
      <c r="A113" s="37"/>
      <c r="B113" s="37"/>
      <c r="C113" s="13" t="s">
        <v>4</v>
      </c>
      <c r="D113" s="19">
        <f t="shared" si="57"/>
        <v>0</v>
      </c>
      <c r="E113" s="2">
        <v>0</v>
      </c>
      <c r="F113" s="2">
        <v>0</v>
      </c>
      <c r="G113" s="2">
        <v>0</v>
      </c>
      <c r="H113" s="2">
        <v>0</v>
      </c>
      <c r="I113" s="2">
        <v>0</v>
      </c>
      <c r="J113" s="2">
        <v>0</v>
      </c>
      <c r="K113" s="2">
        <v>0</v>
      </c>
      <c r="L113" s="2">
        <v>0</v>
      </c>
      <c r="M113" s="2">
        <v>0</v>
      </c>
      <c r="N113" s="2">
        <v>0</v>
      </c>
      <c r="O113" s="2">
        <v>0</v>
      </c>
      <c r="P113" s="2">
        <v>0</v>
      </c>
    </row>
    <row r="114" spans="1:16" ht="24" customHeight="1" x14ac:dyDescent="0.2">
      <c r="A114" s="37" t="s">
        <v>38</v>
      </c>
      <c r="B114" s="37" t="s">
        <v>72</v>
      </c>
      <c r="C114" s="13" t="s">
        <v>92</v>
      </c>
      <c r="D114" s="19">
        <f t="shared" si="57"/>
        <v>8852.4</v>
      </c>
      <c r="E114" s="19">
        <f>E115+E116+E117+E119</f>
        <v>1100</v>
      </c>
      <c r="F114" s="19">
        <f t="shared" ref="F114:O114" si="69">F115+F116+F117+F119</f>
        <v>3876.2</v>
      </c>
      <c r="G114" s="19">
        <f t="shared" si="69"/>
        <v>0</v>
      </c>
      <c r="H114" s="19">
        <f t="shared" si="69"/>
        <v>3876.2</v>
      </c>
      <c r="I114" s="19">
        <f t="shared" si="69"/>
        <v>0</v>
      </c>
      <c r="J114" s="19">
        <f t="shared" si="69"/>
        <v>0</v>
      </c>
      <c r="K114" s="19">
        <f t="shared" si="69"/>
        <v>0</v>
      </c>
      <c r="L114" s="19">
        <f t="shared" si="69"/>
        <v>0</v>
      </c>
      <c r="M114" s="19">
        <f t="shared" si="69"/>
        <v>0</v>
      </c>
      <c r="N114" s="19">
        <f t="shared" si="69"/>
        <v>0</v>
      </c>
      <c r="O114" s="19">
        <f t="shared" si="69"/>
        <v>0</v>
      </c>
      <c r="P114" s="19">
        <f t="shared" ref="P114" si="70">P115+P116+P117+P119</f>
        <v>0</v>
      </c>
    </row>
    <row r="115" spans="1:16" ht="15.75" x14ac:dyDescent="0.2">
      <c r="A115" s="37"/>
      <c r="B115" s="37"/>
      <c r="C115" s="13" t="s">
        <v>1</v>
      </c>
      <c r="D115" s="19">
        <f t="shared" si="57"/>
        <v>0</v>
      </c>
      <c r="E115" s="19">
        <v>0</v>
      </c>
      <c r="F115" s="19">
        <v>0</v>
      </c>
      <c r="G115" s="19">
        <v>0</v>
      </c>
      <c r="H115" s="2">
        <v>0</v>
      </c>
      <c r="I115" s="19">
        <v>0</v>
      </c>
      <c r="J115" s="2">
        <v>0</v>
      </c>
      <c r="K115" s="2">
        <v>0</v>
      </c>
      <c r="L115" s="2">
        <v>0</v>
      </c>
      <c r="M115" s="2">
        <v>0</v>
      </c>
      <c r="N115" s="2">
        <v>0</v>
      </c>
      <c r="O115" s="2">
        <v>0</v>
      </c>
      <c r="P115" s="2">
        <v>0</v>
      </c>
    </row>
    <row r="116" spans="1:16" ht="15.75" x14ac:dyDescent="0.2">
      <c r="A116" s="37"/>
      <c r="B116" s="37"/>
      <c r="C116" s="13" t="s">
        <v>2</v>
      </c>
      <c r="D116" s="19">
        <f t="shared" si="57"/>
        <v>0</v>
      </c>
      <c r="E116" s="19">
        <v>0</v>
      </c>
      <c r="F116" s="19">
        <v>0</v>
      </c>
      <c r="G116" s="19">
        <v>0</v>
      </c>
      <c r="H116" s="2">
        <v>0</v>
      </c>
      <c r="I116" s="19">
        <v>0</v>
      </c>
      <c r="J116" s="2">
        <v>0</v>
      </c>
      <c r="K116" s="2">
        <v>0</v>
      </c>
      <c r="L116" s="2">
        <v>0</v>
      </c>
      <c r="M116" s="2">
        <v>0</v>
      </c>
      <c r="N116" s="2">
        <v>0</v>
      </c>
      <c r="O116" s="2">
        <v>0</v>
      </c>
      <c r="P116" s="2">
        <v>0</v>
      </c>
    </row>
    <row r="117" spans="1:16" ht="15.75" x14ac:dyDescent="0.2">
      <c r="A117" s="37"/>
      <c r="B117" s="37"/>
      <c r="C117" s="13" t="s">
        <v>3</v>
      </c>
      <c r="D117" s="19">
        <f t="shared" si="57"/>
        <v>8852.4</v>
      </c>
      <c r="E117" s="19">
        <v>1100</v>
      </c>
      <c r="F117" s="19">
        <v>3876.2</v>
      </c>
      <c r="G117" s="19">
        <v>0</v>
      </c>
      <c r="H117" s="2">
        <v>3876.2</v>
      </c>
      <c r="I117" s="19">
        <v>0</v>
      </c>
      <c r="J117" s="2">
        <v>0</v>
      </c>
      <c r="K117" s="2">
        <v>0</v>
      </c>
      <c r="L117" s="2">
        <v>0</v>
      </c>
      <c r="M117" s="2">
        <v>0</v>
      </c>
      <c r="N117" s="2">
        <v>0</v>
      </c>
      <c r="O117" s="2">
        <v>0</v>
      </c>
      <c r="P117" s="2">
        <v>0</v>
      </c>
    </row>
    <row r="118" spans="1:16" ht="31.5" x14ac:dyDescent="0.2">
      <c r="A118" s="37"/>
      <c r="B118" s="37"/>
      <c r="C118" s="11" t="s">
        <v>71</v>
      </c>
      <c r="D118" s="19">
        <f t="shared" si="57"/>
        <v>3876.2</v>
      </c>
      <c r="E118" s="21">
        <v>0</v>
      </c>
      <c r="F118" s="21">
        <v>0</v>
      </c>
      <c r="G118" s="21">
        <v>0</v>
      </c>
      <c r="H118" s="12">
        <v>3876.2</v>
      </c>
      <c r="I118" s="21">
        <v>0</v>
      </c>
      <c r="J118" s="12">
        <v>0</v>
      </c>
      <c r="K118" s="2">
        <v>0</v>
      </c>
      <c r="L118" s="2">
        <v>0</v>
      </c>
      <c r="M118" s="2">
        <v>0</v>
      </c>
      <c r="N118" s="2">
        <v>0</v>
      </c>
      <c r="O118" s="2">
        <v>0</v>
      </c>
      <c r="P118" s="2">
        <v>0</v>
      </c>
    </row>
    <row r="119" spans="1:16" ht="16.5" customHeight="1" x14ac:dyDescent="0.2">
      <c r="A119" s="37"/>
      <c r="B119" s="37"/>
      <c r="C119" s="13" t="s">
        <v>4</v>
      </c>
      <c r="D119" s="19">
        <f t="shared" si="57"/>
        <v>0</v>
      </c>
      <c r="E119" s="2">
        <v>0</v>
      </c>
      <c r="F119" s="2">
        <v>0</v>
      </c>
      <c r="G119" s="2">
        <v>0</v>
      </c>
      <c r="H119" s="2">
        <v>0</v>
      </c>
      <c r="I119" s="2">
        <v>0</v>
      </c>
      <c r="J119" s="2">
        <v>0</v>
      </c>
      <c r="K119" s="2">
        <v>0</v>
      </c>
      <c r="L119" s="2">
        <v>0</v>
      </c>
      <c r="M119" s="2">
        <v>0</v>
      </c>
      <c r="N119" s="2">
        <v>0</v>
      </c>
      <c r="O119" s="2">
        <v>0</v>
      </c>
      <c r="P119" s="2">
        <v>0</v>
      </c>
    </row>
    <row r="120" spans="1:16" ht="15.75" x14ac:dyDescent="0.2">
      <c r="A120" s="37" t="s">
        <v>78</v>
      </c>
      <c r="B120" s="37" t="s">
        <v>58</v>
      </c>
      <c r="C120" s="13" t="s">
        <v>92</v>
      </c>
      <c r="D120" s="19">
        <f t="shared" si="57"/>
        <v>63439.80000000001</v>
      </c>
      <c r="E120" s="19">
        <f t="shared" ref="E120:O120" si="71">E121+E122+E123+E126</f>
        <v>4093.9</v>
      </c>
      <c r="F120" s="19">
        <f t="shared" si="71"/>
        <v>59241.100000000006</v>
      </c>
      <c r="G120" s="19">
        <f t="shared" si="71"/>
        <v>104.8</v>
      </c>
      <c r="H120" s="19">
        <f t="shared" si="71"/>
        <v>0</v>
      </c>
      <c r="I120" s="19">
        <f t="shared" si="71"/>
        <v>0</v>
      </c>
      <c r="J120" s="19">
        <f t="shared" si="71"/>
        <v>0</v>
      </c>
      <c r="K120" s="19">
        <f t="shared" si="71"/>
        <v>0</v>
      </c>
      <c r="L120" s="19">
        <f t="shared" si="71"/>
        <v>0</v>
      </c>
      <c r="M120" s="19">
        <f t="shared" si="71"/>
        <v>0</v>
      </c>
      <c r="N120" s="19">
        <f t="shared" si="71"/>
        <v>0</v>
      </c>
      <c r="O120" s="19">
        <f t="shared" si="71"/>
        <v>0</v>
      </c>
      <c r="P120" s="19">
        <f t="shared" ref="P120" si="72">P121+P122+P123+P126</f>
        <v>0</v>
      </c>
    </row>
    <row r="121" spans="1:16" ht="15.75" x14ac:dyDescent="0.2">
      <c r="A121" s="37"/>
      <c r="B121" s="37"/>
      <c r="C121" s="13" t="s">
        <v>1</v>
      </c>
      <c r="D121" s="19">
        <f t="shared" si="57"/>
        <v>0</v>
      </c>
      <c r="E121" s="2">
        <v>0</v>
      </c>
      <c r="F121" s="2">
        <v>0</v>
      </c>
      <c r="G121" s="2">
        <v>0</v>
      </c>
      <c r="H121" s="2">
        <v>0</v>
      </c>
      <c r="I121" s="2">
        <v>0</v>
      </c>
      <c r="J121" s="2">
        <v>0</v>
      </c>
      <c r="K121" s="2">
        <v>0</v>
      </c>
      <c r="L121" s="2">
        <v>0</v>
      </c>
      <c r="M121" s="2">
        <v>0</v>
      </c>
      <c r="N121" s="2">
        <v>0</v>
      </c>
      <c r="O121" s="2">
        <v>0</v>
      </c>
      <c r="P121" s="2">
        <v>0</v>
      </c>
    </row>
    <row r="122" spans="1:16" ht="15.75" x14ac:dyDescent="0.2">
      <c r="A122" s="37"/>
      <c r="B122" s="37"/>
      <c r="C122" s="13" t="s">
        <v>2</v>
      </c>
      <c r="D122" s="19">
        <f t="shared" si="57"/>
        <v>43842.8</v>
      </c>
      <c r="E122" s="2">
        <v>0</v>
      </c>
      <c r="F122" s="2">
        <v>43842.8</v>
      </c>
      <c r="G122" s="2">
        <v>0</v>
      </c>
      <c r="H122" s="2">
        <v>0</v>
      </c>
      <c r="I122" s="2">
        <v>0</v>
      </c>
      <c r="J122" s="2">
        <v>0</v>
      </c>
      <c r="K122" s="2">
        <v>0</v>
      </c>
      <c r="L122" s="2">
        <v>0</v>
      </c>
      <c r="M122" s="2">
        <v>0</v>
      </c>
      <c r="N122" s="2">
        <v>0</v>
      </c>
      <c r="O122" s="2">
        <v>0</v>
      </c>
      <c r="P122" s="2">
        <v>0</v>
      </c>
    </row>
    <row r="123" spans="1:16" ht="31.5" x14ac:dyDescent="0.2">
      <c r="A123" s="37"/>
      <c r="B123" s="37"/>
      <c r="C123" s="13" t="s">
        <v>24</v>
      </c>
      <c r="D123" s="19">
        <f t="shared" si="57"/>
        <v>19597</v>
      </c>
      <c r="E123" s="19">
        <v>4093.9</v>
      </c>
      <c r="F123" s="2">
        <v>15398.3</v>
      </c>
      <c r="G123" s="2">
        <f>G125</f>
        <v>104.8</v>
      </c>
      <c r="H123" s="2">
        <v>0</v>
      </c>
      <c r="I123" s="2">
        <v>0</v>
      </c>
      <c r="J123" s="2">
        <v>0</v>
      </c>
      <c r="K123" s="2">
        <v>0</v>
      </c>
      <c r="L123" s="2">
        <v>0</v>
      </c>
      <c r="M123" s="2">
        <v>0</v>
      </c>
      <c r="N123" s="2">
        <v>0</v>
      </c>
      <c r="O123" s="2">
        <v>0</v>
      </c>
      <c r="P123" s="2">
        <v>0</v>
      </c>
    </row>
    <row r="124" spans="1:16" ht="31.5" x14ac:dyDescent="0.2">
      <c r="A124" s="37"/>
      <c r="B124" s="37"/>
      <c r="C124" s="11" t="s">
        <v>71</v>
      </c>
      <c r="D124" s="19">
        <f t="shared" si="57"/>
        <v>1317.7</v>
      </c>
      <c r="E124" s="21">
        <v>0</v>
      </c>
      <c r="F124" s="12">
        <v>1317.7</v>
      </c>
      <c r="G124" s="12">
        <v>0</v>
      </c>
      <c r="H124" s="12">
        <v>0</v>
      </c>
      <c r="I124" s="12">
        <v>0</v>
      </c>
      <c r="J124" s="12">
        <v>0</v>
      </c>
      <c r="K124" s="2">
        <v>0</v>
      </c>
      <c r="L124" s="2">
        <v>0</v>
      </c>
      <c r="M124" s="2">
        <v>0</v>
      </c>
      <c r="N124" s="2">
        <v>0</v>
      </c>
      <c r="O124" s="2">
        <v>0</v>
      </c>
      <c r="P124" s="2">
        <v>0</v>
      </c>
    </row>
    <row r="125" spans="1:16" ht="48.75" customHeight="1" x14ac:dyDescent="0.2">
      <c r="A125" s="37"/>
      <c r="B125" s="37"/>
      <c r="C125" s="11" t="s">
        <v>25</v>
      </c>
      <c r="D125" s="19">
        <f t="shared" si="57"/>
        <v>1422.5</v>
      </c>
      <c r="E125" s="21">
        <v>0</v>
      </c>
      <c r="F125" s="12">
        <v>1317.7</v>
      </c>
      <c r="G125" s="12">
        <v>104.8</v>
      </c>
      <c r="H125" s="12">
        <v>0</v>
      </c>
      <c r="I125" s="12">
        <v>0</v>
      </c>
      <c r="J125" s="12">
        <v>0</v>
      </c>
      <c r="K125" s="2">
        <v>0</v>
      </c>
      <c r="L125" s="12">
        <v>0</v>
      </c>
      <c r="M125" s="12">
        <v>0</v>
      </c>
      <c r="N125" s="12">
        <v>0</v>
      </c>
      <c r="O125" s="12">
        <v>0</v>
      </c>
      <c r="P125" s="12">
        <v>0</v>
      </c>
    </row>
    <row r="126" spans="1:16" ht="19.5" customHeight="1" x14ac:dyDescent="0.2">
      <c r="A126" s="37"/>
      <c r="B126" s="37"/>
      <c r="C126" s="13" t="s">
        <v>4</v>
      </c>
      <c r="D126" s="19">
        <f t="shared" si="57"/>
        <v>0</v>
      </c>
      <c r="E126" s="2">
        <v>0</v>
      </c>
      <c r="F126" s="2">
        <v>0</v>
      </c>
      <c r="G126" s="2">
        <v>0</v>
      </c>
      <c r="H126" s="2">
        <v>0</v>
      </c>
      <c r="I126" s="2">
        <v>0</v>
      </c>
      <c r="J126" s="2">
        <v>0</v>
      </c>
      <c r="K126" s="2">
        <v>0</v>
      </c>
      <c r="L126" s="2">
        <v>0</v>
      </c>
      <c r="M126" s="2">
        <v>0</v>
      </c>
      <c r="N126" s="2">
        <v>0</v>
      </c>
      <c r="O126" s="2">
        <v>0</v>
      </c>
      <c r="P126" s="2">
        <v>0</v>
      </c>
    </row>
    <row r="127" spans="1:16" ht="15.75" x14ac:dyDescent="0.2">
      <c r="A127" s="37" t="s">
        <v>39</v>
      </c>
      <c r="B127" s="37" t="s">
        <v>83</v>
      </c>
      <c r="C127" s="13" t="s">
        <v>92</v>
      </c>
      <c r="D127" s="19">
        <f t="shared" si="57"/>
        <v>24740</v>
      </c>
      <c r="E127" s="19">
        <f>E128+E129+E130+E133</f>
        <v>12370</v>
      </c>
      <c r="F127" s="19">
        <f t="shared" ref="F127:O127" si="73">F128+F129+F130+F133</f>
        <v>12370</v>
      </c>
      <c r="G127" s="19">
        <f t="shared" si="73"/>
        <v>0</v>
      </c>
      <c r="H127" s="19">
        <f t="shared" si="73"/>
        <v>0</v>
      </c>
      <c r="I127" s="19">
        <f t="shared" si="73"/>
        <v>0</v>
      </c>
      <c r="J127" s="19">
        <f t="shared" si="73"/>
        <v>0</v>
      </c>
      <c r="K127" s="19">
        <f t="shared" si="73"/>
        <v>0</v>
      </c>
      <c r="L127" s="19">
        <f t="shared" si="73"/>
        <v>0</v>
      </c>
      <c r="M127" s="19">
        <f t="shared" si="73"/>
        <v>0</v>
      </c>
      <c r="N127" s="19">
        <f t="shared" si="73"/>
        <v>0</v>
      </c>
      <c r="O127" s="19">
        <f t="shared" si="73"/>
        <v>0</v>
      </c>
      <c r="P127" s="19">
        <f t="shared" ref="P127" si="74">P128+P129+P130+P133</f>
        <v>0</v>
      </c>
    </row>
    <row r="128" spans="1:16" ht="15.75" customHeight="1" x14ac:dyDescent="0.2">
      <c r="A128" s="37"/>
      <c r="B128" s="37"/>
      <c r="C128" s="13" t="s">
        <v>1</v>
      </c>
      <c r="D128" s="19">
        <f t="shared" ref="D128:D191" si="75">E128+F128+G128+H128+I128+J128+K128+L128+M128+N128+O128+P128</f>
        <v>0</v>
      </c>
      <c r="E128" s="2">
        <v>0</v>
      </c>
      <c r="F128" s="2">
        <v>0</v>
      </c>
      <c r="G128" s="2">
        <v>0</v>
      </c>
      <c r="H128" s="2">
        <v>0</v>
      </c>
      <c r="I128" s="2">
        <v>0</v>
      </c>
      <c r="J128" s="2">
        <v>0</v>
      </c>
      <c r="K128" s="2">
        <v>0</v>
      </c>
      <c r="L128" s="2">
        <v>0</v>
      </c>
      <c r="M128" s="2">
        <v>0</v>
      </c>
      <c r="N128" s="2">
        <v>0</v>
      </c>
      <c r="O128" s="2">
        <v>0</v>
      </c>
      <c r="P128" s="2">
        <v>0</v>
      </c>
    </row>
    <row r="129" spans="1:16" ht="15.75" x14ac:dyDescent="0.2">
      <c r="A129" s="37"/>
      <c r="B129" s="37"/>
      <c r="C129" s="13" t="s">
        <v>2</v>
      </c>
      <c r="D129" s="19">
        <f t="shared" si="75"/>
        <v>0</v>
      </c>
      <c r="E129" s="2">
        <v>0</v>
      </c>
      <c r="F129" s="2">
        <v>0</v>
      </c>
      <c r="G129" s="2">
        <v>0</v>
      </c>
      <c r="H129" s="2">
        <v>0</v>
      </c>
      <c r="I129" s="2">
        <v>0</v>
      </c>
      <c r="J129" s="2">
        <v>0</v>
      </c>
      <c r="K129" s="2">
        <v>0</v>
      </c>
      <c r="L129" s="2">
        <v>0</v>
      </c>
      <c r="M129" s="2">
        <v>0</v>
      </c>
      <c r="N129" s="2">
        <v>0</v>
      </c>
      <c r="O129" s="2">
        <v>0</v>
      </c>
      <c r="P129" s="2">
        <v>0</v>
      </c>
    </row>
    <row r="130" spans="1:16" ht="31.5" x14ac:dyDescent="0.2">
      <c r="A130" s="37"/>
      <c r="B130" s="37"/>
      <c r="C130" s="13" t="s">
        <v>24</v>
      </c>
      <c r="D130" s="19">
        <f t="shared" si="75"/>
        <v>24740</v>
      </c>
      <c r="E130" s="19">
        <v>12370</v>
      </c>
      <c r="F130" s="2">
        <v>12370</v>
      </c>
      <c r="G130" s="2">
        <v>0</v>
      </c>
      <c r="H130" s="2">
        <v>0</v>
      </c>
      <c r="I130" s="2">
        <v>0</v>
      </c>
      <c r="J130" s="2">
        <v>0</v>
      </c>
      <c r="K130" s="2">
        <v>0</v>
      </c>
      <c r="L130" s="2">
        <v>0</v>
      </c>
      <c r="M130" s="2">
        <v>0</v>
      </c>
      <c r="N130" s="2">
        <v>0</v>
      </c>
      <c r="O130" s="2">
        <v>0</v>
      </c>
      <c r="P130" s="2">
        <v>0</v>
      </c>
    </row>
    <row r="131" spans="1:16" ht="31.5" x14ac:dyDescent="0.2">
      <c r="A131" s="37"/>
      <c r="B131" s="37"/>
      <c r="C131" s="11" t="s">
        <v>71</v>
      </c>
      <c r="D131" s="19">
        <f t="shared" si="75"/>
        <v>12370</v>
      </c>
      <c r="E131" s="21">
        <v>0</v>
      </c>
      <c r="F131" s="12">
        <v>12370</v>
      </c>
      <c r="G131" s="12">
        <v>0</v>
      </c>
      <c r="H131" s="12">
        <v>0</v>
      </c>
      <c r="I131" s="12">
        <v>0</v>
      </c>
      <c r="J131" s="12">
        <v>0</v>
      </c>
      <c r="K131" s="2">
        <v>0</v>
      </c>
      <c r="L131" s="2">
        <v>0</v>
      </c>
      <c r="M131" s="2">
        <v>0</v>
      </c>
      <c r="N131" s="2">
        <v>0</v>
      </c>
      <c r="O131" s="2">
        <v>0</v>
      </c>
      <c r="P131" s="2">
        <v>0</v>
      </c>
    </row>
    <row r="132" spans="1:16" ht="49.5" customHeight="1" x14ac:dyDescent="0.2">
      <c r="A132" s="37"/>
      <c r="B132" s="37"/>
      <c r="C132" s="11" t="s">
        <v>25</v>
      </c>
      <c r="D132" s="19">
        <f t="shared" si="75"/>
        <v>12370</v>
      </c>
      <c r="E132" s="21">
        <v>0</v>
      </c>
      <c r="F132" s="12">
        <v>12370</v>
      </c>
      <c r="G132" s="12">
        <v>0</v>
      </c>
      <c r="H132" s="12">
        <v>0</v>
      </c>
      <c r="I132" s="12">
        <v>0</v>
      </c>
      <c r="J132" s="12">
        <v>0</v>
      </c>
      <c r="K132" s="2">
        <v>0</v>
      </c>
      <c r="L132" s="2">
        <v>0</v>
      </c>
      <c r="M132" s="2">
        <v>0</v>
      </c>
      <c r="N132" s="2">
        <v>0</v>
      </c>
      <c r="O132" s="2">
        <v>0</v>
      </c>
      <c r="P132" s="2">
        <v>0</v>
      </c>
    </row>
    <row r="133" spans="1:16" ht="19.5" customHeight="1" x14ac:dyDescent="0.2">
      <c r="A133" s="37"/>
      <c r="B133" s="37"/>
      <c r="C133" s="13" t="s">
        <v>4</v>
      </c>
      <c r="D133" s="19">
        <f t="shared" si="75"/>
        <v>0</v>
      </c>
      <c r="E133" s="2">
        <v>0</v>
      </c>
      <c r="F133" s="2">
        <v>0</v>
      </c>
      <c r="G133" s="2">
        <v>0</v>
      </c>
      <c r="H133" s="2">
        <v>0</v>
      </c>
      <c r="I133" s="2">
        <v>0</v>
      </c>
      <c r="J133" s="2">
        <v>0</v>
      </c>
      <c r="K133" s="2">
        <v>0</v>
      </c>
      <c r="L133" s="2">
        <v>0</v>
      </c>
      <c r="M133" s="2">
        <v>0</v>
      </c>
      <c r="N133" s="2">
        <v>0</v>
      </c>
      <c r="O133" s="2">
        <v>0</v>
      </c>
      <c r="P133" s="2">
        <v>0</v>
      </c>
    </row>
    <row r="134" spans="1:16" ht="15.75" x14ac:dyDescent="0.2">
      <c r="A134" s="37" t="s">
        <v>40</v>
      </c>
      <c r="B134" s="37" t="s">
        <v>64</v>
      </c>
      <c r="C134" s="13" t="s">
        <v>92</v>
      </c>
      <c r="D134" s="19">
        <f t="shared" si="75"/>
        <v>3484.4</v>
      </c>
      <c r="E134" s="2">
        <f>E135+E136+E137+E138</f>
        <v>0</v>
      </c>
      <c r="F134" s="2">
        <f t="shared" ref="F134:O134" si="76">F135+F136+F137+F138</f>
        <v>3484.4</v>
      </c>
      <c r="G134" s="2">
        <f t="shared" si="76"/>
        <v>0</v>
      </c>
      <c r="H134" s="2">
        <f t="shared" si="76"/>
        <v>0</v>
      </c>
      <c r="I134" s="2">
        <f t="shared" si="76"/>
        <v>0</v>
      </c>
      <c r="J134" s="2">
        <f t="shared" si="76"/>
        <v>0</v>
      </c>
      <c r="K134" s="2">
        <f t="shared" si="76"/>
        <v>0</v>
      </c>
      <c r="L134" s="2">
        <f t="shared" si="76"/>
        <v>0</v>
      </c>
      <c r="M134" s="2">
        <f t="shared" si="76"/>
        <v>0</v>
      </c>
      <c r="N134" s="2">
        <f t="shared" si="76"/>
        <v>0</v>
      </c>
      <c r="O134" s="2">
        <f t="shared" si="76"/>
        <v>0</v>
      </c>
      <c r="P134" s="2">
        <f t="shared" ref="P134" si="77">P135+P136+P137+P138</f>
        <v>0</v>
      </c>
    </row>
    <row r="135" spans="1:16" ht="15.75" x14ac:dyDescent="0.2">
      <c r="A135" s="37"/>
      <c r="B135" s="37"/>
      <c r="C135" s="13" t="s">
        <v>1</v>
      </c>
      <c r="D135" s="19">
        <f t="shared" si="75"/>
        <v>0</v>
      </c>
      <c r="E135" s="2">
        <v>0</v>
      </c>
      <c r="F135" s="2">
        <v>0</v>
      </c>
      <c r="G135" s="2">
        <v>0</v>
      </c>
      <c r="H135" s="2">
        <v>0</v>
      </c>
      <c r="I135" s="2">
        <v>0</v>
      </c>
      <c r="J135" s="2">
        <v>0</v>
      </c>
      <c r="K135" s="2">
        <v>0</v>
      </c>
      <c r="L135" s="2">
        <v>0</v>
      </c>
      <c r="M135" s="2">
        <v>0</v>
      </c>
      <c r="N135" s="2">
        <v>0</v>
      </c>
      <c r="O135" s="2">
        <v>0</v>
      </c>
      <c r="P135" s="2">
        <v>0</v>
      </c>
    </row>
    <row r="136" spans="1:16" ht="15.75" x14ac:dyDescent="0.2">
      <c r="A136" s="37"/>
      <c r="B136" s="37"/>
      <c r="C136" s="13" t="s">
        <v>2</v>
      </c>
      <c r="D136" s="19">
        <f t="shared" si="75"/>
        <v>0</v>
      </c>
      <c r="E136" s="2">
        <v>0</v>
      </c>
      <c r="F136" s="2">
        <v>0</v>
      </c>
      <c r="G136" s="2">
        <v>0</v>
      </c>
      <c r="H136" s="2">
        <v>0</v>
      </c>
      <c r="I136" s="2">
        <v>0</v>
      </c>
      <c r="J136" s="2">
        <v>0</v>
      </c>
      <c r="K136" s="2">
        <v>0</v>
      </c>
      <c r="L136" s="2">
        <v>0</v>
      </c>
      <c r="M136" s="2">
        <v>0</v>
      </c>
      <c r="N136" s="2">
        <v>0</v>
      </c>
      <c r="O136" s="2">
        <v>0</v>
      </c>
      <c r="P136" s="2">
        <v>0</v>
      </c>
    </row>
    <row r="137" spans="1:16" ht="15.75" x14ac:dyDescent="0.2">
      <c r="A137" s="37"/>
      <c r="B137" s="37"/>
      <c r="C137" s="13" t="s">
        <v>3</v>
      </c>
      <c r="D137" s="19">
        <f t="shared" si="75"/>
        <v>3484.4</v>
      </c>
      <c r="E137" s="2">
        <v>0</v>
      </c>
      <c r="F137" s="19">
        <v>3484.4</v>
      </c>
      <c r="G137" s="19">
        <v>0</v>
      </c>
      <c r="H137" s="2">
        <v>0</v>
      </c>
      <c r="I137" s="2">
        <v>0</v>
      </c>
      <c r="J137" s="2">
        <v>0</v>
      </c>
      <c r="K137" s="2">
        <v>0</v>
      </c>
      <c r="L137" s="2">
        <v>0</v>
      </c>
      <c r="M137" s="2">
        <v>0</v>
      </c>
      <c r="N137" s="2">
        <v>0</v>
      </c>
      <c r="O137" s="2">
        <v>0</v>
      </c>
      <c r="P137" s="2">
        <v>0</v>
      </c>
    </row>
    <row r="138" spans="1:16" ht="16.5" customHeight="1" x14ac:dyDescent="0.2">
      <c r="A138" s="37"/>
      <c r="B138" s="37"/>
      <c r="C138" s="13" t="s">
        <v>4</v>
      </c>
      <c r="D138" s="19">
        <f t="shared" si="75"/>
        <v>0</v>
      </c>
      <c r="E138" s="2">
        <v>0</v>
      </c>
      <c r="F138" s="2">
        <v>0</v>
      </c>
      <c r="G138" s="2">
        <v>0</v>
      </c>
      <c r="H138" s="2">
        <v>0</v>
      </c>
      <c r="I138" s="2">
        <v>0</v>
      </c>
      <c r="J138" s="2">
        <v>0</v>
      </c>
      <c r="K138" s="2">
        <v>0</v>
      </c>
      <c r="L138" s="2">
        <v>0</v>
      </c>
      <c r="M138" s="2">
        <v>0</v>
      </c>
      <c r="N138" s="2">
        <v>0</v>
      </c>
      <c r="O138" s="2">
        <v>0</v>
      </c>
      <c r="P138" s="2">
        <v>0</v>
      </c>
    </row>
    <row r="139" spans="1:16" ht="15.75" x14ac:dyDescent="0.2">
      <c r="A139" s="37" t="s">
        <v>41</v>
      </c>
      <c r="B139" s="37" t="s">
        <v>19</v>
      </c>
      <c r="C139" s="13" t="s">
        <v>92</v>
      </c>
      <c r="D139" s="19">
        <f t="shared" si="75"/>
        <v>18958.740000000002</v>
      </c>
      <c r="E139" s="19">
        <f>E140+E141+E142+E143</f>
        <v>7047.2000000000007</v>
      </c>
      <c r="F139" s="19">
        <f>F140+F141+F142+F143</f>
        <v>4708.54</v>
      </c>
      <c r="G139" s="19">
        <f t="shared" ref="G139:O139" si="78">G140+G141+G142+G143</f>
        <v>2751.9</v>
      </c>
      <c r="H139" s="19">
        <f t="shared" si="78"/>
        <v>3429.9</v>
      </c>
      <c r="I139" s="19">
        <f t="shared" si="78"/>
        <v>530.20000000000005</v>
      </c>
      <c r="J139" s="19">
        <f t="shared" si="78"/>
        <v>491</v>
      </c>
      <c r="K139" s="19">
        <f t="shared" si="78"/>
        <v>0</v>
      </c>
      <c r="L139" s="19">
        <f t="shared" si="78"/>
        <v>0</v>
      </c>
      <c r="M139" s="19">
        <f t="shared" si="78"/>
        <v>0</v>
      </c>
      <c r="N139" s="19">
        <f t="shared" si="78"/>
        <v>0</v>
      </c>
      <c r="O139" s="19">
        <f t="shared" si="78"/>
        <v>0</v>
      </c>
      <c r="P139" s="19">
        <f t="shared" ref="P139" si="79">P140+P141+P142+P143</f>
        <v>0</v>
      </c>
    </row>
    <row r="140" spans="1:16" ht="18.75" customHeight="1" x14ac:dyDescent="0.2">
      <c r="A140" s="37"/>
      <c r="B140" s="37"/>
      <c r="C140" s="13" t="s">
        <v>1</v>
      </c>
      <c r="D140" s="19">
        <f t="shared" si="75"/>
        <v>4435.8999999999996</v>
      </c>
      <c r="E140" s="19">
        <v>3757.6</v>
      </c>
      <c r="F140" s="2">
        <v>678.3</v>
      </c>
      <c r="G140" s="2">
        <v>0</v>
      </c>
      <c r="H140" s="2">
        <v>0</v>
      </c>
      <c r="I140" s="2">
        <v>0</v>
      </c>
      <c r="J140" s="2">
        <v>0</v>
      </c>
      <c r="K140" s="2">
        <v>0</v>
      </c>
      <c r="L140" s="2">
        <v>0</v>
      </c>
      <c r="M140" s="2">
        <v>0</v>
      </c>
      <c r="N140" s="2">
        <v>0</v>
      </c>
      <c r="O140" s="2">
        <v>0</v>
      </c>
      <c r="P140" s="2">
        <v>0</v>
      </c>
    </row>
    <row r="141" spans="1:16" ht="18.75" customHeight="1" x14ac:dyDescent="0.2">
      <c r="A141" s="37"/>
      <c r="B141" s="37"/>
      <c r="C141" s="13" t="s">
        <v>2</v>
      </c>
      <c r="D141" s="19">
        <f t="shared" si="75"/>
        <v>1296.6400000000001</v>
      </c>
      <c r="E141" s="19">
        <v>1217.7</v>
      </c>
      <c r="F141" s="2">
        <v>78.94</v>
      </c>
      <c r="G141" s="2">
        <v>0</v>
      </c>
      <c r="H141" s="2">
        <v>0</v>
      </c>
      <c r="I141" s="2">
        <v>0</v>
      </c>
      <c r="J141" s="2">
        <v>0</v>
      </c>
      <c r="K141" s="2">
        <v>0</v>
      </c>
      <c r="L141" s="2">
        <v>0</v>
      </c>
      <c r="M141" s="2">
        <v>0</v>
      </c>
      <c r="N141" s="2">
        <v>0</v>
      </c>
      <c r="O141" s="2">
        <v>0</v>
      </c>
      <c r="P141" s="2">
        <v>0</v>
      </c>
    </row>
    <row r="142" spans="1:16" ht="18.75" customHeight="1" x14ac:dyDescent="0.2">
      <c r="A142" s="37"/>
      <c r="B142" s="37"/>
      <c r="C142" s="13" t="s">
        <v>3</v>
      </c>
      <c r="D142" s="19">
        <f t="shared" si="75"/>
        <v>13226.2</v>
      </c>
      <c r="E142" s="19">
        <v>2071.9</v>
      </c>
      <c r="F142" s="19">
        <v>3951.3</v>
      </c>
      <c r="G142" s="19">
        <v>2751.9</v>
      </c>
      <c r="H142" s="19">
        <v>3429.9</v>
      </c>
      <c r="I142" s="19">
        <f>1500-969.8</f>
        <v>530.20000000000005</v>
      </c>
      <c r="J142" s="19">
        <f>2101.9-1610.9</f>
        <v>491</v>
      </c>
      <c r="K142" s="19">
        <v>0</v>
      </c>
      <c r="L142" s="19">
        <v>0</v>
      </c>
      <c r="M142" s="19">
        <v>0</v>
      </c>
      <c r="N142" s="19">
        <v>0</v>
      </c>
      <c r="O142" s="19">
        <f>4332.5-4332.5</f>
        <v>0</v>
      </c>
      <c r="P142" s="19">
        <f>4332.5-4332.5</f>
        <v>0</v>
      </c>
    </row>
    <row r="143" spans="1:16" ht="27.75" customHeight="1" x14ac:dyDescent="0.2">
      <c r="A143" s="37"/>
      <c r="B143" s="37"/>
      <c r="C143" s="13" t="s">
        <v>4</v>
      </c>
      <c r="D143" s="19">
        <f t="shared" si="75"/>
        <v>0</v>
      </c>
      <c r="E143" s="2">
        <v>0</v>
      </c>
      <c r="F143" s="2">
        <v>0</v>
      </c>
      <c r="G143" s="2">
        <v>0</v>
      </c>
      <c r="H143" s="2">
        <v>0</v>
      </c>
      <c r="I143" s="2">
        <v>0</v>
      </c>
      <c r="J143" s="2">
        <v>0</v>
      </c>
      <c r="K143" s="2">
        <v>0</v>
      </c>
      <c r="L143" s="2">
        <v>0</v>
      </c>
      <c r="M143" s="2">
        <v>0</v>
      </c>
      <c r="N143" s="2">
        <v>0</v>
      </c>
      <c r="O143" s="2">
        <v>0</v>
      </c>
      <c r="P143" s="2">
        <v>0</v>
      </c>
    </row>
    <row r="144" spans="1:16" ht="24" customHeight="1" x14ac:dyDescent="0.2">
      <c r="A144" s="37" t="s">
        <v>91</v>
      </c>
      <c r="B144" s="37" t="s">
        <v>79</v>
      </c>
      <c r="C144" s="13" t="s">
        <v>92</v>
      </c>
      <c r="D144" s="19">
        <f t="shared" si="75"/>
        <v>1708.8</v>
      </c>
      <c r="E144" s="19">
        <f>E145+E146+E147+E148</f>
        <v>0</v>
      </c>
      <c r="F144" s="19">
        <f>F145+F146+F147+F148</f>
        <v>0</v>
      </c>
      <c r="G144" s="19">
        <f t="shared" ref="G144:O144" si="80">G145+G146+G147+G148</f>
        <v>0</v>
      </c>
      <c r="H144" s="19">
        <f t="shared" si="80"/>
        <v>0</v>
      </c>
      <c r="I144" s="19">
        <f t="shared" si="80"/>
        <v>1708.8</v>
      </c>
      <c r="J144" s="19">
        <f t="shared" si="80"/>
        <v>0</v>
      </c>
      <c r="K144" s="19">
        <f t="shared" si="80"/>
        <v>0</v>
      </c>
      <c r="L144" s="19">
        <f t="shared" si="80"/>
        <v>0</v>
      </c>
      <c r="M144" s="19">
        <f t="shared" si="80"/>
        <v>0</v>
      </c>
      <c r="N144" s="19">
        <f t="shared" si="80"/>
        <v>0</v>
      </c>
      <c r="O144" s="19">
        <f t="shared" si="80"/>
        <v>0</v>
      </c>
      <c r="P144" s="19">
        <f t="shared" ref="P144" si="81">P145+P146+P147+P148</f>
        <v>0</v>
      </c>
    </row>
    <row r="145" spans="1:16" ht="18.75" customHeight="1" x14ac:dyDescent="0.2">
      <c r="A145" s="37"/>
      <c r="B145" s="37"/>
      <c r="C145" s="13" t="s">
        <v>1</v>
      </c>
      <c r="D145" s="19">
        <f t="shared" si="75"/>
        <v>0</v>
      </c>
      <c r="E145" s="19">
        <v>0</v>
      </c>
      <c r="F145" s="19">
        <v>0</v>
      </c>
      <c r="G145" s="2">
        <v>0</v>
      </c>
      <c r="H145" s="2">
        <v>0</v>
      </c>
      <c r="I145" s="2">
        <v>0</v>
      </c>
      <c r="J145" s="2">
        <v>0</v>
      </c>
      <c r="K145" s="2">
        <v>0</v>
      </c>
      <c r="L145" s="2">
        <v>0</v>
      </c>
      <c r="M145" s="2">
        <v>0</v>
      </c>
      <c r="N145" s="2">
        <v>0</v>
      </c>
      <c r="O145" s="2">
        <v>0</v>
      </c>
      <c r="P145" s="2">
        <v>0</v>
      </c>
    </row>
    <row r="146" spans="1:16" ht="18.75" customHeight="1" x14ac:dyDescent="0.2">
      <c r="A146" s="37"/>
      <c r="B146" s="37"/>
      <c r="C146" s="13" t="s">
        <v>2</v>
      </c>
      <c r="D146" s="19">
        <f t="shared" si="75"/>
        <v>1708.8</v>
      </c>
      <c r="E146" s="19">
        <v>0</v>
      </c>
      <c r="F146" s="19">
        <v>0</v>
      </c>
      <c r="G146" s="2">
        <v>0</v>
      </c>
      <c r="H146" s="2">
        <v>0</v>
      </c>
      <c r="I146" s="2">
        <v>1708.8</v>
      </c>
      <c r="J146" s="2">
        <f>2101.9-2101.9</f>
        <v>0</v>
      </c>
      <c r="K146" s="2">
        <v>0</v>
      </c>
      <c r="L146" s="2">
        <v>0</v>
      </c>
      <c r="M146" s="2">
        <v>0</v>
      </c>
      <c r="N146" s="2">
        <v>0</v>
      </c>
      <c r="O146" s="2">
        <v>0</v>
      </c>
      <c r="P146" s="2">
        <v>0</v>
      </c>
    </row>
    <row r="147" spans="1:16" ht="18.75" customHeight="1" x14ac:dyDescent="0.2">
      <c r="A147" s="37"/>
      <c r="B147" s="37"/>
      <c r="C147" s="13" t="s">
        <v>3</v>
      </c>
      <c r="D147" s="19">
        <f t="shared" si="75"/>
        <v>0</v>
      </c>
      <c r="E147" s="19">
        <v>0</v>
      </c>
      <c r="F147" s="19">
        <v>0</v>
      </c>
      <c r="G147" s="19">
        <v>0</v>
      </c>
      <c r="H147" s="19">
        <v>0</v>
      </c>
      <c r="I147" s="19">
        <v>0</v>
      </c>
      <c r="J147" s="19">
        <v>0</v>
      </c>
      <c r="K147" s="2">
        <v>0</v>
      </c>
      <c r="L147" s="2">
        <v>0</v>
      </c>
      <c r="M147" s="2">
        <v>0</v>
      </c>
      <c r="N147" s="2">
        <v>0</v>
      </c>
      <c r="O147" s="2">
        <v>0</v>
      </c>
      <c r="P147" s="2">
        <v>0</v>
      </c>
    </row>
    <row r="148" spans="1:16" ht="82.5" customHeight="1" x14ac:dyDescent="0.2">
      <c r="A148" s="37"/>
      <c r="B148" s="37"/>
      <c r="C148" s="13" t="s">
        <v>4</v>
      </c>
      <c r="D148" s="19">
        <f t="shared" si="75"/>
        <v>0</v>
      </c>
      <c r="E148" s="2">
        <v>0</v>
      </c>
      <c r="F148" s="2">
        <v>0</v>
      </c>
      <c r="G148" s="2">
        <v>0</v>
      </c>
      <c r="H148" s="2">
        <v>0</v>
      </c>
      <c r="I148" s="2">
        <v>0</v>
      </c>
      <c r="J148" s="2">
        <v>0</v>
      </c>
      <c r="K148" s="2">
        <v>0</v>
      </c>
      <c r="L148" s="2">
        <v>0</v>
      </c>
      <c r="M148" s="2">
        <v>0</v>
      </c>
      <c r="N148" s="2">
        <v>0</v>
      </c>
      <c r="O148" s="2">
        <v>0</v>
      </c>
      <c r="P148" s="2">
        <v>0</v>
      </c>
    </row>
    <row r="149" spans="1:16" ht="15.75" customHeight="1" x14ac:dyDescent="0.2">
      <c r="A149" s="37" t="s">
        <v>54</v>
      </c>
      <c r="B149" s="37" t="s">
        <v>62</v>
      </c>
      <c r="C149" s="13" t="s">
        <v>92</v>
      </c>
      <c r="D149" s="19">
        <f t="shared" si="75"/>
        <v>200</v>
      </c>
      <c r="E149" s="22">
        <f t="shared" ref="E149:O149" si="82">E150+E151+E152+E153</f>
        <v>0</v>
      </c>
      <c r="F149" s="22">
        <f t="shared" si="82"/>
        <v>200</v>
      </c>
      <c r="G149" s="22">
        <f t="shared" si="82"/>
        <v>0</v>
      </c>
      <c r="H149" s="22">
        <f t="shared" si="82"/>
        <v>0</v>
      </c>
      <c r="I149" s="22">
        <f t="shared" si="82"/>
        <v>0</v>
      </c>
      <c r="J149" s="22">
        <f t="shared" si="82"/>
        <v>0</v>
      </c>
      <c r="K149" s="22">
        <f t="shared" si="82"/>
        <v>0</v>
      </c>
      <c r="L149" s="22">
        <f t="shared" si="82"/>
        <v>0</v>
      </c>
      <c r="M149" s="22">
        <f t="shared" si="82"/>
        <v>0</v>
      </c>
      <c r="N149" s="22">
        <f t="shared" si="82"/>
        <v>0</v>
      </c>
      <c r="O149" s="22">
        <f t="shared" si="82"/>
        <v>0</v>
      </c>
      <c r="P149" s="22">
        <f t="shared" ref="P149" si="83">P150+P151+P152+P153</f>
        <v>0</v>
      </c>
    </row>
    <row r="150" spans="1:16" ht="15.75" x14ac:dyDescent="0.2">
      <c r="A150" s="37"/>
      <c r="B150" s="40"/>
      <c r="C150" s="13" t="s">
        <v>1</v>
      </c>
      <c r="D150" s="19">
        <f t="shared" si="75"/>
        <v>140</v>
      </c>
      <c r="E150" s="22">
        <v>0</v>
      </c>
      <c r="F150" s="2">
        <v>140</v>
      </c>
      <c r="G150" s="2">
        <v>0</v>
      </c>
      <c r="H150" s="2">
        <v>0</v>
      </c>
      <c r="I150" s="2">
        <v>0</v>
      </c>
      <c r="J150" s="2">
        <v>0</v>
      </c>
      <c r="K150" s="2">
        <v>0</v>
      </c>
      <c r="L150" s="2">
        <v>0</v>
      </c>
      <c r="M150" s="2">
        <v>0</v>
      </c>
      <c r="N150" s="2">
        <v>0</v>
      </c>
      <c r="O150" s="2">
        <v>0</v>
      </c>
      <c r="P150" s="2">
        <v>0</v>
      </c>
    </row>
    <row r="151" spans="1:16" ht="15.75" x14ac:dyDescent="0.2">
      <c r="A151" s="37"/>
      <c r="B151" s="40"/>
      <c r="C151" s="13" t="s">
        <v>2</v>
      </c>
      <c r="D151" s="19">
        <f t="shared" si="75"/>
        <v>0</v>
      </c>
      <c r="E151" s="22">
        <v>0</v>
      </c>
      <c r="F151" s="2">
        <v>0</v>
      </c>
      <c r="G151" s="2">
        <v>0</v>
      </c>
      <c r="H151" s="2">
        <v>0</v>
      </c>
      <c r="I151" s="2">
        <v>0</v>
      </c>
      <c r="J151" s="2">
        <v>0</v>
      </c>
      <c r="K151" s="2">
        <v>0</v>
      </c>
      <c r="L151" s="2">
        <v>0</v>
      </c>
      <c r="M151" s="2">
        <v>0</v>
      </c>
      <c r="N151" s="2">
        <v>0</v>
      </c>
      <c r="O151" s="2">
        <v>0</v>
      </c>
      <c r="P151" s="2">
        <v>0</v>
      </c>
    </row>
    <row r="152" spans="1:16" ht="15.75" x14ac:dyDescent="0.2">
      <c r="A152" s="37"/>
      <c r="B152" s="40"/>
      <c r="C152" s="13" t="s">
        <v>3</v>
      </c>
      <c r="D152" s="19">
        <f t="shared" si="75"/>
        <v>60</v>
      </c>
      <c r="E152" s="22">
        <v>0</v>
      </c>
      <c r="F152" s="22">
        <v>60</v>
      </c>
      <c r="G152" s="22">
        <v>0</v>
      </c>
      <c r="H152" s="22">
        <v>0</v>
      </c>
      <c r="I152" s="22">
        <v>0</v>
      </c>
      <c r="J152" s="2">
        <v>0</v>
      </c>
      <c r="K152" s="2">
        <v>0</v>
      </c>
      <c r="L152" s="2">
        <v>0</v>
      </c>
      <c r="M152" s="2">
        <v>0</v>
      </c>
      <c r="N152" s="2">
        <v>0</v>
      </c>
      <c r="O152" s="2">
        <v>0</v>
      </c>
      <c r="P152" s="2">
        <v>0</v>
      </c>
    </row>
    <row r="153" spans="1:16" ht="14.25" customHeight="1" x14ac:dyDescent="0.2">
      <c r="A153" s="37"/>
      <c r="B153" s="40"/>
      <c r="C153" s="13" t="s">
        <v>4</v>
      </c>
      <c r="D153" s="19">
        <f t="shared" si="75"/>
        <v>0</v>
      </c>
      <c r="E153" s="23">
        <v>0</v>
      </c>
      <c r="F153" s="23">
        <v>0</v>
      </c>
      <c r="G153" s="23">
        <v>0</v>
      </c>
      <c r="H153" s="23">
        <v>0</v>
      </c>
      <c r="I153" s="23">
        <v>0</v>
      </c>
      <c r="J153" s="2">
        <v>0</v>
      </c>
      <c r="K153" s="2">
        <v>0</v>
      </c>
      <c r="L153" s="2">
        <v>0</v>
      </c>
      <c r="M153" s="2">
        <v>0</v>
      </c>
      <c r="N153" s="2">
        <v>0</v>
      </c>
      <c r="O153" s="2">
        <v>0</v>
      </c>
      <c r="P153" s="2">
        <v>0</v>
      </c>
    </row>
    <row r="154" spans="1:16" ht="15.75" x14ac:dyDescent="0.2">
      <c r="A154" s="37" t="s">
        <v>55</v>
      </c>
      <c r="B154" s="37" t="s">
        <v>75</v>
      </c>
      <c r="C154" s="13" t="s">
        <v>92</v>
      </c>
      <c r="D154" s="19">
        <f t="shared" si="75"/>
        <v>10709.9</v>
      </c>
      <c r="E154" s="19">
        <f t="shared" ref="E154:O154" si="84">E155+E156+E157+E159</f>
        <v>0</v>
      </c>
      <c r="F154" s="19">
        <f t="shared" si="84"/>
        <v>0</v>
      </c>
      <c r="G154" s="19">
        <f t="shared" si="84"/>
        <v>0</v>
      </c>
      <c r="H154" s="19">
        <f t="shared" si="84"/>
        <v>2290.1</v>
      </c>
      <c r="I154" s="19">
        <f t="shared" si="84"/>
        <v>4209.8999999999996</v>
      </c>
      <c r="J154" s="19">
        <f t="shared" si="84"/>
        <v>4209.8999999999996</v>
      </c>
      <c r="K154" s="19">
        <f t="shared" si="84"/>
        <v>0</v>
      </c>
      <c r="L154" s="19">
        <f t="shared" si="84"/>
        <v>0</v>
      </c>
      <c r="M154" s="19">
        <f t="shared" si="84"/>
        <v>0</v>
      </c>
      <c r="N154" s="19">
        <f t="shared" si="84"/>
        <v>0</v>
      </c>
      <c r="O154" s="19">
        <f t="shared" si="84"/>
        <v>0</v>
      </c>
      <c r="P154" s="19">
        <f t="shared" ref="P154" si="85">P155+P156+P157+P159</f>
        <v>0</v>
      </c>
    </row>
    <row r="155" spans="1:16" ht="15.75" x14ac:dyDescent="0.2">
      <c r="A155" s="37"/>
      <c r="B155" s="40"/>
      <c r="C155" s="13" t="s">
        <v>1</v>
      </c>
      <c r="D155" s="19">
        <f t="shared" si="75"/>
        <v>0</v>
      </c>
      <c r="E155" s="22">
        <v>0</v>
      </c>
      <c r="F155" s="2">
        <v>0</v>
      </c>
      <c r="G155" s="2">
        <v>0</v>
      </c>
      <c r="H155" s="2">
        <v>0</v>
      </c>
      <c r="I155" s="2">
        <v>0</v>
      </c>
      <c r="J155" s="2">
        <v>0</v>
      </c>
      <c r="K155" s="2">
        <v>0</v>
      </c>
      <c r="L155" s="2">
        <v>0</v>
      </c>
      <c r="M155" s="2">
        <v>0</v>
      </c>
      <c r="N155" s="2">
        <v>0</v>
      </c>
      <c r="O155" s="2">
        <v>0</v>
      </c>
      <c r="P155" s="2">
        <v>0</v>
      </c>
    </row>
    <row r="156" spans="1:16" ht="15.75" x14ac:dyDescent="0.2">
      <c r="A156" s="37"/>
      <c r="B156" s="40"/>
      <c r="C156" s="13" t="s">
        <v>2</v>
      </c>
      <c r="D156" s="19">
        <f t="shared" si="75"/>
        <v>0</v>
      </c>
      <c r="E156" s="22">
        <v>0</v>
      </c>
      <c r="F156" s="2">
        <v>0</v>
      </c>
      <c r="G156" s="2">
        <v>0</v>
      </c>
      <c r="H156" s="2">
        <v>0</v>
      </c>
      <c r="I156" s="2">
        <v>0</v>
      </c>
      <c r="J156" s="2">
        <v>0</v>
      </c>
      <c r="K156" s="2">
        <v>0</v>
      </c>
      <c r="L156" s="2">
        <v>0</v>
      </c>
      <c r="M156" s="2">
        <v>0</v>
      </c>
      <c r="N156" s="2">
        <v>0</v>
      </c>
      <c r="O156" s="2">
        <v>0</v>
      </c>
      <c r="P156" s="2">
        <v>0</v>
      </c>
    </row>
    <row r="157" spans="1:16" ht="15.75" x14ac:dyDescent="0.2">
      <c r="A157" s="37"/>
      <c r="B157" s="40"/>
      <c r="C157" s="13" t="s">
        <v>3</v>
      </c>
      <c r="D157" s="19">
        <f t="shared" si="75"/>
        <v>10709.9</v>
      </c>
      <c r="E157" s="19">
        <v>0</v>
      </c>
      <c r="F157" s="19">
        <v>0</v>
      </c>
      <c r="G157" s="19">
        <v>0</v>
      </c>
      <c r="H157" s="19">
        <v>2290.1</v>
      </c>
      <c r="I157" s="19">
        <v>4209.8999999999996</v>
      </c>
      <c r="J157" s="19">
        <v>4209.8999999999996</v>
      </c>
      <c r="K157" s="19">
        <v>0</v>
      </c>
      <c r="L157" s="19">
        <v>0</v>
      </c>
      <c r="M157" s="19">
        <v>0</v>
      </c>
      <c r="N157" s="19">
        <v>0</v>
      </c>
      <c r="O157" s="19">
        <v>0</v>
      </c>
      <c r="P157" s="19">
        <v>0</v>
      </c>
    </row>
    <row r="158" spans="1:16" ht="31.5" x14ac:dyDescent="0.2">
      <c r="A158" s="37"/>
      <c r="B158" s="40"/>
      <c r="C158" s="11" t="s">
        <v>71</v>
      </c>
      <c r="D158" s="19">
        <f t="shared" si="75"/>
        <v>4209.8999999999996</v>
      </c>
      <c r="E158" s="21">
        <v>0</v>
      </c>
      <c r="F158" s="12">
        <v>0</v>
      </c>
      <c r="G158" s="12">
        <v>0</v>
      </c>
      <c r="H158" s="12">
        <v>0</v>
      </c>
      <c r="I158" s="12">
        <v>0</v>
      </c>
      <c r="J158" s="12">
        <v>4209.8999999999996</v>
      </c>
      <c r="K158" s="2">
        <v>0</v>
      </c>
      <c r="L158" s="2">
        <v>0</v>
      </c>
      <c r="M158" s="2">
        <v>0</v>
      </c>
      <c r="N158" s="2">
        <v>0</v>
      </c>
      <c r="O158" s="2">
        <v>0</v>
      </c>
      <c r="P158" s="2">
        <v>0</v>
      </c>
    </row>
    <row r="159" spans="1:16" ht="21.75" customHeight="1" x14ac:dyDescent="0.2">
      <c r="A159" s="37"/>
      <c r="B159" s="40"/>
      <c r="C159" s="13" t="s">
        <v>4</v>
      </c>
      <c r="D159" s="19">
        <f t="shared" si="75"/>
        <v>0</v>
      </c>
      <c r="E159" s="23">
        <v>0</v>
      </c>
      <c r="F159" s="23">
        <v>0</v>
      </c>
      <c r="G159" s="23">
        <v>0</v>
      </c>
      <c r="H159" s="23">
        <v>0</v>
      </c>
      <c r="I159" s="23">
        <v>0</v>
      </c>
      <c r="J159" s="23">
        <v>0</v>
      </c>
      <c r="K159" s="23">
        <v>0</v>
      </c>
      <c r="L159" s="23">
        <v>0</v>
      </c>
      <c r="M159" s="23">
        <v>0</v>
      </c>
      <c r="N159" s="23">
        <v>0</v>
      </c>
      <c r="O159" s="23">
        <v>0</v>
      </c>
      <c r="P159" s="23">
        <v>0</v>
      </c>
    </row>
    <row r="160" spans="1:16" ht="15.75" x14ac:dyDescent="0.2">
      <c r="A160" s="37" t="s">
        <v>61</v>
      </c>
      <c r="B160" s="37" t="s">
        <v>119</v>
      </c>
      <c r="C160" s="13" t="s">
        <v>92</v>
      </c>
      <c r="D160" s="19">
        <f t="shared" si="75"/>
        <v>3867670.9999999991</v>
      </c>
      <c r="E160" s="2">
        <f>E161+E162+E164+E167</f>
        <v>0</v>
      </c>
      <c r="F160" s="2">
        <f t="shared" ref="F160:O160" si="86">F161+F162+F164+F167</f>
        <v>0</v>
      </c>
      <c r="G160" s="2">
        <f t="shared" si="86"/>
        <v>416327.3</v>
      </c>
      <c r="H160" s="2">
        <f t="shared" si="86"/>
        <v>321908.5</v>
      </c>
      <c r="I160" s="2">
        <f t="shared" si="86"/>
        <v>190074.30000000002</v>
      </c>
      <c r="J160" s="2">
        <f t="shared" si="86"/>
        <v>645327.29999999993</v>
      </c>
      <c r="K160" s="2">
        <f t="shared" si="86"/>
        <v>829996.9</v>
      </c>
      <c r="L160" s="2">
        <f t="shared" si="86"/>
        <v>713502.4</v>
      </c>
      <c r="M160" s="2">
        <f t="shared" si="86"/>
        <v>425465.69999999995</v>
      </c>
      <c r="N160" s="2">
        <f t="shared" si="86"/>
        <v>112044.79999999999</v>
      </c>
      <c r="O160" s="2">
        <f t="shared" si="86"/>
        <v>106511.90000000001</v>
      </c>
      <c r="P160" s="2">
        <f t="shared" ref="P160" si="87">P161+P162+P164+P167</f>
        <v>106511.9</v>
      </c>
    </row>
    <row r="161" spans="1:16" ht="15.75" x14ac:dyDescent="0.2">
      <c r="A161" s="37"/>
      <c r="B161" s="37"/>
      <c r="C161" s="13" t="s">
        <v>1</v>
      </c>
      <c r="D161" s="19">
        <f t="shared" si="75"/>
        <v>0</v>
      </c>
      <c r="E161" s="2">
        <v>0</v>
      </c>
      <c r="F161" s="2">
        <v>0</v>
      </c>
      <c r="G161" s="2">
        <v>0</v>
      </c>
      <c r="H161" s="2">
        <v>0</v>
      </c>
      <c r="I161" s="2">
        <v>0</v>
      </c>
      <c r="J161" s="2">
        <v>0</v>
      </c>
      <c r="K161" s="2">
        <v>0</v>
      </c>
      <c r="L161" s="2">
        <v>0</v>
      </c>
      <c r="M161" s="2">
        <v>0</v>
      </c>
      <c r="N161" s="2">
        <v>0</v>
      </c>
      <c r="O161" s="2">
        <v>0</v>
      </c>
      <c r="P161" s="2">
        <v>0</v>
      </c>
    </row>
    <row r="162" spans="1:16" ht="31.5" x14ac:dyDescent="0.2">
      <c r="A162" s="37"/>
      <c r="B162" s="37"/>
      <c r="C162" s="13" t="s">
        <v>23</v>
      </c>
      <c r="D162" s="19">
        <f t="shared" si="75"/>
        <v>3572486.3000000003</v>
      </c>
      <c r="E162" s="2">
        <v>0</v>
      </c>
      <c r="F162" s="2">
        <v>0</v>
      </c>
      <c r="G162" s="2">
        <v>342311</v>
      </c>
      <c r="H162" s="2">
        <v>304123.2</v>
      </c>
      <c r="I162" s="2">
        <v>173573.1</v>
      </c>
      <c r="J162" s="2">
        <f>532126.2+17347.6+3478.6-28555+77738.5</f>
        <v>602135.89999999991</v>
      </c>
      <c r="K162" s="2">
        <v>778545.9</v>
      </c>
      <c r="L162" s="24">
        <f>641707.6+1703.3+26978.8</f>
        <v>670389.70000000007</v>
      </c>
      <c r="M162" s="24">
        <f>281216.2+0.1-204033.2+205095.7+23875.8+45000+0.1+99934.1+13000-68245.8</f>
        <v>395842.99999999994</v>
      </c>
      <c r="N162" s="24">
        <f>60724.2+105301.6-60703.7</f>
        <v>105322.09999999999</v>
      </c>
      <c r="O162" s="24">
        <f>40811.2+177322-157409+39397</f>
        <v>100121.20000000001</v>
      </c>
      <c r="P162" s="24">
        <v>100121.2</v>
      </c>
    </row>
    <row r="163" spans="1:16" ht="31.5" x14ac:dyDescent="0.2">
      <c r="A163" s="37"/>
      <c r="B163" s="37"/>
      <c r="C163" s="14" t="s">
        <v>142</v>
      </c>
      <c r="D163" s="19">
        <f t="shared" si="75"/>
        <v>35791.300000000003</v>
      </c>
      <c r="E163" s="19">
        <v>0</v>
      </c>
      <c r="F163" s="19">
        <v>0</v>
      </c>
      <c r="G163" s="19">
        <v>0</v>
      </c>
      <c r="H163" s="19">
        <v>0</v>
      </c>
      <c r="I163" s="19">
        <v>0</v>
      </c>
      <c r="J163" s="19">
        <v>0</v>
      </c>
      <c r="K163" s="19">
        <v>0</v>
      </c>
      <c r="L163" s="19">
        <v>0</v>
      </c>
      <c r="M163" s="24">
        <v>35791.300000000003</v>
      </c>
      <c r="N163" s="24">
        <v>0</v>
      </c>
      <c r="O163" s="24">
        <v>0</v>
      </c>
      <c r="P163" s="24">
        <v>0</v>
      </c>
    </row>
    <row r="164" spans="1:16" ht="31.5" x14ac:dyDescent="0.2">
      <c r="A164" s="37"/>
      <c r="B164" s="37"/>
      <c r="C164" s="13" t="s">
        <v>24</v>
      </c>
      <c r="D164" s="19">
        <f t="shared" si="75"/>
        <v>295184.70000000007</v>
      </c>
      <c r="E164" s="2">
        <v>0</v>
      </c>
      <c r="F164" s="2">
        <v>0</v>
      </c>
      <c r="G164" s="2">
        <v>74016.3</v>
      </c>
      <c r="H164" s="2">
        <f>16032.1+1753.2</f>
        <v>17785.3</v>
      </c>
      <c r="I164" s="2">
        <f>12055.3+480+1369+191+1877.7+528.2</f>
        <v>16501.2</v>
      </c>
      <c r="J164" s="2">
        <f>39140.3+1107.3+222+2721.8</f>
        <v>43191.400000000009</v>
      </c>
      <c r="K164" s="2">
        <v>51451</v>
      </c>
      <c r="L164" s="2">
        <f>40960.1+321.9+108.7+1722</f>
        <v>43112.7</v>
      </c>
      <c r="M164" s="2">
        <f>17950+67.8+25399.8-25399.8+1524+2872.3+6378.8+829.8</f>
        <v>29622.699999999997</v>
      </c>
      <c r="N164" s="2">
        <f>2605+11318.4-111.7-7089</f>
        <v>6722.6999999999989</v>
      </c>
      <c r="O164" s="2">
        <f>2605+11318.4-111.7-7421</f>
        <v>6390.6999999999989</v>
      </c>
      <c r="P164" s="2">
        <v>6390.7</v>
      </c>
    </row>
    <row r="165" spans="1:16" ht="51.75" customHeight="1" x14ac:dyDescent="0.2">
      <c r="A165" s="37"/>
      <c r="B165" s="37"/>
      <c r="C165" s="11" t="s">
        <v>25</v>
      </c>
      <c r="D165" s="19">
        <f t="shared" si="75"/>
        <v>1800.8</v>
      </c>
      <c r="E165" s="12">
        <v>0</v>
      </c>
      <c r="F165" s="12">
        <v>0</v>
      </c>
      <c r="G165" s="12">
        <v>47.6</v>
      </c>
      <c r="H165" s="12">
        <v>1753.2</v>
      </c>
      <c r="I165" s="12">
        <v>0</v>
      </c>
      <c r="J165" s="12">
        <v>0</v>
      </c>
      <c r="K165" s="12">
        <v>0</v>
      </c>
      <c r="L165" s="12">
        <v>0</v>
      </c>
      <c r="M165" s="12">
        <v>0</v>
      </c>
      <c r="N165" s="12">
        <v>0</v>
      </c>
      <c r="O165" s="12">
        <v>0</v>
      </c>
      <c r="P165" s="12">
        <v>0</v>
      </c>
    </row>
    <row r="166" spans="1:16" ht="51.75" customHeight="1" x14ac:dyDescent="0.2">
      <c r="A166" s="37"/>
      <c r="B166" s="37"/>
      <c r="C166" s="14" t="s">
        <v>71</v>
      </c>
      <c r="D166" s="19">
        <f t="shared" si="75"/>
        <v>2284.5</v>
      </c>
      <c r="E166" s="19">
        <v>0</v>
      </c>
      <c r="F166" s="19">
        <v>0</v>
      </c>
      <c r="G166" s="19">
        <v>0</v>
      </c>
      <c r="H166" s="19">
        <v>0</v>
      </c>
      <c r="I166" s="19">
        <v>0</v>
      </c>
      <c r="J166" s="19">
        <v>0</v>
      </c>
      <c r="K166" s="19">
        <v>0</v>
      </c>
      <c r="L166" s="19">
        <v>0</v>
      </c>
      <c r="M166" s="12">
        <v>2284.5</v>
      </c>
      <c r="N166" s="12">
        <v>0</v>
      </c>
      <c r="O166" s="12">
        <v>0</v>
      </c>
      <c r="P166" s="12">
        <v>0</v>
      </c>
    </row>
    <row r="167" spans="1:16" ht="17.25" customHeight="1" x14ac:dyDescent="0.2">
      <c r="A167" s="37"/>
      <c r="B167" s="37"/>
      <c r="C167" s="13" t="s">
        <v>4</v>
      </c>
      <c r="D167" s="19">
        <f t="shared" si="75"/>
        <v>0</v>
      </c>
      <c r="E167" s="2">
        <v>0</v>
      </c>
      <c r="F167" s="2">
        <v>0</v>
      </c>
      <c r="G167" s="2">
        <v>0</v>
      </c>
      <c r="H167" s="2">
        <v>0</v>
      </c>
      <c r="I167" s="2">
        <v>0</v>
      </c>
      <c r="J167" s="2">
        <v>0</v>
      </c>
      <c r="K167" s="2">
        <v>0</v>
      </c>
      <c r="L167" s="25">
        <v>0</v>
      </c>
      <c r="M167" s="26">
        <v>0</v>
      </c>
      <c r="N167" s="26">
        <v>0</v>
      </c>
      <c r="O167" s="26">
        <v>0</v>
      </c>
      <c r="P167" s="26">
        <v>0</v>
      </c>
    </row>
    <row r="168" spans="1:16" ht="15.75" x14ac:dyDescent="0.2">
      <c r="A168" s="37" t="s">
        <v>63</v>
      </c>
      <c r="B168" s="37" t="s">
        <v>67</v>
      </c>
      <c r="C168" s="13" t="s">
        <v>92</v>
      </c>
      <c r="D168" s="19">
        <f t="shared" si="75"/>
        <v>987.5</v>
      </c>
      <c r="E168" s="2">
        <f>E169+E170+E171+E172</f>
        <v>0</v>
      </c>
      <c r="F168" s="2">
        <f t="shared" ref="F168:O168" si="88">F169+F170+F171+F172</f>
        <v>0</v>
      </c>
      <c r="G168" s="2">
        <f t="shared" si="88"/>
        <v>987.5</v>
      </c>
      <c r="H168" s="2">
        <f t="shared" si="88"/>
        <v>0</v>
      </c>
      <c r="I168" s="2">
        <f t="shared" si="88"/>
        <v>0</v>
      </c>
      <c r="J168" s="2">
        <f t="shared" si="88"/>
        <v>0</v>
      </c>
      <c r="K168" s="2">
        <f t="shared" si="88"/>
        <v>0</v>
      </c>
      <c r="L168" s="2">
        <f t="shared" si="88"/>
        <v>0</v>
      </c>
      <c r="M168" s="2">
        <f t="shared" si="88"/>
        <v>0</v>
      </c>
      <c r="N168" s="2">
        <f t="shared" si="88"/>
        <v>0</v>
      </c>
      <c r="O168" s="2">
        <f t="shared" si="88"/>
        <v>0</v>
      </c>
      <c r="P168" s="2">
        <f t="shared" ref="P168" si="89">P169+P170+P171+P172</f>
        <v>0</v>
      </c>
    </row>
    <row r="169" spans="1:16" ht="15.75" x14ac:dyDescent="0.2">
      <c r="A169" s="37"/>
      <c r="B169" s="37"/>
      <c r="C169" s="13" t="s">
        <v>1</v>
      </c>
      <c r="D169" s="19">
        <f t="shared" si="75"/>
        <v>794.3</v>
      </c>
      <c r="E169" s="2">
        <v>0</v>
      </c>
      <c r="F169" s="2">
        <v>0</v>
      </c>
      <c r="G169" s="2">
        <v>794.3</v>
      </c>
      <c r="H169" s="2">
        <v>0</v>
      </c>
      <c r="I169" s="2">
        <v>0</v>
      </c>
      <c r="J169" s="2">
        <v>0</v>
      </c>
      <c r="K169" s="2">
        <v>0</v>
      </c>
      <c r="L169" s="2">
        <v>0</v>
      </c>
      <c r="M169" s="2">
        <v>0</v>
      </c>
      <c r="N169" s="2">
        <v>0</v>
      </c>
      <c r="O169" s="2">
        <v>0</v>
      </c>
      <c r="P169" s="2">
        <v>0</v>
      </c>
    </row>
    <row r="170" spans="1:16" ht="15.75" x14ac:dyDescent="0.2">
      <c r="A170" s="37"/>
      <c r="B170" s="37"/>
      <c r="C170" s="13" t="s">
        <v>2</v>
      </c>
      <c r="D170" s="19">
        <f t="shared" si="75"/>
        <v>0</v>
      </c>
      <c r="E170" s="2">
        <v>0</v>
      </c>
      <c r="F170" s="2">
        <v>0</v>
      </c>
      <c r="G170" s="2">
        <v>0</v>
      </c>
      <c r="H170" s="2">
        <v>0</v>
      </c>
      <c r="I170" s="2">
        <v>0</v>
      </c>
      <c r="J170" s="2">
        <v>0</v>
      </c>
      <c r="K170" s="2">
        <v>0</v>
      </c>
      <c r="L170" s="2">
        <v>0</v>
      </c>
      <c r="M170" s="2">
        <v>0</v>
      </c>
      <c r="N170" s="2">
        <v>0</v>
      </c>
      <c r="O170" s="2">
        <v>0</v>
      </c>
      <c r="P170" s="2">
        <v>0</v>
      </c>
    </row>
    <row r="171" spans="1:16" ht="15.75" x14ac:dyDescent="0.2">
      <c r="A171" s="37"/>
      <c r="B171" s="37"/>
      <c r="C171" s="13" t="s">
        <v>3</v>
      </c>
      <c r="D171" s="19">
        <f t="shared" si="75"/>
        <v>193.2</v>
      </c>
      <c r="E171" s="2">
        <v>0</v>
      </c>
      <c r="F171" s="2">
        <v>0</v>
      </c>
      <c r="G171" s="2">
        <v>193.2</v>
      </c>
      <c r="H171" s="2">
        <v>0</v>
      </c>
      <c r="I171" s="2">
        <v>0</v>
      </c>
      <c r="J171" s="2">
        <v>0</v>
      </c>
      <c r="K171" s="2">
        <v>0</v>
      </c>
      <c r="L171" s="2">
        <v>0</v>
      </c>
      <c r="M171" s="2">
        <v>0</v>
      </c>
      <c r="N171" s="2">
        <v>0</v>
      </c>
      <c r="O171" s="2">
        <v>0</v>
      </c>
      <c r="P171" s="2">
        <v>0</v>
      </c>
    </row>
    <row r="172" spans="1:16" ht="35.25" customHeight="1" x14ac:dyDescent="0.2">
      <c r="A172" s="37"/>
      <c r="B172" s="37"/>
      <c r="C172" s="13" t="s">
        <v>4</v>
      </c>
      <c r="D172" s="19">
        <f t="shared" si="75"/>
        <v>0</v>
      </c>
      <c r="E172" s="2">
        <v>0</v>
      </c>
      <c r="F172" s="2">
        <v>0</v>
      </c>
      <c r="G172" s="2">
        <v>0</v>
      </c>
      <c r="H172" s="2">
        <v>0</v>
      </c>
      <c r="I172" s="2">
        <v>0</v>
      </c>
      <c r="J172" s="2">
        <v>0</v>
      </c>
      <c r="K172" s="2">
        <v>0</v>
      </c>
      <c r="L172" s="2">
        <v>0</v>
      </c>
      <c r="M172" s="2">
        <v>0</v>
      </c>
      <c r="N172" s="2">
        <v>0</v>
      </c>
      <c r="O172" s="2">
        <v>0</v>
      </c>
      <c r="P172" s="2">
        <v>0</v>
      </c>
    </row>
    <row r="173" spans="1:16" ht="15.75" x14ac:dyDescent="0.2">
      <c r="A173" s="37" t="s">
        <v>73</v>
      </c>
      <c r="B173" s="41" t="s">
        <v>69</v>
      </c>
      <c r="C173" s="13" t="s">
        <v>92</v>
      </c>
      <c r="D173" s="19">
        <f t="shared" si="75"/>
        <v>35</v>
      </c>
      <c r="E173" s="2">
        <f>E174+E175+E176+E177</f>
        <v>0</v>
      </c>
      <c r="F173" s="2">
        <f t="shared" ref="F173:O173" si="90">F174+F175+F176+F177</f>
        <v>0</v>
      </c>
      <c r="G173" s="2">
        <f t="shared" si="90"/>
        <v>35</v>
      </c>
      <c r="H173" s="2">
        <f t="shared" si="90"/>
        <v>0</v>
      </c>
      <c r="I173" s="2">
        <f t="shared" si="90"/>
        <v>0</v>
      </c>
      <c r="J173" s="2">
        <f t="shared" si="90"/>
        <v>0</v>
      </c>
      <c r="K173" s="2">
        <f t="shared" si="90"/>
        <v>0</v>
      </c>
      <c r="L173" s="2">
        <f t="shared" si="90"/>
        <v>0</v>
      </c>
      <c r="M173" s="2">
        <f t="shared" si="90"/>
        <v>0</v>
      </c>
      <c r="N173" s="2">
        <f t="shared" si="90"/>
        <v>0</v>
      </c>
      <c r="O173" s="2">
        <f t="shared" si="90"/>
        <v>0</v>
      </c>
      <c r="P173" s="2">
        <f t="shared" ref="P173" si="91">P174+P175+P176+P177</f>
        <v>0</v>
      </c>
    </row>
    <row r="174" spans="1:16" ht="15.75" x14ac:dyDescent="0.2">
      <c r="A174" s="37"/>
      <c r="B174" s="42"/>
      <c r="C174" s="13" t="s">
        <v>1</v>
      </c>
      <c r="D174" s="19">
        <f t="shared" si="75"/>
        <v>0</v>
      </c>
      <c r="E174" s="2">
        <v>0</v>
      </c>
      <c r="F174" s="2">
        <v>0</v>
      </c>
      <c r="G174" s="2">
        <v>0</v>
      </c>
      <c r="H174" s="2">
        <v>0</v>
      </c>
      <c r="I174" s="2">
        <v>0</v>
      </c>
      <c r="J174" s="2">
        <v>0</v>
      </c>
      <c r="K174" s="2">
        <v>0</v>
      </c>
      <c r="L174" s="2">
        <v>0</v>
      </c>
      <c r="M174" s="2">
        <v>0</v>
      </c>
      <c r="N174" s="2">
        <v>0</v>
      </c>
      <c r="O174" s="2">
        <v>0</v>
      </c>
      <c r="P174" s="2">
        <v>0</v>
      </c>
    </row>
    <row r="175" spans="1:16" ht="15.75" x14ac:dyDescent="0.2">
      <c r="A175" s="37"/>
      <c r="B175" s="42"/>
      <c r="C175" s="13" t="s">
        <v>2</v>
      </c>
      <c r="D175" s="19">
        <f t="shared" si="75"/>
        <v>0</v>
      </c>
      <c r="E175" s="2">
        <v>0</v>
      </c>
      <c r="F175" s="2">
        <v>0</v>
      </c>
      <c r="G175" s="2">
        <v>0</v>
      </c>
      <c r="H175" s="2">
        <v>0</v>
      </c>
      <c r="I175" s="2">
        <v>0</v>
      </c>
      <c r="J175" s="2">
        <v>0</v>
      </c>
      <c r="K175" s="2">
        <v>0</v>
      </c>
      <c r="L175" s="2">
        <v>0</v>
      </c>
      <c r="M175" s="2">
        <v>0</v>
      </c>
      <c r="N175" s="2">
        <v>0</v>
      </c>
      <c r="O175" s="2">
        <v>0</v>
      </c>
      <c r="P175" s="2">
        <v>0</v>
      </c>
    </row>
    <row r="176" spans="1:16" ht="15.75" x14ac:dyDescent="0.2">
      <c r="A176" s="37"/>
      <c r="B176" s="42"/>
      <c r="C176" s="13" t="s">
        <v>3</v>
      </c>
      <c r="D176" s="19">
        <f t="shared" si="75"/>
        <v>35</v>
      </c>
      <c r="E176" s="2">
        <v>0</v>
      </c>
      <c r="F176" s="2">
        <v>0</v>
      </c>
      <c r="G176" s="2">
        <v>35</v>
      </c>
      <c r="H176" s="2">
        <v>0</v>
      </c>
      <c r="I176" s="2">
        <v>0</v>
      </c>
      <c r="J176" s="2">
        <v>0</v>
      </c>
      <c r="K176" s="2">
        <v>0</v>
      </c>
      <c r="L176" s="2">
        <v>0</v>
      </c>
      <c r="M176" s="2">
        <v>0</v>
      </c>
      <c r="N176" s="2">
        <v>0</v>
      </c>
      <c r="O176" s="2">
        <v>0</v>
      </c>
      <c r="P176" s="2">
        <v>0</v>
      </c>
    </row>
    <row r="177" spans="1:16" ht="18" customHeight="1" x14ac:dyDescent="0.2">
      <c r="A177" s="37"/>
      <c r="B177" s="43"/>
      <c r="C177" s="13" t="s">
        <v>4</v>
      </c>
      <c r="D177" s="19">
        <f t="shared" si="75"/>
        <v>0</v>
      </c>
      <c r="E177" s="2">
        <v>0</v>
      </c>
      <c r="F177" s="2">
        <v>0</v>
      </c>
      <c r="G177" s="2">
        <v>0</v>
      </c>
      <c r="H177" s="2">
        <v>0</v>
      </c>
      <c r="I177" s="2">
        <v>0</v>
      </c>
      <c r="J177" s="2">
        <v>0</v>
      </c>
      <c r="K177" s="2">
        <v>0</v>
      </c>
      <c r="L177" s="2">
        <v>0</v>
      </c>
      <c r="M177" s="2">
        <v>0</v>
      </c>
      <c r="N177" s="2">
        <v>0</v>
      </c>
      <c r="O177" s="2">
        <v>0</v>
      </c>
      <c r="P177" s="2">
        <v>0</v>
      </c>
    </row>
    <row r="178" spans="1:16" ht="15" customHeight="1" x14ac:dyDescent="0.2">
      <c r="A178" s="37" t="s">
        <v>80</v>
      </c>
      <c r="B178" s="37" t="s">
        <v>76</v>
      </c>
      <c r="C178" s="13" t="s">
        <v>92</v>
      </c>
      <c r="D178" s="19">
        <f t="shared" si="75"/>
        <v>6356.5</v>
      </c>
      <c r="E178" s="2">
        <f>E179+E180+E181+E182</f>
        <v>0</v>
      </c>
      <c r="F178" s="2">
        <f t="shared" ref="F178:O178" si="92">F179+F180+F181+F182</f>
        <v>0</v>
      </c>
      <c r="G178" s="2">
        <f t="shared" si="92"/>
        <v>0</v>
      </c>
      <c r="H178" s="2">
        <f t="shared" si="92"/>
        <v>532.5</v>
      </c>
      <c r="I178" s="2">
        <f t="shared" si="92"/>
        <v>563.69999999999993</v>
      </c>
      <c r="J178" s="2">
        <f t="shared" si="92"/>
        <v>5260.3</v>
      </c>
      <c r="K178" s="2">
        <f t="shared" si="92"/>
        <v>0</v>
      </c>
      <c r="L178" s="2">
        <f t="shared" si="92"/>
        <v>0</v>
      </c>
      <c r="M178" s="2">
        <f t="shared" si="92"/>
        <v>0</v>
      </c>
      <c r="N178" s="2">
        <f t="shared" si="92"/>
        <v>0</v>
      </c>
      <c r="O178" s="2">
        <f t="shared" si="92"/>
        <v>0</v>
      </c>
      <c r="P178" s="2">
        <f t="shared" ref="P178" si="93">P179+P180+P181+P182</f>
        <v>0</v>
      </c>
    </row>
    <row r="179" spans="1:16" ht="15.75" x14ac:dyDescent="0.2">
      <c r="A179" s="37"/>
      <c r="B179" s="37"/>
      <c r="C179" s="13" t="s">
        <v>1</v>
      </c>
      <c r="D179" s="19">
        <f t="shared" si="75"/>
        <v>0</v>
      </c>
      <c r="E179" s="2">
        <v>0</v>
      </c>
      <c r="F179" s="2">
        <v>0</v>
      </c>
      <c r="G179" s="2">
        <v>0</v>
      </c>
      <c r="H179" s="2">
        <v>0</v>
      </c>
      <c r="I179" s="2">
        <v>0</v>
      </c>
      <c r="J179" s="2">
        <v>0</v>
      </c>
      <c r="K179" s="2">
        <v>0</v>
      </c>
      <c r="L179" s="2">
        <v>0</v>
      </c>
      <c r="M179" s="2">
        <v>0</v>
      </c>
      <c r="N179" s="2">
        <v>0</v>
      </c>
      <c r="O179" s="2">
        <v>0</v>
      </c>
      <c r="P179" s="2">
        <v>0</v>
      </c>
    </row>
    <row r="180" spans="1:16" ht="15.75" x14ac:dyDescent="0.2">
      <c r="A180" s="37"/>
      <c r="B180" s="37"/>
      <c r="C180" s="13" t="s">
        <v>2</v>
      </c>
      <c r="D180" s="19">
        <f t="shared" si="75"/>
        <v>0</v>
      </c>
      <c r="E180" s="2">
        <v>0</v>
      </c>
      <c r="F180" s="2">
        <v>0</v>
      </c>
      <c r="G180" s="2">
        <v>0</v>
      </c>
      <c r="H180" s="2">
        <v>0</v>
      </c>
      <c r="I180" s="2">
        <v>0</v>
      </c>
      <c r="J180" s="2">
        <v>0</v>
      </c>
      <c r="K180" s="2">
        <v>0</v>
      </c>
      <c r="L180" s="2">
        <v>0</v>
      </c>
      <c r="M180" s="2">
        <v>0</v>
      </c>
      <c r="N180" s="2">
        <v>0</v>
      </c>
      <c r="O180" s="2">
        <v>0</v>
      </c>
      <c r="P180" s="2">
        <v>0</v>
      </c>
    </row>
    <row r="181" spans="1:16" ht="15.75" x14ac:dyDescent="0.2">
      <c r="A181" s="37"/>
      <c r="B181" s="37"/>
      <c r="C181" s="13" t="s">
        <v>3</v>
      </c>
      <c r="D181" s="19">
        <f t="shared" si="75"/>
        <v>6356.5</v>
      </c>
      <c r="E181" s="2">
        <v>0</v>
      </c>
      <c r="F181" s="2">
        <v>0</v>
      </c>
      <c r="G181" s="2">
        <v>0</v>
      </c>
      <c r="H181" s="2">
        <v>532.5</v>
      </c>
      <c r="I181" s="2">
        <f>1109.8-546.1</f>
        <v>563.69999999999993</v>
      </c>
      <c r="J181" s="2">
        <f>8100-85.7-2754</f>
        <v>5260.3</v>
      </c>
      <c r="K181" s="2">
        <v>0</v>
      </c>
      <c r="L181" s="2">
        <v>0</v>
      </c>
      <c r="M181" s="2">
        <v>0</v>
      </c>
      <c r="N181" s="2">
        <v>0</v>
      </c>
      <c r="O181" s="2">
        <v>0</v>
      </c>
      <c r="P181" s="2">
        <v>0</v>
      </c>
    </row>
    <row r="182" spans="1:16" ht="16.5" customHeight="1" x14ac:dyDescent="0.2">
      <c r="A182" s="37"/>
      <c r="B182" s="37"/>
      <c r="C182" s="13" t="s">
        <v>4</v>
      </c>
      <c r="D182" s="19">
        <f t="shared" si="75"/>
        <v>0</v>
      </c>
      <c r="E182" s="2">
        <v>0</v>
      </c>
      <c r="F182" s="2">
        <v>0</v>
      </c>
      <c r="G182" s="2">
        <v>0</v>
      </c>
      <c r="H182" s="2">
        <v>0</v>
      </c>
      <c r="I182" s="2">
        <v>0</v>
      </c>
      <c r="J182" s="2">
        <v>0</v>
      </c>
      <c r="K182" s="2">
        <v>0</v>
      </c>
      <c r="L182" s="2">
        <v>0</v>
      </c>
      <c r="M182" s="2">
        <v>0</v>
      </c>
      <c r="N182" s="2">
        <v>0</v>
      </c>
      <c r="O182" s="2">
        <v>0</v>
      </c>
      <c r="P182" s="2">
        <v>0</v>
      </c>
    </row>
    <row r="183" spans="1:16" ht="15.75" x14ac:dyDescent="0.2">
      <c r="A183" s="37" t="s">
        <v>81</v>
      </c>
      <c r="B183" s="37" t="s">
        <v>122</v>
      </c>
      <c r="C183" s="13" t="s">
        <v>92</v>
      </c>
      <c r="D183" s="19">
        <f t="shared" si="75"/>
        <v>1442.8000000000002</v>
      </c>
      <c r="E183" s="2">
        <f>E184+E185+E186+E187</f>
        <v>0</v>
      </c>
      <c r="F183" s="2">
        <f t="shared" ref="F183:O183" si="94">F184+F185+F186+F187</f>
        <v>0</v>
      </c>
      <c r="G183" s="2">
        <f t="shared" si="94"/>
        <v>0</v>
      </c>
      <c r="H183" s="2">
        <f t="shared" si="94"/>
        <v>0</v>
      </c>
      <c r="I183" s="2">
        <f t="shared" si="94"/>
        <v>1442.8000000000002</v>
      </c>
      <c r="J183" s="2">
        <f t="shared" si="94"/>
        <v>0</v>
      </c>
      <c r="K183" s="2">
        <f t="shared" si="94"/>
        <v>0</v>
      </c>
      <c r="L183" s="2">
        <f t="shared" si="94"/>
        <v>0</v>
      </c>
      <c r="M183" s="2">
        <f t="shared" si="94"/>
        <v>0</v>
      </c>
      <c r="N183" s="2">
        <f t="shared" si="94"/>
        <v>0</v>
      </c>
      <c r="O183" s="2">
        <f t="shared" si="94"/>
        <v>0</v>
      </c>
      <c r="P183" s="2">
        <f t="shared" ref="P183" si="95">P184+P185+P186+P187</f>
        <v>0</v>
      </c>
    </row>
    <row r="184" spans="1:16" ht="15.75" x14ac:dyDescent="0.2">
      <c r="A184" s="37"/>
      <c r="B184" s="37"/>
      <c r="C184" s="13" t="s">
        <v>1</v>
      </c>
      <c r="D184" s="19">
        <f t="shared" si="75"/>
        <v>0</v>
      </c>
      <c r="E184" s="2">
        <v>0</v>
      </c>
      <c r="F184" s="2">
        <v>0</v>
      </c>
      <c r="G184" s="2">
        <v>0</v>
      </c>
      <c r="H184" s="2">
        <v>0</v>
      </c>
      <c r="I184" s="2">
        <v>0</v>
      </c>
      <c r="J184" s="2">
        <v>0</v>
      </c>
      <c r="K184" s="2">
        <v>0</v>
      </c>
      <c r="L184" s="2">
        <v>0</v>
      </c>
      <c r="M184" s="2">
        <v>0</v>
      </c>
      <c r="N184" s="2">
        <v>0</v>
      </c>
      <c r="O184" s="2">
        <v>0</v>
      </c>
      <c r="P184" s="2">
        <v>0</v>
      </c>
    </row>
    <row r="185" spans="1:16" ht="15.75" x14ac:dyDescent="0.2">
      <c r="A185" s="37"/>
      <c r="B185" s="37"/>
      <c r="C185" s="13" t="s">
        <v>2</v>
      </c>
      <c r="D185" s="19">
        <f t="shared" si="75"/>
        <v>1038.7</v>
      </c>
      <c r="E185" s="2">
        <v>0</v>
      </c>
      <c r="F185" s="2">
        <v>0</v>
      </c>
      <c r="G185" s="2">
        <v>0</v>
      </c>
      <c r="H185" s="2">
        <v>0</v>
      </c>
      <c r="I185" s="2">
        <f>613+425.7</f>
        <v>1038.7</v>
      </c>
      <c r="J185" s="2">
        <v>0</v>
      </c>
      <c r="K185" s="2">
        <v>0</v>
      </c>
      <c r="L185" s="2">
        <v>0</v>
      </c>
      <c r="M185" s="2">
        <v>0</v>
      </c>
      <c r="N185" s="2">
        <v>0</v>
      </c>
      <c r="O185" s="2">
        <v>0</v>
      </c>
      <c r="P185" s="2">
        <v>0</v>
      </c>
    </row>
    <row r="186" spans="1:16" ht="15.75" x14ac:dyDescent="0.2">
      <c r="A186" s="37"/>
      <c r="B186" s="37"/>
      <c r="C186" s="13" t="s">
        <v>3</v>
      </c>
      <c r="D186" s="19">
        <f t="shared" si="75"/>
        <v>404.1</v>
      </c>
      <c r="E186" s="2">
        <v>0</v>
      </c>
      <c r="F186" s="2">
        <v>0</v>
      </c>
      <c r="G186" s="2">
        <v>0</v>
      </c>
      <c r="H186" s="2">
        <v>0</v>
      </c>
      <c r="I186" s="2">
        <f>213.3+190.8</f>
        <v>404.1</v>
      </c>
      <c r="J186" s="2">
        <v>0</v>
      </c>
      <c r="K186" s="2">
        <v>0</v>
      </c>
      <c r="L186" s="2">
        <v>0</v>
      </c>
      <c r="M186" s="2">
        <f>319.5-319.5</f>
        <v>0</v>
      </c>
      <c r="N186" s="2">
        <v>0</v>
      </c>
      <c r="O186" s="2">
        <v>0</v>
      </c>
      <c r="P186" s="2">
        <v>0</v>
      </c>
    </row>
    <row r="187" spans="1:16" ht="18" customHeight="1" x14ac:dyDescent="0.2">
      <c r="A187" s="37"/>
      <c r="B187" s="37"/>
      <c r="C187" s="13" t="s">
        <v>4</v>
      </c>
      <c r="D187" s="19">
        <f t="shared" si="75"/>
        <v>0</v>
      </c>
      <c r="E187" s="2">
        <v>0</v>
      </c>
      <c r="F187" s="2">
        <v>0</v>
      </c>
      <c r="G187" s="2">
        <v>0</v>
      </c>
      <c r="H187" s="2">
        <v>0</v>
      </c>
      <c r="I187" s="2">
        <v>0</v>
      </c>
      <c r="J187" s="2">
        <v>0</v>
      </c>
      <c r="K187" s="2">
        <v>0</v>
      </c>
      <c r="L187" s="2">
        <v>0</v>
      </c>
      <c r="M187" s="2">
        <v>0</v>
      </c>
      <c r="N187" s="2">
        <v>0</v>
      </c>
      <c r="O187" s="2">
        <v>0</v>
      </c>
      <c r="P187" s="2">
        <v>0</v>
      </c>
    </row>
    <row r="188" spans="1:16" ht="15.75" x14ac:dyDescent="0.2">
      <c r="A188" s="37" t="s">
        <v>82</v>
      </c>
      <c r="B188" s="37" t="s">
        <v>86</v>
      </c>
      <c r="C188" s="13" t="s">
        <v>92</v>
      </c>
      <c r="D188" s="19">
        <f t="shared" si="75"/>
        <v>100</v>
      </c>
      <c r="E188" s="2">
        <f>E189+E190+E191+E192</f>
        <v>0</v>
      </c>
      <c r="F188" s="2">
        <f t="shared" ref="F188:O188" si="96">F189+F190+F191+F192</f>
        <v>0</v>
      </c>
      <c r="G188" s="2">
        <f t="shared" si="96"/>
        <v>0</v>
      </c>
      <c r="H188" s="2">
        <f t="shared" si="96"/>
        <v>0</v>
      </c>
      <c r="I188" s="2">
        <f t="shared" si="96"/>
        <v>100</v>
      </c>
      <c r="J188" s="2">
        <f t="shared" si="96"/>
        <v>0</v>
      </c>
      <c r="K188" s="2">
        <f t="shared" si="96"/>
        <v>0</v>
      </c>
      <c r="L188" s="2">
        <f t="shared" si="96"/>
        <v>0</v>
      </c>
      <c r="M188" s="2">
        <f t="shared" si="96"/>
        <v>0</v>
      </c>
      <c r="N188" s="2">
        <f t="shared" si="96"/>
        <v>0</v>
      </c>
      <c r="O188" s="2">
        <f t="shared" si="96"/>
        <v>0</v>
      </c>
      <c r="P188" s="2">
        <f t="shared" ref="P188" si="97">P189+P190+P191+P192</f>
        <v>0</v>
      </c>
    </row>
    <row r="189" spans="1:16" ht="15.75" x14ac:dyDescent="0.2">
      <c r="A189" s="37"/>
      <c r="B189" s="37"/>
      <c r="C189" s="13" t="s">
        <v>1</v>
      </c>
      <c r="D189" s="19">
        <f t="shared" si="75"/>
        <v>0</v>
      </c>
      <c r="E189" s="2">
        <v>0</v>
      </c>
      <c r="F189" s="2">
        <v>0</v>
      </c>
      <c r="G189" s="2">
        <v>0</v>
      </c>
      <c r="H189" s="2">
        <v>0</v>
      </c>
      <c r="I189" s="2">
        <v>0</v>
      </c>
      <c r="J189" s="2">
        <v>0</v>
      </c>
      <c r="K189" s="2">
        <v>0</v>
      </c>
      <c r="L189" s="2">
        <v>0</v>
      </c>
      <c r="M189" s="2">
        <v>0</v>
      </c>
      <c r="N189" s="2">
        <v>0</v>
      </c>
      <c r="O189" s="2">
        <v>0</v>
      </c>
      <c r="P189" s="2">
        <v>0</v>
      </c>
    </row>
    <row r="190" spans="1:16" ht="15.75" x14ac:dyDescent="0.2">
      <c r="A190" s="37"/>
      <c r="B190" s="37"/>
      <c r="C190" s="13" t="s">
        <v>2</v>
      </c>
      <c r="D190" s="19">
        <f t="shared" si="75"/>
        <v>0</v>
      </c>
      <c r="E190" s="2">
        <v>0</v>
      </c>
      <c r="F190" s="2">
        <v>0</v>
      </c>
      <c r="G190" s="2">
        <v>0</v>
      </c>
      <c r="H190" s="2">
        <v>0</v>
      </c>
      <c r="I190" s="2">
        <v>0</v>
      </c>
      <c r="J190" s="2">
        <v>0</v>
      </c>
      <c r="K190" s="2">
        <v>0</v>
      </c>
      <c r="L190" s="2">
        <v>0</v>
      </c>
      <c r="M190" s="2">
        <v>0</v>
      </c>
      <c r="N190" s="2">
        <v>0</v>
      </c>
      <c r="O190" s="2">
        <v>0</v>
      </c>
      <c r="P190" s="2">
        <v>0</v>
      </c>
    </row>
    <row r="191" spans="1:16" ht="15.75" x14ac:dyDescent="0.2">
      <c r="A191" s="37"/>
      <c r="B191" s="37"/>
      <c r="C191" s="13" t="s">
        <v>3</v>
      </c>
      <c r="D191" s="19">
        <f t="shared" si="75"/>
        <v>100</v>
      </c>
      <c r="E191" s="2">
        <v>0</v>
      </c>
      <c r="F191" s="2">
        <v>0</v>
      </c>
      <c r="G191" s="2">
        <v>0</v>
      </c>
      <c r="H191" s="2">
        <v>0</v>
      </c>
      <c r="I191" s="2">
        <v>100</v>
      </c>
      <c r="J191" s="2">
        <v>0</v>
      </c>
      <c r="K191" s="2">
        <v>0</v>
      </c>
      <c r="L191" s="2">
        <v>0</v>
      </c>
      <c r="M191" s="2">
        <v>0</v>
      </c>
      <c r="N191" s="2">
        <v>0</v>
      </c>
      <c r="O191" s="2">
        <v>0</v>
      </c>
      <c r="P191" s="2">
        <v>0</v>
      </c>
    </row>
    <row r="192" spans="1:16" ht="17.25" customHeight="1" x14ac:dyDescent="0.2">
      <c r="A192" s="37"/>
      <c r="B192" s="37"/>
      <c r="C192" s="13" t="s">
        <v>4</v>
      </c>
      <c r="D192" s="19">
        <f t="shared" ref="D192:D255" si="98">E192+F192+G192+H192+I192+J192+K192+L192+M192+N192+O192+P192</f>
        <v>0</v>
      </c>
      <c r="E192" s="2">
        <v>0</v>
      </c>
      <c r="F192" s="2">
        <v>0</v>
      </c>
      <c r="G192" s="2">
        <v>0</v>
      </c>
      <c r="H192" s="2">
        <v>0</v>
      </c>
      <c r="I192" s="2">
        <v>0</v>
      </c>
      <c r="J192" s="2">
        <v>0</v>
      </c>
      <c r="K192" s="2">
        <v>0</v>
      </c>
      <c r="L192" s="2">
        <v>0</v>
      </c>
      <c r="M192" s="2">
        <v>0</v>
      </c>
      <c r="N192" s="2">
        <v>0</v>
      </c>
      <c r="O192" s="2">
        <v>0</v>
      </c>
      <c r="P192" s="2">
        <v>0</v>
      </c>
    </row>
    <row r="193" spans="1:16" ht="21" customHeight="1" x14ac:dyDescent="0.2">
      <c r="A193" s="37" t="s">
        <v>105</v>
      </c>
      <c r="B193" s="37" t="s">
        <v>123</v>
      </c>
      <c r="C193" s="13" t="s">
        <v>92</v>
      </c>
      <c r="D193" s="19">
        <f t="shared" si="98"/>
        <v>1790</v>
      </c>
      <c r="E193" s="2">
        <f>E194+E195+E196+E197</f>
        <v>0</v>
      </c>
      <c r="F193" s="2">
        <f t="shared" ref="F193:O193" si="99">F194+F195+F196+F197</f>
        <v>0</v>
      </c>
      <c r="G193" s="2">
        <f t="shared" si="99"/>
        <v>0</v>
      </c>
      <c r="H193" s="2">
        <f t="shared" si="99"/>
        <v>0</v>
      </c>
      <c r="I193" s="2">
        <f t="shared" si="99"/>
        <v>0</v>
      </c>
      <c r="J193" s="2">
        <f t="shared" si="99"/>
        <v>665</v>
      </c>
      <c r="K193" s="2">
        <f t="shared" si="99"/>
        <v>340</v>
      </c>
      <c r="L193" s="2">
        <f t="shared" si="99"/>
        <v>0</v>
      </c>
      <c r="M193" s="2">
        <f t="shared" si="99"/>
        <v>785</v>
      </c>
      <c r="N193" s="2">
        <f t="shared" si="99"/>
        <v>0</v>
      </c>
      <c r="O193" s="2">
        <f t="shared" si="99"/>
        <v>0</v>
      </c>
      <c r="P193" s="2">
        <f t="shared" ref="P193" si="100">P194+P195+P196+P197</f>
        <v>0</v>
      </c>
    </row>
    <row r="194" spans="1:16" ht="21" customHeight="1" x14ac:dyDescent="0.2">
      <c r="A194" s="37"/>
      <c r="B194" s="37"/>
      <c r="C194" s="13" t="s">
        <v>1</v>
      </c>
      <c r="D194" s="19">
        <f t="shared" si="98"/>
        <v>0</v>
      </c>
      <c r="E194" s="2">
        <v>0</v>
      </c>
      <c r="F194" s="2">
        <v>0</v>
      </c>
      <c r="G194" s="2">
        <v>0</v>
      </c>
      <c r="H194" s="2">
        <v>0</v>
      </c>
      <c r="I194" s="2">
        <v>0</v>
      </c>
      <c r="J194" s="2">
        <v>0</v>
      </c>
      <c r="K194" s="2">
        <v>0</v>
      </c>
      <c r="L194" s="2">
        <v>0</v>
      </c>
      <c r="M194" s="2">
        <v>0</v>
      </c>
      <c r="N194" s="2">
        <v>0</v>
      </c>
      <c r="O194" s="2">
        <v>0</v>
      </c>
      <c r="P194" s="2">
        <v>0</v>
      </c>
    </row>
    <row r="195" spans="1:16" ht="21" customHeight="1" x14ac:dyDescent="0.2">
      <c r="A195" s="37"/>
      <c r="B195" s="37"/>
      <c r="C195" s="13" t="s">
        <v>2</v>
      </c>
      <c r="D195" s="19">
        <f t="shared" si="98"/>
        <v>0</v>
      </c>
      <c r="E195" s="2">
        <v>0</v>
      </c>
      <c r="F195" s="2">
        <v>0</v>
      </c>
      <c r="G195" s="2">
        <v>0</v>
      </c>
      <c r="H195" s="2">
        <v>0</v>
      </c>
      <c r="I195" s="2">
        <v>0</v>
      </c>
      <c r="J195" s="2">
        <v>0</v>
      </c>
      <c r="K195" s="2">
        <v>0</v>
      </c>
      <c r="L195" s="2">
        <v>0</v>
      </c>
      <c r="M195" s="2">
        <v>0</v>
      </c>
      <c r="N195" s="2">
        <v>0</v>
      </c>
      <c r="O195" s="2">
        <v>0</v>
      </c>
      <c r="P195" s="2">
        <v>0</v>
      </c>
    </row>
    <row r="196" spans="1:16" ht="21" customHeight="1" x14ac:dyDescent="0.2">
      <c r="A196" s="37"/>
      <c r="B196" s="37"/>
      <c r="C196" s="13" t="s">
        <v>3</v>
      </c>
      <c r="D196" s="19">
        <f t="shared" si="98"/>
        <v>1790</v>
      </c>
      <c r="E196" s="2">
        <v>0</v>
      </c>
      <c r="F196" s="2">
        <v>0</v>
      </c>
      <c r="G196" s="2">
        <v>0</v>
      </c>
      <c r="H196" s="2">
        <v>0</v>
      </c>
      <c r="I196" s="2">
        <v>0</v>
      </c>
      <c r="J196" s="2">
        <f>1700-1035</f>
        <v>665</v>
      </c>
      <c r="K196" s="2">
        <f>500-160</f>
        <v>340</v>
      </c>
      <c r="L196" s="2">
        <v>0</v>
      </c>
      <c r="M196" s="2">
        <f>25+350+150+110+150</f>
        <v>785</v>
      </c>
      <c r="N196" s="2">
        <v>0</v>
      </c>
      <c r="O196" s="2">
        <v>0</v>
      </c>
      <c r="P196" s="2">
        <v>0</v>
      </c>
    </row>
    <row r="197" spans="1:16" ht="38.25" customHeight="1" x14ac:dyDescent="0.2">
      <c r="A197" s="37"/>
      <c r="B197" s="37"/>
      <c r="C197" s="13" t="s">
        <v>4</v>
      </c>
      <c r="D197" s="19">
        <f t="shared" si="98"/>
        <v>0</v>
      </c>
      <c r="E197" s="2">
        <v>0</v>
      </c>
      <c r="F197" s="2">
        <v>0</v>
      </c>
      <c r="G197" s="2">
        <v>0</v>
      </c>
      <c r="H197" s="2">
        <v>0</v>
      </c>
      <c r="I197" s="2">
        <v>0</v>
      </c>
      <c r="J197" s="2">
        <v>0</v>
      </c>
      <c r="K197" s="2">
        <v>0</v>
      </c>
      <c r="L197" s="2">
        <v>0</v>
      </c>
      <c r="M197" s="2">
        <v>0</v>
      </c>
      <c r="N197" s="2">
        <v>0</v>
      </c>
      <c r="O197" s="2">
        <v>0</v>
      </c>
      <c r="P197" s="2">
        <v>0</v>
      </c>
    </row>
    <row r="198" spans="1:16" ht="29.25" customHeight="1" x14ac:dyDescent="0.2">
      <c r="A198" s="37" t="s">
        <v>107</v>
      </c>
      <c r="B198" s="37" t="s">
        <v>109</v>
      </c>
      <c r="C198" s="13" t="s">
        <v>92</v>
      </c>
      <c r="D198" s="19">
        <f t="shared" si="98"/>
        <v>37146</v>
      </c>
      <c r="E198" s="2">
        <f>E199+E200+E201+E202</f>
        <v>0</v>
      </c>
      <c r="F198" s="2">
        <f t="shared" ref="F198:O198" si="101">F199+F200+F201+F202</f>
        <v>0</v>
      </c>
      <c r="G198" s="2">
        <f t="shared" si="101"/>
        <v>0</v>
      </c>
      <c r="H198" s="2">
        <f t="shared" si="101"/>
        <v>0</v>
      </c>
      <c r="I198" s="2">
        <f t="shared" si="101"/>
        <v>0</v>
      </c>
      <c r="J198" s="2">
        <f t="shared" si="101"/>
        <v>37146</v>
      </c>
      <c r="K198" s="2">
        <f t="shared" si="101"/>
        <v>0</v>
      </c>
      <c r="L198" s="2">
        <f t="shared" si="101"/>
        <v>0</v>
      </c>
      <c r="M198" s="2">
        <f t="shared" si="101"/>
        <v>0</v>
      </c>
      <c r="N198" s="2">
        <f t="shared" si="101"/>
        <v>0</v>
      </c>
      <c r="O198" s="2">
        <f t="shared" si="101"/>
        <v>0</v>
      </c>
      <c r="P198" s="2">
        <f t="shared" ref="P198" si="102">P199+P200+P201+P202</f>
        <v>0</v>
      </c>
    </row>
    <row r="199" spans="1:16" ht="15.75" customHeight="1" x14ac:dyDescent="0.2">
      <c r="A199" s="37"/>
      <c r="B199" s="37"/>
      <c r="C199" s="13" t="s">
        <v>1</v>
      </c>
      <c r="D199" s="19">
        <f t="shared" si="98"/>
        <v>36000</v>
      </c>
      <c r="E199" s="2">
        <v>0</v>
      </c>
      <c r="F199" s="2">
        <v>0</v>
      </c>
      <c r="G199" s="2">
        <v>0</v>
      </c>
      <c r="H199" s="2">
        <v>0</v>
      </c>
      <c r="I199" s="2">
        <v>0</v>
      </c>
      <c r="J199" s="2">
        <v>36000</v>
      </c>
      <c r="K199" s="2">
        <v>0</v>
      </c>
      <c r="L199" s="2">
        <v>0</v>
      </c>
      <c r="M199" s="2">
        <v>0</v>
      </c>
      <c r="N199" s="2">
        <v>0</v>
      </c>
      <c r="O199" s="2">
        <v>0</v>
      </c>
      <c r="P199" s="2">
        <v>0</v>
      </c>
    </row>
    <row r="200" spans="1:16" ht="15.75" customHeight="1" x14ac:dyDescent="0.2">
      <c r="A200" s="37"/>
      <c r="B200" s="37"/>
      <c r="C200" s="13" t="s">
        <v>2</v>
      </c>
      <c r="D200" s="19">
        <f t="shared" si="98"/>
        <v>0</v>
      </c>
      <c r="E200" s="2">
        <v>0</v>
      </c>
      <c r="F200" s="2">
        <v>0</v>
      </c>
      <c r="G200" s="2">
        <v>0</v>
      </c>
      <c r="H200" s="2">
        <v>0</v>
      </c>
      <c r="I200" s="2">
        <v>0</v>
      </c>
      <c r="J200" s="2">
        <v>0</v>
      </c>
      <c r="K200" s="2">
        <v>0</v>
      </c>
      <c r="L200" s="2">
        <v>0</v>
      </c>
      <c r="M200" s="2">
        <v>0</v>
      </c>
      <c r="N200" s="2">
        <v>0</v>
      </c>
      <c r="O200" s="2">
        <v>0</v>
      </c>
      <c r="P200" s="2">
        <v>0</v>
      </c>
    </row>
    <row r="201" spans="1:16" ht="15.75" customHeight="1" x14ac:dyDescent="0.2">
      <c r="A201" s="37"/>
      <c r="B201" s="37"/>
      <c r="C201" s="13" t="s">
        <v>3</v>
      </c>
      <c r="D201" s="19">
        <f t="shared" si="98"/>
        <v>1146</v>
      </c>
      <c r="E201" s="2">
        <v>0</v>
      </c>
      <c r="F201" s="2">
        <v>0</v>
      </c>
      <c r="G201" s="2">
        <v>0</v>
      </c>
      <c r="H201" s="2">
        <v>0</v>
      </c>
      <c r="I201" s="2">
        <v>0</v>
      </c>
      <c r="J201" s="2">
        <v>1146</v>
      </c>
      <c r="K201" s="2">
        <v>0</v>
      </c>
      <c r="L201" s="2">
        <v>0</v>
      </c>
      <c r="M201" s="2">
        <v>0</v>
      </c>
      <c r="N201" s="2">
        <v>0</v>
      </c>
      <c r="O201" s="2">
        <v>0</v>
      </c>
      <c r="P201" s="2">
        <v>0</v>
      </c>
    </row>
    <row r="202" spans="1:16" ht="84" customHeight="1" x14ac:dyDescent="0.2">
      <c r="A202" s="37"/>
      <c r="B202" s="37"/>
      <c r="C202" s="13" t="s">
        <v>4</v>
      </c>
      <c r="D202" s="19">
        <f t="shared" si="98"/>
        <v>0</v>
      </c>
      <c r="E202" s="2">
        <v>0</v>
      </c>
      <c r="F202" s="2">
        <v>0</v>
      </c>
      <c r="G202" s="2">
        <v>0</v>
      </c>
      <c r="H202" s="2">
        <v>0</v>
      </c>
      <c r="I202" s="2">
        <v>0</v>
      </c>
      <c r="J202" s="2">
        <v>0</v>
      </c>
      <c r="K202" s="2">
        <v>0</v>
      </c>
      <c r="L202" s="2">
        <v>0</v>
      </c>
      <c r="M202" s="2">
        <v>0</v>
      </c>
      <c r="N202" s="2">
        <v>0</v>
      </c>
      <c r="O202" s="2">
        <v>0</v>
      </c>
      <c r="P202" s="2">
        <v>0</v>
      </c>
    </row>
    <row r="203" spans="1:16" ht="15.75" hidden="1" x14ac:dyDescent="0.2">
      <c r="A203" s="37" t="s">
        <v>148</v>
      </c>
      <c r="B203" s="37" t="s">
        <v>110</v>
      </c>
      <c r="C203" s="13" t="s">
        <v>92</v>
      </c>
      <c r="D203" s="19">
        <f t="shared" si="98"/>
        <v>0</v>
      </c>
      <c r="E203" s="2">
        <f>E204+E205+E206+E207</f>
        <v>0</v>
      </c>
      <c r="F203" s="2">
        <f t="shared" ref="F203:O203" si="103">F204+F205+F206+F207</f>
        <v>0</v>
      </c>
      <c r="G203" s="2">
        <f t="shared" si="103"/>
        <v>0</v>
      </c>
      <c r="H203" s="2">
        <f t="shared" si="103"/>
        <v>0</v>
      </c>
      <c r="I203" s="2">
        <f t="shared" si="103"/>
        <v>0</v>
      </c>
      <c r="J203" s="2">
        <f t="shared" si="103"/>
        <v>0</v>
      </c>
      <c r="K203" s="2">
        <f t="shared" si="103"/>
        <v>0</v>
      </c>
      <c r="L203" s="2">
        <f t="shared" si="103"/>
        <v>0</v>
      </c>
      <c r="M203" s="2">
        <f t="shared" si="103"/>
        <v>0</v>
      </c>
      <c r="N203" s="2">
        <f t="shared" si="103"/>
        <v>0</v>
      </c>
      <c r="O203" s="2">
        <f t="shared" si="103"/>
        <v>0</v>
      </c>
      <c r="P203" s="2">
        <f t="shared" ref="P203" si="104">P204+P205+P206+P207</f>
        <v>0</v>
      </c>
    </row>
    <row r="204" spans="1:16" ht="15.75" hidden="1" customHeight="1" x14ac:dyDescent="0.2">
      <c r="A204" s="37"/>
      <c r="B204" s="37"/>
      <c r="C204" s="13" t="s">
        <v>1</v>
      </c>
      <c r="D204" s="19">
        <f t="shared" si="98"/>
        <v>0</v>
      </c>
      <c r="E204" s="2">
        <v>0</v>
      </c>
      <c r="F204" s="2">
        <v>0</v>
      </c>
      <c r="G204" s="2">
        <v>0</v>
      </c>
      <c r="H204" s="2">
        <v>0</v>
      </c>
      <c r="I204" s="2">
        <v>0</v>
      </c>
      <c r="J204" s="2">
        <v>0</v>
      </c>
      <c r="K204" s="2">
        <v>0</v>
      </c>
      <c r="L204" s="2">
        <v>0</v>
      </c>
      <c r="M204" s="2">
        <v>0</v>
      </c>
      <c r="N204" s="2">
        <v>0</v>
      </c>
      <c r="O204" s="2">
        <v>0</v>
      </c>
      <c r="P204" s="2">
        <v>0</v>
      </c>
    </row>
    <row r="205" spans="1:16" ht="19.5" hidden="1" customHeight="1" x14ac:dyDescent="0.2">
      <c r="A205" s="37"/>
      <c r="B205" s="37"/>
      <c r="C205" s="13" t="s">
        <v>2</v>
      </c>
      <c r="D205" s="19">
        <f t="shared" si="98"/>
        <v>0</v>
      </c>
      <c r="E205" s="2">
        <v>0</v>
      </c>
      <c r="F205" s="2">
        <v>0</v>
      </c>
      <c r="G205" s="2">
        <v>0</v>
      </c>
      <c r="H205" s="2">
        <v>0</v>
      </c>
      <c r="I205" s="2">
        <v>0</v>
      </c>
      <c r="J205" s="2">
        <v>0</v>
      </c>
      <c r="K205" s="2">
        <v>0</v>
      </c>
      <c r="L205" s="2">
        <v>0</v>
      </c>
      <c r="M205" s="2">
        <v>0</v>
      </c>
      <c r="N205" s="2">
        <v>0</v>
      </c>
      <c r="O205" s="2">
        <v>0</v>
      </c>
      <c r="P205" s="2">
        <v>0</v>
      </c>
    </row>
    <row r="206" spans="1:16" ht="15.75" hidden="1" customHeight="1" x14ac:dyDescent="0.2">
      <c r="A206" s="37"/>
      <c r="B206" s="37"/>
      <c r="C206" s="13" t="s">
        <v>3</v>
      </c>
      <c r="D206" s="19">
        <f t="shared" si="98"/>
        <v>0</v>
      </c>
      <c r="E206" s="2">
        <v>0</v>
      </c>
      <c r="F206" s="2">
        <v>0</v>
      </c>
      <c r="G206" s="2">
        <v>0</v>
      </c>
      <c r="H206" s="2">
        <v>0</v>
      </c>
      <c r="I206" s="2">
        <v>0</v>
      </c>
      <c r="J206" s="2">
        <v>0</v>
      </c>
      <c r="K206" s="2">
        <v>0</v>
      </c>
      <c r="L206" s="2">
        <v>0</v>
      </c>
      <c r="M206" s="2">
        <v>0</v>
      </c>
      <c r="N206" s="2">
        <v>0</v>
      </c>
      <c r="O206" s="2">
        <v>0</v>
      </c>
      <c r="P206" s="2">
        <v>0</v>
      </c>
    </row>
    <row r="207" spans="1:16" ht="15.75" hidden="1" customHeight="1" x14ac:dyDescent="0.2">
      <c r="A207" s="37"/>
      <c r="B207" s="37"/>
      <c r="C207" s="13" t="s">
        <v>4</v>
      </c>
      <c r="D207" s="19">
        <f t="shared" si="98"/>
        <v>0</v>
      </c>
      <c r="E207" s="2">
        <v>0</v>
      </c>
      <c r="F207" s="2">
        <v>0</v>
      </c>
      <c r="G207" s="2">
        <v>0</v>
      </c>
      <c r="H207" s="2">
        <v>0</v>
      </c>
      <c r="I207" s="2">
        <v>0</v>
      </c>
      <c r="J207" s="2">
        <v>0</v>
      </c>
      <c r="K207" s="2">
        <v>0</v>
      </c>
      <c r="L207" s="2">
        <v>0</v>
      </c>
      <c r="M207" s="2">
        <v>0</v>
      </c>
      <c r="N207" s="2">
        <v>0</v>
      </c>
      <c r="O207" s="2">
        <v>0</v>
      </c>
      <c r="P207" s="2">
        <v>0</v>
      </c>
    </row>
    <row r="208" spans="1:16" ht="15.75" hidden="1" x14ac:dyDescent="0.2">
      <c r="A208" s="37" t="s">
        <v>149</v>
      </c>
      <c r="B208" s="37" t="s">
        <v>113</v>
      </c>
      <c r="C208" s="13" t="s">
        <v>92</v>
      </c>
      <c r="D208" s="19">
        <f t="shared" si="98"/>
        <v>0</v>
      </c>
      <c r="E208" s="2">
        <f>E209+E210+E211+E212</f>
        <v>0</v>
      </c>
      <c r="F208" s="2">
        <f t="shared" ref="F208:O208" si="105">F209+F210+F211+F212</f>
        <v>0</v>
      </c>
      <c r="G208" s="2">
        <f t="shared" si="105"/>
        <v>0</v>
      </c>
      <c r="H208" s="2">
        <f t="shared" si="105"/>
        <v>0</v>
      </c>
      <c r="I208" s="2">
        <f t="shared" si="105"/>
        <v>0</v>
      </c>
      <c r="J208" s="2">
        <f t="shared" si="105"/>
        <v>0</v>
      </c>
      <c r="K208" s="2">
        <f t="shared" si="105"/>
        <v>0</v>
      </c>
      <c r="L208" s="2">
        <f t="shared" si="105"/>
        <v>0</v>
      </c>
      <c r="M208" s="2">
        <f t="shared" si="105"/>
        <v>0</v>
      </c>
      <c r="N208" s="2">
        <f t="shared" si="105"/>
        <v>0</v>
      </c>
      <c r="O208" s="2">
        <f t="shared" si="105"/>
        <v>0</v>
      </c>
      <c r="P208" s="2">
        <f t="shared" ref="P208" si="106">P209+P210+P211+P212</f>
        <v>0</v>
      </c>
    </row>
    <row r="209" spans="1:16" ht="15.75" hidden="1" customHeight="1" x14ac:dyDescent="0.2">
      <c r="A209" s="37"/>
      <c r="B209" s="37"/>
      <c r="C209" s="13" t="s">
        <v>1</v>
      </c>
      <c r="D209" s="19">
        <f t="shared" si="98"/>
        <v>0</v>
      </c>
      <c r="E209" s="2">
        <v>0</v>
      </c>
      <c r="F209" s="2">
        <v>0</v>
      </c>
      <c r="G209" s="2">
        <v>0</v>
      </c>
      <c r="H209" s="2">
        <v>0</v>
      </c>
      <c r="I209" s="2">
        <v>0</v>
      </c>
      <c r="J209" s="2">
        <v>0</v>
      </c>
      <c r="K209" s="2">
        <v>0</v>
      </c>
      <c r="L209" s="2">
        <v>0</v>
      </c>
      <c r="M209" s="2">
        <v>0</v>
      </c>
      <c r="N209" s="2">
        <v>0</v>
      </c>
      <c r="O209" s="2">
        <v>0</v>
      </c>
      <c r="P209" s="2">
        <v>0</v>
      </c>
    </row>
    <row r="210" spans="1:16" ht="15.75" hidden="1" customHeight="1" x14ac:dyDescent="0.2">
      <c r="A210" s="37"/>
      <c r="B210" s="37"/>
      <c r="C210" s="13" t="s">
        <v>2</v>
      </c>
      <c r="D210" s="19">
        <f t="shared" si="98"/>
        <v>0</v>
      </c>
      <c r="E210" s="2">
        <v>0</v>
      </c>
      <c r="F210" s="2">
        <v>0</v>
      </c>
      <c r="G210" s="2">
        <v>0</v>
      </c>
      <c r="H210" s="2">
        <v>0</v>
      </c>
      <c r="I210" s="2">
        <v>0</v>
      </c>
      <c r="J210" s="2">
        <v>0</v>
      </c>
      <c r="K210" s="2">
        <v>0</v>
      </c>
      <c r="L210" s="2">
        <v>0</v>
      </c>
      <c r="M210" s="2">
        <v>0</v>
      </c>
      <c r="N210" s="2">
        <v>0</v>
      </c>
      <c r="O210" s="2">
        <v>0</v>
      </c>
      <c r="P210" s="2">
        <v>0</v>
      </c>
    </row>
    <row r="211" spans="1:16" ht="15.75" hidden="1" customHeight="1" x14ac:dyDescent="0.2">
      <c r="A211" s="37"/>
      <c r="B211" s="37"/>
      <c r="C211" s="13" t="s">
        <v>3</v>
      </c>
      <c r="D211" s="19">
        <f t="shared" si="98"/>
        <v>0</v>
      </c>
      <c r="E211" s="2">
        <v>0</v>
      </c>
      <c r="F211" s="2">
        <v>0</v>
      </c>
      <c r="G211" s="2">
        <v>0</v>
      </c>
      <c r="H211" s="2">
        <v>0</v>
      </c>
      <c r="I211" s="2">
        <v>0</v>
      </c>
      <c r="J211" s="2">
        <v>0</v>
      </c>
      <c r="K211" s="2">
        <f>12000-2475.9-1215.9-8308.2</f>
        <v>0</v>
      </c>
      <c r="L211" s="2">
        <v>0</v>
      </c>
      <c r="M211" s="2">
        <v>0</v>
      </c>
      <c r="N211" s="2">
        <v>0</v>
      </c>
      <c r="O211" s="2">
        <v>0</v>
      </c>
      <c r="P211" s="2">
        <v>0</v>
      </c>
    </row>
    <row r="212" spans="1:16" ht="15.75" hidden="1" customHeight="1" x14ac:dyDescent="0.2">
      <c r="A212" s="37"/>
      <c r="B212" s="37"/>
      <c r="C212" s="13" t="s">
        <v>4</v>
      </c>
      <c r="D212" s="19">
        <f t="shared" si="98"/>
        <v>0</v>
      </c>
      <c r="E212" s="2">
        <v>0</v>
      </c>
      <c r="F212" s="2">
        <v>0</v>
      </c>
      <c r="G212" s="2">
        <v>0</v>
      </c>
      <c r="H212" s="2">
        <v>0</v>
      </c>
      <c r="I212" s="2">
        <v>0</v>
      </c>
      <c r="J212" s="2">
        <v>0</v>
      </c>
      <c r="K212" s="2">
        <v>0</v>
      </c>
      <c r="L212" s="2">
        <v>0</v>
      </c>
      <c r="M212" s="2">
        <v>0</v>
      </c>
      <c r="N212" s="2">
        <v>0</v>
      </c>
      <c r="O212" s="2">
        <v>0</v>
      </c>
      <c r="P212" s="2">
        <v>0</v>
      </c>
    </row>
    <row r="213" spans="1:16" ht="15.75" x14ac:dyDescent="0.2">
      <c r="A213" s="37" t="s">
        <v>154</v>
      </c>
      <c r="B213" s="37" t="s">
        <v>115</v>
      </c>
      <c r="C213" s="13" t="s">
        <v>92</v>
      </c>
      <c r="D213" s="19">
        <f t="shared" si="98"/>
        <v>46629</v>
      </c>
      <c r="E213" s="2">
        <f>E214+E215+E216+E217</f>
        <v>0</v>
      </c>
      <c r="F213" s="2">
        <f t="shared" ref="F213:O213" si="107">F214+F215+F216+F217</f>
        <v>0</v>
      </c>
      <c r="G213" s="2">
        <f t="shared" si="107"/>
        <v>0</v>
      </c>
      <c r="H213" s="2">
        <f t="shared" si="107"/>
        <v>0</v>
      </c>
      <c r="I213" s="2">
        <f t="shared" si="107"/>
        <v>0</v>
      </c>
      <c r="J213" s="2">
        <f t="shared" si="107"/>
        <v>4998.5</v>
      </c>
      <c r="K213" s="2">
        <f t="shared" si="107"/>
        <v>18770.400000000001</v>
      </c>
      <c r="L213" s="2">
        <f t="shared" si="107"/>
        <v>22860.1</v>
      </c>
      <c r="M213" s="2">
        <f t="shared" si="107"/>
        <v>0</v>
      </c>
      <c r="N213" s="2">
        <f t="shared" si="107"/>
        <v>0</v>
      </c>
      <c r="O213" s="2">
        <f t="shared" si="107"/>
        <v>0</v>
      </c>
      <c r="P213" s="2">
        <f t="shared" ref="P213" si="108">P214+P215+P216+P217</f>
        <v>0</v>
      </c>
    </row>
    <row r="214" spans="1:16" ht="15.75" customHeight="1" x14ac:dyDescent="0.2">
      <c r="A214" s="37"/>
      <c r="B214" s="37"/>
      <c r="C214" s="13" t="s">
        <v>1</v>
      </c>
      <c r="D214" s="19">
        <f t="shared" si="98"/>
        <v>0</v>
      </c>
      <c r="E214" s="2">
        <v>0</v>
      </c>
      <c r="F214" s="2">
        <v>0</v>
      </c>
      <c r="G214" s="2">
        <v>0</v>
      </c>
      <c r="H214" s="2">
        <v>0</v>
      </c>
      <c r="I214" s="2">
        <v>0</v>
      </c>
      <c r="J214" s="2">
        <v>0</v>
      </c>
      <c r="K214" s="2">
        <v>0</v>
      </c>
      <c r="L214" s="2">
        <v>0</v>
      </c>
      <c r="M214" s="2">
        <v>0</v>
      </c>
      <c r="N214" s="2">
        <v>0</v>
      </c>
      <c r="O214" s="2">
        <v>0</v>
      </c>
      <c r="P214" s="2">
        <v>0</v>
      </c>
    </row>
    <row r="215" spans="1:16" ht="15.75" customHeight="1" x14ac:dyDescent="0.2">
      <c r="A215" s="37"/>
      <c r="B215" s="37"/>
      <c r="C215" s="13" t="s">
        <v>2</v>
      </c>
      <c r="D215" s="19">
        <f t="shared" si="98"/>
        <v>43831.3</v>
      </c>
      <c r="E215" s="2">
        <v>0</v>
      </c>
      <c r="F215" s="2">
        <v>0</v>
      </c>
      <c r="G215" s="2">
        <v>0</v>
      </c>
      <c r="H215" s="2">
        <v>0</v>
      </c>
      <c r="I215" s="2">
        <v>0</v>
      </c>
      <c r="J215" s="2">
        <v>4698.6000000000004</v>
      </c>
      <c r="K215" s="2">
        <v>17644.2</v>
      </c>
      <c r="L215" s="2">
        <f>24616-3127.5</f>
        <v>21488.5</v>
      </c>
      <c r="M215" s="2">
        <v>0</v>
      </c>
      <c r="N215" s="2">
        <v>0</v>
      </c>
      <c r="O215" s="2">
        <v>0</v>
      </c>
      <c r="P215" s="2">
        <v>0</v>
      </c>
    </row>
    <row r="216" spans="1:16" ht="15.75" customHeight="1" x14ac:dyDescent="0.2">
      <c r="A216" s="37"/>
      <c r="B216" s="37"/>
      <c r="C216" s="13" t="s">
        <v>3</v>
      </c>
      <c r="D216" s="19">
        <f t="shared" si="98"/>
        <v>2797.7</v>
      </c>
      <c r="E216" s="2">
        <v>0</v>
      </c>
      <c r="F216" s="2">
        <v>0</v>
      </c>
      <c r="G216" s="2">
        <v>0</v>
      </c>
      <c r="H216" s="2">
        <v>0</v>
      </c>
      <c r="I216" s="2">
        <v>0</v>
      </c>
      <c r="J216" s="2">
        <v>299.89999999999998</v>
      </c>
      <c r="K216" s="2">
        <v>1126.2</v>
      </c>
      <c r="L216" s="2">
        <f>1126.2+445-199.6</f>
        <v>1371.6000000000001</v>
      </c>
      <c r="M216" s="2">
        <f>1126.2-1126.2</f>
        <v>0</v>
      </c>
      <c r="N216" s="2">
        <f>1126.2-1126.2</f>
        <v>0</v>
      </c>
      <c r="O216" s="2">
        <v>0</v>
      </c>
      <c r="P216" s="2">
        <v>0</v>
      </c>
    </row>
    <row r="217" spans="1:16" ht="15.75" customHeight="1" x14ac:dyDescent="0.2">
      <c r="A217" s="37"/>
      <c r="B217" s="37"/>
      <c r="C217" s="13" t="s">
        <v>4</v>
      </c>
      <c r="D217" s="19">
        <f t="shared" si="98"/>
        <v>0</v>
      </c>
      <c r="E217" s="2">
        <v>0</v>
      </c>
      <c r="F217" s="2">
        <v>0</v>
      </c>
      <c r="G217" s="2">
        <v>0</v>
      </c>
      <c r="H217" s="2">
        <v>0</v>
      </c>
      <c r="I217" s="2">
        <v>0</v>
      </c>
      <c r="J217" s="2">
        <v>0</v>
      </c>
      <c r="K217" s="2">
        <v>0</v>
      </c>
      <c r="L217" s="2">
        <v>0</v>
      </c>
      <c r="M217" s="2">
        <v>0</v>
      </c>
      <c r="N217" s="2">
        <v>0</v>
      </c>
      <c r="O217" s="2">
        <v>0</v>
      </c>
      <c r="P217" s="2">
        <v>0</v>
      </c>
    </row>
    <row r="218" spans="1:16" ht="34.5" customHeight="1" x14ac:dyDescent="0.2">
      <c r="A218" s="37" t="s">
        <v>155</v>
      </c>
      <c r="B218" s="37" t="s">
        <v>120</v>
      </c>
      <c r="C218" s="13" t="s">
        <v>92</v>
      </c>
      <c r="D218" s="19">
        <f t="shared" si="98"/>
        <v>29413.400000000005</v>
      </c>
      <c r="E218" s="2">
        <f t="shared" ref="E218:O218" si="109">E219+E220+E221+E222</f>
        <v>0</v>
      </c>
      <c r="F218" s="2">
        <f t="shared" si="109"/>
        <v>0</v>
      </c>
      <c r="G218" s="2">
        <f t="shared" si="109"/>
        <v>0</v>
      </c>
      <c r="H218" s="2">
        <f t="shared" si="109"/>
        <v>0</v>
      </c>
      <c r="I218" s="2">
        <f t="shared" si="109"/>
        <v>0</v>
      </c>
      <c r="J218" s="2">
        <f t="shared" si="109"/>
        <v>0</v>
      </c>
      <c r="K218" s="2">
        <f t="shared" si="109"/>
        <v>11528.7</v>
      </c>
      <c r="L218" s="2">
        <f t="shared" si="109"/>
        <v>5864.2</v>
      </c>
      <c r="M218" s="2">
        <f t="shared" si="109"/>
        <v>7873.3</v>
      </c>
      <c r="N218" s="2">
        <f t="shared" si="109"/>
        <v>1382.4</v>
      </c>
      <c r="O218" s="2">
        <f t="shared" si="109"/>
        <v>1382.4</v>
      </c>
      <c r="P218" s="2">
        <f t="shared" ref="P218" si="110">P219+P220+P221+P222</f>
        <v>1382.4</v>
      </c>
    </row>
    <row r="219" spans="1:16" ht="15.75" customHeight="1" x14ac:dyDescent="0.2">
      <c r="A219" s="37"/>
      <c r="B219" s="37"/>
      <c r="C219" s="13" t="s">
        <v>1</v>
      </c>
      <c r="D219" s="19">
        <f t="shared" si="98"/>
        <v>0</v>
      </c>
      <c r="E219" s="2">
        <v>0</v>
      </c>
      <c r="F219" s="2">
        <v>0</v>
      </c>
      <c r="G219" s="2">
        <v>0</v>
      </c>
      <c r="H219" s="2">
        <v>0</v>
      </c>
      <c r="I219" s="2">
        <v>0</v>
      </c>
      <c r="J219" s="2">
        <v>0</v>
      </c>
      <c r="K219" s="2">
        <v>0</v>
      </c>
      <c r="L219" s="2">
        <v>0</v>
      </c>
      <c r="M219" s="2">
        <v>0</v>
      </c>
      <c r="N219" s="2">
        <v>0</v>
      </c>
      <c r="O219" s="2"/>
      <c r="P219" s="2"/>
    </row>
    <row r="220" spans="1:16" ht="15.75" customHeight="1" x14ac:dyDescent="0.2">
      <c r="A220" s="37"/>
      <c r="B220" s="37"/>
      <c r="C220" s="13" t="s">
        <v>2</v>
      </c>
      <c r="D220" s="19">
        <f t="shared" si="98"/>
        <v>0</v>
      </c>
      <c r="E220" s="2">
        <v>0</v>
      </c>
      <c r="F220" s="2">
        <v>0</v>
      </c>
      <c r="G220" s="2">
        <v>0</v>
      </c>
      <c r="H220" s="2">
        <v>0</v>
      </c>
      <c r="I220" s="2">
        <v>0</v>
      </c>
      <c r="J220" s="2">
        <v>0</v>
      </c>
      <c r="K220" s="2">
        <v>0</v>
      </c>
      <c r="L220" s="2">
        <v>0</v>
      </c>
      <c r="M220" s="2">
        <v>0</v>
      </c>
      <c r="N220" s="2">
        <v>0</v>
      </c>
      <c r="O220" s="2">
        <v>0</v>
      </c>
      <c r="P220" s="2">
        <v>0</v>
      </c>
    </row>
    <row r="221" spans="1:16" ht="15.75" customHeight="1" x14ac:dyDescent="0.2">
      <c r="A221" s="37"/>
      <c r="B221" s="37"/>
      <c r="C221" s="13" t="s">
        <v>3</v>
      </c>
      <c r="D221" s="19">
        <f t="shared" si="98"/>
        <v>29413.400000000005</v>
      </c>
      <c r="E221" s="2">
        <v>0</v>
      </c>
      <c r="F221" s="2">
        <v>0</v>
      </c>
      <c r="G221" s="2">
        <v>0</v>
      </c>
      <c r="H221" s="2">
        <v>0</v>
      </c>
      <c r="I221" s="2">
        <v>0</v>
      </c>
      <c r="J221" s="2">
        <v>0</v>
      </c>
      <c r="K221" s="2">
        <v>11528.7</v>
      </c>
      <c r="L221" s="2">
        <v>5864.2</v>
      </c>
      <c r="M221" s="2">
        <f>5275.5-3376.4+3922.4+2051.8</f>
        <v>7873.3</v>
      </c>
      <c r="N221" s="2">
        <f>0+4386-3003.6</f>
        <v>1382.4</v>
      </c>
      <c r="O221" s="2">
        <f>0+4386-3003.6</f>
        <v>1382.4</v>
      </c>
      <c r="P221" s="2">
        <v>1382.4</v>
      </c>
    </row>
    <row r="222" spans="1:16" ht="15.75" customHeight="1" x14ac:dyDescent="0.2">
      <c r="A222" s="37"/>
      <c r="B222" s="37"/>
      <c r="C222" s="13" t="s">
        <v>4</v>
      </c>
      <c r="D222" s="19">
        <f t="shared" si="98"/>
        <v>0</v>
      </c>
      <c r="E222" s="2">
        <v>0</v>
      </c>
      <c r="F222" s="2">
        <v>0</v>
      </c>
      <c r="G222" s="2">
        <v>0</v>
      </c>
      <c r="H222" s="2">
        <v>0</v>
      </c>
      <c r="I222" s="2">
        <v>0</v>
      </c>
      <c r="J222" s="2">
        <v>0</v>
      </c>
      <c r="K222" s="2">
        <v>0</v>
      </c>
      <c r="L222" s="25">
        <v>0</v>
      </c>
      <c r="M222" s="26">
        <v>0</v>
      </c>
      <c r="N222" s="26">
        <v>0</v>
      </c>
      <c r="O222" s="25">
        <v>0</v>
      </c>
      <c r="P222" s="25">
        <v>0</v>
      </c>
    </row>
    <row r="223" spans="1:16" ht="48.75" customHeight="1" x14ac:dyDescent="0.2">
      <c r="A223" s="37" t="s">
        <v>150</v>
      </c>
      <c r="B223" s="37" t="s">
        <v>125</v>
      </c>
      <c r="C223" s="13" t="s">
        <v>92</v>
      </c>
      <c r="D223" s="19">
        <f t="shared" si="98"/>
        <v>2120.9999999999995</v>
      </c>
      <c r="E223" s="19">
        <f t="shared" ref="E223:O223" si="111">E224+E225+E226+E227</f>
        <v>0</v>
      </c>
      <c r="F223" s="19">
        <f t="shared" si="111"/>
        <v>0</v>
      </c>
      <c r="G223" s="19">
        <f t="shared" si="111"/>
        <v>0</v>
      </c>
      <c r="H223" s="19">
        <f t="shared" si="111"/>
        <v>0</v>
      </c>
      <c r="I223" s="19">
        <f t="shared" si="111"/>
        <v>0</v>
      </c>
      <c r="J223" s="19">
        <f t="shared" si="111"/>
        <v>0</v>
      </c>
      <c r="K223" s="19">
        <f t="shared" si="111"/>
        <v>1514.6999999999998</v>
      </c>
      <c r="L223" s="19">
        <f t="shared" si="111"/>
        <v>562.70000000000005</v>
      </c>
      <c r="M223" s="19">
        <f t="shared" si="111"/>
        <v>43.6</v>
      </c>
      <c r="N223" s="19">
        <f t="shared" si="111"/>
        <v>0</v>
      </c>
      <c r="O223" s="19">
        <f t="shared" si="111"/>
        <v>0</v>
      </c>
      <c r="P223" s="19">
        <f t="shared" ref="P223" si="112">P224+P225+P226+P227</f>
        <v>0</v>
      </c>
    </row>
    <row r="224" spans="1:16" ht="15.75" customHeight="1" x14ac:dyDescent="0.2">
      <c r="A224" s="37"/>
      <c r="B224" s="37"/>
      <c r="C224" s="13" t="s">
        <v>1</v>
      </c>
      <c r="D224" s="19">
        <f t="shared" si="98"/>
        <v>0</v>
      </c>
      <c r="E224" s="2">
        <v>0</v>
      </c>
      <c r="F224" s="2">
        <v>0</v>
      </c>
      <c r="G224" s="2">
        <v>0</v>
      </c>
      <c r="H224" s="2">
        <v>0</v>
      </c>
      <c r="I224" s="2">
        <v>0</v>
      </c>
      <c r="J224" s="2">
        <v>0</v>
      </c>
      <c r="K224" s="2">
        <v>0</v>
      </c>
      <c r="L224" s="2">
        <v>0</v>
      </c>
      <c r="M224" s="2">
        <v>0</v>
      </c>
      <c r="N224" s="2">
        <v>0</v>
      </c>
      <c r="O224" s="2">
        <v>0</v>
      </c>
      <c r="P224" s="2">
        <v>0</v>
      </c>
    </row>
    <row r="225" spans="1:16" ht="15.75" customHeight="1" x14ac:dyDescent="0.2">
      <c r="A225" s="37"/>
      <c r="B225" s="37"/>
      <c r="C225" s="13" t="s">
        <v>2</v>
      </c>
      <c r="D225" s="19">
        <f t="shared" si="98"/>
        <v>0</v>
      </c>
      <c r="E225" s="2">
        <v>0</v>
      </c>
      <c r="F225" s="2">
        <v>0</v>
      </c>
      <c r="G225" s="2">
        <v>0</v>
      </c>
      <c r="H225" s="2">
        <v>0</v>
      </c>
      <c r="I225" s="2">
        <v>0</v>
      </c>
      <c r="J225" s="2">
        <v>0</v>
      </c>
      <c r="K225" s="2">
        <v>0</v>
      </c>
      <c r="L225" s="2">
        <v>0</v>
      </c>
      <c r="M225" s="2">
        <v>0</v>
      </c>
      <c r="N225" s="2">
        <v>0</v>
      </c>
      <c r="O225" s="2">
        <v>0</v>
      </c>
      <c r="P225" s="2">
        <v>0</v>
      </c>
    </row>
    <row r="226" spans="1:16" ht="15.75" customHeight="1" x14ac:dyDescent="0.2">
      <c r="A226" s="37"/>
      <c r="B226" s="37"/>
      <c r="C226" s="13" t="s">
        <v>3</v>
      </c>
      <c r="D226" s="19">
        <f t="shared" si="98"/>
        <v>2120.9999999999995</v>
      </c>
      <c r="E226" s="2">
        <v>0</v>
      </c>
      <c r="F226" s="2">
        <v>0</v>
      </c>
      <c r="G226" s="2">
        <v>0</v>
      </c>
      <c r="H226" s="2">
        <v>0</v>
      </c>
      <c r="I226" s="2">
        <v>0</v>
      </c>
      <c r="J226" s="2">
        <v>0</v>
      </c>
      <c r="K226" s="2">
        <f>270.9+1243.8</f>
        <v>1514.6999999999998</v>
      </c>
      <c r="L226" s="2">
        <v>562.70000000000005</v>
      </c>
      <c r="M226" s="2">
        <v>43.6</v>
      </c>
      <c r="N226" s="2">
        <v>0</v>
      </c>
      <c r="O226" s="2">
        <v>0</v>
      </c>
      <c r="P226" s="2">
        <v>0</v>
      </c>
    </row>
    <row r="227" spans="1:16" ht="16.5" customHeight="1" x14ac:dyDescent="0.2">
      <c r="A227" s="37"/>
      <c r="B227" s="37"/>
      <c r="C227" s="13" t="s">
        <v>4</v>
      </c>
      <c r="D227" s="19">
        <f t="shared" si="98"/>
        <v>0</v>
      </c>
      <c r="E227" s="2">
        <v>0</v>
      </c>
      <c r="F227" s="2">
        <v>0</v>
      </c>
      <c r="G227" s="2">
        <v>0</v>
      </c>
      <c r="H227" s="2">
        <v>0</v>
      </c>
      <c r="I227" s="2">
        <v>0</v>
      </c>
      <c r="J227" s="2">
        <v>0</v>
      </c>
      <c r="K227" s="2">
        <v>0</v>
      </c>
      <c r="L227" s="2">
        <v>0</v>
      </c>
      <c r="M227" s="2">
        <v>0</v>
      </c>
      <c r="N227" s="2">
        <v>0</v>
      </c>
      <c r="O227" s="2">
        <v>0</v>
      </c>
      <c r="P227" s="2">
        <v>0</v>
      </c>
    </row>
    <row r="228" spans="1:16" ht="16.5" hidden="1" customHeight="1" x14ac:dyDescent="0.2">
      <c r="A228" s="37" t="s">
        <v>124</v>
      </c>
      <c r="B228" s="41" t="s">
        <v>127</v>
      </c>
      <c r="C228" s="13" t="s">
        <v>92</v>
      </c>
      <c r="D228" s="19">
        <f t="shared" si="98"/>
        <v>0</v>
      </c>
      <c r="E228" s="19">
        <f t="shared" ref="E228:O228" si="113">E229+E230+E231+E232</f>
        <v>0</v>
      </c>
      <c r="F228" s="19">
        <f>F229+F230+F231+F232</f>
        <v>0</v>
      </c>
      <c r="G228" s="19">
        <f t="shared" si="113"/>
        <v>0</v>
      </c>
      <c r="H228" s="19">
        <f t="shared" si="113"/>
        <v>0</v>
      </c>
      <c r="I228" s="19">
        <f t="shared" si="113"/>
        <v>0</v>
      </c>
      <c r="J228" s="19">
        <f t="shared" si="113"/>
        <v>0</v>
      </c>
      <c r="K228" s="19">
        <f t="shared" si="113"/>
        <v>0</v>
      </c>
      <c r="L228" s="19">
        <f t="shared" si="113"/>
        <v>0</v>
      </c>
      <c r="M228" s="19">
        <f t="shared" si="113"/>
        <v>0</v>
      </c>
      <c r="N228" s="19">
        <f t="shared" si="113"/>
        <v>0</v>
      </c>
      <c r="O228" s="19">
        <f t="shared" si="113"/>
        <v>0</v>
      </c>
      <c r="P228" s="19">
        <f t="shared" ref="P228" si="114">P229+P230+P231+P232</f>
        <v>0</v>
      </c>
    </row>
    <row r="229" spans="1:16" ht="16.5" hidden="1" customHeight="1" x14ac:dyDescent="0.2">
      <c r="A229" s="37"/>
      <c r="B229" s="42"/>
      <c r="C229" s="13" t="s">
        <v>1</v>
      </c>
      <c r="D229" s="19">
        <f t="shared" si="98"/>
        <v>0</v>
      </c>
      <c r="E229" s="2">
        <v>0</v>
      </c>
      <c r="F229" s="2">
        <v>0</v>
      </c>
      <c r="G229" s="2">
        <v>0</v>
      </c>
      <c r="H229" s="2">
        <v>0</v>
      </c>
      <c r="I229" s="2">
        <v>0</v>
      </c>
      <c r="J229" s="2">
        <v>0</v>
      </c>
      <c r="K229" s="2">
        <v>0</v>
      </c>
      <c r="L229" s="2">
        <v>0</v>
      </c>
      <c r="M229" s="2">
        <v>0</v>
      </c>
      <c r="N229" s="2">
        <v>0</v>
      </c>
      <c r="O229" s="2">
        <v>0</v>
      </c>
      <c r="P229" s="2">
        <v>0</v>
      </c>
    </row>
    <row r="230" spans="1:16" ht="16.5" hidden="1" customHeight="1" x14ac:dyDescent="0.2">
      <c r="A230" s="37"/>
      <c r="B230" s="42"/>
      <c r="C230" s="13" t="s">
        <v>2</v>
      </c>
      <c r="D230" s="19">
        <f t="shared" si="98"/>
        <v>0</v>
      </c>
      <c r="E230" s="2">
        <v>0</v>
      </c>
      <c r="F230" s="2">
        <v>0</v>
      </c>
      <c r="G230" s="2">
        <v>0</v>
      </c>
      <c r="H230" s="2">
        <v>0</v>
      </c>
      <c r="I230" s="2">
        <v>0</v>
      </c>
      <c r="J230" s="2">
        <v>0</v>
      </c>
      <c r="K230" s="2">
        <v>0</v>
      </c>
      <c r="L230" s="2">
        <v>0</v>
      </c>
      <c r="M230" s="2">
        <v>0</v>
      </c>
      <c r="N230" s="2">
        <v>0</v>
      </c>
      <c r="O230" s="2">
        <v>0</v>
      </c>
      <c r="P230" s="2">
        <v>0</v>
      </c>
    </row>
    <row r="231" spans="1:16" ht="16.5" hidden="1" customHeight="1" x14ac:dyDescent="0.2">
      <c r="A231" s="37"/>
      <c r="B231" s="42"/>
      <c r="C231" s="13" t="s">
        <v>3</v>
      </c>
      <c r="D231" s="19">
        <f t="shared" si="98"/>
        <v>0</v>
      </c>
      <c r="E231" s="2">
        <v>0</v>
      </c>
      <c r="F231" s="2">
        <v>0</v>
      </c>
      <c r="G231" s="2">
        <v>0</v>
      </c>
      <c r="H231" s="2">
        <v>0</v>
      </c>
      <c r="I231" s="2">
        <v>0</v>
      </c>
      <c r="J231" s="2">
        <v>0</v>
      </c>
      <c r="K231" s="2">
        <v>0</v>
      </c>
      <c r="L231" s="2">
        <f>9196.4-1500-221.5-1214.5-505.7-3981.1-1493.4+7839.1-198.3-321.9-15-108.7-7475.4</f>
        <v>0</v>
      </c>
      <c r="M231" s="2">
        <f>10296.9-6049-4247.9</f>
        <v>0</v>
      </c>
      <c r="N231" s="2">
        <v>0</v>
      </c>
      <c r="O231" s="2">
        <v>0</v>
      </c>
      <c r="P231" s="2">
        <v>0</v>
      </c>
    </row>
    <row r="232" spans="1:16" ht="16.5" hidden="1" customHeight="1" x14ac:dyDescent="0.2">
      <c r="A232" s="37"/>
      <c r="B232" s="43"/>
      <c r="C232" s="13" t="s">
        <v>4</v>
      </c>
      <c r="D232" s="19">
        <f t="shared" si="98"/>
        <v>0</v>
      </c>
      <c r="E232" s="2">
        <v>0</v>
      </c>
      <c r="F232" s="2">
        <v>0</v>
      </c>
      <c r="G232" s="2">
        <v>0</v>
      </c>
      <c r="H232" s="2">
        <v>0</v>
      </c>
      <c r="I232" s="2">
        <v>0</v>
      </c>
      <c r="J232" s="2">
        <v>0</v>
      </c>
      <c r="K232" s="2">
        <v>0</v>
      </c>
      <c r="L232" s="2">
        <v>0</v>
      </c>
      <c r="M232" s="2">
        <v>0</v>
      </c>
      <c r="N232" s="2">
        <v>0</v>
      </c>
      <c r="O232" s="2">
        <v>0</v>
      </c>
      <c r="P232" s="2">
        <v>0</v>
      </c>
    </row>
    <row r="233" spans="1:16" ht="51" hidden="1" customHeight="1" x14ac:dyDescent="0.2">
      <c r="A233" s="37" t="s">
        <v>126</v>
      </c>
      <c r="B233" s="41" t="s">
        <v>129</v>
      </c>
      <c r="C233" s="13" t="s">
        <v>92</v>
      </c>
      <c r="D233" s="19">
        <f t="shared" si="98"/>
        <v>0</v>
      </c>
      <c r="E233" s="19">
        <f t="shared" ref="E233:O233" si="115">E234+E235+E236+E237</f>
        <v>0</v>
      </c>
      <c r="F233" s="19">
        <f>F234+F235+F236+F237</f>
        <v>0</v>
      </c>
      <c r="G233" s="19">
        <f t="shared" si="115"/>
        <v>0</v>
      </c>
      <c r="H233" s="19">
        <f t="shared" si="115"/>
        <v>0</v>
      </c>
      <c r="I233" s="19">
        <f t="shared" si="115"/>
        <v>0</v>
      </c>
      <c r="J233" s="19">
        <f t="shared" si="115"/>
        <v>0</v>
      </c>
      <c r="K233" s="19">
        <f t="shared" si="115"/>
        <v>0</v>
      </c>
      <c r="L233" s="19">
        <f t="shared" si="115"/>
        <v>0</v>
      </c>
      <c r="M233" s="19">
        <f t="shared" si="115"/>
        <v>0</v>
      </c>
      <c r="N233" s="19">
        <f t="shared" si="115"/>
        <v>0</v>
      </c>
      <c r="O233" s="19">
        <f t="shared" si="115"/>
        <v>0</v>
      </c>
      <c r="P233" s="19">
        <f t="shared" ref="P233" si="116">P234+P235+P236+P237</f>
        <v>0</v>
      </c>
    </row>
    <row r="234" spans="1:16" ht="16.5" hidden="1" customHeight="1" x14ac:dyDescent="0.2">
      <c r="A234" s="37"/>
      <c r="B234" s="42"/>
      <c r="C234" s="13" t="s">
        <v>1</v>
      </c>
      <c r="D234" s="19">
        <f t="shared" si="98"/>
        <v>0</v>
      </c>
      <c r="E234" s="2">
        <v>0</v>
      </c>
      <c r="F234" s="2">
        <v>0</v>
      </c>
      <c r="G234" s="2">
        <v>0</v>
      </c>
      <c r="H234" s="2">
        <v>0</v>
      </c>
      <c r="I234" s="2">
        <v>0</v>
      </c>
      <c r="J234" s="2">
        <v>0</v>
      </c>
      <c r="K234" s="2">
        <v>0</v>
      </c>
      <c r="L234" s="2">
        <v>0</v>
      </c>
      <c r="M234" s="2">
        <v>0</v>
      </c>
      <c r="N234" s="2">
        <v>0</v>
      </c>
      <c r="O234" s="2">
        <v>0</v>
      </c>
      <c r="P234" s="2">
        <v>0</v>
      </c>
    </row>
    <row r="235" spans="1:16" ht="16.5" hidden="1" customHeight="1" x14ac:dyDescent="0.2">
      <c r="A235" s="37"/>
      <c r="B235" s="42"/>
      <c r="C235" s="13" t="s">
        <v>2</v>
      </c>
      <c r="D235" s="19">
        <f t="shared" si="98"/>
        <v>0</v>
      </c>
      <c r="E235" s="2">
        <v>0</v>
      </c>
      <c r="F235" s="2">
        <v>0</v>
      </c>
      <c r="G235" s="2">
        <v>0</v>
      </c>
      <c r="H235" s="2">
        <v>0</v>
      </c>
      <c r="I235" s="2">
        <v>0</v>
      </c>
      <c r="J235" s="2">
        <v>0</v>
      </c>
      <c r="K235" s="2">
        <v>0</v>
      </c>
      <c r="L235" s="2">
        <v>0</v>
      </c>
      <c r="M235" s="2">
        <v>0</v>
      </c>
      <c r="N235" s="2">
        <v>0</v>
      </c>
      <c r="O235" s="2">
        <v>0</v>
      </c>
      <c r="P235" s="2">
        <v>0</v>
      </c>
    </row>
    <row r="236" spans="1:16" ht="16.5" hidden="1" customHeight="1" x14ac:dyDescent="0.2">
      <c r="A236" s="37"/>
      <c r="B236" s="42"/>
      <c r="C236" s="13" t="s">
        <v>3</v>
      </c>
      <c r="D236" s="19">
        <f t="shared" si="98"/>
        <v>0</v>
      </c>
      <c r="E236" s="2">
        <v>0</v>
      </c>
      <c r="F236" s="2">
        <v>0</v>
      </c>
      <c r="G236" s="2">
        <v>0</v>
      </c>
      <c r="H236" s="2">
        <v>0</v>
      </c>
      <c r="I236" s="2">
        <v>0</v>
      </c>
      <c r="J236" s="2">
        <v>0</v>
      </c>
      <c r="K236" s="2">
        <v>0</v>
      </c>
      <c r="L236" s="2">
        <f>11198.7-7839.1-3359.6</f>
        <v>0</v>
      </c>
      <c r="M236" s="2">
        <f>2000+5839.1-7839.1</f>
        <v>0</v>
      </c>
      <c r="N236" s="2">
        <f>2000-2000</f>
        <v>0</v>
      </c>
      <c r="O236" s="2">
        <v>0</v>
      </c>
      <c r="P236" s="2">
        <v>0</v>
      </c>
    </row>
    <row r="237" spans="1:16" ht="16.5" hidden="1" customHeight="1" x14ac:dyDescent="0.2">
      <c r="A237" s="37"/>
      <c r="B237" s="43"/>
      <c r="C237" s="13" t="s">
        <v>4</v>
      </c>
      <c r="D237" s="19">
        <f t="shared" si="98"/>
        <v>0</v>
      </c>
      <c r="E237" s="2">
        <v>0</v>
      </c>
      <c r="F237" s="2">
        <v>0</v>
      </c>
      <c r="G237" s="2">
        <v>0</v>
      </c>
      <c r="H237" s="2">
        <v>0</v>
      </c>
      <c r="I237" s="2">
        <v>0</v>
      </c>
      <c r="J237" s="2">
        <v>0</v>
      </c>
      <c r="K237" s="2">
        <v>0</v>
      </c>
      <c r="L237" s="2">
        <v>0</v>
      </c>
      <c r="M237" s="2">
        <v>0</v>
      </c>
      <c r="N237" s="2">
        <v>0</v>
      </c>
      <c r="O237" s="2">
        <v>0</v>
      </c>
      <c r="P237" s="2">
        <v>0</v>
      </c>
    </row>
    <row r="238" spans="1:16" s="29" customFormat="1" ht="58.15" hidden="1" customHeight="1" x14ac:dyDescent="0.2">
      <c r="A238" s="59" t="s">
        <v>128</v>
      </c>
      <c r="B238" s="60" t="s">
        <v>130</v>
      </c>
      <c r="C238" s="27" t="s">
        <v>92</v>
      </c>
      <c r="D238" s="19">
        <f t="shared" si="98"/>
        <v>0</v>
      </c>
      <c r="E238" s="28">
        <f t="shared" ref="E238:O238" si="117">E239+E240+E241+E242</f>
        <v>0</v>
      </c>
      <c r="F238" s="28">
        <f t="shared" si="117"/>
        <v>0</v>
      </c>
      <c r="G238" s="28">
        <f t="shared" si="117"/>
        <v>0</v>
      </c>
      <c r="H238" s="28">
        <f t="shared" si="117"/>
        <v>0</v>
      </c>
      <c r="I238" s="28">
        <f t="shared" si="117"/>
        <v>0</v>
      </c>
      <c r="J238" s="28">
        <f t="shared" si="117"/>
        <v>0</v>
      </c>
      <c r="K238" s="28">
        <f t="shared" si="117"/>
        <v>0</v>
      </c>
      <c r="L238" s="28">
        <f t="shared" si="117"/>
        <v>0</v>
      </c>
      <c r="M238" s="19">
        <f t="shared" si="117"/>
        <v>0</v>
      </c>
      <c r="N238" s="28">
        <f t="shared" si="117"/>
        <v>0</v>
      </c>
      <c r="O238" s="28">
        <f t="shared" si="117"/>
        <v>0</v>
      </c>
      <c r="P238" s="28">
        <f t="shared" ref="P238" si="118">P239+P240+P241+P242</f>
        <v>0</v>
      </c>
    </row>
    <row r="239" spans="1:16" s="29" customFormat="1" ht="16.5" hidden="1" customHeight="1" x14ac:dyDescent="0.2">
      <c r="A239" s="59"/>
      <c r="B239" s="61"/>
      <c r="C239" s="27" t="s">
        <v>1</v>
      </c>
      <c r="D239" s="19">
        <f t="shared" si="98"/>
        <v>0</v>
      </c>
      <c r="E239" s="30">
        <v>0</v>
      </c>
      <c r="F239" s="30">
        <v>0</v>
      </c>
      <c r="G239" s="30">
        <v>0</v>
      </c>
      <c r="H239" s="30">
        <v>0</v>
      </c>
      <c r="I239" s="30">
        <v>0</v>
      </c>
      <c r="J239" s="30">
        <v>0</v>
      </c>
      <c r="K239" s="30">
        <v>0</v>
      </c>
      <c r="L239" s="30">
        <v>0</v>
      </c>
      <c r="M239" s="2">
        <v>0</v>
      </c>
      <c r="N239" s="30">
        <v>0</v>
      </c>
      <c r="O239" s="30">
        <v>0</v>
      </c>
      <c r="P239" s="30">
        <v>0</v>
      </c>
    </row>
    <row r="240" spans="1:16" s="29" customFormat="1" ht="16.5" hidden="1" customHeight="1" x14ac:dyDescent="0.2">
      <c r="A240" s="59"/>
      <c r="B240" s="61"/>
      <c r="C240" s="27" t="s">
        <v>2</v>
      </c>
      <c r="D240" s="19">
        <f t="shared" si="98"/>
        <v>0</v>
      </c>
      <c r="E240" s="30">
        <v>0</v>
      </c>
      <c r="F240" s="30">
        <v>0</v>
      </c>
      <c r="G240" s="30">
        <v>0</v>
      </c>
      <c r="H240" s="30">
        <v>0</v>
      </c>
      <c r="I240" s="30">
        <v>0</v>
      </c>
      <c r="J240" s="30">
        <v>0</v>
      </c>
      <c r="K240" s="30">
        <v>0</v>
      </c>
      <c r="L240" s="30">
        <v>0</v>
      </c>
      <c r="M240" s="2">
        <v>0</v>
      </c>
      <c r="N240" s="30">
        <v>0</v>
      </c>
      <c r="O240" s="30">
        <v>0</v>
      </c>
      <c r="P240" s="30">
        <v>0</v>
      </c>
    </row>
    <row r="241" spans="1:16" s="29" customFormat="1" ht="16.5" hidden="1" customHeight="1" x14ac:dyDescent="0.2">
      <c r="A241" s="59"/>
      <c r="B241" s="61"/>
      <c r="C241" s="27" t="s">
        <v>3</v>
      </c>
      <c r="D241" s="19">
        <f t="shared" si="98"/>
        <v>0</v>
      </c>
      <c r="E241" s="30">
        <v>0</v>
      </c>
      <c r="F241" s="30">
        <v>0</v>
      </c>
      <c r="G241" s="30">
        <v>0</v>
      </c>
      <c r="H241" s="30">
        <v>0</v>
      </c>
      <c r="I241" s="30">
        <v>0</v>
      </c>
      <c r="J241" s="30">
        <v>0</v>
      </c>
      <c r="K241" s="30">
        <v>0</v>
      </c>
      <c r="L241" s="30">
        <f>11056-11056</f>
        <v>0</v>
      </c>
      <c r="M241" s="2">
        <f>14348-5839.1-6462.9+7839.1-9885.1</f>
        <v>0</v>
      </c>
      <c r="N241" s="30">
        <f>3000-3000</f>
        <v>0</v>
      </c>
      <c r="O241" s="30">
        <v>0</v>
      </c>
      <c r="P241" s="30">
        <v>0</v>
      </c>
    </row>
    <row r="242" spans="1:16" s="29" customFormat="1" ht="23.45" hidden="1" customHeight="1" x14ac:dyDescent="0.2">
      <c r="A242" s="59"/>
      <c r="B242" s="62"/>
      <c r="C242" s="27" t="s">
        <v>4</v>
      </c>
      <c r="D242" s="19">
        <f t="shared" si="98"/>
        <v>0</v>
      </c>
      <c r="E242" s="30">
        <v>0</v>
      </c>
      <c r="F242" s="30">
        <v>0</v>
      </c>
      <c r="G242" s="30">
        <v>0</v>
      </c>
      <c r="H242" s="30">
        <v>0</v>
      </c>
      <c r="I242" s="30">
        <v>0</v>
      </c>
      <c r="J242" s="30">
        <v>0</v>
      </c>
      <c r="K242" s="30">
        <v>0</v>
      </c>
      <c r="L242" s="30">
        <v>0</v>
      </c>
      <c r="M242" s="2">
        <v>0</v>
      </c>
      <c r="N242" s="30">
        <v>0</v>
      </c>
      <c r="O242" s="30">
        <v>0</v>
      </c>
      <c r="P242" s="30">
        <v>0</v>
      </c>
    </row>
    <row r="243" spans="1:16" ht="23.45" customHeight="1" x14ac:dyDescent="0.2">
      <c r="A243" s="37" t="s">
        <v>151</v>
      </c>
      <c r="B243" s="41" t="s">
        <v>133</v>
      </c>
      <c r="C243" s="13" t="s">
        <v>92</v>
      </c>
      <c r="D243" s="19">
        <f t="shared" si="98"/>
        <v>1291.5999999999999</v>
      </c>
      <c r="E243" s="19">
        <f t="shared" ref="E243:O243" si="119">E244+E245+E246+E247</f>
        <v>0</v>
      </c>
      <c r="F243" s="19">
        <f t="shared" si="119"/>
        <v>0</v>
      </c>
      <c r="G243" s="19">
        <f t="shared" si="119"/>
        <v>0</v>
      </c>
      <c r="H243" s="19">
        <f t="shared" si="119"/>
        <v>0</v>
      </c>
      <c r="I243" s="19">
        <f t="shared" si="119"/>
        <v>0</v>
      </c>
      <c r="J243" s="19">
        <f t="shared" si="119"/>
        <v>0</v>
      </c>
      <c r="K243" s="19">
        <f t="shared" si="119"/>
        <v>0</v>
      </c>
      <c r="L243" s="19">
        <f t="shared" si="119"/>
        <v>1291.5999999999999</v>
      </c>
      <c r="M243" s="19">
        <f t="shared" si="119"/>
        <v>0</v>
      </c>
      <c r="N243" s="19">
        <f t="shared" si="119"/>
        <v>0</v>
      </c>
      <c r="O243" s="19">
        <f t="shared" si="119"/>
        <v>0</v>
      </c>
      <c r="P243" s="19">
        <f t="shared" ref="P243" si="120">P244+P245+P246+P247</f>
        <v>0</v>
      </c>
    </row>
    <row r="244" spans="1:16" ht="23.45" customHeight="1" x14ac:dyDescent="0.2">
      <c r="A244" s="37"/>
      <c r="B244" s="42"/>
      <c r="C244" s="13" t="s">
        <v>1</v>
      </c>
      <c r="D244" s="19">
        <f t="shared" si="98"/>
        <v>0</v>
      </c>
      <c r="E244" s="2">
        <v>0</v>
      </c>
      <c r="F244" s="2">
        <v>0</v>
      </c>
      <c r="G244" s="2">
        <v>0</v>
      </c>
      <c r="H244" s="2">
        <v>0</v>
      </c>
      <c r="I244" s="2">
        <v>0</v>
      </c>
      <c r="J244" s="2">
        <v>0</v>
      </c>
      <c r="K244" s="2">
        <v>0</v>
      </c>
      <c r="L244" s="2">
        <v>0</v>
      </c>
      <c r="M244" s="2">
        <v>0</v>
      </c>
      <c r="N244" s="2">
        <v>0</v>
      </c>
      <c r="O244" s="2">
        <v>0</v>
      </c>
      <c r="P244" s="2">
        <v>0</v>
      </c>
    </row>
    <row r="245" spans="1:16" ht="23.45" customHeight="1" x14ac:dyDescent="0.2">
      <c r="A245" s="37"/>
      <c r="B245" s="42"/>
      <c r="C245" s="13" t="s">
        <v>2</v>
      </c>
      <c r="D245" s="19">
        <f t="shared" si="98"/>
        <v>0</v>
      </c>
      <c r="E245" s="2">
        <v>0</v>
      </c>
      <c r="F245" s="2">
        <v>0</v>
      </c>
      <c r="G245" s="2">
        <v>0</v>
      </c>
      <c r="H245" s="2">
        <v>0</v>
      </c>
      <c r="I245" s="2">
        <v>0</v>
      </c>
      <c r="J245" s="2">
        <v>0</v>
      </c>
      <c r="K245" s="2">
        <v>0</v>
      </c>
      <c r="L245" s="2">
        <v>0</v>
      </c>
      <c r="M245" s="2">
        <v>0</v>
      </c>
      <c r="N245" s="2">
        <v>0</v>
      </c>
      <c r="O245" s="2">
        <v>0</v>
      </c>
      <c r="P245" s="2">
        <v>0</v>
      </c>
    </row>
    <row r="246" spans="1:16" ht="23.45" customHeight="1" x14ac:dyDescent="0.2">
      <c r="A246" s="37"/>
      <c r="B246" s="42"/>
      <c r="C246" s="13" t="s">
        <v>3</v>
      </c>
      <c r="D246" s="19">
        <f t="shared" si="98"/>
        <v>1291.5999999999999</v>
      </c>
      <c r="E246" s="2">
        <v>0</v>
      </c>
      <c r="F246" s="2">
        <v>0</v>
      </c>
      <c r="G246" s="2">
        <v>0</v>
      </c>
      <c r="H246" s="2">
        <v>0</v>
      </c>
      <c r="I246" s="2">
        <v>0</v>
      </c>
      <c r="J246" s="2">
        <v>0</v>
      </c>
      <c r="K246" s="2">
        <v>0</v>
      </c>
      <c r="L246" s="2">
        <v>1291.5999999999999</v>
      </c>
      <c r="M246" s="2">
        <v>0</v>
      </c>
      <c r="N246" s="2">
        <v>0</v>
      </c>
      <c r="O246" s="2">
        <v>0</v>
      </c>
      <c r="P246" s="2">
        <v>0</v>
      </c>
    </row>
    <row r="247" spans="1:16" ht="23.45" customHeight="1" x14ac:dyDescent="0.2">
      <c r="A247" s="37"/>
      <c r="B247" s="43"/>
      <c r="C247" s="13" t="s">
        <v>4</v>
      </c>
      <c r="D247" s="19">
        <f t="shared" si="98"/>
        <v>0</v>
      </c>
      <c r="E247" s="2">
        <v>0</v>
      </c>
      <c r="F247" s="2">
        <v>0</v>
      </c>
      <c r="G247" s="2">
        <v>0</v>
      </c>
      <c r="H247" s="2">
        <v>0</v>
      </c>
      <c r="I247" s="2">
        <v>0</v>
      </c>
      <c r="J247" s="2">
        <v>0</v>
      </c>
      <c r="K247" s="2">
        <v>0</v>
      </c>
      <c r="L247" s="2">
        <v>0</v>
      </c>
      <c r="M247" s="2">
        <v>0</v>
      </c>
      <c r="N247" s="2">
        <v>0</v>
      </c>
      <c r="O247" s="2">
        <v>0</v>
      </c>
      <c r="P247" s="2">
        <v>0</v>
      </c>
    </row>
    <row r="248" spans="1:16" ht="23.45" customHeight="1" x14ac:dyDescent="0.2">
      <c r="A248" s="37" t="s">
        <v>152</v>
      </c>
      <c r="B248" s="41" t="s">
        <v>134</v>
      </c>
      <c r="C248" s="13" t="s">
        <v>92</v>
      </c>
      <c r="D248" s="19">
        <f t="shared" si="98"/>
        <v>461.8</v>
      </c>
      <c r="E248" s="19">
        <f t="shared" ref="E248:O248" si="121">E249+E250+E251+E252</f>
        <v>0</v>
      </c>
      <c r="F248" s="19">
        <f t="shared" si="121"/>
        <v>0</v>
      </c>
      <c r="G248" s="19">
        <f t="shared" si="121"/>
        <v>0</v>
      </c>
      <c r="H248" s="19">
        <f t="shared" si="121"/>
        <v>0</v>
      </c>
      <c r="I248" s="19">
        <f t="shared" si="121"/>
        <v>0</v>
      </c>
      <c r="J248" s="19">
        <f t="shared" si="121"/>
        <v>0</v>
      </c>
      <c r="K248" s="19">
        <f t="shared" si="121"/>
        <v>0</v>
      </c>
      <c r="L248" s="19">
        <f t="shared" si="121"/>
        <v>15</v>
      </c>
      <c r="M248" s="19">
        <f t="shared" si="121"/>
        <v>111.7</v>
      </c>
      <c r="N248" s="19">
        <f t="shared" si="121"/>
        <v>111.7</v>
      </c>
      <c r="O248" s="19">
        <f t="shared" si="121"/>
        <v>111.7</v>
      </c>
      <c r="P248" s="19">
        <f t="shared" ref="P248" si="122">P249+P250+P251+P252</f>
        <v>111.7</v>
      </c>
    </row>
    <row r="249" spans="1:16" ht="23.45" customHeight="1" x14ac:dyDescent="0.2">
      <c r="A249" s="37"/>
      <c r="B249" s="42"/>
      <c r="C249" s="13" t="s">
        <v>1</v>
      </c>
      <c r="D249" s="19">
        <f t="shared" si="98"/>
        <v>0</v>
      </c>
      <c r="E249" s="2">
        <v>0</v>
      </c>
      <c r="F249" s="2">
        <v>0</v>
      </c>
      <c r="G249" s="2">
        <v>0</v>
      </c>
      <c r="H249" s="2">
        <v>0</v>
      </c>
      <c r="I249" s="2">
        <v>0</v>
      </c>
      <c r="J249" s="2">
        <v>0</v>
      </c>
      <c r="K249" s="2">
        <v>0</v>
      </c>
      <c r="L249" s="2">
        <v>0</v>
      </c>
      <c r="M249" s="2">
        <v>0</v>
      </c>
      <c r="N249" s="2">
        <v>0</v>
      </c>
      <c r="O249" s="2">
        <v>0</v>
      </c>
      <c r="P249" s="2">
        <v>0</v>
      </c>
    </row>
    <row r="250" spans="1:16" ht="23.45" customHeight="1" x14ac:dyDescent="0.2">
      <c r="A250" s="37"/>
      <c r="B250" s="42"/>
      <c r="C250" s="13" t="s">
        <v>2</v>
      </c>
      <c r="D250" s="19">
        <f t="shared" si="98"/>
        <v>0</v>
      </c>
      <c r="E250" s="2">
        <v>0</v>
      </c>
      <c r="F250" s="2">
        <v>0</v>
      </c>
      <c r="G250" s="2">
        <v>0</v>
      </c>
      <c r="H250" s="2">
        <v>0</v>
      </c>
      <c r="I250" s="2">
        <v>0</v>
      </c>
      <c r="J250" s="2">
        <v>0</v>
      </c>
      <c r="K250" s="2">
        <v>0</v>
      </c>
      <c r="L250" s="2">
        <v>0</v>
      </c>
      <c r="M250" s="2">
        <v>0</v>
      </c>
      <c r="N250" s="2">
        <v>0</v>
      </c>
      <c r="O250" s="2">
        <v>0</v>
      </c>
      <c r="P250" s="2">
        <v>0</v>
      </c>
    </row>
    <row r="251" spans="1:16" ht="23.45" customHeight="1" x14ac:dyDescent="0.2">
      <c r="A251" s="37"/>
      <c r="B251" s="42"/>
      <c r="C251" s="13" t="s">
        <v>3</v>
      </c>
      <c r="D251" s="19">
        <f t="shared" si="98"/>
        <v>461.8</v>
      </c>
      <c r="E251" s="2">
        <v>0</v>
      </c>
      <c r="F251" s="2">
        <v>0</v>
      </c>
      <c r="G251" s="2">
        <v>0</v>
      </c>
      <c r="H251" s="2">
        <v>0</v>
      </c>
      <c r="I251" s="2">
        <v>0</v>
      </c>
      <c r="J251" s="2">
        <v>0</v>
      </c>
      <c r="K251" s="2">
        <v>0</v>
      </c>
      <c r="L251" s="2">
        <v>15</v>
      </c>
      <c r="M251" s="2">
        <v>111.7</v>
      </c>
      <c r="N251" s="2">
        <v>111.7</v>
      </c>
      <c r="O251" s="2">
        <v>111.7</v>
      </c>
      <c r="P251" s="2">
        <v>111.7</v>
      </c>
    </row>
    <row r="252" spans="1:16" ht="23.45" customHeight="1" x14ac:dyDescent="0.2">
      <c r="A252" s="37"/>
      <c r="B252" s="43"/>
      <c r="C252" s="13" t="s">
        <v>4</v>
      </c>
      <c r="D252" s="19">
        <f t="shared" si="98"/>
        <v>0</v>
      </c>
      <c r="E252" s="2">
        <v>0</v>
      </c>
      <c r="F252" s="2">
        <v>0</v>
      </c>
      <c r="G252" s="2">
        <v>0</v>
      </c>
      <c r="H252" s="2">
        <v>0</v>
      </c>
      <c r="I252" s="2">
        <v>0</v>
      </c>
      <c r="J252" s="2">
        <v>0</v>
      </c>
      <c r="K252" s="2">
        <v>0</v>
      </c>
      <c r="L252" s="2">
        <v>0</v>
      </c>
      <c r="M252" s="2">
        <v>0</v>
      </c>
      <c r="N252" s="2">
        <v>0</v>
      </c>
      <c r="O252" s="2">
        <v>0</v>
      </c>
      <c r="P252" s="2">
        <v>0</v>
      </c>
    </row>
    <row r="253" spans="1:16" ht="23.45" customHeight="1" x14ac:dyDescent="0.2">
      <c r="A253" s="41" t="s">
        <v>153</v>
      </c>
      <c r="B253" s="44" t="s">
        <v>146</v>
      </c>
      <c r="C253" s="13" t="s">
        <v>92</v>
      </c>
      <c r="D253" s="19">
        <f t="shared" si="98"/>
        <v>435000</v>
      </c>
      <c r="E253" s="19">
        <f>E254+E255+E256+E257</f>
        <v>0</v>
      </c>
      <c r="F253" s="19">
        <f t="shared" ref="F253:O253" si="123">F254+F255+F256+F257</f>
        <v>0</v>
      </c>
      <c r="G253" s="19">
        <f t="shared" si="123"/>
        <v>0</v>
      </c>
      <c r="H253" s="19">
        <f t="shared" si="123"/>
        <v>0</v>
      </c>
      <c r="I253" s="19">
        <f t="shared" si="123"/>
        <v>0</v>
      </c>
      <c r="J253" s="19">
        <f t="shared" si="123"/>
        <v>0</v>
      </c>
      <c r="K253" s="19">
        <f t="shared" si="123"/>
        <v>0</v>
      </c>
      <c r="L253" s="19">
        <f t="shared" si="123"/>
        <v>0</v>
      </c>
      <c r="M253" s="19">
        <f t="shared" si="123"/>
        <v>435000</v>
      </c>
      <c r="N253" s="19">
        <f t="shared" si="123"/>
        <v>0</v>
      </c>
      <c r="O253" s="19">
        <f t="shared" si="123"/>
        <v>0</v>
      </c>
      <c r="P253" s="19">
        <f t="shared" ref="P253" si="124">P254+P255+P256+P257</f>
        <v>0</v>
      </c>
    </row>
    <row r="254" spans="1:16" ht="23.45" customHeight="1" x14ac:dyDescent="0.2">
      <c r="A254" s="42"/>
      <c r="B254" s="45"/>
      <c r="C254" s="13" t="s">
        <v>1</v>
      </c>
      <c r="D254" s="19">
        <f t="shared" si="98"/>
        <v>0</v>
      </c>
      <c r="E254" s="2">
        <v>0</v>
      </c>
      <c r="F254" s="2">
        <v>0</v>
      </c>
      <c r="G254" s="2">
        <v>0</v>
      </c>
      <c r="H254" s="2">
        <v>0</v>
      </c>
      <c r="I254" s="2">
        <v>0</v>
      </c>
      <c r="J254" s="2">
        <v>0</v>
      </c>
      <c r="K254" s="2">
        <v>0</v>
      </c>
      <c r="L254" s="2">
        <v>0</v>
      </c>
      <c r="M254" s="2">
        <v>0</v>
      </c>
      <c r="N254" s="2">
        <v>0</v>
      </c>
      <c r="O254" s="2">
        <v>0</v>
      </c>
      <c r="P254" s="2">
        <v>0</v>
      </c>
    </row>
    <row r="255" spans="1:16" ht="23.45" customHeight="1" x14ac:dyDescent="0.2">
      <c r="A255" s="42"/>
      <c r="B255" s="45"/>
      <c r="C255" s="13" t="s">
        <v>2</v>
      </c>
      <c r="D255" s="19">
        <f t="shared" si="98"/>
        <v>435000</v>
      </c>
      <c r="E255" s="2">
        <v>0</v>
      </c>
      <c r="F255" s="2">
        <v>0</v>
      </c>
      <c r="G255" s="2">
        <v>0</v>
      </c>
      <c r="H255" s="2">
        <v>0</v>
      </c>
      <c r="I255" s="2">
        <v>0</v>
      </c>
      <c r="J255" s="2">
        <v>0</v>
      </c>
      <c r="K255" s="2">
        <v>0</v>
      </c>
      <c r="L255" s="2">
        <v>0</v>
      </c>
      <c r="M255" s="2">
        <v>435000</v>
      </c>
      <c r="N255" s="2">
        <v>0</v>
      </c>
      <c r="O255" s="2">
        <v>0</v>
      </c>
      <c r="P255" s="2">
        <v>0</v>
      </c>
    </row>
    <row r="256" spans="1:16" ht="23.45" customHeight="1" x14ac:dyDescent="0.2">
      <c r="A256" s="42"/>
      <c r="B256" s="45"/>
      <c r="C256" s="13" t="s">
        <v>3</v>
      </c>
      <c r="D256" s="19">
        <f t="shared" ref="D256:D262" si="125">E256+F256+G256+H256+I256+J256+K256+L256+M256+N256+O256+P256</f>
        <v>0</v>
      </c>
      <c r="E256" s="2">
        <v>0</v>
      </c>
      <c r="F256" s="2">
        <v>0</v>
      </c>
      <c r="G256" s="2">
        <v>0</v>
      </c>
      <c r="H256" s="2">
        <v>0</v>
      </c>
      <c r="I256" s="2">
        <v>0</v>
      </c>
      <c r="J256" s="2">
        <v>0</v>
      </c>
      <c r="K256" s="2">
        <v>0</v>
      </c>
      <c r="L256" s="2">
        <v>0</v>
      </c>
      <c r="M256" s="2">
        <v>0</v>
      </c>
      <c r="N256" s="2">
        <v>0</v>
      </c>
      <c r="O256" s="2">
        <v>0</v>
      </c>
      <c r="P256" s="2">
        <v>0</v>
      </c>
    </row>
    <row r="257" spans="1:16" ht="23.45" customHeight="1" x14ac:dyDescent="0.2">
      <c r="A257" s="43"/>
      <c r="B257" s="46"/>
      <c r="C257" s="13" t="s">
        <v>4</v>
      </c>
      <c r="D257" s="19">
        <f t="shared" si="125"/>
        <v>0</v>
      </c>
      <c r="E257" s="2">
        <v>0</v>
      </c>
      <c r="F257" s="2">
        <v>0</v>
      </c>
      <c r="G257" s="2">
        <v>0</v>
      </c>
      <c r="H257" s="2">
        <v>0</v>
      </c>
      <c r="I257" s="2">
        <v>0</v>
      </c>
      <c r="J257" s="2">
        <v>0</v>
      </c>
      <c r="K257" s="2">
        <v>0</v>
      </c>
      <c r="L257" s="2">
        <v>0</v>
      </c>
      <c r="M257" s="2">
        <v>0</v>
      </c>
      <c r="N257" s="2">
        <v>0</v>
      </c>
      <c r="O257" s="2">
        <v>0</v>
      </c>
      <c r="P257" s="2">
        <v>0</v>
      </c>
    </row>
    <row r="258" spans="1:16" ht="23.45" customHeight="1" x14ac:dyDescent="0.2">
      <c r="A258" s="41" t="s">
        <v>157</v>
      </c>
      <c r="B258" s="44" t="s">
        <v>158</v>
      </c>
      <c r="C258" s="13" t="s">
        <v>92</v>
      </c>
      <c r="D258" s="19">
        <f t="shared" si="125"/>
        <v>22340.400000000001</v>
      </c>
      <c r="E258" s="19">
        <f>E259+E260+E261+E262</f>
        <v>0</v>
      </c>
      <c r="F258" s="19">
        <f t="shared" ref="F258:P258" si="126">F259+F260+F261+F262</f>
        <v>0</v>
      </c>
      <c r="G258" s="19">
        <f t="shared" si="126"/>
        <v>0</v>
      </c>
      <c r="H258" s="19">
        <f t="shared" si="126"/>
        <v>0</v>
      </c>
      <c r="I258" s="19">
        <f t="shared" si="126"/>
        <v>0</v>
      </c>
      <c r="J258" s="19">
        <f t="shared" si="126"/>
        <v>0</v>
      </c>
      <c r="K258" s="19">
        <f t="shared" si="126"/>
        <v>0</v>
      </c>
      <c r="L258" s="19">
        <f t="shared" si="126"/>
        <v>0</v>
      </c>
      <c r="M258" s="19">
        <f t="shared" si="126"/>
        <v>0</v>
      </c>
      <c r="N258" s="19">
        <f t="shared" si="126"/>
        <v>22340.400000000001</v>
      </c>
      <c r="O258" s="19">
        <f t="shared" si="126"/>
        <v>0</v>
      </c>
      <c r="P258" s="19">
        <f t="shared" si="126"/>
        <v>0</v>
      </c>
    </row>
    <row r="259" spans="1:16" ht="23.45" customHeight="1" x14ac:dyDescent="0.2">
      <c r="A259" s="42"/>
      <c r="B259" s="45"/>
      <c r="C259" s="13" t="s">
        <v>1</v>
      </c>
      <c r="D259" s="19">
        <f t="shared" si="125"/>
        <v>0</v>
      </c>
      <c r="E259" s="2">
        <v>0</v>
      </c>
      <c r="F259" s="2">
        <v>0</v>
      </c>
      <c r="G259" s="2">
        <v>0</v>
      </c>
      <c r="H259" s="2">
        <v>0</v>
      </c>
      <c r="I259" s="2">
        <v>0</v>
      </c>
      <c r="J259" s="2">
        <v>0</v>
      </c>
      <c r="K259" s="2">
        <v>0</v>
      </c>
      <c r="L259" s="2">
        <v>0</v>
      </c>
      <c r="M259" s="2">
        <v>0</v>
      </c>
      <c r="N259" s="2">
        <v>0</v>
      </c>
      <c r="O259" s="2">
        <v>0</v>
      </c>
      <c r="P259" s="2">
        <v>0</v>
      </c>
    </row>
    <row r="260" spans="1:16" ht="23.45" customHeight="1" x14ac:dyDescent="0.2">
      <c r="A260" s="42"/>
      <c r="B260" s="45"/>
      <c r="C260" s="13" t="s">
        <v>2</v>
      </c>
      <c r="D260" s="19">
        <f t="shared" si="125"/>
        <v>21000</v>
      </c>
      <c r="E260" s="2">
        <v>0</v>
      </c>
      <c r="F260" s="2">
        <v>0</v>
      </c>
      <c r="G260" s="2">
        <v>0</v>
      </c>
      <c r="H260" s="2">
        <v>0</v>
      </c>
      <c r="I260" s="2">
        <v>0</v>
      </c>
      <c r="J260" s="2">
        <v>0</v>
      </c>
      <c r="K260" s="2">
        <v>0</v>
      </c>
      <c r="L260" s="2">
        <v>0</v>
      </c>
      <c r="M260" s="2">
        <v>0</v>
      </c>
      <c r="N260" s="2">
        <v>21000</v>
      </c>
      <c r="O260" s="2">
        <v>0</v>
      </c>
      <c r="P260" s="2">
        <v>0</v>
      </c>
    </row>
    <row r="261" spans="1:16" ht="23.45" customHeight="1" x14ac:dyDescent="0.2">
      <c r="A261" s="42"/>
      <c r="B261" s="45"/>
      <c r="C261" s="13" t="s">
        <v>3</v>
      </c>
      <c r="D261" s="19">
        <f t="shared" si="125"/>
        <v>1340.4</v>
      </c>
      <c r="E261" s="2">
        <v>0</v>
      </c>
      <c r="F261" s="2">
        <v>0</v>
      </c>
      <c r="G261" s="2">
        <v>0</v>
      </c>
      <c r="H261" s="2">
        <v>0</v>
      </c>
      <c r="I261" s="2">
        <v>0</v>
      </c>
      <c r="J261" s="2">
        <v>0</v>
      </c>
      <c r="K261" s="2">
        <v>0</v>
      </c>
      <c r="L261" s="2">
        <v>0</v>
      </c>
      <c r="M261" s="2">
        <v>0</v>
      </c>
      <c r="N261" s="2">
        <v>1340.4</v>
      </c>
      <c r="O261" s="2">
        <v>0</v>
      </c>
      <c r="P261" s="2">
        <v>0</v>
      </c>
    </row>
    <row r="262" spans="1:16" ht="23.45" customHeight="1" x14ac:dyDescent="0.2">
      <c r="A262" s="43"/>
      <c r="B262" s="46"/>
      <c r="C262" s="13" t="s">
        <v>4</v>
      </c>
      <c r="D262" s="19">
        <f t="shared" si="125"/>
        <v>0</v>
      </c>
      <c r="E262" s="2">
        <v>0</v>
      </c>
      <c r="F262" s="2">
        <v>0</v>
      </c>
      <c r="G262" s="2">
        <v>0</v>
      </c>
      <c r="H262" s="2">
        <v>0</v>
      </c>
      <c r="I262" s="2">
        <v>0</v>
      </c>
      <c r="J262" s="2">
        <v>0</v>
      </c>
      <c r="K262" s="2">
        <v>0</v>
      </c>
      <c r="L262" s="2">
        <v>0</v>
      </c>
      <c r="M262" s="2">
        <v>0</v>
      </c>
      <c r="N262" s="2">
        <v>0</v>
      </c>
      <c r="O262" s="2">
        <v>0</v>
      </c>
      <c r="P262" s="2">
        <v>0</v>
      </c>
    </row>
    <row r="263" spans="1:16" ht="23.45" customHeight="1" x14ac:dyDescent="0.2">
      <c r="A263" s="41" t="s">
        <v>161</v>
      </c>
      <c r="B263" s="44" t="s">
        <v>162</v>
      </c>
      <c r="C263" s="13" t="s">
        <v>92</v>
      </c>
      <c r="D263" s="19">
        <f t="shared" ref="D263:D267" si="127">E263+F263+G263+H263+I263+J263+K263+L263+M263+N263+O263+P263</f>
        <v>30400</v>
      </c>
      <c r="E263" s="19">
        <f>E264+E265+E266+E267</f>
        <v>0</v>
      </c>
      <c r="F263" s="19">
        <f t="shared" ref="F263:P263" si="128">F264+F265+F266+F267</f>
        <v>0</v>
      </c>
      <c r="G263" s="19">
        <f t="shared" si="128"/>
        <v>0</v>
      </c>
      <c r="H263" s="19">
        <f t="shared" si="128"/>
        <v>0</v>
      </c>
      <c r="I263" s="19">
        <f t="shared" si="128"/>
        <v>0</v>
      </c>
      <c r="J263" s="19">
        <f t="shared" si="128"/>
        <v>0</v>
      </c>
      <c r="K263" s="19">
        <f t="shared" si="128"/>
        <v>0</v>
      </c>
      <c r="L263" s="19">
        <f t="shared" si="128"/>
        <v>0</v>
      </c>
      <c r="M263" s="19">
        <f t="shared" si="128"/>
        <v>30400</v>
      </c>
      <c r="N263" s="19">
        <f t="shared" si="128"/>
        <v>0</v>
      </c>
      <c r="O263" s="19">
        <f t="shared" si="128"/>
        <v>0</v>
      </c>
      <c r="P263" s="19">
        <f t="shared" si="128"/>
        <v>0</v>
      </c>
    </row>
    <row r="264" spans="1:16" ht="23.45" customHeight="1" x14ac:dyDescent="0.2">
      <c r="A264" s="42"/>
      <c r="B264" s="45"/>
      <c r="C264" s="13" t="s">
        <v>1</v>
      </c>
      <c r="D264" s="19">
        <f t="shared" si="127"/>
        <v>0</v>
      </c>
      <c r="E264" s="2">
        <v>0</v>
      </c>
      <c r="F264" s="2">
        <v>0</v>
      </c>
      <c r="G264" s="2">
        <v>0</v>
      </c>
      <c r="H264" s="2">
        <v>0</v>
      </c>
      <c r="I264" s="2">
        <v>0</v>
      </c>
      <c r="J264" s="2">
        <v>0</v>
      </c>
      <c r="K264" s="2">
        <v>0</v>
      </c>
      <c r="L264" s="2">
        <v>0</v>
      </c>
      <c r="M264" s="2">
        <v>0</v>
      </c>
      <c r="N264" s="2">
        <v>0</v>
      </c>
      <c r="O264" s="2">
        <v>0</v>
      </c>
      <c r="P264" s="2">
        <v>0</v>
      </c>
    </row>
    <row r="265" spans="1:16" ht="23.45" customHeight="1" x14ac:dyDescent="0.2">
      <c r="A265" s="42"/>
      <c r="B265" s="45"/>
      <c r="C265" s="13" t="s">
        <v>2</v>
      </c>
      <c r="D265" s="19">
        <f t="shared" si="127"/>
        <v>0</v>
      </c>
      <c r="E265" s="2">
        <v>0</v>
      </c>
      <c r="F265" s="2">
        <v>0</v>
      </c>
      <c r="G265" s="2">
        <v>0</v>
      </c>
      <c r="H265" s="2">
        <v>0</v>
      </c>
      <c r="I265" s="2">
        <v>0</v>
      </c>
      <c r="J265" s="2">
        <v>0</v>
      </c>
      <c r="K265" s="2">
        <v>0</v>
      </c>
      <c r="L265" s="2">
        <v>0</v>
      </c>
      <c r="M265" s="2">
        <v>0</v>
      </c>
      <c r="N265" s="2">
        <v>0</v>
      </c>
      <c r="O265" s="2">
        <v>0</v>
      </c>
      <c r="P265" s="2">
        <v>0</v>
      </c>
    </row>
    <row r="266" spans="1:16" ht="23.45" customHeight="1" x14ac:dyDescent="0.2">
      <c r="A266" s="42"/>
      <c r="B266" s="45"/>
      <c r="C266" s="13" t="s">
        <v>3</v>
      </c>
      <c r="D266" s="19">
        <f t="shared" si="127"/>
        <v>30400</v>
      </c>
      <c r="E266" s="2">
        <v>0</v>
      </c>
      <c r="F266" s="2">
        <v>0</v>
      </c>
      <c r="G266" s="2">
        <v>0</v>
      </c>
      <c r="H266" s="2">
        <v>0</v>
      </c>
      <c r="I266" s="2">
        <v>0</v>
      </c>
      <c r="J266" s="2">
        <v>0</v>
      </c>
      <c r="K266" s="2">
        <v>0</v>
      </c>
      <c r="L266" s="2">
        <v>0</v>
      </c>
      <c r="M266" s="2">
        <v>30400</v>
      </c>
      <c r="N266" s="2">
        <v>0</v>
      </c>
      <c r="O266" s="2">
        <v>0</v>
      </c>
      <c r="P266" s="2">
        <v>0</v>
      </c>
    </row>
    <row r="267" spans="1:16" ht="23.45" customHeight="1" x14ac:dyDescent="0.2">
      <c r="A267" s="43"/>
      <c r="B267" s="46"/>
      <c r="C267" s="13" t="s">
        <v>4</v>
      </c>
      <c r="D267" s="19">
        <f t="shared" si="127"/>
        <v>0</v>
      </c>
      <c r="E267" s="2">
        <v>0</v>
      </c>
      <c r="F267" s="2">
        <v>0</v>
      </c>
      <c r="G267" s="2">
        <v>0</v>
      </c>
      <c r="H267" s="2">
        <v>0</v>
      </c>
      <c r="I267" s="2">
        <v>0</v>
      </c>
      <c r="J267" s="2">
        <v>0</v>
      </c>
      <c r="K267" s="2">
        <v>0</v>
      </c>
      <c r="L267" s="2">
        <v>0</v>
      </c>
      <c r="M267" s="2">
        <v>0</v>
      </c>
      <c r="N267" s="2">
        <v>0</v>
      </c>
      <c r="O267" s="2">
        <v>0</v>
      </c>
      <c r="P267" s="2">
        <v>0</v>
      </c>
    </row>
    <row r="268" spans="1:16" ht="15.75" x14ac:dyDescent="0.2">
      <c r="A268" s="39" t="s">
        <v>96</v>
      </c>
      <c r="B268" s="39" t="s">
        <v>116</v>
      </c>
      <c r="C268" s="13" t="s">
        <v>92</v>
      </c>
      <c r="D268" s="2">
        <f>E268+F268+G268+H268+I268+J268+K268+L268+M268+N268+O268+P268</f>
        <v>3637907.1000000006</v>
      </c>
      <c r="E268" s="2">
        <f t="shared" ref="E268:N268" si="129">E269+E270++E272+E274</f>
        <v>0</v>
      </c>
      <c r="F268" s="2">
        <f t="shared" si="129"/>
        <v>0</v>
      </c>
      <c r="G268" s="2">
        <f t="shared" si="129"/>
        <v>0</v>
      </c>
      <c r="H268" s="2">
        <f t="shared" si="129"/>
        <v>0</v>
      </c>
      <c r="I268" s="2">
        <f t="shared" si="129"/>
        <v>502813.2</v>
      </c>
      <c r="J268" s="2">
        <f t="shared" si="129"/>
        <v>837541.00000000012</v>
      </c>
      <c r="K268" s="2">
        <f t="shared" si="129"/>
        <v>593242.80000000005</v>
      </c>
      <c r="L268" s="2">
        <f t="shared" si="129"/>
        <v>701353.9</v>
      </c>
      <c r="M268" s="2">
        <f t="shared" si="129"/>
        <v>327307.10000000003</v>
      </c>
      <c r="N268" s="2">
        <f t="shared" si="129"/>
        <v>573509.1</v>
      </c>
      <c r="O268" s="2">
        <f>O269+O270++O272+O274</f>
        <v>51070</v>
      </c>
      <c r="P268" s="2">
        <f>P269+P270++P272+P274</f>
        <v>51070</v>
      </c>
    </row>
    <row r="269" spans="1:16" ht="15.75" x14ac:dyDescent="0.2">
      <c r="A269" s="39"/>
      <c r="B269" s="39"/>
      <c r="C269" s="13" t="s">
        <v>1</v>
      </c>
      <c r="D269" s="2">
        <f t="shared" ref="D269:D294" si="130">E269+F269+G269+H269+I269+J269+K269+L269+M269+N269+O269+P269</f>
        <v>773234.9</v>
      </c>
      <c r="E269" s="2">
        <f>E276</f>
        <v>0</v>
      </c>
      <c r="F269" s="2">
        <f t="shared" ref="F269:O269" si="131">F276</f>
        <v>0</v>
      </c>
      <c r="G269" s="2">
        <f t="shared" si="131"/>
        <v>0</v>
      </c>
      <c r="H269" s="2">
        <f t="shared" si="131"/>
        <v>0</v>
      </c>
      <c r="I269" s="2">
        <f t="shared" si="131"/>
        <v>403667</v>
      </c>
      <c r="J269" s="2">
        <f>J276+J281</f>
        <v>0</v>
      </c>
      <c r="K269" s="2">
        <f t="shared" si="131"/>
        <v>369567.9</v>
      </c>
      <c r="L269" s="2">
        <f t="shared" si="131"/>
        <v>0</v>
      </c>
      <c r="M269" s="2">
        <f t="shared" si="131"/>
        <v>0</v>
      </c>
      <c r="N269" s="2">
        <f t="shared" si="131"/>
        <v>0</v>
      </c>
      <c r="O269" s="2">
        <f t="shared" si="131"/>
        <v>0</v>
      </c>
      <c r="P269" s="2">
        <f t="shared" ref="P269" si="132">P276</f>
        <v>0</v>
      </c>
    </row>
    <row r="270" spans="1:16" ht="31.5" x14ac:dyDescent="0.2">
      <c r="A270" s="39"/>
      <c r="B270" s="39"/>
      <c r="C270" s="13" t="s">
        <v>23</v>
      </c>
      <c r="D270" s="2">
        <f t="shared" si="130"/>
        <v>2795812.9000000004</v>
      </c>
      <c r="E270" s="2">
        <f>E277</f>
        <v>0</v>
      </c>
      <c r="F270" s="2">
        <f t="shared" ref="F270:O270" si="133">F277</f>
        <v>0</v>
      </c>
      <c r="G270" s="2">
        <f t="shared" si="133"/>
        <v>0</v>
      </c>
      <c r="H270" s="2">
        <f t="shared" si="133"/>
        <v>0</v>
      </c>
      <c r="I270" s="2">
        <f t="shared" si="133"/>
        <v>91732</v>
      </c>
      <c r="J270" s="2">
        <f>J277+J282</f>
        <v>824533.70000000007</v>
      </c>
      <c r="K270" s="2">
        <f t="shared" si="133"/>
        <v>214069.4</v>
      </c>
      <c r="L270" s="2">
        <f>L277</f>
        <v>688456</v>
      </c>
      <c r="M270" s="2">
        <f t="shared" si="133"/>
        <v>314371.80000000005</v>
      </c>
      <c r="N270" s="2">
        <f t="shared" si="133"/>
        <v>562650</v>
      </c>
      <c r="O270" s="2">
        <f t="shared" si="133"/>
        <v>50000</v>
      </c>
      <c r="P270" s="2">
        <f t="shared" ref="P270" si="134">P277</f>
        <v>50000</v>
      </c>
    </row>
    <row r="271" spans="1:16" ht="51.75" customHeight="1" x14ac:dyDescent="0.2">
      <c r="A271" s="39"/>
      <c r="B271" s="39"/>
      <c r="C271" s="11" t="s">
        <v>25</v>
      </c>
      <c r="D271" s="2">
        <f t="shared" si="130"/>
        <v>0</v>
      </c>
      <c r="E271" s="12">
        <v>0</v>
      </c>
      <c r="F271" s="12">
        <v>0</v>
      </c>
      <c r="G271" s="12">
        <v>0</v>
      </c>
      <c r="H271" s="12">
        <v>0</v>
      </c>
      <c r="I271" s="12">
        <v>0</v>
      </c>
      <c r="J271" s="12">
        <v>0</v>
      </c>
      <c r="K271" s="12">
        <v>0</v>
      </c>
      <c r="L271" s="12">
        <v>0</v>
      </c>
      <c r="M271" s="12">
        <v>0</v>
      </c>
      <c r="N271" s="12">
        <v>0</v>
      </c>
      <c r="O271" s="12">
        <v>0</v>
      </c>
      <c r="P271" s="12">
        <v>0</v>
      </c>
    </row>
    <row r="272" spans="1:16" ht="31.5" x14ac:dyDescent="0.2">
      <c r="A272" s="39"/>
      <c r="B272" s="39"/>
      <c r="C272" s="13" t="s">
        <v>24</v>
      </c>
      <c r="D272" s="2">
        <f t="shared" si="130"/>
        <v>68859.3</v>
      </c>
      <c r="E272" s="2">
        <f>E278</f>
        <v>0</v>
      </c>
      <c r="F272" s="2">
        <f t="shared" ref="F272:I272" si="135">F278</f>
        <v>0</v>
      </c>
      <c r="G272" s="2">
        <f t="shared" si="135"/>
        <v>0</v>
      </c>
      <c r="H272" s="2">
        <f t="shared" si="135"/>
        <v>0</v>
      </c>
      <c r="I272" s="2">
        <f t="shared" si="135"/>
        <v>7414.2</v>
      </c>
      <c r="J272" s="2">
        <f>J278+J283+J288</f>
        <v>13007.3</v>
      </c>
      <c r="K272" s="2">
        <f>K278+K283+K288</f>
        <v>9605.5</v>
      </c>
      <c r="L272" s="2">
        <f>L278+L283+L288</f>
        <v>12897.900000000001</v>
      </c>
      <c r="M272" s="2">
        <f>M278+M283+M288+M293</f>
        <v>12935.3</v>
      </c>
      <c r="N272" s="2">
        <f t="shared" ref="N272:O272" si="136">N278+N283+N288+N293</f>
        <v>10859.1</v>
      </c>
      <c r="O272" s="2">
        <f t="shared" si="136"/>
        <v>1070</v>
      </c>
      <c r="P272" s="2">
        <f t="shared" ref="P272" si="137">P278+P283+P288+P293</f>
        <v>1070</v>
      </c>
    </row>
    <row r="273" spans="1:16" ht="49.5" customHeight="1" x14ac:dyDescent="0.2">
      <c r="A273" s="39"/>
      <c r="B273" s="39"/>
      <c r="C273" s="11" t="s">
        <v>25</v>
      </c>
      <c r="D273" s="2">
        <f t="shared" si="130"/>
        <v>0</v>
      </c>
      <c r="E273" s="12">
        <v>0</v>
      </c>
      <c r="F273" s="12">
        <v>0</v>
      </c>
      <c r="G273" s="12">
        <v>0</v>
      </c>
      <c r="H273" s="12">
        <v>0</v>
      </c>
      <c r="I273" s="12">
        <v>0</v>
      </c>
      <c r="J273" s="12">
        <v>0</v>
      </c>
      <c r="K273" s="12">
        <v>0</v>
      </c>
      <c r="L273" s="12">
        <v>0</v>
      </c>
      <c r="M273" s="12">
        <v>0</v>
      </c>
      <c r="N273" s="12">
        <v>0</v>
      </c>
      <c r="O273" s="12">
        <v>0</v>
      </c>
      <c r="P273" s="12">
        <v>0</v>
      </c>
    </row>
    <row r="274" spans="1:16" ht="16.5" customHeight="1" x14ac:dyDescent="0.2">
      <c r="A274" s="39"/>
      <c r="B274" s="39"/>
      <c r="C274" s="13" t="s">
        <v>4</v>
      </c>
      <c r="D274" s="2">
        <f t="shared" si="130"/>
        <v>0</v>
      </c>
      <c r="E274" s="2">
        <f>E279</f>
        <v>0</v>
      </c>
      <c r="F274" s="2">
        <f t="shared" ref="F274:O274" si="138">F279</f>
        <v>0</v>
      </c>
      <c r="G274" s="2">
        <f t="shared" si="138"/>
        <v>0</v>
      </c>
      <c r="H274" s="2">
        <f t="shared" si="138"/>
        <v>0</v>
      </c>
      <c r="I274" s="2">
        <f t="shared" si="138"/>
        <v>0</v>
      </c>
      <c r="J274" s="2">
        <f t="shared" si="138"/>
        <v>0</v>
      </c>
      <c r="K274" s="2">
        <f t="shared" si="138"/>
        <v>0</v>
      </c>
      <c r="L274" s="2">
        <f t="shared" si="138"/>
        <v>0</v>
      </c>
      <c r="M274" s="2">
        <f t="shared" si="138"/>
        <v>0</v>
      </c>
      <c r="N274" s="2">
        <f t="shared" si="138"/>
        <v>0</v>
      </c>
      <c r="O274" s="2">
        <f t="shared" si="138"/>
        <v>0</v>
      </c>
      <c r="P274" s="2">
        <f t="shared" ref="P274" si="139">P279</f>
        <v>0</v>
      </c>
    </row>
    <row r="275" spans="1:16" ht="15.75" x14ac:dyDescent="0.2">
      <c r="A275" s="37" t="s">
        <v>97</v>
      </c>
      <c r="B275" s="37" t="s">
        <v>139</v>
      </c>
      <c r="C275" s="13" t="s">
        <v>92</v>
      </c>
      <c r="D275" s="2">
        <f t="shared" si="130"/>
        <v>3428856</v>
      </c>
      <c r="E275" s="2">
        <f>E276+E277+E278+E279</f>
        <v>0</v>
      </c>
      <c r="F275" s="2">
        <f t="shared" ref="F275:O275" si="140">F276+F277+F278+F279</f>
        <v>0</v>
      </c>
      <c r="G275" s="2">
        <f t="shared" si="140"/>
        <v>0</v>
      </c>
      <c r="H275" s="2">
        <f t="shared" si="140"/>
        <v>0</v>
      </c>
      <c r="I275" s="2">
        <f t="shared" si="140"/>
        <v>502813.2</v>
      </c>
      <c r="J275" s="2">
        <f t="shared" si="140"/>
        <v>676927.70000000007</v>
      </c>
      <c r="K275" s="2">
        <f>K276+K277+K278+K279</f>
        <v>583637.30000000005</v>
      </c>
      <c r="L275" s="2">
        <f>L276+L277+L278+L279</f>
        <v>688456</v>
      </c>
      <c r="M275" s="2">
        <f>M276+M277+M278+M279</f>
        <v>314371.80000000005</v>
      </c>
      <c r="N275" s="2">
        <f t="shared" si="140"/>
        <v>562650</v>
      </c>
      <c r="O275" s="2">
        <f t="shared" si="140"/>
        <v>50000</v>
      </c>
      <c r="P275" s="2">
        <f t="shared" ref="P275" si="141">P276+P277+P278+P279</f>
        <v>50000</v>
      </c>
    </row>
    <row r="276" spans="1:16" ht="15.75" x14ac:dyDescent="0.2">
      <c r="A276" s="37"/>
      <c r="B276" s="37"/>
      <c r="C276" s="13" t="s">
        <v>1</v>
      </c>
      <c r="D276" s="2">
        <f t="shared" si="130"/>
        <v>773234.9</v>
      </c>
      <c r="E276" s="2">
        <v>0</v>
      </c>
      <c r="F276" s="2">
        <v>0</v>
      </c>
      <c r="G276" s="2">
        <v>0</v>
      </c>
      <c r="H276" s="2">
        <v>0</v>
      </c>
      <c r="I276" s="2">
        <v>403667</v>
      </c>
      <c r="J276" s="2">
        <v>0</v>
      </c>
      <c r="K276" s="2">
        <f>319567.9+50000</f>
        <v>369567.9</v>
      </c>
      <c r="L276" s="2">
        <v>0</v>
      </c>
      <c r="M276" s="2">
        <v>0</v>
      </c>
      <c r="N276" s="2">
        <v>0</v>
      </c>
      <c r="O276" s="2">
        <v>0</v>
      </c>
      <c r="P276" s="2">
        <v>0</v>
      </c>
    </row>
    <row r="277" spans="1:16" ht="15.75" x14ac:dyDescent="0.2">
      <c r="A277" s="37"/>
      <c r="B277" s="37"/>
      <c r="C277" s="13" t="s">
        <v>2</v>
      </c>
      <c r="D277" s="2">
        <f t="shared" si="130"/>
        <v>2638055</v>
      </c>
      <c r="E277" s="2">
        <v>0</v>
      </c>
      <c r="F277" s="2">
        <v>0</v>
      </c>
      <c r="G277" s="2">
        <v>0</v>
      </c>
      <c r="H277" s="2">
        <v>0</v>
      </c>
      <c r="I277" s="2">
        <v>91732</v>
      </c>
      <c r="J277" s="2">
        <f>204258+394381+49714.9+18421.9</f>
        <v>666775.80000000005</v>
      </c>
      <c r="K277" s="2">
        <v>214069.4</v>
      </c>
      <c r="L277" s="2">
        <f>688456</f>
        <v>688456</v>
      </c>
      <c r="M277" s="2">
        <f>500000+19627.2-205255.4</f>
        <v>314371.80000000005</v>
      </c>
      <c r="N277" s="2">
        <f>500000+43011.1+19638.9</f>
        <v>562650</v>
      </c>
      <c r="O277" s="2">
        <f>200000-150000</f>
        <v>50000</v>
      </c>
      <c r="P277" s="2">
        <v>50000</v>
      </c>
    </row>
    <row r="278" spans="1:16" ht="15.75" x14ac:dyDescent="0.2">
      <c r="A278" s="37"/>
      <c r="B278" s="37"/>
      <c r="C278" s="13" t="s">
        <v>3</v>
      </c>
      <c r="D278" s="2">
        <f t="shared" si="130"/>
        <v>17566.099999999999</v>
      </c>
      <c r="E278" s="2">
        <v>0</v>
      </c>
      <c r="F278" s="2">
        <v>0</v>
      </c>
      <c r="G278" s="2">
        <v>0</v>
      </c>
      <c r="H278" s="2">
        <v>0</v>
      </c>
      <c r="I278" s="2">
        <v>7414.2</v>
      </c>
      <c r="J278" s="2">
        <v>10151.9</v>
      </c>
      <c r="K278" s="2">
        <v>0</v>
      </c>
      <c r="L278" s="2">
        <v>0</v>
      </c>
      <c r="M278" s="2">
        <v>0</v>
      </c>
      <c r="N278" s="2">
        <v>0</v>
      </c>
      <c r="O278" s="2">
        <v>0</v>
      </c>
      <c r="P278" s="2">
        <v>0</v>
      </c>
    </row>
    <row r="279" spans="1:16" ht="18.75" customHeight="1" x14ac:dyDescent="0.2">
      <c r="A279" s="37"/>
      <c r="B279" s="37"/>
      <c r="C279" s="13" t="s">
        <v>4</v>
      </c>
      <c r="D279" s="2">
        <f t="shared" si="130"/>
        <v>0</v>
      </c>
      <c r="E279" s="2">
        <v>0</v>
      </c>
      <c r="F279" s="2">
        <v>0</v>
      </c>
      <c r="G279" s="2">
        <v>0</v>
      </c>
      <c r="H279" s="2">
        <v>0</v>
      </c>
      <c r="I279" s="2">
        <v>0</v>
      </c>
      <c r="J279" s="2">
        <v>0</v>
      </c>
      <c r="K279" s="2">
        <v>0</v>
      </c>
      <c r="L279" s="2">
        <v>0</v>
      </c>
      <c r="M279" s="2">
        <v>0</v>
      </c>
      <c r="N279" s="2">
        <v>0</v>
      </c>
      <c r="O279" s="2">
        <v>0</v>
      </c>
      <c r="P279" s="2">
        <v>0</v>
      </c>
    </row>
    <row r="280" spans="1:16" ht="15.75" x14ac:dyDescent="0.2">
      <c r="A280" s="37" t="s">
        <v>111</v>
      </c>
      <c r="B280" s="37" t="s">
        <v>112</v>
      </c>
      <c r="C280" s="13" t="s">
        <v>92</v>
      </c>
      <c r="D280" s="2">
        <f t="shared" si="130"/>
        <v>160613.29999999999</v>
      </c>
      <c r="E280" s="2">
        <f>E281+E282+E283+E284</f>
        <v>0</v>
      </c>
      <c r="F280" s="2">
        <f t="shared" ref="F280:O280" si="142">F281+F282+F283+F284</f>
        <v>0</v>
      </c>
      <c r="G280" s="2">
        <f t="shared" si="142"/>
        <v>0</v>
      </c>
      <c r="H280" s="2">
        <f t="shared" si="142"/>
        <v>0</v>
      </c>
      <c r="I280" s="2">
        <f t="shared" si="142"/>
        <v>0</v>
      </c>
      <c r="J280" s="2">
        <f t="shared" si="142"/>
        <v>160613.29999999999</v>
      </c>
      <c r="K280" s="2">
        <f t="shared" si="142"/>
        <v>0</v>
      </c>
      <c r="L280" s="2">
        <f t="shared" si="142"/>
        <v>0</v>
      </c>
      <c r="M280" s="2">
        <f t="shared" si="142"/>
        <v>0</v>
      </c>
      <c r="N280" s="2">
        <f t="shared" si="142"/>
        <v>0</v>
      </c>
      <c r="O280" s="2">
        <f t="shared" si="142"/>
        <v>0</v>
      </c>
      <c r="P280" s="2">
        <f t="shared" ref="P280" si="143">P281+P282+P283+P284</f>
        <v>0</v>
      </c>
    </row>
    <row r="281" spans="1:16" ht="15.75" x14ac:dyDescent="0.2">
      <c r="A281" s="37"/>
      <c r="B281" s="37"/>
      <c r="C281" s="13" t="s">
        <v>1</v>
      </c>
      <c r="D281" s="2">
        <f t="shared" si="130"/>
        <v>0</v>
      </c>
      <c r="E281" s="2">
        <v>0</v>
      </c>
      <c r="F281" s="2">
        <v>0</v>
      </c>
      <c r="G281" s="2">
        <v>0</v>
      </c>
      <c r="H281" s="2">
        <v>0</v>
      </c>
      <c r="I281" s="2">
        <v>0</v>
      </c>
      <c r="J281" s="2">
        <v>0</v>
      </c>
      <c r="K281" s="2">
        <v>0</v>
      </c>
      <c r="L281" s="2">
        <v>0</v>
      </c>
      <c r="M281" s="2">
        <v>0</v>
      </c>
      <c r="N281" s="2">
        <v>0</v>
      </c>
      <c r="O281" s="2">
        <v>0</v>
      </c>
      <c r="P281" s="2">
        <v>0</v>
      </c>
    </row>
    <row r="282" spans="1:16" ht="15.75" x14ac:dyDescent="0.2">
      <c r="A282" s="37"/>
      <c r="B282" s="37"/>
      <c r="C282" s="13" t="s">
        <v>2</v>
      </c>
      <c r="D282" s="2">
        <f t="shared" si="130"/>
        <v>157757.9</v>
      </c>
      <c r="E282" s="2">
        <v>0</v>
      </c>
      <c r="F282" s="2">
        <v>0</v>
      </c>
      <c r="G282" s="2">
        <v>0</v>
      </c>
      <c r="H282" s="2">
        <v>0</v>
      </c>
      <c r="I282" s="2">
        <v>0</v>
      </c>
      <c r="J282" s="2">
        <v>157757.9</v>
      </c>
      <c r="K282" s="2">
        <v>0</v>
      </c>
      <c r="L282" s="2">
        <v>0</v>
      </c>
      <c r="M282" s="2">
        <v>0</v>
      </c>
      <c r="N282" s="2">
        <v>0</v>
      </c>
      <c r="O282" s="2">
        <v>0</v>
      </c>
      <c r="P282" s="2">
        <v>0</v>
      </c>
    </row>
    <row r="283" spans="1:16" ht="15.75" x14ac:dyDescent="0.2">
      <c r="A283" s="37"/>
      <c r="B283" s="37"/>
      <c r="C283" s="13" t="s">
        <v>3</v>
      </c>
      <c r="D283" s="2">
        <f t="shared" si="130"/>
        <v>2855.4</v>
      </c>
      <c r="E283" s="2">
        <v>0</v>
      </c>
      <c r="F283" s="2">
        <v>0</v>
      </c>
      <c r="G283" s="2">
        <v>0</v>
      </c>
      <c r="H283" s="2">
        <v>0</v>
      </c>
      <c r="I283" s="2">
        <v>0</v>
      </c>
      <c r="J283" s="2">
        <v>2855.4</v>
      </c>
      <c r="K283" s="2">
        <v>0</v>
      </c>
      <c r="L283" s="2">
        <v>0</v>
      </c>
      <c r="M283" s="2">
        <v>0</v>
      </c>
      <c r="N283" s="2">
        <v>0</v>
      </c>
      <c r="O283" s="2">
        <v>0</v>
      </c>
      <c r="P283" s="2">
        <v>0</v>
      </c>
    </row>
    <row r="284" spans="1:16" ht="18.75" customHeight="1" x14ac:dyDescent="0.2">
      <c r="A284" s="37"/>
      <c r="B284" s="37"/>
      <c r="C284" s="13" t="s">
        <v>4</v>
      </c>
      <c r="D284" s="2">
        <f t="shared" si="130"/>
        <v>0</v>
      </c>
      <c r="E284" s="2">
        <v>0</v>
      </c>
      <c r="F284" s="2">
        <v>0</v>
      </c>
      <c r="G284" s="2">
        <v>0</v>
      </c>
      <c r="H284" s="2">
        <v>0</v>
      </c>
      <c r="I284" s="2">
        <v>0</v>
      </c>
      <c r="J284" s="2">
        <v>0</v>
      </c>
      <c r="K284" s="2">
        <v>0</v>
      </c>
      <c r="L284" s="2">
        <v>0</v>
      </c>
      <c r="M284" s="2">
        <v>0</v>
      </c>
      <c r="N284" s="2">
        <v>0</v>
      </c>
      <c r="O284" s="2">
        <v>0</v>
      </c>
      <c r="P284" s="2">
        <v>0</v>
      </c>
    </row>
    <row r="285" spans="1:16" ht="18.75" customHeight="1" x14ac:dyDescent="0.2">
      <c r="A285" s="37" t="s">
        <v>118</v>
      </c>
      <c r="B285" s="37" t="s">
        <v>140</v>
      </c>
      <c r="C285" s="13" t="s">
        <v>92</v>
      </c>
      <c r="D285" s="2">
        <f t="shared" si="130"/>
        <v>48434</v>
      </c>
      <c r="E285" s="2">
        <f>E286+E287+E288+E289</f>
        <v>0</v>
      </c>
      <c r="F285" s="2">
        <f t="shared" ref="F285:O285" si="144">F286+F287+F288+F289</f>
        <v>0</v>
      </c>
      <c r="G285" s="2">
        <f t="shared" si="144"/>
        <v>0</v>
      </c>
      <c r="H285" s="2">
        <f t="shared" si="144"/>
        <v>0</v>
      </c>
      <c r="I285" s="2">
        <f t="shared" si="144"/>
        <v>0</v>
      </c>
      <c r="J285" s="2">
        <f t="shared" si="144"/>
        <v>0</v>
      </c>
      <c r="K285" s="2">
        <f t="shared" si="144"/>
        <v>9605.5</v>
      </c>
      <c r="L285" s="2">
        <f t="shared" si="144"/>
        <v>12897.900000000001</v>
      </c>
      <c r="M285" s="2">
        <f t="shared" si="144"/>
        <v>12931.5</v>
      </c>
      <c r="N285" s="2">
        <f t="shared" si="144"/>
        <v>10859.1</v>
      </c>
      <c r="O285" s="2">
        <f t="shared" si="144"/>
        <v>1070</v>
      </c>
      <c r="P285" s="2">
        <f t="shared" ref="P285" si="145">P286+P287+P288+P289</f>
        <v>1070</v>
      </c>
    </row>
    <row r="286" spans="1:16" ht="18.75" customHeight="1" x14ac:dyDescent="0.2">
      <c r="A286" s="37"/>
      <c r="B286" s="37"/>
      <c r="C286" s="13" t="s">
        <v>1</v>
      </c>
      <c r="D286" s="2">
        <f t="shared" si="130"/>
        <v>0</v>
      </c>
      <c r="E286" s="2">
        <v>0</v>
      </c>
      <c r="F286" s="2">
        <v>0</v>
      </c>
      <c r="G286" s="2">
        <v>0</v>
      </c>
      <c r="H286" s="2">
        <v>0</v>
      </c>
      <c r="I286" s="2">
        <v>0</v>
      </c>
      <c r="J286" s="2">
        <v>0</v>
      </c>
      <c r="K286" s="2">
        <v>0</v>
      </c>
      <c r="L286" s="2">
        <v>0</v>
      </c>
      <c r="M286" s="2">
        <v>0</v>
      </c>
      <c r="N286" s="2">
        <v>0</v>
      </c>
      <c r="O286" s="2">
        <v>0</v>
      </c>
      <c r="P286" s="2">
        <v>0</v>
      </c>
    </row>
    <row r="287" spans="1:16" ht="18.75" customHeight="1" x14ac:dyDescent="0.2">
      <c r="A287" s="37"/>
      <c r="B287" s="37"/>
      <c r="C287" s="13" t="s">
        <v>2</v>
      </c>
      <c r="D287" s="2">
        <f t="shared" si="130"/>
        <v>0</v>
      </c>
      <c r="E287" s="2">
        <v>0</v>
      </c>
      <c r="F287" s="2">
        <v>0</v>
      </c>
      <c r="G287" s="2">
        <v>0</v>
      </c>
      <c r="H287" s="2">
        <v>0</v>
      </c>
      <c r="I287" s="2">
        <v>0</v>
      </c>
      <c r="J287" s="2">
        <v>0</v>
      </c>
      <c r="K287" s="2">
        <v>0</v>
      </c>
      <c r="L287" s="2">
        <v>0</v>
      </c>
      <c r="M287" s="2">
        <v>0</v>
      </c>
      <c r="N287" s="2">
        <v>0</v>
      </c>
      <c r="O287" s="2">
        <v>0</v>
      </c>
      <c r="P287" s="2">
        <v>0</v>
      </c>
    </row>
    <row r="288" spans="1:16" ht="18.75" customHeight="1" x14ac:dyDescent="0.2">
      <c r="A288" s="37"/>
      <c r="B288" s="37"/>
      <c r="C288" s="13" t="s">
        <v>3</v>
      </c>
      <c r="D288" s="2">
        <f t="shared" si="130"/>
        <v>48434</v>
      </c>
      <c r="E288" s="2">
        <v>0</v>
      </c>
      <c r="F288" s="2">
        <v>0</v>
      </c>
      <c r="G288" s="2">
        <v>0</v>
      </c>
      <c r="H288" s="2">
        <v>0</v>
      </c>
      <c r="I288" s="2">
        <v>0</v>
      </c>
      <c r="J288" s="2">
        <v>0</v>
      </c>
      <c r="K288" s="2">
        <f>6791.8+68.7+2745</f>
        <v>9605.5</v>
      </c>
      <c r="L288" s="2">
        <f>12392.2+505.7</f>
        <v>12897.900000000001</v>
      </c>
      <c r="M288" s="2">
        <f>15027.1-2634.9-2742.2+3015.3-3.8+269.9+0.1</f>
        <v>12931.5</v>
      </c>
      <c r="N288" s="2">
        <f>0+9650+1209.1</f>
        <v>10859.1</v>
      </c>
      <c r="O288" s="2">
        <f>0+3860-2790</f>
        <v>1070</v>
      </c>
      <c r="P288" s="2">
        <v>1070</v>
      </c>
    </row>
    <row r="289" spans="1:16" ht="24" customHeight="1" x14ac:dyDescent="0.2">
      <c r="A289" s="37"/>
      <c r="B289" s="37"/>
      <c r="C289" s="13" t="s">
        <v>4</v>
      </c>
      <c r="D289" s="2">
        <f t="shared" si="130"/>
        <v>0</v>
      </c>
      <c r="E289" s="2">
        <v>0</v>
      </c>
      <c r="F289" s="2">
        <v>0</v>
      </c>
      <c r="G289" s="2">
        <v>0</v>
      </c>
      <c r="H289" s="2">
        <v>0</v>
      </c>
      <c r="I289" s="2">
        <v>0</v>
      </c>
      <c r="J289" s="2">
        <v>0</v>
      </c>
      <c r="K289" s="2">
        <v>0</v>
      </c>
      <c r="L289" s="2">
        <v>0</v>
      </c>
      <c r="M289" s="2">
        <v>0</v>
      </c>
      <c r="N289" s="2">
        <v>0</v>
      </c>
      <c r="O289" s="2">
        <v>0</v>
      </c>
      <c r="P289" s="2">
        <v>0</v>
      </c>
    </row>
    <row r="290" spans="1:16" ht="24" customHeight="1" x14ac:dyDescent="0.2">
      <c r="A290" s="37" t="s">
        <v>143</v>
      </c>
      <c r="B290" s="37" t="s">
        <v>144</v>
      </c>
      <c r="C290" s="13" t="s">
        <v>92</v>
      </c>
      <c r="D290" s="2">
        <f t="shared" si="130"/>
        <v>3.8</v>
      </c>
      <c r="E290" s="2">
        <f>E291+E292+E293+E294</f>
        <v>0</v>
      </c>
      <c r="F290" s="2">
        <f t="shared" ref="F290:O290" si="146">F291+F292+F293+F294</f>
        <v>0</v>
      </c>
      <c r="G290" s="2">
        <f t="shared" si="146"/>
        <v>0</v>
      </c>
      <c r="H290" s="2">
        <f t="shared" si="146"/>
        <v>0</v>
      </c>
      <c r="I290" s="2">
        <f t="shared" si="146"/>
        <v>0</v>
      </c>
      <c r="J290" s="2">
        <f t="shared" si="146"/>
        <v>0</v>
      </c>
      <c r="K290" s="2">
        <f t="shared" si="146"/>
        <v>0</v>
      </c>
      <c r="L290" s="2">
        <f t="shared" si="146"/>
        <v>0</v>
      </c>
      <c r="M290" s="2">
        <f t="shared" si="146"/>
        <v>3.8</v>
      </c>
      <c r="N290" s="2">
        <f t="shared" si="146"/>
        <v>0</v>
      </c>
      <c r="O290" s="2">
        <f t="shared" si="146"/>
        <v>0</v>
      </c>
      <c r="P290" s="2">
        <f t="shared" ref="P290" si="147">P291+P292+P293+P294</f>
        <v>0</v>
      </c>
    </row>
    <row r="291" spans="1:16" ht="24" customHeight="1" x14ac:dyDescent="0.2">
      <c r="A291" s="37"/>
      <c r="B291" s="37"/>
      <c r="C291" s="13" t="s">
        <v>1</v>
      </c>
      <c r="D291" s="2">
        <f t="shared" si="130"/>
        <v>0</v>
      </c>
      <c r="E291" s="2">
        <v>0</v>
      </c>
      <c r="F291" s="2">
        <v>0</v>
      </c>
      <c r="G291" s="2">
        <v>0</v>
      </c>
      <c r="H291" s="2">
        <v>0</v>
      </c>
      <c r="I291" s="2">
        <v>0</v>
      </c>
      <c r="J291" s="2">
        <v>0</v>
      </c>
      <c r="K291" s="2">
        <v>0</v>
      </c>
      <c r="L291" s="2">
        <v>0</v>
      </c>
      <c r="M291" s="2">
        <v>0</v>
      </c>
      <c r="N291" s="2">
        <v>0</v>
      </c>
      <c r="O291" s="2">
        <v>0</v>
      </c>
      <c r="P291" s="2">
        <v>0</v>
      </c>
    </row>
    <row r="292" spans="1:16" ht="24" customHeight="1" x14ac:dyDescent="0.2">
      <c r="A292" s="37"/>
      <c r="B292" s="37"/>
      <c r="C292" s="13" t="s">
        <v>2</v>
      </c>
      <c r="D292" s="2">
        <f t="shared" si="130"/>
        <v>0</v>
      </c>
      <c r="E292" s="2">
        <v>0</v>
      </c>
      <c r="F292" s="2">
        <v>0</v>
      </c>
      <c r="G292" s="2">
        <v>0</v>
      </c>
      <c r="H292" s="2">
        <v>0</v>
      </c>
      <c r="I292" s="2">
        <v>0</v>
      </c>
      <c r="J292" s="2">
        <v>0</v>
      </c>
      <c r="K292" s="2">
        <v>0</v>
      </c>
      <c r="L292" s="2">
        <v>0</v>
      </c>
      <c r="M292" s="2">
        <v>0</v>
      </c>
      <c r="N292" s="2">
        <v>0</v>
      </c>
      <c r="O292" s="2">
        <v>0</v>
      </c>
      <c r="P292" s="2">
        <v>0</v>
      </c>
    </row>
    <row r="293" spans="1:16" ht="24" customHeight="1" x14ac:dyDescent="0.2">
      <c r="A293" s="37"/>
      <c r="B293" s="37"/>
      <c r="C293" s="13" t="s">
        <v>3</v>
      </c>
      <c r="D293" s="2">
        <f t="shared" si="130"/>
        <v>3.8</v>
      </c>
      <c r="E293" s="2">
        <v>0</v>
      </c>
      <c r="F293" s="2">
        <v>0</v>
      </c>
      <c r="G293" s="2">
        <v>0</v>
      </c>
      <c r="H293" s="2">
        <v>0</v>
      </c>
      <c r="I293" s="2">
        <v>0</v>
      </c>
      <c r="J293" s="2">
        <v>0</v>
      </c>
      <c r="K293" s="2">
        <v>0</v>
      </c>
      <c r="L293" s="2">
        <v>0</v>
      </c>
      <c r="M293" s="2">
        <v>3.8</v>
      </c>
      <c r="N293" s="2">
        <v>0</v>
      </c>
      <c r="O293" s="2">
        <v>0</v>
      </c>
      <c r="P293" s="2">
        <v>0</v>
      </c>
    </row>
    <row r="294" spans="1:16" ht="24" customHeight="1" x14ac:dyDescent="0.2">
      <c r="A294" s="37"/>
      <c r="B294" s="37"/>
      <c r="C294" s="13" t="s">
        <v>4</v>
      </c>
      <c r="D294" s="2">
        <f t="shared" si="130"/>
        <v>0</v>
      </c>
      <c r="E294" s="2">
        <v>0</v>
      </c>
      <c r="F294" s="2">
        <v>0</v>
      </c>
      <c r="G294" s="2">
        <v>0</v>
      </c>
      <c r="H294" s="2">
        <v>0</v>
      </c>
      <c r="I294" s="2">
        <v>0</v>
      </c>
      <c r="J294" s="2">
        <v>0</v>
      </c>
      <c r="K294" s="2">
        <v>0</v>
      </c>
      <c r="L294" s="2">
        <v>0</v>
      </c>
      <c r="M294" s="2">
        <v>0</v>
      </c>
      <c r="N294" s="2">
        <v>0</v>
      </c>
      <c r="O294" s="2">
        <v>0</v>
      </c>
      <c r="P294" s="2">
        <v>0</v>
      </c>
    </row>
    <row r="295" spans="1:16" ht="15.75" x14ac:dyDescent="0.2">
      <c r="A295" s="38" t="s">
        <v>104</v>
      </c>
      <c r="B295" s="38" t="s">
        <v>22</v>
      </c>
      <c r="C295" s="31" t="s">
        <v>92</v>
      </c>
      <c r="D295" s="10">
        <f>E295+F295+G295+H295+I295+J295+K295+L295+M295+N295+O295+P295</f>
        <v>1676226.2000000002</v>
      </c>
      <c r="E295" s="10">
        <f>E296+E297+E298+E299</f>
        <v>114186.1</v>
      </c>
      <c r="F295" s="10">
        <f t="shared" ref="F295:O295" si="148">F296+F297+F298+F299</f>
        <v>58472.6</v>
      </c>
      <c r="G295" s="10">
        <f>G296+G297+G298+G299</f>
        <v>76160.299999999988</v>
      </c>
      <c r="H295" s="10">
        <f t="shared" si="148"/>
        <v>54676.599999999991</v>
      </c>
      <c r="I295" s="10">
        <f t="shared" si="148"/>
        <v>70255.3</v>
      </c>
      <c r="J295" s="10">
        <f t="shared" si="148"/>
        <v>91836.4</v>
      </c>
      <c r="K295" s="10">
        <f t="shared" si="148"/>
        <v>172629.5</v>
      </c>
      <c r="L295" s="10">
        <f>L296+L297+L298+L299</f>
        <v>322234.7</v>
      </c>
      <c r="M295" s="10">
        <f t="shared" si="148"/>
        <v>359676.6</v>
      </c>
      <c r="N295" s="10">
        <f t="shared" si="148"/>
        <v>258760.9</v>
      </c>
      <c r="O295" s="10">
        <f t="shared" si="148"/>
        <v>48718.6</v>
      </c>
      <c r="P295" s="10">
        <f t="shared" ref="P295" si="149">P296+P297+P298+P299</f>
        <v>48618.6</v>
      </c>
    </row>
    <row r="296" spans="1:16" ht="15.75" x14ac:dyDescent="0.2">
      <c r="A296" s="38"/>
      <c r="B296" s="38"/>
      <c r="C296" s="15" t="s">
        <v>1</v>
      </c>
      <c r="D296" s="2">
        <f>E296+F296+G296+H296+I296+J296+K296+L296+M296+N296+O296+P296</f>
        <v>90215</v>
      </c>
      <c r="E296" s="2">
        <f>E301</f>
        <v>11115</v>
      </c>
      <c r="F296" s="2">
        <f t="shared" ref="F296:O296" si="150">F301</f>
        <v>0</v>
      </c>
      <c r="G296" s="2">
        <f t="shared" si="150"/>
        <v>1600</v>
      </c>
      <c r="H296" s="2">
        <f t="shared" si="150"/>
        <v>0</v>
      </c>
      <c r="I296" s="2">
        <f t="shared" si="150"/>
        <v>0</v>
      </c>
      <c r="J296" s="2">
        <f t="shared" si="150"/>
        <v>0</v>
      </c>
      <c r="K296" s="2">
        <f t="shared" si="150"/>
        <v>0</v>
      </c>
      <c r="L296" s="2">
        <f t="shared" si="150"/>
        <v>77500</v>
      </c>
      <c r="M296" s="2">
        <f t="shared" si="150"/>
        <v>0</v>
      </c>
      <c r="N296" s="2">
        <f t="shared" si="150"/>
        <v>0</v>
      </c>
      <c r="O296" s="2">
        <f t="shared" si="150"/>
        <v>0</v>
      </c>
      <c r="P296" s="2">
        <f t="shared" ref="P296" si="151">P301</f>
        <v>0</v>
      </c>
    </row>
    <row r="297" spans="1:16" ht="15.75" x14ac:dyDescent="0.2">
      <c r="A297" s="38"/>
      <c r="B297" s="38"/>
      <c r="C297" s="15" t="s">
        <v>2</v>
      </c>
      <c r="D297" s="2">
        <f t="shared" ref="D297:D360" si="152">E297+F297+G297+H297+I297+J297+K297+L297+M297+N297+O297+P297</f>
        <v>574230.4</v>
      </c>
      <c r="E297" s="2">
        <f>E302</f>
        <v>9232.6</v>
      </c>
      <c r="F297" s="2">
        <f t="shared" ref="F297:O298" si="153">F302</f>
        <v>0</v>
      </c>
      <c r="G297" s="2">
        <f t="shared" si="153"/>
        <v>0</v>
      </c>
      <c r="H297" s="2">
        <f t="shared" si="153"/>
        <v>0</v>
      </c>
      <c r="I297" s="2">
        <f t="shared" si="153"/>
        <v>0</v>
      </c>
      <c r="J297" s="2">
        <f t="shared" si="153"/>
        <v>12354.5</v>
      </c>
      <c r="K297" s="2">
        <f t="shared" si="153"/>
        <v>24551.200000000001</v>
      </c>
      <c r="L297" s="2">
        <f>L302</f>
        <v>77527</v>
      </c>
      <c r="M297" s="2">
        <f t="shared" si="153"/>
        <v>213804.6</v>
      </c>
      <c r="N297" s="2">
        <f>N302</f>
        <v>236760.5</v>
      </c>
      <c r="O297" s="2">
        <f t="shared" si="153"/>
        <v>0</v>
      </c>
      <c r="P297" s="2">
        <f t="shared" ref="P297" si="154">P302</f>
        <v>0</v>
      </c>
    </row>
    <row r="298" spans="1:16" ht="15.75" x14ac:dyDescent="0.2">
      <c r="A298" s="38"/>
      <c r="B298" s="38"/>
      <c r="C298" s="15" t="s">
        <v>3</v>
      </c>
      <c r="D298" s="2">
        <f t="shared" si="152"/>
        <v>1011780.7999999999</v>
      </c>
      <c r="E298" s="2">
        <f>E303</f>
        <v>93838.5</v>
      </c>
      <c r="F298" s="2">
        <f t="shared" si="153"/>
        <v>58472.6</v>
      </c>
      <c r="G298" s="2">
        <f t="shared" si="153"/>
        <v>74560.299999999988</v>
      </c>
      <c r="H298" s="2">
        <f t="shared" si="153"/>
        <v>54676.599999999991</v>
      </c>
      <c r="I298" s="2">
        <f t="shared" si="153"/>
        <v>70255.3</v>
      </c>
      <c r="J298" s="2">
        <f t="shared" si="153"/>
        <v>79481.899999999994</v>
      </c>
      <c r="K298" s="2">
        <f>K303</f>
        <v>148078.29999999999</v>
      </c>
      <c r="L298" s="2">
        <f>L303</f>
        <v>167207.70000000001</v>
      </c>
      <c r="M298" s="2">
        <f>M303</f>
        <v>145872</v>
      </c>
      <c r="N298" s="2">
        <f t="shared" si="153"/>
        <v>22000.399999999998</v>
      </c>
      <c r="O298" s="2">
        <f t="shared" si="153"/>
        <v>48718.6</v>
      </c>
      <c r="P298" s="2">
        <f t="shared" ref="P298" si="155">P303</f>
        <v>48618.6</v>
      </c>
    </row>
    <row r="299" spans="1:16" ht="16.5" customHeight="1" x14ac:dyDescent="0.2">
      <c r="A299" s="38"/>
      <c r="B299" s="38"/>
      <c r="C299" s="15" t="s">
        <v>4</v>
      </c>
      <c r="D299" s="2">
        <f t="shared" si="152"/>
        <v>0</v>
      </c>
      <c r="E299" s="2">
        <f>E304</f>
        <v>0</v>
      </c>
      <c r="F299" s="2">
        <v>0</v>
      </c>
      <c r="G299" s="2">
        <v>0</v>
      </c>
      <c r="H299" s="2">
        <v>0</v>
      </c>
      <c r="I299" s="2">
        <v>0</v>
      </c>
      <c r="J299" s="2">
        <v>0</v>
      </c>
      <c r="K299" s="2">
        <v>0</v>
      </c>
      <c r="L299" s="2">
        <v>0</v>
      </c>
      <c r="M299" s="2">
        <v>0</v>
      </c>
      <c r="N299" s="2">
        <v>0</v>
      </c>
      <c r="O299" s="2">
        <v>0</v>
      </c>
      <c r="P299" s="2">
        <v>0</v>
      </c>
    </row>
    <row r="300" spans="1:16" ht="15.75" x14ac:dyDescent="0.2">
      <c r="A300" s="37" t="s">
        <v>43</v>
      </c>
      <c r="B300" s="37" t="s">
        <v>42</v>
      </c>
      <c r="C300" s="15" t="s">
        <v>92</v>
      </c>
      <c r="D300" s="2">
        <f t="shared" si="152"/>
        <v>1676226.2000000002</v>
      </c>
      <c r="E300" s="2">
        <f>E301+E302+E303+E304</f>
        <v>114186.1</v>
      </c>
      <c r="F300" s="2">
        <f t="shared" ref="F300:O300" si="156">F301+F302+F303+F304</f>
        <v>58472.6</v>
      </c>
      <c r="G300" s="2">
        <f t="shared" si="156"/>
        <v>76160.299999999988</v>
      </c>
      <c r="H300" s="2">
        <f t="shared" si="156"/>
        <v>54676.599999999991</v>
      </c>
      <c r="I300" s="2">
        <f t="shared" si="156"/>
        <v>70255.3</v>
      </c>
      <c r="J300" s="2">
        <f t="shared" si="156"/>
        <v>91836.4</v>
      </c>
      <c r="K300" s="2">
        <f>K301+K302+K303+K304</f>
        <v>172629.5</v>
      </c>
      <c r="L300" s="2">
        <f>L301+L302+L303+L304</f>
        <v>322234.7</v>
      </c>
      <c r="M300" s="2">
        <f>M301+M302+M303+M304</f>
        <v>359676.6</v>
      </c>
      <c r="N300" s="2">
        <f t="shared" si="156"/>
        <v>258760.9</v>
      </c>
      <c r="O300" s="2">
        <f t="shared" si="156"/>
        <v>48718.6</v>
      </c>
      <c r="P300" s="2">
        <f t="shared" ref="P300" si="157">P301+P302+P303+P304</f>
        <v>48618.6</v>
      </c>
    </row>
    <row r="301" spans="1:16" ht="15.75" x14ac:dyDescent="0.2">
      <c r="A301" s="38"/>
      <c r="B301" s="38"/>
      <c r="C301" s="15" t="s">
        <v>1</v>
      </c>
      <c r="D301" s="2">
        <f t="shared" si="152"/>
        <v>90215</v>
      </c>
      <c r="E301" s="2">
        <f>E306+E311+E316+E321+E326+E331+E336+E346+E341</f>
        <v>11115</v>
      </c>
      <c r="F301" s="2">
        <f t="shared" ref="F301:K301" si="158">F306+F311+F316+F321+F326+F331+F336+F346+F341</f>
        <v>0</v>
      </c>
      <c r="G301" s="2">
        <f t="shared" si="158"/>
        <v>1600</v>
      </c>
      <c r="H301" s="2">
        <f t="shared" si="158"/>
        <v>0</v>
      </c>
      <c r="I301" s="2">
        <f t="shared" si="158"/>
        <v>0</v>
      </c>
      <c r="J301" s="2">
        <f t="shared" si="158"/>
        <v>0</v>
      </c>
      <c r="K301" s="2">
        <f t="shared" si="158"/>
        <v>0</v>
      </c>
      <c r="L301" s="2">
        <f>L306+L311+L316+L321+L326+L331+L336+L346+L341+L351+L356+L361+L366</f>
        <v>77500</v>
      </c>
      <c r="M301" s="2">
        <f t="shared" ref="M301:O301" si="159">M306+M311+M316+M321+M326+M331+M336+M346+M341+M351+M356+M361+M366</f>
        <v>0</v>
      </c>
      <c r="N301" s="2">
        <f t="shared" si="159"/>
        <v>0</v>
      </c>
      <c r="O301" s="2">
        <f t="shared" si="159"/>
        <v>0</v>
      </c>
      <c r="P301" s="2">
        <f t="shared" ref="P301" si="160">P306+P311+P316+P321+P326+P331+P336+P346+P341+P351+P356+P361+P366</f>
        <v>0</v>
      </c>
    </row>
    <row r="302" spans="1:16" ht="15" customHeight="1" x14ac:dyDescent="0.2">
      <c r="A302" s="38"/>
      <c r="B302" s="38"/>
      <c r="C302" s="15" t="s">
        <v>2</v>
      </c>
      <c r="D302" s="2">
        <f t="shared" si="152"/>
        <v>574230.4</v>
      </c>
      <c r="E302" s="2">
        <f>E307+E312+E317+E322+E327+E332+E337+E347+E342+E352</f>
        <v>9232.6</v>
      </c>
      <c r="F302" s="2">
        <f t="shared" ref="F302:K302" si="161">F307+F312+F317+F322+F327+F332+F337+F347+F342+F352</f>
        <v>0</v>
      </c>
      <c r="G302" s="2">
        <f t="shared" si="161"/>
        <v>0</v>
      </c>
      <c r="H302" s="2">
        <f t="shared" si="161"/>
        <v>0</v>
      </c>
      <c r="I302" s="2">
        <f t="shared" si="161"/>
        <v>0</v>
      </c>
      <c r="J302" s="2">
        <f>J307+J312+J317+J322+J327+J332+J337+J347+J342+J352</f>
        <v>12354.5</v>
      </c>
      <c r="K302" s="2">
        <f t="shared" si="161"/>
        <v>24551.200000000001</v>
      </c>
      <c r="L302" s="2">
        <f>L307+L312+L317+L322+L327+L332+L337+L347+L342+L352+L357+L362+L367</f>
        <v>77527</v>
      </c>
      <c r="M302" s="2">
        <f>M307+M312+M317+M322+M327+M332+M337+M347+M342+M352+M357+M362+M367+M370</f>
        <v>213804.6</v>
      </c>
      <c r="N302" s="2">
        <f>N307+N312+N317+N322+N327+N332+N337+N347+N342+N352+N357+N362+N367+N377</f>
        <v>236760.5</v>
      </c>
      <c r="O302" s="2">
        <f t="shared" ref="O302:P302" si="162">O307+O312+O317+O322+O327+O332+O337+O347+O342+O352+O357+O362+O367+O377</f>
        <v>0</v>
      </c>
      <c r="P302" s="2">
        <f t="shared" si="162"/>
        <v>0</v>
      </c>
    </row>
    <row r="303" spans="1:16" ht="15.75" x14ac:dyDescent="0.2">
      <c r="A303" s="38"/>
      <c r="B303" s="38"/>
      <c r="C303" s="15" t="s">
        <v>3</v>
      </c>
      <c r="D303" s="2">
        <f t="shared" si="152"/>
        <v>1011780.7999999999</v>
      </c>
      <c r="E303" s="2">
        <f>E308+E313+E318+E323+E328+E333+E338+E348+E343+E353</f>
        <v>93838.5</v>
      </c>
      <c r="F303" s="2">
        <f t="shared" ref="F303:I303" si="163">F308+F313+F318+F323+F328+F333+F338+F348+F343+F353</f>
        <v>58472.6</v>
      </c>
      <c r="G303" s="2">
        <f t="shared" si="163"/>
        <v>74560.299999999988</v>
      </c>
      <c r="H303" s="2">
        <f t="shared" si="163"/>
        <v>54676.599999999991</v>
      </c>
      <c r="I303" s="2">
        <f t="shared" si="163"/>
        <v>70255.3</v>
      </c>
      <c r="J303" s="2">
        <f>J308+J313+J318+J323+J328+J333+J338+J348+J343+J353</f>
        <v>79481.899999999994</v>
      </c>
      <c r="K303" s="2">
        <f>K308+K313+K318+K323+K328+K333+K338+K348+K343+K353+K358</f>
        <v>148078.29999999999</v>
      </c>
      <c r="L303" s="2">
        <f>L308+L313+L318+L323+L328+L333+L338+L348+L343+L353+L363+L368</f>
        <v>167207.70000000001</v>
      </c>
      <c r="M303" s="2">
        <f>M308+M313+M318+M323+M328+M333+M338+M348+M343+M353+M363+M368</f>
        <v>145872</v>
      </c>
      <c r="N303" s="2">
        <f>N308+N313+N318+N323+N328+N333+N338+N348+N343+N353+N363+N368+N378</f>
        <v>22000.399999999998</v>
      </c>
      <c r="O303" s="2">
        <f t="shared" ref="O303:P303" si="164">O308+O313+O318+O323+O328+O333+O338+O348+O343+O353+O363+O368+O378</f>
        <v>48718.6</v>
      </c>
      <c r="P303" s="2">
        <f t="shared" si="164"/>
        <v>48618.6</v>
      </c>
    </row>
    <row r="304" spans="1:16" ht="19.5" customHeight="1" x14ac:dyDescent="0.2">
      <c r="A304" s="38"/>
      <c r="B304" s="38"/>
      <c r="C304" s="15" t="s">
        <v>4</v>
      </c>
      <c r="D304" s="2">
        <f t="shared" si="152"/>
        <v>0</v>
      </c>
      <c r="E304" s="2">
        <f>E309+E314+E319+E324+E329+E334+E339+E349+E344</f>
        <v>0</v>
      </c>
      <c r="F304" s="2">
        <v>0</v>
      </c>
      <c r="G304" s="2">
        <v>0</v>
      </c>
      <c r="H304" s="2">
        <v>0</v>
      </c>
      <c r="I304" s="2">
        <v>0</v>
      </c>
      <c r="J304" s="2">
        <v>0</v>
      </c>
      <c r="K304" s="2">
        <v>0</v>
      </c>
      <c r="L304" s="2">
        <v>0</v>
      </c>
      <c r="M304" s="2">
        <v>0</v>
      </c>
      <c r="N304" s="2">
        <v>0</v>
      </c>
      <c r="O304" s="2">
        <v>0</v>
      </c>
      <c r="P304" s="2">
        <v>0</v>
      </c>
    </row>
    <row r="305" spans="1:18" ht="21" customHeight="1" x14ac:dyDescent="0.2">
      <c r="A305" s="37" t="s">
        <v>44</v>
      </c>
      <c r="B305" s="37" t="s">
        <v>16</v>
      </c>
      <c r="C305" s="15" t="s">
        <v>92</v>
      </c>
      <c r="D305" s="2">
        <f t="shared" si="152"/>
        <v>24539.599999999999</v>
      </c>
      <c r="E305" s="2">
        <f>E306+E307+E308+E309</f>
        <v>24539.599999999999</v>
      </c>
      <c r="F305" s="2">
        <f t="shared" ref="F305:O305" si="165">F306+F307+F308+F309</f>
        <v>0</v>
      </c>
      <c r="G305" s="2">
        <f t="shared" si="165"/>
        <v>0</v>
      </c>
      <c r="H305" s="2">
        <f t="shared" si="165"/>
        <v>0</v>
      </c>
      <c r="I305" s="2">
        <f t="shared" si="165"/>
        <v>0</v>
      </c>
      <c r="J305" s="2">
        <f t="shared" si="165"/>
        <v>0</v>
      </c>
      <c r="K305" s="2">
        <f t="shared" si="165"/>
        <v>0</v>
      </c>
      <c r="L305" s="2">
        <f t="shared" si="165"/>
        <v>0</v>
      </c>
      <c r="M305" s="2">
        <f t="shared" si="165"/>
        <v>0</v>
      </c>
      <c r="N305" s="2">
        <f t="shared" si="165"/>
        <v>0</v>
      </c>
      <c r="O305" s="2">
        <f t="shared" si="165"/>
        <v>0</v>
      </c>
      <c r="P305" s="2">
        <f t="shared" ref="P305" si="166">P306+P307+P308+P309</f>
        <v>0</v>
      </c>
    </row>
    <row r="306" spans="1:18" ht="21" customHeight="1" x14ac:dyDescent="0.2">
      <c r="A306" s="37"/>
      <c r="B306" s="37"/>
      <c r="C306" s="15" t="s">
        <v>1</v>
      </c>
      <c r="D306" s="2">
        <f t="shared" si="152"/>
        <v>0</v>
      </c>
      <c r="E306" s="2">
        <v>0</v>
      </c>
      <c r="F306" s="2">
        <v>0</v>
      </c>
      <c r="G306" s="2">
        <v>0</v>
      </c>
      <c r="H306" s="2">
        <v>0</v>
      </c>
      <c r="I306" s="2">
        <v>0</v>
      </c>
      <c r="J306" s="2">
        <v>0</v>
      </c>
      <c r="K306" s="2">
        <v>0</v>
      </c>
      <c r="L306" s="2">
        <v>0</v>
      </c>
      <c r="M306" s="2">
        <v>0</v>
      </c>
      <c r="N306" s="2">
        <v>0</v>
      </c>
      <c r="O306" s="2">
        <v>0</v>
      </c>
      <c r="P306" s="2">
        <v>0</v>
      </c>
    </row>
    <row r="307" spans="1:18" ht="21" customHeight="1" x14ac:dyDescent="0.2">
      <c r="A307" s="37"/>
      <c r="B307" s="37"/>
      <c r="C307" s="15" t="s">
        <v>2</v>
      </c>
      <c r="D307" s="2">
        <f t="shared" si="152"/>
        <v>0</v>
      </c>
      <c r="E307" s="2">
        <v>0</v>
      </c>
      <c r="F307" s="2">
        <v>0</v>
      </c>
      <c r="G307" s="2">
        <v>0</v>
      </c>
      <c r="H307" s="2">
        <v>0</v>
      </c>
      <c r="I307" s="2">
        <v>0</v>
      </c>
      <c r="J307" s="2">
        <v>0</v>
      </c>
      <c r="K307" s="2">
        <v>0</v>
      </c>
      <c r="L307" s="2">
        <v>0</v>
      </c>
      <c r="M307" s="2">
        <v>0</v>
      </c>
      <c r="N307" s="2">
        <v>0</v>
      </c>
      <c r="O307" s="2">
        <v>0</v>
      </c>
      <c r="P307" s="2">
        <v>0</v>
      </c>
    </row>
    <row r="308" spans="1:18" ht="21" customHeight="1" x14ac:dyDescent="0.2">
      <c r="A308" s="37"/>
      <c r="B308" s="37"/>
      <c r="C308" s="15" t="s">
        <v>3</v>
      </c>
      <c r="D308" s="2">
        <f t="shared" si="152"/>
        <v>24539.599999999999</v>
      </c>
      <c r="E308" s="2">
        <v>24539.599999999999</v>
      </c>
      <c r="F308" s="2">
        <v>0</v>
      </c>
      <c r="G308" s="2">
        <v>0</v>
      </c>
      <c r="H308" s="2">
        <v>0</v>
      </c>
      <c r="I308" s="2">
        <v>0</v>
      </c>
      <c r="J308" s="2">
        <v>0</v>
      </c>
      <c r="K308" s="2">
        <v>0</v>
      </c>
      <c r="L308" s="2">
        <v>0</v>
      </c>
      <c r="M308" s="2">
        <v>0</v>
      </c>
      <c r="N308" s="2">
        <v>0</v>
      </c>
      <c r="O308" s="2">
        <v>0</v>
      </c>
      <c r="P308" s="2">
        <v>0</v>
      </c>
    </row>
    <row r="309" spans="1:18" ht="69" customHeight="1" x14ac:dyDescent="0.2">
      <c r="A309" s="37"/>
      <c r="B309" s="37"/>
      <c r="C309" s="15" t="s">
        <v>4</v>
      </c>
      <c r="D309" s="2">
        <f t="shared" si="152"/>
        <v>0</v>
      </c>
      <c r="E309" s="2">
        <v>0</v>
      </c>
      <c r="F309" s="2">
        <v>0</v>
      </c>
      <c r="G309" s="2">
        <v>0</v>
      </c>
      <c r="H309" s="2">
        <v>0</v>
      </c>
      <c r="I309" s="2">
        <v>0</v>
      </c>
      <c r="J309" s="2">
        <v>0</v>
      </c>
      <c r="K309" s="2">
        <v>0</v>
      </c>
      <c r="L309" s="2">
        <v>0</v>
      </c>
      <c r="M309" s="2">
        <v>0</v>
      </c>
      <c r="N309" s="2">
        <v>0</v>
      </c>
      <c r="O309" s="2">
        <v>0</v>
      </c>
      <c r="P309" s="2">
        <v>0</v>
      </c>
    </row>
    <row r="310" spans="1:18" ht="66" customHeight="1" x14ac:dyDescent="0.2">
      <c r="A310" s="37" t="s">
        <v>45</v>
      </c>
      <c r="B310" s="37" t="s">
        <v>93</v>
      </c>
      <c r="C310" s="15" t="s">
        <v>92</v>
      </c>
      <c r="D310" s="2">
        <f t="shared" si="152"/>
        <v>6481.4</v>
      </c>
      <c r="E310" s="19">
        <f>E311+E312+E313+E314</f>
        <v>992</v>
      </c>
      <c r="F310" s="19">
        <f t="shared" ref="F310:O310" si="167">F311+F312+F313+F314</f>
        <v>993.5</v>
      </c>
      <c r="G310" s="19">
        <f t="shared" si="167"/>
        <v>989.7</v>
      </c>
      <c r="H310" s="19">
        <f t="shared" si="167"/>
        <v>286.60000000000002</v>
      </c>
      <c r="I310" s="19">
        <f t="shared" si="167"/>
        <v>369</v>
      </c>
      <c r="J310" s="19">
        <f t="shared" si="167"/>
        <v>343</v>
      </c>
      <c r="K310" s="19">
        <f t="shared" si="167"/>
        <v>507.2</v>
      </c>
      <c r="L310" s="19">
        <f t="shared" si="167"/>
        <v>487.4</v>
      </c>
      <c r="M310" s="19">
        <f t="shared" si="167"/>
        <v>550.9</v>
      </c>
      <c r="N310" s="19">
        <f t="shared" si="167"/>
        <v>321.5</v>
      </c>
      <c r="O310" s="19">
        <f t="shared" si="167"/>
        <v>320.29999999999995</v>
      </c>
      <c r="P310" s="19">
        <f t="shared" ref="P310" si="168">P311+P312+P313+P314</f>
        <v>320.3</v>
      </c>
    </row>
    <row r="311" spans="1:18" ht="15.75" x14ac:dyDescent="0.2">
      <c r="A311" s="37"/>
      <c r="B311" s="37"/>
      <c r="C311" s="15" t="s">
        <v>1</v>
      </c>
      <c r="D311" s="2">
        <f t="shared" si="152"/>
        <v>0</v>
      </c>
      <c r="E311" s="2">
        <v>0</v>
      </c>
      <c r="F311" s="2">
        <v>0</v>
      </c>
      <c r="G311" s="2">
        <v>0</v>
      </c>
      <c r="H311" s="2">
        <v>0</v>
      </c>
      <c r="I311" s="2">
        <v>0</v>
      </c>
      <c r="J311" s="2">
        <v>0</v>
      </c>
      <c r="K311" s="2">
        <v>0</v>
      </c>
      <c r="L311" s="2">
        <v>0</v>
      </c>
      <c r="M311" s="2">
        <v>0</v>
      </c>
      <c r="N311" s="2">
        <v>0</v>
      </c>
      <c r="O311" s="2">
        <v>0</v>
      </c>
      <c r="P311" s="2">
        <v>0</v>
      </c>
    </row>
    <row r="312" spans="1:18" ht="15.75" x14ac:dyDescent="0.2">
      <c r="A312" s="37"/>
      <c r="B312" s="37"/>
      <c r="C312" s="15" t="s">
        <v>2</v>
      </c>
      <c r="D312" s="2">
        <f t="shared" si="152"/>
        <v>0</v>
      </c>
      <c r="E312" s="2">
        <v>0</v>
      </c>
      <c r="F312" s="2">
        <v>0</v>
      </c>
      <c r="G312" s="2">
        <v>0</v>
      </c>
      <c r="H312" s="2">
        <v>0</v>
      </c>
      <c r="I312" s="2">
        <v>0</v>
      </c>
      <c r="J312" s="2">
        <v>0</v>
      </c>
      <c r="K312" s="2">
        <v>0</v>
      </c>
      <c r="L312" s="2">
        <v>0</v>
      </c>
      <c r="M312" s="2">
        <v>0</v>
      </c>
      <c r="N312" s="2">
        <v>0</v>
      </c>
      <c r="O312" s="2">
        <v>0</v>
      </c>
      <c r="P312" s="2">
        <v>0</v>
      </c>
    </row>
    <row r="313" spans="1:18" ht="15.75" x14ac:dyDescent="0.2">
      <c r="A313" s="37"/>
      <c r="B313" s="37"/>
      <c r="C313" s="15" t="s">
        <v>3</v>
      </c>
      <c r="D313" s="2">
        <f t="shared" si="152"/>
        <v>6481.4</v>
      </c>
      <c r="E313" s="2">
        <v>992</v>
      </c>
      <c r="F313" s="19">
        <v>993.5</v>
      </c>
      <c r="G313" s="19">
        <v>989.7</v>
      </c>
      <c r="H313" s="19">
        <v>286.60000000000002</v>
      </c>
      <c r="I313" s="2">
        <v>369</v>
      </c>
      <c r="J313" s="2">
        <v>343</v>
      </c>
      <c r="K313" s="2">
        <f>326.5+180.7</f>
        <v>507.2</v>
      </c>
      <c r="L313" s="2">
        <f>487.4-4.7+4.7</f>
        <v>487.4</v>
      </c>
      <c r="M313" s="2">
        <f>195.8+80.1+211.5+74.1-10.6</f>
        <v>550.9</v>
      </c>
      <c r="N313" s="1">
        <f>196.8+128.3+14.4-18</f>
        <v>321.5</v>
      </c>
      <c r="O313" s="2">
        <f>510.4-190.1</f>
        <v>320.29999999999995</v>
      </c>
      <c r="P313" s="2">
        <v>320.3</v>
      </c>
    </row>
    <row r="314" spans="1:18" ht="37.5" customHeight="1" x14ac:dyDescent="0.2">
      <c r="A314" s="48"/>
      <c r="B314" s="37"/>
      <c r="C314" s="15" t="s">
        <v>4</v>
      </c>
      <c r="D314" s="2">
        <f t="shared" si="152"/>
        <v>0</v>
      </c>
      <c r="E314" s="2">
        <v>0</v>
      </c>
      <c r="F314" s="2">
        <v>0</v>
      </c>
      <c r="G314" s="2">
        <v>0</v>
      </c>
      <c r="H314" s="2">
        <v>0</v>
      </c>
      <c r="I314" s="2">
        <v>0</v>
      </c>
      <c r="J314" s="2">
        <v>0</v>
      </c>
      <c r="K314" s="2">
        <v>0</v>
      </c>
      <c r="L314" s="2">
        <v>0</v>
      </c>
      <c r="M314" s="2">
        <v>0</v>
      </c>
      <c r="N314" s="2">
        <v>0</v>
      </c>
      <c r="O314" s="2">
        <v>0</v>
      </c>
      <c r="P314" s="2">
        <v>0</v>
      </c>
    </row>
    <row r="315" spans="1:18" ht="15.75" x14ac:dyDescent="0.2">
      <c r="A315" s="37" t="s">
        <v>46</v>
      </c>
      <c r="B315" s="37" t="s">
        <v>100</v>
      </c>
      <c r="C315" s="15" t="s">
        <v>92</v>
      </c>
      <c r="D315" s="2">
        <f t="shared" si="152"/>
        <v>471061.8</v>
      </c>
      <c r="E315" s="19">
        <f>E316+E317+E318+E319</f>
        <v>34782.9</v>
      </c>
      <c r="F315" s="19">
        <f t="shared" ref="F315:O315" si="169">F316+F317+F318+F319</f>
        <v>43719.7</v>
      </c>
      <c r="G315" s="19">
        <f t="shared" si="169"/>
        <v>38435</v>
      </c>
      <c r="H315" s="19">
        <f t="shared" si="169"/>
        <v>38370.199999999997</v>
      </c>
      <c r="I315" s="19">
        <f t="shared" si="169"/>
        <v>39373.599999999999</v>
      </c>
      <c r="J315" s="19">
        <f t="shared" si="169"/>
        <v>46117.1</v>
      </c>
      <c r="K315" s="19">
        <f t="shared" si="169"/>
        <v>45170</v>
      </c>
      <c r="L315" s="19">
        <f t="shared" si="169"/>
        <v>56558.8</v>
      </c>
      <c r="M315" s="19">
        <f>M316+M317+M318+M319</f>
        <v>63458.1</v>
      </c>
      <c r="N315" s="19">
        <f t="shared" si="169"/>
        <v>16812.400000000001</v>
      </c>
      <c r="O315" s="19">
        <f t="shared" si="169"/>
        <v>24132</v>
      </c>
      <c r="P315" s="19">
        <f t="shared" ref="P315" si="170">P316+P317+P318+P319</f>
        <v>24132</v>
      </c>
      <c r="R315" s="17"/>
    </row>
    <row r="316" spans="1:18" ht="15.75" x14ac:dyDescent="0.2">
      <c r="A316" s="37"/>
      <c r="B316" s="37"/>
      <c r="C316" s="15" t="s">
        <v>1</v>
      </c>
      <c r="D316" s="2">
        <f t="shared" si="152"/>
        <v>0</v>
      </c>
      <c r="E316" s="2">
        <v>0</v>
      </c>
      <c r="F316" s="2">
        <v>0</v>
      </c>
      <c r="G316" s="2">
        <v>0</v>
      </c>
      <c r="H316" s="2">
        <v>0</v>
      </c>
      <c r="I316" s="2">
        <v>0</v>
      </c>
      <c r="J316" s="2">
        <v>0</v>
      </c>
      <c r="K316" s="2">
        <v>0</v>
      </c>
      <c r="L316" s="2">
        <v>0</v>
      </c>
      <c r="M316" s="2">
        <v>0</v>
      </c>
      <c r="N316" s="2">
        <v>0</v>
      </c>
      <c r="O316" s="2">
        <v>0</v>
      </c>
      <c r="P316" s="2">
        <v>0</v>
      </c>
    </row>
    <row r="317" spans="1:18" ht="15.75" x14ac:dyDescent="0.2">
      <c r="A317" s="37"/>
      <c r="B317" s="37"/>
      <c r="C317" s="15" t="s">
        <v>2</v>
      </c>
      <c r="D317" s="2">
        <f t="shared" si="152"/>
        <v>0</v>
      </c>
      <c r="E317" s="2">
        <v>0</v>
      </c>
      <c r="F317" s="2">
        <v>0</v>
      </c>
      <c r="G317" s="2">
        <v>0</v>
      </c>
      <c r="H317" s="2">
        <v>0</v>
      </c>
      <c r="I317" s="2">
        <v>0</v>
      </c>
      <c r="J317" s="2">
        <v>0</v>
      </c>
      <c r="K317" s="2">
        <v>0</v>
      </c>
      <c r="L317" s="2">
        <v>0</v>
      </c>
      <c r="M317" s="2">
        <v>0</v>
      </c>
      <c r="N317" s="2">
        <v>0</v>
      </c>
      <c r="O317" s="2">
        <v>0</v>
      </c>
      <c r="P317" s="2">
        <v>0</v>
      </c>
    </row>
    <row r="318" spans="1:18" ht="15.75" x14ac:dyDescent="0.2">
      <c r="A318" s="37"/>
      <c r="B318" s="37"/>
      <c r="C318" s="15" t="s">
        <v>3</v>
      </c>
      <c r="D318" s="2">
        <f t="shared" si="152"/>
        <v>471061.8</v>
      </c>
      <c r="E318" s="2">
        <v>34782.9</v>
      </c>
      <c r="F318" s="2">
        <v>43719.7</v>
      </c>
      <c r="G318" s="19">
        <v>38435</v>
      </c>
      <c r="H318" s="19">
        <v>38370.199999999997</v>
      </c>
      <c r="I318" s="19">
        <f>42601-3227.4</f>
        <v>39373.599999999999</v>
      </c>
      <c r="J318" s="2">
        <f>48257.1-2140</f>
        <v>46117.1</v>
      </c>
      <c r="K318" s="2">
        <v>45170</v>
      </c>
      <c r="L318" s="2">
        <f>17298.9+138.7+16014.8+10063+5043.4+8000</f>
        <v>56558.8</v>
      </c>
      <c r="M318" s="2">
        <f>0+24632.4+8339.3+4620+15000+10866.4</f>
        <v>63458.1</v>
      </c>
      <c r="N318" s="2">
        <f>12889.4+16137.9-12214.9</f>
        <v>16812.400000000001</v>
      </c>
      <c r="O318" s="2">
        <f>28272+326.8-4466.8</f>
        <v>24132</v>
      </c>
      <c r="P318" s="2">
        <v>24132</v>
      </c>
    </row>
    <row r="319" spans="1:18" ht="15.75" customHeight="1" x14ac:dyDescent="0.2">
      <c r="A319" s="48"/>
      <c r="B319" s="37"/>
      <c r="C319" s="15" t="s">
        <v>4</v>
      </c>
      <c r="D319" s="2">
        <f t="shared" si="152"/>
        <v>0</v>
      </c>
      <c r="E319" s="2">
        <v>0</v>
      </c>
      <c r="F319" s="2">
        <v>0</v>
      </c>
      <c r="G319" s="2">
        <v>0</v>
      </c>
      <c r="H319" s="2">
        <v>0</v>
      </c>
      <c r="I319" s="2">
        <v>0</v>
      </c>
      <c r="J319" s="2">
        <v>0</v>
      </c>
      <c r="K319" s="2">
        <v>0</v>
      </c>
      <c r="L319" s="2">
        <v>0</v>
      </c>
      <c r="M319" s="2">
        <v>0</v>
      </c>
      <c r="N319" s="2">
        <v>0</v>
      </c>
      <c r="O319" s="2">
        <v>0</v>
      </c>
      <c r="P319" s="2">
        <v>0</v>
      </c>
    </row>
    <row r="320" spans="1:18" ht="31.5" customHeight="1" x14ac:dyDescent="0.2">
      <c r="A320" s="37" t="s">
        <v>47</v>
      </c>
      <c r="B320" s="37" t="s">
        <v>70</v>
      </c>
      <c r="C320" s="15" t="s">
        <v>92</v>
      </c>
      <c r="D320" s="2">
        <f t="shared" si="152"/>
        <v>356461.1</v>
      </c>
      <c r="E320" s="19">
        <f>E321+E322+E323+E324</f>
        <v>11338.9</v>
      </c>
      <c r="F320" s="19">
        <f t="shared" ref="F320:O320" si="171">F321+F322+F323+F324</f>
        <v>9535.9</v>
      </c>
      <c r="G320" s="19">
        <f t="shared" si="171"/>
        <v>30837.1</v>
      </c>
      <c r="H320" s="19">
        <f t="shared" si="171"/>
        <v>11594.3</v>
      </c>
      <c r="I320" s="19">
        <f t="shared" si="171"/>
        <v>25497.300000000003</v>
      </c>
      <c r="J320" s="19">
        <f t="shared" si="171"/>
        <v>21781.1</v>
      </c>
      <c r="K320" s="19">
        <f t="shared" si="171"/>
        <v>83536.899999999994</v>
      </c>
      <c r="L320" s="19">
        <f t="shared" si="171"/>
        <v>85050.3</v>
      </c>
      <c r="M320" s="19">
        <f t="shared" si="171"/>
        <v>77289.3</v>
      </c>
      <c r="N320" s="19">
        <f t="shared" si="171"/>
        <v>0</v>
      </c>
      <c r="O320" s="19">
        <f t="shared" si="171"/>
        <v>0</v>
      </c>
      <c r="P320" s="19">
        <f t="shared" ref="P320" si="172">P321+P322+P323+P324</f>
        <v>0</v>
      </c>
    </row>
    <row r="321" spans="1:18" ht="28.5" customHeight="1" x14ac:dyDescent="0.2">
      <c r="A321" s="37"/>
      <c r="B321" s="37"/>
      <c r="C321" s="15" t="s">
        <v>1</v>
      </c>
      <c r="D321" s="2">
        <f t="shared" si="152"/>
        <v>0</v>
      </c>
      <c r="E321" s="2">
        <v>0</v>
      </c>
      <c r="F321" s="2">
        <v>0</v>
      </c>
      <c r="G321" s="2">
        <v>0</v>
      </c>
      <c r="H321" s="2">
        <v>0</v>
      </c>
      <c r="I321" s="2">
        <v>0</v>
      </c>
      <c r="J321" s="2">
        <v>0</v>
      </c>
      <c r="K321" s="2">
        <v>0</v>
      </c>
      <c r="L321" s="2">
        <v>0</v>
      </c>
      <c r="M321" s="2">
        <v>0</v>
      </c>
      <c r="N321" s="2">
        <v>0</v>
      </c>
      <c r="O321" s="2">
        <v>0</v>
      </c>
      <c r="P321" s="2">
        <v>0</v>
      </c>
    </row>
    <row r="322" spans="1:18" ht="28.5" customHeight="1" x14ac:dyDescent="0.2">
      <c r="A322" s="37"/>
      <c r="B322" s="37"/>
      <c r="C322" s="15" t="s">
        <v>2</v>
      </c>
      <c r="D322" s="2">
        <f t="shared" si="152"/>
        <v>0</v>
      </c>
      <c r="E322" s="2">
        <v>0</v>
      </c>
      <c r="F322" s="2">
        <v>0</v>
      </c>
      <c r="G322" s="2">
        <v>0</v>
      </c>
      <c r="H322" s="2">
        <v>0</v>
      </c>
      <c r="I322" s="2">
        <v>0</v>
      </c>
      <c r="J322" s="2">
        <v>0</v>
      </c>
      <c r="K322" s="2">
        <v>0</v>
      </c>
      <c r="L322" s="2">
        <v>0</v>
      </c>
      <c r="M322" s="2">
        <v>0</v>
      </c>
      <c r="N322" s="2">
        <v>0</v>
      </c>
      <c r="O322" s="2">
        <v>0</v>
      </c>
      <c r="P322" s="2">
        <v>0</v>
      </c>
    </row>
    <row r="323" spans="1:18" ht="28.5" customHeight="1" x14ac:dyDescent="0.2">
      <c r="A323" s="37"/>
      <c r="B323" s="37"/>
      <c r="C323" s="15" t="s">
        <v>3</v>
      </c>
      <c r="D323" s="2">
        <f t="shared" si="152"/>
        <v>356461.1</v>
      </c>
      <c r="E323" s="2">
        <v>11338.9</v>
      </c>
      <c r="F323" s="2">
        <v>9535.9</v>
      </c>
      <c r="G323" s="2">
        <v>30837.1</v>
      </c>
      <c r="H323" s="2">
        <v>11594.3</v>
      </c>
      <c r="I323" s="2">
        <f>22269.9+3227.4</f>
        <v>25497.300000000003</v>
      </c>
      <c r="J323" s="2">
        <f>16107.4+5673.7</f>
        <v>21781.1</v>
      </c>
      <c r="K323" s="2">
        <v>83536.899999999994</v>
      </c>
      <c r="L323" s="2">
        <f>31479.7+27440.2+14843.2+11287.2-0.3+0.3</f>
        <v>85050.3</v>
      </c>
      <c r="M323" s="2">
        <f>2789.7-2789.7+41754.4-0.1+11000+8087+16448</f>
        <v>77289.3</v>
      </c>
      <c r="N323" s="2">
        <f>2803.3+46400.9-0.1-49204.1</f>
        <v>0</v>
      </c>
      <c r="O323" s="2">
        <f>18699.4+29778.6-0.1-48477.9</f>
        <v>0</v>
      </c>
      <c r="P323" s="2">
        <v>0</v>
      </c>
      <c r="R323" s="17"/>
    </row>
    <row r="324" spans="1:18" ht="33" customHeight="1" x14ac:dyDescent="0.2">
      <c r="A324" s="48"/>
      <c r="B324" s="37"/>
      <c r="C324" s="15" t="s">
        <v>4</v>
      </c>
      <c r="D324" s="2">
        <f t="shared" si="152"/>
        <v>0</v>
      </c>
      <c r="E324" s="2">
        <v>0</v>
      </c>
      <c r="F324" s="2">
        <v>0</v>
      </c>
      <c r="G324" s="2">
        <v>0</v>
      </c>
      <c r="H324" s="2">
        <v>0</v>
      </c>
      <c r="I324" s="2">
        <v>0</v>
      </c>
      <c r="J324" s="2">
        <v>0</v>
      </c>
      <c r="K324" s="2">
        <v>0</v>
      </c>
      <c r="L324" s="2">
        <v>0</v>
      </c>
      <c r="M324" s="2">
        <v>0</v>
      </c>
      <c r="N324" s="2">
        <v>0</v>
      </c>
      <c r="O324" s="2">
        <v>0</v>
      </c>
      <c r="P324" s="2">
        <v>0</v>
      </c>
    </row>
    <row r="325" spans="1:18" ht="16.5" customHeight="1" x14ac:dyDescent="0.2">
      <c r="A325" s="37" t="s">
        <v>48</v>
      </c>
      <c r="B325" s="37" t="s">
        <v>57</v>
      </c>
      <c r="C325" s="15" t="s">
        <v>92</v>
      </c>
      <c r="D325" s="2">
        <f t="shared" si="152"/>
        <v>8690.7999999999993</v>
      </c>
      <c r="E325" s="2">
        <f>SUM(E326:E329)</f>
        <v>8690.7999999999993</v>
      </c>
      <c r="F325" s="2">
        <v>0</v>
      </c>
      <c r="G325" s="2">
        <v>0</v>
      </c>
      <c r="H325" s="2">
        <v>0</v>
      </c>
      <c r="I325" s="2">
        <v>0</v>
      </c>
      <c r="J325" s="2">
        <v>0</v>
      </c>
      <c r="K325" s="2">
        <v>0</v>
      </c>
      <c r="L325" s="2">
        <v>0</v>
      </c>
      <c r="M325" s="2">
        <v>0</v>
      </c>
      <c r="N325" s="2">
        <v>0</v>
      </c>
      <c r="O325" s="2">
        <v>0</v>
      </c>
      <c r="P325" s="2">
        <v>0</v>
      </c>
    </row>
    <row r="326" spans="1:18" ht="18.75" customHeight="1" x14ac:dyDescent="0.2">
      <c r="A326" s="37"/>
      <c r="B326" s="49"/>
      <c r="C326" s="15" t="s">
        <v>1</v>
      </c>
      <c r="D326" s="2">
        <f t="shared" si="152"/>
        <v>0</v>
      </c>
      <c r="E326" s="2">
        <v>0</v>
      </c>
      <c r="F326" s="2">
        <v>0</v>
      </c>
      <c r="G326" s="2">
        <v>0</v>
      </c>
      <c r="H326" s="2">
        <v>0</v>
      </c>
      <c r="I326" s="2">
        <v>0</v>
      </c>
      <c r="J326" s="2">
        <v>0</v>
      </c>
      <c r="K326" s="2">
        <v>0</v>
      </c>
      <c r="L326" s="2">
        <v>0</v>
      </c>
      <c r="M326" s="2">
        <v>0</v>
      </c>
      <c r="N326" s="2">
        <v>0</v>
      </c>
      <c r="O326" s="2">
        <v>0</v>
      </c>
      <c r="P326" s="2">
        <v>0</v>
      </c>
    </row>
    <row r="327" spans="1:18" ht="18.75" customHeight="1" x14ac:dyDescent="0.2">
      <c r="A327" s="37"/>
      <c r="B327" s="49"/>
      <c r="C327" s="15" t="s">
        <v>2</v>
      </c>
      <c r="D327" s="2">
        <f t="shared" si="152"/>
        <v>0</v>
      </c>
      <c r="E327" s="2">
        <v>0</v>
      </c>
      <c r="F327" s="2">
        <v>0</v>
      </c>
      <c r="G327" s="2">
        <v>0</v>
      </c>
      <c r="H327" s="2">
        <v>0</v>
      </c>
      <c r="I327" s="2">
        <v>0</v>
      </c>
      <c r="J327" s="2">
        <v>0</v>
      </c>
      <c r="K327" s="2">
        <v>0</v>
      </c>
      <c r="L327" s="2">
        <v>0</v>
      </c>
      <c r="M327" s="2">
        <v>0</v>
      </c>
      <c r="N327" s="2">
        <v>0</v>
      </c>
      <c r="O327" s="2">
        <v>0</v>
      </c>
      <c r="P327" s="2">
        <v>0</v>
      </c>
    </row>
    <row r="328" spans="1:18" ht="18.75" customHeight="1" x14ac:dyDescent="0.2">
      <c r="A328" s="37"/>
      <c r="B328" s="49"/>
      <c r="C328" s="15" t="s">
        <v>3</v>
      </c>
      <c r="D328" s="2">
        <f t="shared" si="152"/>
        <v>8690.7999999999993</v>
      </c>
      <c r="E328" s="2">
        <v>8690.7999999999993</v>
      </c>
      <c r="F328" s="2">
        <v>0</v>
      </c>
      <c r="G328" s="2">
        <v>0</v>
      </c>
      <c r="H328" s="2">
        <v>0</v>
      </c>
      <c r="I328" s="2">
        <v>0</v>
      </c>
      <c r="J328" s="2">
        <v>0</v>
      </c>
      <c r="K328" s="2">
        <v>0</v>
      </c>
      <c r="L328" s="2">
        <v>0</v>
      </c>
      <c r="M328" s="2">
        <v>0</v>
      </c>
      <c r="N328" s="2">
        <v>0</v>
      </c>
      <c r="O328" s="2">
        <v>0</v>
      </c>
      <c r="P328" s="2">
        <v>0</v>
      </c>
    </row>
    <row r="329" spans="1:18" ht="44.25" customHeight="1" x14ac:dyDescent="0.2">
      <c r="A329" s="37"/>
      <c r="B329" s="49"/>
      <c r="C329" s="15" t="s">
        <v>4</v>
      </c>
      <c r="D329" s="2">
        <f t="shared" si="152"/>
        <v>0</v>
      </c>
      <c r="E329" s="2">
        <v>0</v>
      </c>
      <c r="F329" s="2">
        <v>0</v>
      </c>
      <c r="G329" s="2">
        <v>0</v>
      </c>
      <c r="H329" s="2">
        <v>0</v>
      </c>
      <c r="I329" s="2">
        <v>0</v>
      </c>
      <c r="J329" s="2">
        <v>0</v>
      </c>
      <c r="K329" s="2">
        <v>0</v>
      </c>
      <c r="L329" s="2">
        <v>0</v>
      </c>
      <c r="M329" s="2">
        <v>0</v>
      </c>
      <c r="N329" s="2">
        <v>0</v>
      </c>
      <c r="O329" s="2">
        <v>0</v>
      </c>
      <c r="P329" s="2">
        <v>0</v>
      </c>
    </row>
    <row r="330" spans="1:18" ht="15.75" x14ac:dyDescent="0.2">
      <c r="A330" s="37" t="s">
        <v>49</v>
      </c>
      <c r="B330" s="37" t="s">
        <v>95</v>
      </c>
      <c r="C330" s="15" t="s">
        <v>92</v>
      </c>
      <c r="D330" s="2">
        <f t="shared" si="152"/>
        <v>27987.9</v>
      </c>
      <c r="E330" s="19">
        <f t="shared" ref="E330:O330" si="173">E331+E332+E333+E334</f>
        <v>4261.7</v>
      </c>
      <c r="F330" s="19">
        <f t="shared" si="173"/>
        <v>4159.8</v>
      </c>
      <c r="G330" s="19">
        <f t="shared" si="173"/>
        <v>4208.5</v>
      </c>
      <c r="H330" s="19">
        <f t="shared" si="173"/>
        <v>4395.5</v>
      </c>
      <c r="I330" s="19">
        <f t="shared" si="173"/>
        <v>5015.3999999999996</v>
      </c>
      <c r="J330" s="19">
        <f t="shared" si="173"/>
        <v>5376.7999999999993</v>
      </c>
      <c r="K330" s="19">
        <f>K331+K332+K333+K334</f>
        <v>570.20000000000005</v>
      </c>
      <c r="L330" s="19">
        <f t="shared" si="173"/>
        <v>0</v>
      </c>
      <c r="M330" s="19">
        <f t="shared" si="173"/>
        <v>0</v>
      </c>
      <c r="N330" s="19">
        <f t="shared" si="173"/>
        <v>0</v>
      </c>
      <c r="O330" s="19">
        <f t="shared" si="173"/>
        <v>0</v>
      </c>
      <c r="P330" s="19">
        <f t="shared" ref="P330" si="174">P331+P332+P333+P334</f>
        <v>0</v>
      </c>
    </row>
    <row r="331" spans="1:18" ht="15.75" x14ac:dyDescent="0.2">
      <c r="A331" s="37"/>
      <c r="B331" s="49"/>
      <c r="C331" s="15" t="s">
        <v>1</v>
      </c>
      <c r="D331" s="2">
        <f t="shared" si="152"/>
        <v>0</v>
      </c>
      <c r="E331" s="2">
        <v>0</v>
      </c>
      <c r="F331" s="2">
        <v>0</v>
      </c>
      <c r="G331" s="2">
        <v>0</v>
      </c>
      <c r="H331" s="2">
        <v>0</v>
      </c>
      <c r="I331" s="2">
        <v>0</v>
      </c>
      <c r="J331" s="2">
        <v>0</v>
      </c>
      <c r="K331" s="2">
        <v>0</v>
      </c>
      <c r="L331" s="2">
        <v>0</v>
      </c>
      <c r="M331" s="2">
        <v>0</v>
      </c>
      <c r="N331" s="2">
        <v>0</v>
      </c>
      <c r="O331" s="2">
        <v>0</v>
      </c>
      <c r="P331" s="2">
        <v>0</v>
      </c>
    </row>
    <row r="332" spans="1:18" ht="15.75" x14ac:dyDescent="0.2">
      <c r="A332" s="37"/>
      <c r="B332" s="49"/>
      <c r="C332" s="15" t="s">
        <v>2</v>
      </c>
      <c r="D332" s="2">
        <f t="shared" si="152"/>
        <v>0</v>
      </c>
      <c r="E332" s="2">
        <v>0</v>
      </c>
      <c r="F332" s="2">
        <v>0</v>
      </c>
      <c r="G332" s="2">
        <v>0</v>
      </c>
      <c r="H332" s="2">
        <v>0</v>
      </c>
      <c r="I332" s="2">
        <v>0</v>
      </c>
      <c r="J332" s="2">
        <v>0</v>
      </c>
      <c r="K332" s="2">
        <v>0</v>
      </c>
      <c r="L332" s="2">
        <v>0</v>
      </c>
      <c r="M332" s="2">
        <v>0</v>
      </c>
      <c r="N332" s="2">
        <v>0</v>
      </c>
      <c r="O332" s="2">
        <v>0</v>
      </c>
      <c r="P332" s="2">
        <v>0</v>
      </c>
    </row>
    <row r="333" spans="1:18" ht="15.75" x14ac:dyDescent="0.2">
      <c r="A333" s="37"/>
      <c r="B333" s="49"/>
      <c r="C333" s="15" t="s">
        <v>3</v>
      </c>
      <c r="D333" s="2">
        <f t="shared" si="152"/>
        <v>27987.9</v>
      </c>
      <c r="E333" s="19">
        <v>4261.7</v>
      </c>
      <c r="F333" s="19">
        <v>4159.8</v>
      </c>
      <c r="G333" s="19">
        <v>4208.5</v>
      </c>
      <c r="H333" s="19">
        <v>4395.5</v>
      </c>
      <c r="I333" s="19">
        <f>5054-38.6</f>
        <v>5015.3999999999996</v>
      </c>
      <c r="J333" s="2">
        <f>4981.4+60+838.4-503</f>
        <v>5376.7999999999993</v>
      </c>
      <c r="K333" s="2">
        <f>757.7-187.5</f>
        <v>570.20000000000005</v>
      </c>
      <c r="L333" s="2">
        <v>0</v>
      </c>
      <c r="M333" s="2">
        <v>0</v>
      </c>
      <c r="N333" s="2">
        <v>0</v>
      </c>
      <c r="O333" s="2">
        <f>5910.8-5910.8</f>
        <v>0</v>
      </c>
      <c r="P333" s="2">
        <f>5910.8-5910.8</f>
        <v>0</v>
      </c>
    </row>
    <row r="334" spans="1:18" ht="15.75" customHeight="1" x14ac:dyDescent="0.2">
      <c r="A334" s="37"/>
      <c r="B334" s="49"/>
      <c r="C334" s="15" t="s">
        <v>4</v>
      </c>
      <c r="D334" s="2">
        <f t="shared" si="152"/>
        <v>0</v>
      </c>
      <c r="E334" s="2">
        <v>0</v>
      </c>
      <c r="F334" s="2">
        <v>0</v>
      </c>
      <c r="G334" s="2">
        <v>0</v>
      </c>
      <c r="H334" s="2">
        <v>0</v>
      </c>
      <c r="I334" s="2">
        <v>0</v>
      </c>
      <c r="J334" s="2">
        <v>0</v>
      </c>
      <c r="K334" s="2">
        <v>0</v>
      </c>
      <c r="L334" s="2">
        <v>0</v>
      </c>
      <c r="M334" s="2">
        <v>0</v>
      </c>
      <c r="N334" s="2">
        <v>0</v>
      </c>
      <c r="O334" s="2">
        <v>0</v>
      </c>
      <c r="P334" s="2">
        <v>0</v>
      </c>
    </row>
    <row r="335" spans="1:18" ht="15.75" x14ac:dyDescent="0.2">
      <c r="A335" s="37" t="s">
        <v>50</v>
      </c>
      <c r="B335" s="37" t="s">
        <v>20</v>
      </c>
      <c r="C335" s="15" t="s">
        <v>92</v>
      </c>
      <c r="D335" s="2">
        <f t="shared" si="152"/>
        <v>29580.199999999997</v>
      </c>
      <c r="E335" s="19">
        <f>E336+E337+E338+E339</f>
        <v>29580.199999999997</v>
      </c>
      <c r="F335" s="2">
        <v>0</v>
      </c>
      <c r="G335" s="2">
        <f>G336+G337+G338+G339</f>
        <v>0</v>
      </c>
      <c r="H335" s="2">
        <v>0</v>
      </c>
      <c r="I335" s="2">
        <v>0</v>
      </c>
      <c r="J335" s="2">
        <v>0</v>
      </c>
      <c r="K335" s="2">
        <v>0</v>
      </c>
      <c r="L335" s="19">
        <f>L336+L337+L338+L339</f>
        <v>0</v>
      </c>
      <c r="M335" s="19">
        <f>M336+M337+M338+M339</f>
        <v>0</v>
      </c>
      <c r="N335" s="19">
        <f>N336+N337+N338+N339</f>
        <v>0</v>
      </c>
      <c r="O335" s="2">
        <v>0</v>
      </c>
      <c r="P335" s="2">
        <v>0</v>
      </c>
    </row>
    <row r="336" spans="1:18" ht="15.75" x14ac:dyDescent="0.2">
      <c r="A336" s="37"/>
      <c r="B336" s="40"/>
      <c r="C336" s="15" t="s">
        <v>1</v>
      </c>
      <c r="D336" s="2">
        <f t="shared" si="152"/>
        <v>11115</v>
      </c>
      <c r="E336" s="19">
        <v>11115</v>
      </c>
      <c r="F336" s="2">
        <v>0</v>
      </c>
      <c r="G336" s="2">
        <v>0</v>
      </c>
      <c r="H336" s="2">
        <v>0</v>
      </c>
      <c r="I336" s="2">
        <v>0</v>
      </c>
      <c r="J336" s="2">
        <v>0</v>
      </c>
      <c r="K336" s="2">
        <v>0</v>
      </c>
      <c r="L336" s="2">
        <v>0</v>
      </c>
      <c r="M336" s="2">
        <v>0</v>
      </c>
      <c r="N336" s="2">
        <v>0</v>
      </c>
      <c r="O336" s="2">
        <v>0</v>
      </c>
      <c r="P336" s="2">
        <v>0</v>
      </c>
    </row>
    <row r="337" spans="1:16" ht="15.75" x14ac:dyDescent="0.2">
      <c r="A337" s="37"/>
      <c r="B337" s="40"/>
      <c r="C337" s="15" t="s">
        <v>2</v>
      </c>
      <c r="D337" s="2">
        <f t="shared" si="152"/>
        <v>9232.6</v>
      </c>
      <c r="E337" s="19">
        <v>9232.6</v>
      </c>
      <c r="F337" s="2">
        <v>0</v>
      </c>
      <c r="G337" s="2">
        <v>0</v>
      </c>
      <c r="H337" s="2">
        <v>0</v>
      </c>
      <c r="I337" s="2">
        <v>0</v>
      </c>
      <c r="J337" s="2">
        <v>0</v>
      </c>
      <c r="K337" s="2">
        <v>0</v>
      </c>
      <c r="L337" s="2">
        <v>0</v>
      </c>
      <c r="M337" s="2">
        <v>0</v>
      </c>
      <c r="N337" s="2">
        <v>0</v>
      </c>
      <c r="O337" s="2">
        <v>0</v>
      </c>
      <c r="P337" s="2">
        <v>0</v>
      </c>
    </row>
    <row r="338" spans="1:16" ht="15.75" x14ac:dyDescent="0.2">
      <c r="A338" s="37"/>
      <c r="B338" s="40"/>
      <c r="C338" s="15" t="s">
        <v>3</v>
      </c>
      <c r="D338" s="2">
        <f t="shared" si="152"/>
        <v>9232.6</v>
      </c>
      <c r="E338" s="19">
        <v>9232.6</v>
      </c>
      <c r="F338" s="2">
        <v>0</v>
      </c>
      <c r="G338" s="2">
        <v>0</v>
      </c>
      <c r="H338" s="2">
        <v>0</v>
      </c>
      <c r="I338" s="2">
        <v>0</v>
      </c>
      <c r="J338" s="2">
        <v>0</v>
      </c>
      <c r="K338" s="2">
        <v>0</v>
      </c>
      <c r="L338" s="2">
        <v>0</v>
      </c>
      <c r="M338" s="2">
        <v>0</v>
      </c>
      <c r="N338" s="2">
        <v>0</v>
      </c>
      <c r="O338" s="2">
        <v>0</v>
      </c>
      <c r="P338" s="2">
        <v>0</v>
      </c>
    </row>
    <row r="339" spans="1:16" ht="17.25" customHeight="1" x14ac:dyDescent="0.2">
      <c r="A339" s="37"/>
      <c r="B339" s="40"/>
      <c r="C339" s="15" t="s">
        <v>4</v>
      </c>
      <c r="D339" s="2">
        <f t="shared" si="152"/>
        <v>0</v>
      </c>
      <c r="E339" s="2">
        <v>0</v>
      </c>
      <c r="F339" s="2">
        <v>0</v>
      </c>
      <c r="G339" s="2">
        <v>0</v>
      </c>
      <c r="H339" s="2">
        <v>0</v>
      </c>
      <c r="I339" s="2">
        <v>0</v>
      </c>
      <c r="J339" s="2">
        <v>0</v>
      </c>
      <c r="K339" s="2">
        <v>0</v>
      </c>
      <c r="L339" s="2">
        <v>0</v>
      </c>
      <c r="M339" s="2">
        <v>0</v>
      </c>
      <c r="N339" s="2">
        <v>0</v>
      </c>
      <c r="O339" s="2">
        <v>0</v>
      </c>
      <c r="P339" s="2">
        <v>0</v>
      </c>
    </row>
    <row r="340" spans="1:16" ht="15.75" x14ac:dyDescent="0.2">
      <c r="A340" s="37" t="s">
        <v>59</v>
      </c>
      <c r="B340" s="37" t="s">
        <v>138</v>
      </c>
      <c r="C340" s="15" t="s">
        <v>92</v>
      </c>
      <c r="D340" s="2">
        <f t="shared" si="152"/>
        <v>286.60000000000002</v>
      </c>
      <c r="E340" s="19">
        <f t="shared" ref="E340:N340" si="175">E341+E342+E343+E344</f>
        <v>0</v>
      </c>
      <c r="F340" s="19">
        <f t="shared" si="175"/>
        <v>63.7</v>
      </c>
      <c r="G340" s="19">
        <f t="shared" si="175"/>
        <v>0</v>
      </c>
      <c r="H340" s="19">
        <f t="shared" si="175"/>
        <v>30</v>
      </c>
      <c r="I340" s="19">
        <f t="shared" si="175"/>
        <v>0</v>
      </c>
      <c r="J340" s="19">
        <f t="shared" si="175"/>
        <v>91</v>
      </c>
      <c r="K340" s="19">
        <f t="shared" si="175"/>
        <v>0</v>
      </c>
      <c r="L340" s="19">
        <f>L341+L342+L343+L344</f>
        <v>0</v>
      </c>
      <c r="M340" s="19">
        <f>M341+M342+M343+M344</f>
        <v>101.9</v>
      </c>
      <c r="N340" s="19">
        <f t="shared" si="175"/>
        <v>0</v>
      </c>
      <c r="O340" s="2">
        <v>0</v>
      </c>
      <c r="P340" s="2">
        <v>0</v>
      </c>
    </row>
    <row r="341" spans="1:16" ht="15.75" x14ac:dyDescent="0.2">
      <c r="A341" s="37"/>
      <c r="B341" s="40"/>
      <c r="C341" s="15" t="s">
        <v>1</v>
      </c>
      <c r="D341" s="2">
        <f t="shared" si="152"/>
        <v>0</v>
      </c>
      <c r="E341" s="19">
        <v>0</v>
      </c>
      <c r="F341" s="2">
        <v>0</v>
      </c>
      <c r="G341" s="2">
        <v>0</v>
      </c>
      <c r="H341" s="2">
        <v>0</v>
      </c>
      <c r="I341" s="2">
        <v>0</v>
      </c>
      <c r="J341" s="2">
        <v>0</v>
      </c>
      <c r="K341" s="2">
        <v>0</v>
      </c>
      <c r="L341" s="19">
        <v>0</v>
      </c>
      <c r="M341" s="19">
        <v>0</v>
      </c>
      <c r="N341" s="19">
        <v>0</v>
      </c>
      <c r="O341" s="2">
        <v>0</v>
      </c>
      <c r="P341" s="2">
        <v>0</v>
      </c>
    </row>
    <row r="342" spans="1:16" ht="15.75" x14ac:dyDescent="0.2">
      <c r="A342" s="37"/>
      <c r="B342" s="40"/>
      <c r="C342" s="15" t="s">
        <v>2</v>
      </c>
      <c r="D342" s="2">
        <f t="shared" si="152"/>
        <v>0</v>
      </c>
      <c r="E342" s="19">
        <v>0</v>
      </c>
      <c r="F342" s="2">
        <v>0</v>
      </c>
      <c r="G342" s="2">
        <v>0</v>
      </c>
      <c r="H342" s="2">
        <v>0</v>
      </c>
      <c r="I342" s="2">
        <v>0</v>
      </c>
      <c r="J342" s="2">
        <v>0</v>
      </c>
      <c r="K342" s="2">
        <v>0</v>
      </c>
      <c r="L342" s="19">
        <v>0</v>
      </c>
      <c r="M342" s="19">
        <v>0</v>
      </c>
      <c r="N342" s="19">
        <v>0</v>
      </c>
      <c r="O342" s="2">
        <v>0</v>
      </c>
      <c r="P342" s="2">
        <v>0</v>
      </c>
    </row>
    <row r="343" spans="1:16" ht="15.75" x14ac:dyDescent="0.2">
      <c r="A343" s="37"/>
      <c r="B343" s="40"/>
      <c r="C343" s="15" t="s">
        <v>3</v>
      </c>
      <c r="D343" s="2">
        <f t="shared" si="152"/>
        <v>386.6</v>
      </c>
      <c r="E343" s="19">
        <v>0</v>
      </c>
      <c r="F343" s="2">
        <v>63.7</v>
      </c>
      <c r="G343" s="2">
        <v>0</v>
      </c>
      <c r="H343" s="2">
        <v>30</v>
      </c>
      <c r="I343" s="2">
        <v>0</v>
      </c>
      <c r="J343" s="2">
        <v>91</v>
      </c>
      <c r="K343" s="2">
        <v>0</v>
      </c>
      <c r="L343" s="19">
        <v>0</v>
      </c>
      <c r="M343" s="19">
        <f>0+101.9</f>
        <v>101.9</v>
      </c>
      <c r="N343" s="19">
        <v>0</v>
      </c>
      <c r="O343" s="2">
        <v>100</v>
      </c>
      <c r="P343" s="2">
        <v>0</v>
      </c>
    </row>
    <row r="344" spans="1:16" ht="19.5" customHeight="1" x14ac:dyDescent="0.2">
      <c r="A344" s="37"/>
      <c r="B344" s="40"/>
      <c r="C344" s="15" t="s">
        <v>4</v>
      </c>
      <c r="D344" s="2">
        <f t="shared" si="152"/>
        <v>0</v>
      </c>
      <c r="E344" s="2">
        <v>0</v>
      </c>
      <c r="F344" s="2">
        <v>0</v>
      </c>
      <c r="G344" s="2">
        <v>0</v>
      </c>
      <c r="H344" s="2">
        <v>0</v>
      </c>
      <c r="I344" s="2">
        <v>0</v>
      </c>
      <c r="J344" s="2">
        <v>0</v>
      </c>
      <c r="K344" s="2">
        <v>0</v>
      </c>
      <c r="L344" s="19">
        <v>0</v>
      </c>
      <c r="M344" s="19">
        <v>0</v>
      </c>
      <c r="N344" s="19">
        <v>0</v>
      </c>
      <c r="O344" s="2">
        <v>0</v>
      </c>
      <c r="P344" s="2">
        <v>0</v>
      </c>
    </row>
    <row r="345" spans="1:16" ht="23.25" customHeight="1" x14ac:dyDescent="0.2">
      <c r="A345" s="37" t="s">
        <v>66</v>
      </c>
      <c r="B345" s="37" t="s">
        <v>68</v>
      </c>
      <c r="C345" s="15" t="s">
        <v>92</v>
      </c>
      <c r="D345" s="2">
        <f t="shared" si="152"/>
        <v>1690</v>
      </c>
      <c r="E345" s="19">
        <f>E346+E347+E348+E349</f>
        <v>0</v>
      </c>
      <c r="F345" s="19">
        <f>F346+F347+F348+F349</f>
        <v>0</v>
      </c>
      <c r="G345" s="19">
        <f>G346+G347+G348+G349</f>
        <v>1690</v>
      </c>
      <c r="H345" s="19">
        <f>H346+H347+H348+H349</f>
        <v>0</v>
      </c>
      <c r="I345" s="19">
        <f>I346+I347+I348+I349</f>
        <v>0</v>
      </c>
      <c r="J345" s="2">
        <v>0</v>
      </c>
      <c r="K345" s="2">
        <v>0</v>
      </c>
      <c r="L345" s="19">
        <f>L346+L347+L348+L349</f>
        <v>0</v>
      </c>
      <c r="M345" s="19">
        <f>M346+M347+M348+M349</f>
        <v>0</v>
      </c>
      <c r="N345" s="19">
        <f>N346+N347+N348+N349</f>
        <v>0</v>
      </c>
      <c r="O345" s="2">
        <v>0</v>
      </c>
      <c r="P345" s="2">
        <v>0</v>
      </c>
    </row>
    <row r="346" spans="1:16" ht="15.75" x14ac:dyDescent="0.2">
      <c r="A346" s="37"/>
      <c r="B346" s="40"/>
      <c r="C346" s="15" t="s">
        <v>1</v>
      </c>
      <c r="D346" s="2">
        <f t="shared" si="152"/>
        <v>1600</v>
      </c>
      <c r="E346" s="19">
        <v>0</v>
      </c>
      <c r="F346" s="2">
        <v>0</v>
      </c>
      <c r="G346" s="2">
        <v>1600</v>
      </c>
      <c r="H346" s="2">
        <v>0</v>
      </c>
      <c r="I346" s="2">
        <v>0</v>
      </c>
      <c r="J346" s="2">
        <v>0</v>
      </c>
      <c r="K346" s="2">
        <v>0</v>
      </c>
      <c r="L346" s="19">
        <v>0</v>
      </c>
      <c r="M346" s="19">
        <v>0</v>
      </c>
      <c r="N346" s="19">
        <v>0</v>
      </c>
      <c r="O346" s="2">
        <v>0</v>
      </c>
      <c r="P346" s="2">
        <v>0</v>
      </c>
    </row>
    <row r="347" spans="1:16" ht="15.75" x14ac:dyDescent="0.2">
      <c r="A347" s="37"/>
      <c r="B347" s="40"/>
      <c r="C347" s="15" t="s">
        <v>2</v>
      </c>
      <c r="D347" s="2">
        <f t="shared" si="152"/>
        <v>0</v>
      </c>
      <c r="E347" s="19">
        <v>0</v>
      </c>
      <c r="F347" s="2">
        <v>0</v>
      </c>
      <c r="G347" s="2">
        <v>0</v>
      </c>
      <c r="H347" s="2">
        <v>0</v>
      </c>
      <c r="I347" s="2">
        <v>0</v>
      </c>
      <c r="J347" s="2">
        <v>0</v>
      </c>
      <c r="K347" s="2">
        <v>0</v>
      </c>
      <c r="L347" s="19">
        <v>0</v>
      </c>
      <c r="M347" s="19">
        <v>0</v>
      </c>
      <c r="N347" s="19">
        <v>0</v>
      </c>
      <c r="O347" s="2">
        <v>0</v>
      </c>
      <c r="P347" s="2">
        <v>0</v>
      </c>
    </row>
    <row r="348" spans="1:16" ht="15.75" x14ac:dyDescent="0.2">
      <c r="A348" s="37"/>
      <c r="B348" s="40"/>
      <c r="C348" s="15" t="s">
        <v>3</v>
      </c>
      <c r="D348" s="2">
        <f t="shared" si="152"/>
        <v>90</v>
      </c>
      <c r="E348" s="19">
        <v>0</v>
      </c>
      <c r="F348" s="2">
        <v>0</v>
      </c>
      <c r="G348" s="2">
        <v>90</v>
      </c>
      <c r="H348" s="2">
        <v>0</v>
      </c>
      <c r="I348" s="2">
        <v>0</v>
      </c>
      <c r="J348" s="2">
        <v>0</v>
      </c>
      <c r="K348" s="2">
        <v>0</v>
      </c>
      <c r="L348" s="19">
        <v>0</v>
      </c>
      <c r="M348" s="19">
        <v>0</v>
      </c>
      <c r="N348" s="19">
        <v>0</v>
      </c>
      <c r="O348" s="2">
        <v>0</v>
      </c>
      <c r="P348" s="2">
        <v>0</v>
      </c>
    </row>
    <row r="349" spans="1:16" ht="43.5" customHeight="1" x14ac:dyDescent="0.2">
      <c r="A349" s="37"/>
      <c r="B349" s="40"/>
      <c r="C349" s="15" t="s">
        <v>4</v>
      </c>
      <c r="D349" s="2">
        <f t="shared" si="152"/>
        <v>0</v>
      </c>
      <c r="E349" s="2">
        <v>0</v>
      </c>
      <c r="F349" s="2">
        <v>0</v>
      </c>
      <c r="G349" s="2">
        <v>0</v>
      </c>
      <c r="H349" s="2">
        <v>0</v>
      </c>
      <c r="I349" s="2">
        <v>0</v>
      </c>
      <c r="J349" s="2">
        <v>0</v>
      </c>
      <c r="K349" s="2">
        <v>0</v>
      </c>
      <c r="L349" s="19">
        <v>0</v>
      </c>
      <c r="M349" s="19">
        <v>0</v>
      </c>
      <c r="N349" s="19">
        <v>0</v>
      </c>
      <c r="O349" s="2">
        <v>0</v>
      </c>
      <c r="P349" s="2">
        <v>0</v>
      </c>
    </row>
    <row r="350" spans="1:16" ht="15.75" x14ac:dyDescent="0.2">
      <c r="A350" s="37" t="s">
        <v>163</v>
      </c>
      <c r="B350" s="37" t="s">
        <v>137</v>
      </c>
      <c r="C350" s="15" t="s">
        <v>92</v>
      </c>
      <c r="D350" s="2">
        <f t="shared" si="152"/>
        <v>275465.7</v>
      </c>
      <c r="E350" s="19">
        <f>E351+E352+E353+E354</f>
        <v>0</v>
      </c>
      <c r="F350" s="19">
        <f t="shared" ref="F350:O350" si="176">F351+F352+F353+F354</f>
        <v>0</v>
      </c>
      <c r="G350" s="19">
        <f t="shared" si="176"/>
        <v>0</v>
      </c>
      <c r="H350" s="19">
        <f t="shared" si="176"/>
        <v>0</v>
      </c>
      <c r="I350" s="19">
        <f t="shared" si="176"/>
        <v>0</v>
      </c>
      <c r="J350" s="19">
        <f t="shared" si="176"/>
        <v>18127.400000000001</v>
      </c>
      <c r="K350" s="19">
        <f>K351+K352+K353+K354</f>
        <v>32627.8</v>
      </c>
      <c r="L350" s="19">
        <f>L351+L352+L353+L354</f>
        <v>101683.5</v>
      </c>
      <c r="M350" s="19">
        <f>M351+M352+M353+M354</f>
        <v>74361.7</v>
      </c>
      <c r="N350" s="19">
        <f t="shared" si="176"/>
        <v>48665.3</v>
      </c>
      <c r="O350" s="19">
        <f t="shared" si="176"/>
        <v>0</v>
      </c>
      <c r="P350" s="19">
        <f t="shared" ref="P350" si="177">P351+P352+P353+P354</f>
        <v>0</v>
      </c>
    </row>
    <row r="351" spans="1:16" ht="15.75" x14ac:dyDescent="0.2">
      <c r="A351" s="37"/>
      <c r="B351" s="40"/>
      <c r="C351" s="15" t="s">
        <v>1</v>
      </c>
      <c r="D351" s="2">
        <f t="shared" si="152"/>
        <v>0</v>
      </c>
      <c r="E351" s="2">
        <v>0</v>
      </c>
      <c r="F351" s="2">
        <v>0</v>
      </c>
      <c r="G351" s="2">
        <v>0</v>
      </c>
      <c r="H351" s="2">
        <v>0</v>
      </c>
      <c r="I351" s="2">
        <v>0</v>
      </c>
      <c r="J351" s="2">
        <v>0</v>
      </c>
      <c r="K351" s="2">
        <v>0</v>
      </c>
      <c r="L351" s="2">
        <v>0</v>
      </c>
      <c r="M351" s="2">
        <v>0</v>
      </c>
      <c r="N351" s="2">
        <v>0</v>
      </c>
      <c r="O351" s="2">
        <v>0</v>
      </c>
      <c r="P351" s="2">
        <v>0</v>
      </c>
    </row>
    <row r="352" spans="1:16" ht="15.75" x14ac:dyDescent="0.2">
      <c r="A352" s="37"/>
      <c r="B352" s="40"/>
      <c r="C352" s="15" t="s">
        <v>2</v>
      </c>
      <c r="D352" s="2">
        <f t="shared" si="152"/>
        <v>230051.20000000001</v>
      </c>
      <c r="E352" s="2">
        <v>0</v>
      </c>
      <c r="F352" s="2">
        <v>0</v>
      </c>
      <c r="G352" s="2">
        <v>0</v>
      </c>
      <c r="H352" s="2">
        <v>0</v>
      </c>
      <c r="I352" s="2">
        <v>0</v>
      </c>
      <c r="J352" s="2">
        <v>12354.5</v>
      </c>
      <c r="K352" s="19">
        <v>24551.200000000001</v>
      </c>
      <c r="L352" s="19">
        <f>31162+46365</f>
        <v>77527</v>
      </c>
      <c r="M352" s="2">
        <f>23525+46365</f>
        <v>69890</v>
      </c>
      <c r="N352" s="2">
        <f>46365-636.5</f>
        <v>45728.5</v>
      </c>
      <c r="O352" s="2">
        <v>0</v>
      </c>
      <c r="P352" s="2">
        <v>0</v>
      </c>
    </row>
    <row r="353" spans="1:16" ht="15.75" x14ac:dyDescent="0.2">
      <c r="A353" s="37"/>
      <c r="B353" s="40"/>
      <c r="C353" s="15" t="s">
        <v>3</v>
      </c>
      <c r="D353" s="2">
        <f t="shared" si="152"/>
        <v>45414.5</v>
      </c>
      <c r="E353" s="19">
        <v>0</v>
      </c>
      <c r="F353" s="19">
        <v>0</v>
      </c>
      <c r="G353" s="19">
        <v>0</v>
      </c>
      <c r="H353" s="19">
        <v>0</v>
      </c>
      <c r="I353" s="19">
        <v>0</v>
      </c>
      <c r="J353" s="19">
        <f>5772.9</f>
        <v>5772.9</v>
      </c>
      <c r="K353" s="19">
        <f>10804.7-180.7-2547.3-0.1</f>
        <v>8076.5999999999995</v>
      </c>
      <c r="L353" s="19">
        <f>2127.8-138.7+20998.4-0.1+1561+1600-1986.9-5</f>
        <v>24156.5</v>
      </c>
      <c r="M353" s="19">
        <f>1501.6+2959.4+0.1+10.6</f>
        <v>4471.7000000000007</v>
      </c>
      <c r="N353" s="36">
        <f>2959.5-40.7+18</f>
        <v>2936.8</v>
      </c>
      <c r="O353" s="19">
        <v>0</v>
      </c>
      <c r="P353" s="19">
        <v>0</v>
      </c>
    </row>
    <row r="354" spans="1:16" ht="18" customHeight="1" x14ac:dyDescent="0.2">
      <c r="A354" s="37"/>
      <c r="B354" s="40"/>
      <c r="C354" s="15" t="s">
        <v>4</v>
      </c>
      <c r="D354" s="2">
        <f t="shared" si="152"/>
        <v>0</v>
      </c>
      <c r="E354" s="2">
        <v>0</v>
      </c>
      <c r="F354" s="2">
        <v>0</v>
      </c>
      <c r="G354" s="2">
        <v>0</v>
      </c>
      <c r="H354" s="2">
        <v>0</v>
      </c>
      <c r="I354" s="2">
        <v>0</v>
      </c>
      <c r="J354" s="2">
        <v>0</v>
      </c>
      <c r="K354" s="2">
        <v>0</v>
      </c>
      <c r="L354" s="2">
        <v>0</v>
      </c>
      <c r="M354" s="2">
        <v>0</v>
      </c>
      <c r="N354" s="2">
        <v>0</v>
      </c>
      <c r="O354" s="2">
        <v>0</v>
      </c>
      <c r="P354" s="2">
        <v>0</v>
      </c>
    </row>
    <row r="355" spans="1:16" ht="15.75" x14ac:dyDescent="0.2">
      <c r="A355" s="37" t="s">
        <v>117</v>
      </c>
      <c r="B355" s="37" t="s">
        <v>121</v>
      </c>
      <c r="C355" s="15" t="s">
        <v>92</v>
      </c>
      <c r="D355" s="2">
        <f t="shared" si="152"/>
        <v>10217.400000000001</v>
      </c>
      <c r="E355" s="19">
        <f t="shared" ref="E355:O355" si="178">E356+E357+E358+E359</f>
        <v>0</v>
      </c>
      <c r="F355" s="19">
        <f t="shared" si="178"/>
        <v>0</v>
      </c>
      <c r="G355" s="19">
        <f t="shared" si="178"/>
        <v>0</v>
      </c>
      <c r="H355" s="19">
        <f t="shared" si="178"/>
        <v>0</v>
      </c>
      <c r="I355" s="19">
        <f t="shared" si="178"/>
        <v>0</v>
      </c>
      <c r="J355" s="19">
        <f t="shared" si="178"/>
        <v>0</v>
      </c>
      <c r="K355" s="19">
        <f t="shared" si="178"/>
        <v>10217.400000000001</v>
      </c>
      <c r="L355" s="19">
        <f t="shared" si="178"/>
        <v>0</v>
      </c>
      <c r="M355" s="19">
        <f t="shared" si="178"/>
        <v>0</v>
      </c>
      <c r="N355" s="19">
        <f t="shared" si="178"/>
        <v>0</v>
      </c>
      <c r="O355" s="19">
        <f t="shared" si="178"/>
        <v>0</v>
      </c>
      <c r="P355" s="19">
        <f t="shared" ref="P355" si="179">P356+P357+P358+P359</f>
        <v>0</v>
      </c>
    </row>
    <row r="356" spans="1:16" ht="15.75" x14ac:dyDescent="0.2">
      <c r="A356" s="37"/>
      <c r="B356" s="40"/>
      <c r="C356" s="15" t="s">
        <v>1</v>
      </c>
      <c r="D356" s="2">
        <f t="shared" si="152"/>
        <v>0</v>
      </c>
      <c r="E356" s="2">
        <v>0</v>
      </c>
      <c r="F356" s="2">
        <v>0</v>
      </c>
      <c r="G356" s="2">
        <v>0</v>
      </c>
      <c r="H356" s="2">
        <v>0</v>
      </c>
      <c r="I356" s="2">
        <v>0</v>
      </c>
      <c r="J356" s="2">
        <v>0</v>
      </c>
      <c r="K356" s="2">
        <v>0</v>
      </c>
      <c r="L356" s="2">
        <v>0</v>
      </c>
      <c r="M356" s="2">
        <v>0</v>
      </c>
      <c r="N356" s="2">
        <v>0</v>
      </c>
      <c r="O356" s="2">
        <v>0</v>
      </c>
      <c r="P356" s="2">
        <v>0</v>
      </c>
    </row>
    <row r="357" spans="1:16" ht="15.75" x14ac:dyDescent="0.2">
      <c r="A357" s="37"/>
      <c r="B357" s="40"/>
      <c r="C357" s="15" t="s">
        <v>2</v>
      </c>
      <c r="D357" s="2">
        <f t="shared" si="152"/>
        <v>0</v>
      </c>
      <c r="E357" s="2">
        <v>0</v>
      </c>
      <c r="F357" s="2">
        <v>0</v>
      </c>
      <c r="G357" s="2">
        <v>0</v>
      </c>
      <c r="H357" s="2">
        <v>0</v>
      </c>
      <c r="I357" s="2">
        <v>0</v>
      </c>
      <c r="J357" s="2">
        <v>0</v>
      </c>
      <c r="K357" s="19">
        <v>0</v>
      </c>
      <c r="L357" s="19">
        <v>0</v>
      </c>
      <c r="M357" s="2">
        <v>0</v>
      </c>
      <c r="N357" s="2">
        <v>0</v>
      </c>
      <c r="O357" s="2">
        <v>0</v>
      </c>
      <c r="P357" s="2">
        <v>0</v>
      </c>
    </row>
    <row r="358" spans="1:16" ht="15.75" x14ac:dyDescent="0.2">
      <c r="A358" s="37"/>
      <c r="B358" s="40"/>
      <c r="C358" s="15" t="s">
        <v>3</v>
      </c>
      <c r="D358" s="2">
        <f t="shared" si="152"/>
        <v>10217.400000000001</v>
      </c>
      <c r="E358" s="19">
        <v>0</v>
      </c>
      <c r="F358" s="19">
        <v>0</v>
      </c>
      <c r="G358" s="19">
        <v>0</v>
      </c>
      <c r="H358" s="19">
        <v>0</v>
      </c>
      <c r="I358" s="19">
        <v>0</v>
      </c>
      <c r="J358" s="19">
        <v>0</v>
      </c>
      <c r="K358" s="19">
        <f>11041.7-824.3</f>
        <v>10217.400000000001</v>
      </c>
      <c r="L358" s="19">
        <v>0</v>
      </c>
      <c r="M358" s="19">
        <v>0</v>
      </c>
      <c r="N358" s="19">
        <v>0</v>
      </c>
      <c r="O358" s="19">
        <v>0</v>
      </c>
      <c r="P358" s="19">
        <v>0</v>
      </c>
    </row>
    <row r="359" spans="1:16" ht="27.75" customHeight="1" x14ac:dyDescent="0.2">
      <c r="A359" s="37"/>
      <c r="B359" s="40"/>
      <c r="C359" s="15" t="s">
        <v>4</v>
      </c>
      <c r="D359" s="2">
        <f t="shared" si="152"/>
        <v>0</v>
      </c>
      <c r="E359" s="2">
        <v>0</v>
      </c>
      <c r="F359" s="2">
        <v>0</v>
      </c>
      <c r="G359" s="2">
        <v>0</v>
      </c>
      <c r="H359" s="2">
        <v>0</v>
      </c>
      <c r="I359" s="2">
        <v>0</v>
      </c>
      <c r="J359" s="2">
        <v>0</v>
      </c>
      <c r="K359" s="2">
        <v>0</v>
      </c>
      <c r="L359" s="2">
        <v>0</v>
      </c>
      <c r="M359" s="2">
        <v>0</v>
      </c>
      <c r="N359" s="2">
        <v>0</v>
      </c>
      <c r="O359" s="2">
        <v>0</v>
      </c>
      <c r="P359" s="2">
        <v>0</v>
      </c>
    </row>
    <row r="360" spans="1:16" ht="15.75" x14ac:dyDescent="0.2">
      <c r="A360" s="37" t="s">
        <v>131</v>
      </c>
      <c r="B360" s="37" t="s">
        <v>132</v>
      </c>
      <c r="C360" s="15" t="s">
        <v>92</v>
      </c>
      <c r="D360" s="2">
        <f t="shared" si="152"/>
        <v>48332.899999999994</v>
      </c>
      <c r="E360" s="19">
        <f t="shared" ref="E360:O360" si="180">E361+E362+E363+E364</f>
        <v>0</v>
      </c>
      <c r="F360" s="19">
        <f t="shared" si="180"/>
        <v>0</v>
      </c>
      <c r="G360" s="19">
        <f t="shared" si="180"/>
        <v>0</v>
      </c>
      <c r="H360" s="19">
        <f t="shared" si="180"/>
        <v>0</v>
      </c>
      <c r="I360" s="19">
        <f t="shared" si="180"/>
        <v>0</v>
      </c>
      <c r="J360" s="19">
        <f t="shared" si="180"/>
        <v>0</v>
      </c>
      <c r="K360" s="19">
        <f t="shared" si="180"/>
        <v>0</v>
      </c>
      <c r="L360" s="19">
        <f t="shared" si="180"/>
        <v>0.1</v>
      </c>
      <c r="M360" s="19">
        <f t="shared" si="180"/>
        <v>0.1</v>
      </c>
      <c r="N360" s="19">
        <f t="shared" si="180"/>
        <v>0.1</v>
      </c>
      <c r="O360" s="19">
        <f t="shared" si="180"/>
        <v>24166.3</v>
      </c>
      <c r="P360" s="19">
        <f t="shared" ref="P360" si="181">P361+P362+P363+P364</f>
        <v>24166.3</v>
      </c>
    </row>
    <row r="361" spans="1:16" ht="15.75" x14ac:dyDescent="0.2">
      <c r="A361" s="37"/>
      <c r="B361" s="40"/>
      <c r="C361" s="15" t="s">
        <v>1</v>
      </c>
      <c r="D361" s="2">
        <f t="shared" ref="D361:D374" si="182">E361+F361+G361+H361+I361+J361+K361+L361+M361+N361+O361+P361</f>
        <v>0</v>
      </c>
      <c r="E361" s="2">
        <v>0</v>
      </c>
      <c r="F361" s="2">
        <v>0</v>
      </c>
      <c r="G361" s="2">
        <v>0</v>
      </c>
      <c r="H361" s="2">
        <v>0</v>
      </c>
      <c r="I361" s="2">
        <v>0</v>
      </c>
      <c r="J361" s="2">
        <v>0</v>
      </c>
      <c r="K361" s="2">
        <v>0</v>
      </c>
      <c r="L361" s="2">
        <v>0</v>
      </c>
      <c r="M361" s="2">
        <v>0</v>
      </c>
      <c r="N361" s="2">
        <v>0</v>
      </c>
      <c r="O361" s="2">
        <v>0</v>
      </c>
      <c r="P361" s="2">
        <v>0</v>
      </c>
    </row>
    <row r="362" spans="1:16" ht="15.75" x14ac:dyDescent="0.2">
      <c r="A362" s="37"/>
      <c r="B362" s="40"/>
      <c r="C362" s="15" t="s">
        <v>2</v>
      </c>
      <c r="D362" s="2">
        <f t="shared" si="182"/>
        <v>0</v>
      </c>
      <c r="E362" s="2">
        <v>0</v>
      </c>
      <c r="F362" s="2">
        <v>0</v>
      </c>
      <c r="G362" s="2">
        <v>0</v>
      </c>
      <c r="H362" s="2">
        <v>0</v>
      </c>
      <c r="I362" s="2">
        <v>0</v>
      </c>
      <c r="J362" s="2">
        <v>0</v>
      </c>
      <c r="K362" s="19">
        <v>0</v>
      </c>
      <c r="L362" s="19">
        <v>0</v>
      </c>
      <c r="M362" s="2">
        <v>0</v>
      </c>
      <c r="N362" s="2">
        <v>0</v>
      </c>
      <c r="O362" s="2">
        <v>0</v>
      </c>
      <c r="P362" s="2">
        <v>0</v>
      </c>
    </row>
    <row r="363" spans="1:16" ht="15.75" x14ac:dyDescent="0.2">
      <c r="A363" s="37"/>
      <c r="B363" s="40"/>
      <c r="C363" s="15" t="s">
        <v>3</v>
      </c>
      <c r="D363" s="2">
        <f t="shared" si="182"/>
        <v>48332.899999999994</v>
      </c>
      <c r="E363" s="19">
        <v>0</v>
      </c>
      <c r="F363" s="19">
        <v>0</v>
      </c>
      <c r="G363" s="19">
        <v>0</v>
      </c>
      <c r="H363" s="19">
        <v>0</v>
      </c>
      <c r="I363" s="19">
        <v>0</v>
      </c>
      <c r="J363" s="19">
        <v>0</v>
      </c>
      <c r="K363" s="19">
        <v>0</v>
      </c>
      <c r="L363" s="19">
        <v>0.1</v>
      </c>
      <c r="M363" s="19">
        <v>0.1</v>
      </c>
      <c r="N363" s="19">
        <v>0.1</v>
      </c>
      <c r="O363" s="19">
        <f>0.1+24166.2</f>
        <v>24166.3</v>
      </c>
      <c r="P363" s="19">
        <v>24166.3</v>
      </c>
    </row>
    <row r="364" spans="1:16" ht="27.75" customHeight="1" x14ac:dyDescent="0.2">
      <c r="A364" s="37"/>
      <c r="B364" s="40"/>
      <c r="C364" s="15" t="s">
        <v>4</v>
      </c>
      <c r="D364" s="2">
        <f t="shared" si="182"/>
        <v>0</v>
      </c>
      <c r="E364" s="2">
        <v>0</v>
      </c>
      <c r="F364" s="2">
        <v>0</v>
      </c>
      <c r="G364" s="2">
        <v>0</v>
      </c>
      <c r="H364" s="2">
        <v>0</v>
      </c>
      <c r="I364" s="2">
        <v>0</v>
      </c>
      <c r="J364" s="2">
        <v>0</v>
      </c>
      <c r="K364" s="2">
        <v>0</v>
      </c>
      <c r="L364" s="2">
        <v>0</v>
      </c>
      <c r="M364" s="2">
        <v>0</v>
      </c>
      <c r="N364" s="2">
        <v>0</v>
      </c>
      <c r="O364" s="2">
        <v>0</v>
      </c>
      <c r="P364" s="2">
        <v>0</v>
      </c>
    </row>
    <row r="365" spans="1:16" ht="27.75" customHeight="1" x14ac:dyDescent="0.2">
      <c r="A365" s="37" t="s">
        <v>135</v>
      </c>
      <c r="B365" s="37" t="s">
        <v>136</v>
      </c>
      <c r="C365" s="15" t="s">
        <v>92</v>
      </c>
      <c r="D365" s="2">
        <f t="shared" si="182"/>
        <v>78454.600000000006</v>
      </c>
      <c r="E365" s="19">
        <f t="shared" ref="E365:O365" si="183">E366+E367+E368+E369</f>
        <v>0</v>
      </c>
      <c r="F365" s="19">
        <f t="shared" si="183"/>
        <v>0</v>
      </c>
      <c r="G365" s="19">
        <f t="shared" si="183"/>
        <v>0</v>
      </c>
      <c r="H365" s="19">
        <f t="shared" si="183"/>
        <v>0</v>
      </c>
      <c r="I365" s="19">
        <f t="shared" si="183"/>
        <v>0</v>
      </c>
      <c r="J365" s="19">
        <f t="shared" si="183"/>
        <v>0</v>
      </c>
      <c r="K365" s="19">
        <f t="shared" si="183"/>
        <v>0</v>
      </c>
      <c r="L365" s="19">
        <f t="shared" si="183"/>
        <v>78454.600000000006</v>
      </c>
      <c r="M365" s="19">
        <f t="shared" si="183"/>
        <v>0</v>
      </c>
      <c r="N365" s="19">
        <f t="shared" si="183"/>
        <v>0</v>
      </c>
      <c r="O365" s="19">
        <f t="shared" si="183"/>
        <v>0</v>
      </c>
      <c r="P365" s="19">
        <f t="shared" ref="P365" si="184">P366+P367+P368+P369</f>
        <v>0</v>
      </c>
    </row>
    <row r="366" spans="1:16" ht="27.75" customHeight="1" x14ac:dyDescent="0.2">
      <c r="A366" s="37"/>
      <c r="B366" s="40"/>
      <c r="C366" s="15" t="s">
        <v>1</v>
      </c>
      <c r="D366" s="2">
        <f t="shared" si="182"/>
        <v>77500</v>
      </c>
      <c r="E366" s="2">
        <v>0</v>
      </c>
      <c r="F366" s="2">
        <v>0</v>
      </c>
      <c r="G366" s="2">
        <v>0</v>
      </c>
      <c r="H366" s="2">
        <v>0</v>
      </c>
      <c r="I366" s="2">
        <v>0</v>
      </c>
      <c r="J366" s="2">
        <v>0</v>
      </c>
      <c r="K366" s="2">
        <v>0</v>
      </c>
      <c r="L366" s="2">
        <v>77500</v>
      </c>
      <c r="M366" s="2">
        <v>0</v>
      </c>
      <c r="N366" s="2">
        <v>0</v>
      </c>
      <c r="O366" s="2">
        <v>0</v>
      </c>
      <c r="P366" s="2">
        <v>0</v>
      </c>
    </row>
    <row r="367" spans="1:16" ht="27.75" customHeight="1" x14ac:dyDescent="0.2">
      <c r="A367" s="37"/>
      <c r="B367" s="40"/>
      <c r="C367" s="15" t="s">
        <v>2</v>
      </c>
      <c r="D367" s="2">
        <f t="shared" si="182"/>
        <v>0</v>
      </c>
      <c r="E367" s="2">
        <v>0</v>
      </c>
      <c r="F367" s="2">
        <v>0</v>
      </c>
      <c r="G367" s="2">
        <v>0</v>
      </c>
      <c r="H367" s="2">
        <v>0</v>
      </c>
      <c r="I367" s="2">
        <v>0</v>
      </c>
      <c r="J367" s="2">
        <v>0</v>
      </c>
      <c r="K367" s="19">
        <v>0</v>
      </c>
      <c r="L367" s="19">
        <v>0</v>
      </c>
      <c r="M367" s="2">
        <v>0</v>
      </c>
      <c r="N367" s="2">
        <v>0</v>
      </c>
      <c r="O367" s="2">
        <v>0</v>
      </c>
      <c r="P367" s="2">
        <v>0</v>
      </c>
    </row>
    <row r="368" spans="1:16" ht="27.75" customHeight="1" x14ac:dyDescent="0.2">
      <c r="A368" s="37"/>
      <c r="B368" s="40"/>
      <c r="C368" s="15" t="s">
        <v>3</v>
      </c>
      <c r="D368" s="2">
        <f t="shared" si="182"/>
        <v>954.6</v>
      </c>
      <c r="E368" s="19">
        <v>0</v>
      </c>
      <c r="F368" s="19">
        <v>0</v>
      </c>
      <c r="G368" s="19">
        <v>0</v>
      </c>
      <c r="H368" s="19">
        <v>0</v>
      </c>
      <c r="I368" s="19">
        <v>0</v>
      </c>
      <c r="J368" s="19">
        <v>0</v>
      </c>
      <c r="K368" s="19">
        <v>0</v>
      </c>
      <c r="L368" s="19">
        <v>954.6</v>
      </c>
      <c r="M368" s="19">
        <v>0</v>
      </c>
      <c r="N368" s="19">
        <v>0</v>
      </c>
      <c r="O368" s="19">
        <v>0</v>
      </c>
      <c r="P368" s="19">
        <v>0</v>
      </c>
    </row>
    <row r="369" spans="1:16" ht="27.75" customHeight="1" x14ac:dyDescent="0.2">
      <c r="A369" s="37"/>
      <c r="B369" s="40"/>
      <c r="C369" s="15" t="s">
        <v>4</v>
      </c>
      <c r="D369" s="2">
        <f t="shared" si="182"/>
        <v>0</v>
      </c>
      <c r="E369" s="2">
        <v>0</v>
      </c>
      <c r="F369" s="2">
        <v>0</v>
      </c>
      <c r="G369" s="2">
        <v>0</v>
      </c>
      <c r="H369" s="2">
        <v>0</v>
      </c>
      <c r="I369" s="2">
        <v>0</v>
      </c>
      <c r="J369" s="2">
        <v>0</v>
      </c>
      <c r="K369" s="2">
        <v>0</v>
      </c>
      <c r="L369" s="2">
        <v>0</v>
      </c>
      <c r="M369" s="2">
        <v>0</v>
      </c>
      <c r="N369" s="2">
        <v>0</v>
      </c>
      <c r="O369" s="2">
        <v>0</v>
      </c>
      <c r="P369" s="2">
        <v>0</v>
      </c>
    </row>
    <row r="370" spans="1:16" ht="27.75" customHeight="1" x14ac:dyDescent="0.2">
      <c r="A370" s="41" t="s">
        <v>147</v>
      </c>
      <c r="B370" s="44" t="s">
        <v>145</v>
      </c>
      <c r="C370" s="15" t="s">
        <v>92</v>
      </c>
      <c r="D370" s="2">
        <f t="shared" si="182"/>
        <v>143914.6</v>
      </c>
      <c r="E370" s="2">
        <f>E371+E372+E373+E374</f>
        <v>0</v>
      </c>
      <c r="F370" s="2">
        <f t="shared" ref="F370:O370" si="185">F371+F372+F373+F374</f>
        <v>0</v>
      </c>
      <c r="G370" s="2">
        <f t="shared" si="185"/>
        <v>0</v>
      </c>
      <c r="H370" s="2">
        <f t="shared" si="185"/>
        <v>0</v>
      </c>
      <c r="I370" s="2">
        <f t="shared" si="185"/>
        <v>0</v>
      </c>
      <c r="J370" s="2">
        <f t="shared" si="185"/>
        <v>0</v>
      </c>
      <c r="K370" s="2">
        <f t="shared" si="185"/>
        <v>0</v>
      </c>
      <c r="L370" s="2">
        <f t="shared" si="185"/>
        <v>0</v>
      </c>
      <c r="M370" s="2">
        <f t="shared" si="185"/>
        <v>143914.6</v>
      </c>
      <c r="N370" s="2">
        <f t="shared" si="185"/>
        <v>0</v>
      </c>
      <c r="O370" s="2">
        <f t="shared" si="185"/>
        <v>0</v>
      </c>
      <c r="P370" s="2">
        <f t="shared" ref="P370" si="186">P371+P372+P373+P374</f>
        <v>0</v>
      </c>
    </row>
    <row r="371" spans="1:16" ht="27.75" customHeight="1" x14ac:dyDescent="0.2">
      <c r="A371" s="42"/>
      <c r="B371" s="45"/>
      <c r="C371" s="15" t="s">
        <v>1</v>
      </c>
      <c r="D371" s="2">
        <f t="shared" si="182"/>
        <v>0</v>
      </c>
      <c r="E371" s="2">
        <v>0</v>
      </c>
      <c r="F371" s="2">
        <v>0</v>
      </c>
      <c r="G371" s="2">
        <v>0</v>
      </c>
      <c r="H371" s="2">
        <v>0</v>
      </c>
      <c r="I371" s="2">
        <v>0</v>
      </c>
      <c r="J371" s="2">
        <v>0</v>
      </c>
      <c r="K371" s="2">
        <v>0</v>
      </c>
      <c r="L371" s="2">
        <v>0</v>
      </c>
      <c r="M371" s="2">
        <v>0</v>
      </c>
      <c r="N371" s="2">
        <v>0</v>
      </c>
      <c r="O371" s="2">
        <v>0</v>
      </c>
      <c r="P371" s="2">
        <v>0</v>
      </c>
    </row>
    <row r="372" spans="1:16" ht="27.75" customHeight="1" x14ac:dyDescent="0.2">
      <c r="A372" s="42"/>
      <c r="B372" s="45"/>
      <c r="C372" s="15" t="s">
        <v>2</v>
      </c>
      <c r="D372" s="2">
        <f t="shared" si="182"/>
        <v>143914.6</v>
      </c>
      <c r="E372" s="2">
        <v>0</v>
      </c>
      <c r="F372" s="2">
        <v>0</v>
      </c>
      <c r="G372" s="2">
        <v>0</v>
      </c>
      <c r="H372" s="2">
        <v>0</v>
      </c>
      <c r="I372" s="2">
        <v>0</v>
      </c>
      <c r="J372" s="2">
        <v>0</v>
      </c>
      <c r="K372" s="2">
        <v>0</v>
      </c>
      <c r="L372" s="2">
        <v>0</v>
      </c>
      <c r="M372" s="2">
        <v>143914.6</v>
      </c>
      <c r="N372" s="2">
        <v>0</v>
      </c>
      <c r="O372" s="2">
        <v>0</v>
      </c>
      <c r="P372" s="2">
        <v>0</v>
      </c>
    </row>
    <row r="373" spans="1:16" ht="27.75" customHeight="1" x14ac:dyDescent="0.2">
      <c r="A373" s="42"/>
      <c r="B373" s="45"/>
      <c r="C373" s="15" t="s">
        <v>3</v>
      </c>
      <c r="D373" s="2">
        <f t="shared" si="182"/>
        <v>0</v>
      </c>
      <c r="E373" s="2">
        <v>0</v>
      </c>
      <c r="F373" s="2">
        <v>0</v>
      </c>
      <c r="G373" s="2">
        <v>0</v>
      </c>
      <c r="H373" s="2">
        <v>0</v>
      </c>
      <c r="I373" s="2">
        <v>0</v>
      </c>
      <c r="J373" s="2">
        <v>0</v>
      </c>
      <c r="K373" s="2">
        <v>0</v>
      </c>
      <c r="L373" s="2">
        <v>0</v>
      </c>
      <c r="M373" s="2">
        <v>0</v>
      </c>
      <c r="N373" s="2">
        <v>0</v>
      </c>
      <c r="O373" s="2">
        <v>0</v>
      </c>
      <c r="P373" s="2">
        <v>0</v>
      </c>
    </row>
    <row r="374" spans="1:16" ht="27.75" customHeight="1" x14ac:dyDescent="0.2">
      <c r="A374" s="43"/>
      <c r="B374" s="46"/>
      <c r="C374" s="15" t="s">
        <v>4</v>
      </c>
      <c r="D374" s="2">
        <f t="shared" si="182"/>
        <v>0</v>
      </c>
      <c r="E374" s="2">
        <v>0</v>
      </c>
      <c r="F374" s="2">
        <v>0</v>
      </c>
      <c r="G374" s="2">
        <v>0</v>
      </c>
      <c r="H374" s="2">
        <v>0</v>
      </c>
      <c r="I374" s="2">
        <v>0</v>
      </c>
      <c r="J374" s="2">
        <v>0</v>
      </c>
      <c r="K374" s="2">
        <v>0</v>
      </c>
      <c r="L374" s="2">
        <v>0</v>
      </c>
      <c r="M374" s="2">
        <v>0</v>
      </c>
      <c r="N374" s="2">
        <v>0</v>
      </c>
      <c r="O374" s="2">
        <v>0</v>
      </c>
      <c r="P374" s="2">
        <v>0</v>
      </c>
    </row>
    <row r="375" spans="1:16" ht="27.75" customHeight="1" x14ac:dyDescent="0.2">
      <c r="A375" s="41" t="s">
        <v>159</v>
      </c>
      <c r="B375" s="44" t="s">
        <v>160</v>
      </c>
      <c r="C375" s="15" t="s">
        <v>92</v>
      </c>
      <c r="D375" s="2">
        <f t="shared" ref="D375:D379" si="187">E375+F375+G375+H375+I375+J375+K375+L375+M375+N375+O375+P375</f>
        <v>192961.6</v>
      </c>
      <c r="E375" s="2">
        <f>E376+E377+E378+E379</f>
        <v>0</v>
      </c>
      <c r="F375" s="2">
        <f t="shared" ref="F375:P375" si="188">F376+F377+F378+F379</f>
        <v>0</v>
      </c>
      <c r="G375" s="2">
        <f t="shared" si="188"/>
        <v>0</v>
      </c>
      <c r="H375" s="2">
        <f t="shared" si="188"/>
        <v>0</v>
      </c>
      <c r="I375" s="2">
        <f t="shared" si="188"/>
        <v>0</v>
      </c>
      <c r="J375" s="2">
        <f t="shared" si="188"/>
        <v>0</v>
      </c>
      <c r="K375" s="2">
        <f t="shared" si="188"/>
        <v>0</v>
      </c>
      <c r="L375" s="2">
        <f t="shared" si="188"/>
        <v>0</v>
      </c>
      <c r="M375" s="2">
        <f t="shared" si="188"/>
        <v>0</v>
      </c>
      <c r="N375" s="2">
        <f t="shared" si="188"/>
        <v>192961.6</v>
      </c>
      <c r="O375" s="2">
        <f t="shared" si="188"/>
        <v>0</v>
      </c>
      <c r="P375" s="2">
        <f t="shared" si="188"/>
        <v>0</v>
      </c>
    </row>
    <row r="376" spans="1:16" ht="27.75" customHeight="1" x14ac:dyDescent="0.2">
      <c r="A376" s="42"/>
      <c r="B376" s="45"/>
      <c r="C376" s="15" t="s">
        <v>1</v>
      </c>
      <c r="D376" s="2">
        <f t="shared" si="187"/>
        <v>0</v>
      </c>
      <c r="E376" s="2">
        <v>0</v>
      </c>
      <c r="F376" s="2">
        <v>0</v>
      </c>
      <c r="G376" s="2">
        <v>0</v>
      </c>
      <c r="H376" s="2">
        <v>0</v>
      </c>
      <c r="I376" s="2">
        <v>0</v>
      </c>
      <c r="J376" s="2">
        <v>0</v>
      </c>
      <c r="K376" s="2">
        <v>0</v>
      </c>
      <c r="L376" s="2">
        <v>0</v>
      </c>
      <c r="M376" s="2">
        <v>0</v>
      </c>
      <c r="N376" s="2">
        <v>0</v>
      </c>
      <c r="O376" s="2">
        <v>0</v>
      </c>
      <c r="P376" s="2">
        <v>0</v>
      </c>
    </row>
    <row r="377" spans="1:16" ht="27.75" customHeight="1" x14ac:dyDescent="0.2">
      <c r="A377" s="42"/>
      <c r="B377" s="45"/>
      <c r="C377" s="15" t="s">
        <v>2</v>
      </c>
      <c r="D377" s="2">
        <f t="shared" si="187"/>
        <v>191032</v>
      </c>
      <c r="E377" s="2">
        <v>0</v>
      </c>
      <c r="F377" s="2">
        <v>0</v>
      </c>
      <c r="G377" s="2">
        <v>0</v>
      </c>
      <c r="H377" s="2">
        <v>0</v>
      </c>
      <c r="I377" s="2">
        <v>0</v>
      </c>
      <c r="J377" s="2">
        <v>0</v>
      </c>
      <c r="K377" s="2">
        <v>0</v>
      </c>
      <c r="L377" s="2">
        <v>0</v>
      </c>
      <c r="M377" s="2">
        <v>0</v>
      </c>
      <c r="N377" s="2">
        <v>191032</v>
      </c>
      <c r="O377" s="2">
        <v>0</v>
      </c>
      <c r="P377" s="2">
        <v>0</v>
      </c>
    </row>
    <row r="378" spans="1:16" ht="27.75" customHeight="1" x14ac:dyDescent="0.2">
      <c r="A378" s="42"/>
      <c r="B378" s="45"/>
      <c r="C378" s="15" t="s">
        <v>3</v>
      </c>
      <c r="D378" s="2">
        <f t="shared" si="187"/>
        <v>1929.6</v>
      </c>
      <c r="E378" s="2">
        <v>0</v>
      </c>
      <c r="F378" s="2">
        <v>0</v>
      </c>
      <c r="G378" s="2">
        <v>0</v>
      </c>
      <c r="H378" s="2">
        <v>0</v>
      </c>
      <c r="I378" s="2">
        <v>0</v>
      </c>
      <c r="J378" s="2">
        <v>0</v>
      </c>
      <c r="K378" s="2">
        <v>0</v>
      </c>
      <c r="L378" s="2">
        <v>0</v>
      </c>
      <c r="M378" s="2">
        <v>0</v>
      </c>
      <c r="N378" s="2">
        <v>1929.6</v>
      </c>
      <c r="O378" s="2">
        <v>0</v>
      </c>
      <c r="P378" s="2">
        <v>0</v>
      </c>
    </row>
    <row r="379" spans="1:16" ht="27.75" customHeight="1" x14ac:dyDescent="0.2">
      <c r="A379" s="43"/>
      <c r="B379" s="46"/>
      <c r="C379" s="15" t="s">
        <v>4</v>
      </c>
      <c r="D379" s="2">
        <f t="shared" si="187"/>
        <v>0</v>
      </c>
      <c r="E379" s="2">
        <v>0</v>
      </c>
      <c r="F379" s="2">
        <v>0</v>
      </c>
      <c r="G379" s="2">
        <v>0</v>
      </c>
      <c r="H379" s="2">
        <v>0</v>
      </c>
      <c r="I379" s="2">
        <v>0</v>
      </c>
      <c r="J379" s="2">
        <v>0</v>
      </c>
      <c r="K379" s="2">
        <v>0</v>
      </c>
      <c r="L379" s="2">
        <v>0</v>
      </c>
      <c r="M379" s="2">
        <v>0</v>
      </c>
      <c r="N379" s="2">
        <v>0</v>
      </c>
      <c r="O379" s="2">
        <v>0</v>
      </c>
      <c r="P379" s="2">
        <v>0</v>
      </c>
    </row>
    <row r="380" spans="1:16" ht="51.75" customHeight="1" x14ac:dyDescent="0.2">
      <c r="A380" s="47" t="s">
        <v>94</v>
      </c>
      <c r="B380" s="47"/>
      <c r="C380" s="47"/>
      <c r="D380" s="47"/>
      <c r="E380" s="47"/>
      <c r="F380" s="47"/>
      <c r="G380" s="47"/>
      <c r="H380" s="47"/>
      <c r="I380" s="47"/>
      <c r="J380" s="47"/>
      <c r="K380" s="47"/>
      <c r="L380" s="47"/>
      <c r="M380" s="47"/>
      <c r="N380" s="47"/>
      <c r="O380" s="47"/>
    </row>
    <row r="381" spans="1:16" ht="27" customHeight="1" x14ac:dyDescent="0.2"/>
    <row r="382" spans="1:16" x14ac:dyDescent="0.2">
      <c r="M382" s="17"/>
    </row>
    <row r="383" spans="1:16" x14ac:dyDescent="0.2">
      <c r="M383" s="17"/>
    </row>
    <row r="384" spans="1:16" x14ac:dyDescent="0.2">
      <c r="M384" s="17"/>
    </row>
    <row r="385" spans="13:13" x14ac:dyDescent="0.2">
      <c r="M385" s="17"/>
    </row>
  </sheetData>
  <mergeCells count="143">
    <mergeCell ref="B263:B267"/>
    <mergeCell ref="A375:A379"/>
    <mergeCell ref="B375:B379"/>
    <mergeCell ref="B330:B334"/>
    <mergeCell ref="B320:B324"/>
    <mergeCell ref="A120:A126"/>
    <mergeCell ref="B108:B113"/>
    <mergeCell ref="A139:A143"/>
    <mergeCell ref="B114:B119"/>
    <mergeCell ref="A370:A374"/>
    <mergeCell ref="B370:B374"/>
    <mergeCell ref="A365:A369"/>
    <mergeCell ref="B365:B369"/>
    <mergeCell ref="B335:B339"/>
    <mergeCell ref="A360:A364"/>
    <mergeCell ref="B360:B364"/>
    <mergeCell ref="B268:B274"/>
    <mergeCell ref="A300:A304"/>
    <mergeCell ref="A355:A359"/>
    <mergeCell ref="B355:B359"/>
    <mergeCell ref="A285:A289"/>
    <mergeCell ref="B285:B289"/>
    <mergeCell ref="B168:B172"/>
    <mergeCell ref="A310:A314"/>
    <mergeCell ref="B310:B314"/>
    <mergeCell ref="A160:A167"/>
    <mergeCell ref="A95:A101"/>
    <mergeCell ref="A37:A41"/>
    <mergeCell ref="B37:B41"/>
    <mergeCell ref="A127:A133"/>
    <mergeCell ref="B233:B237"/>
    <mergeCell ref="B228:B232"/>
    <mergeCell ref="A228:A232"/>
    <mergeCell ref="A238:A242"/>
    <mergeCell ref="B238:B242"/>
    <mergeCell ref="B208:B212"/>
    <mergeCell ref="B127:B133"/>
    <mergeCell ref="B173:B177"/>
    <mergeCell ref="A108:A113"/>
    <mergeCell ref="A168:A172"/>
    <mergeCell ref="B75:B79"/>
    <mergeCell ref="A75:A79"/>
    <mergeCell ref="A134:A138"/>
    <mergeCell ref="B134:B138"/>
    <mergeCell ref="B139:B143"/>
    <mergeCell ref="B154:B159"/>
    <mergeCell ref="A263:A267"/>
    <mergeCell ref="A188:A192"/>
    <mergeCell ref="B218:B222"/>
    <mergeCell ref="A223:A227"/>
    <mergeCell ref="B213:B217"/>
    <mergeCell ref="L3:O3"/>
    <mergeCell ref="B57:B61"/>
    <mergeCell ref="A67:A74"/>
    <mergeCell ref="B67:B74"/>
    <mergeCell ref="A57:A61"/>
    <mergeCell ref="A28:A36"/>
    <mergeCell ref="B28:B36"/>
    <mergeCell ref="A9:A18"/>
    <mergeCell ref="A42:A46"/>
    <mergeCell ref="B42:B46"/>
    <mergeCell ref="B52:B56"/>
    <mergeCell ref="A52:A56"/>
    <mergeCell ref="A6:A7"/>
    <mergeCell ref="B6:B7"/>
    <mergeCell ref="A19:A27"/>
    <mergeCell ref="B19:B27"/>
    <mergeCell ref="D6:P6"/>
    <mergeCell ref="A114:A119"/>
    <mergeCell ref="B120:B126"/>
    <mergeCell ref="B223:B227"/>
    <mergeCell ref="L1:O1"/>
    <mergeCell ref="B183:B187"/>
    <mergeCell ref="A47:A51"/>
    <mergeCell ref="B47:B51"/>
    <mergeCell ref="A62:A66"/>
    <mergeCell ref="B62:B66"/>
    <mergeCell ref="A144:A148"/>
    <mergeCell ref="B80:B86"/>
    <mergeCell ref="B102:B107"/>
    <mergeCell ref="A5:O5"/>
    <mergeCell ref="A149:A153"/>
    <mergeCell ref="A87:A94"/>
    <mergeCell ref="B87:B94"/>
    <mergeCell ref="B95:B101"/>
    <mergeCell ref="A102:A107"/>
    <mergeCell ref="B144:B148"/>
    <mergeCell ref="L2:O2"/>
    <mergeCell ref="A154:A159"/>
    <mergeCell ref="A183:A187"/>
    <mergeCell ref="B178:B182"/>
    <mergeCell ref="B160:B167"/>
    <mergeCell ref="B9:B18"/>
    <mergeCell ref="A80:A86"/>
    <mergeCell ref="C6:C7"/>
    <mergeCell ref="A380:O380"/>
    <mergeCell ref="A345:A349"/>
    <mergeCell ref="B345:B349"/>
    <mergeCell ref="A340:A344"/>
    <mergeCell ref="B340:B344"/>
    <mergeCell ref="A193:A197"/>
    <mergeCell ref="B193:B197"/>
    <mergeCell ref="A295:A299"/>
    <mergeCell ref="B275:B279"/>
    <mergeCell ref="A315:A319"/>
    <mergeCell ref="B295:B299"/>
    <mergeCell ref="A275:A279"/>
    <mergeCell ref="B198:B202"/>
    <mergeCell ref="A280:A284"/>
    <mergeCell ref="B280:B284"/>
    <mergeCell ref="A218:A222"/>
    <mergeCell ref="A233:A237"/>
    <mergeCell ref="A320:A324"/>
    <mergeCell ref="A350:A354"/>
    <mergeCell ref="B350:B354"/>
    <mergeCell ref="B325:B329"/>
    <mergeCell ref="A330:A334"/>
    <mergeCell ref="A325:A329"/>
    <mergeCell ref="A335:A339"/>
    <mergeCell ref="B300:B304"/>
    <mergeCell ref="A213:A217"/>
    <mergeCell ref="B315:B319"/>
    <mergeCell ref="A198:A202"/>
    <mergeCell ref="A305:A309"/>
    <mergeCell ref="B305:B309"/>
    <mergeCell ref="A268:A274"/>
    <mergeCell ref="B149:B153"/>
    <mergeCell ref="A203:A207"/>
    <mergeCell ref="A258:A262"/>
    <mergeCell ref="B258:B262"/>
    <mergeCell ref="A248:A252"/>
    <mergeCell ref="B248:B252"/>
    <mergeCell ref="A290:A294"/>
    <mergeCell ref="B290:B294"/>
    <mergeCell ref="B253:B257"/>
    <mergeCell ref="A253:A257"/>
    <mergeCell ref="A208:A212"/>
    <mergeCell ref="A243:A247"/>
    <mergeCell ref="B243:B247"/>
    <mergeCell ref="B188:B192"/>
    <mergeCell ref="A173:A177"/>
    <mergeCell ref="A178:A182"/>
    <mergeCell ref="B203:B207"/>
  </mergeCells>
  <phoneticPr fontId="0" type="noConversion"/>
  <printOptions horizontalCentered="1"/>
  <pageMargins left="0.59055118110236227" right="0.59055118110236227" top="0.59055118110236227" bottom="0.59055118110236227" header="0.51181102362204722" footer="0"/>
  <pageSetup paperSize="9" scale="55" fitToHeight="0" orientation="landscape" r:id="rId1"/>
  <headerFooter alignWithMargins="0"/>
  <rowBreaks count="9" manualBreakCount="9">
    <brk id="27" max="15" man="1"/>
    <brk id="61" max="15" man="1"/>
    <brk id="91" max="15" man="1"/>
    <brk id="126" max="15" man="1"/>
    <brk id="159" max="15" man="1"/>
    <brk id="197" max="15" man="1"/>
    <brk id="262" max="15" man="1"/>
    <brk id="294" max="15" man="1"/>
    <brk id="334" max="15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</vt:lpstr>
      <vt:lpstr>'1'!Заголовки_для_печати</vt:lpstr>
      <vt:lpstr>'1'!Область_печати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Машенская Алёна Анатольевна</cp:lastModifiedBy>
  <cp:lastPrinted>2024-02-01T06:23:17Z</cp:lastPrinted>
  <dcterms:created xsi:type="dcterms:W3CDTF">1996-10-08T23:32:33Z</dcterms:created>
  <dcterms:modified xsi:type="dcterms:W3CDTF">2024-02-01T06:23:35Z</dcterms:modified>
</cp:coreProperties>
</file>