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Авдеева\Постановления\По оплате труда с 01.01.2024\"/>
    </mc:Choice>
  </mc:AlternateContent>
  <bookViews>
    <workbookView xWindow="0" yWindow="0" windowWidth="23040" windowHeight="9384" activeTab="2"/>
  </bookViews>
  <sheets>
    <sheet name="расчёт зарплаты" sheetId="1" r:id="rId1"/>
    <sheet name="расчёт по учр" sheetId="2" r:id="rId2"/>
    <sheet name="город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4" l="1"/>
  <c r="D30" i="4" l="1"/>
  <c r="L26" i="4" l="1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J18" i="4"/>
  <c r="F30" i="4"/>
  <c r="F29" i="4"/>
  <c r="I29" i="4"/>
  <c r="J8" i="4"/>
  <c r="J9" i="4"/>
  <c r="J10" i="4"/>
  <c r="J11" i="4"/>
  <c r="J12" i="4"/>
  <c r="J13" i="4"/>
  <c r="J14" i="4"/>
  <c r="J15" i="4"/>
  <c r="J16" i="4"/>
  <c r="J17" i="4"/>
  <c r="J19" i="4"/>
  <c r="J20" i="4"/>
  <c r="J21" i="4"/>
  <c r="J22" i="4"/>
  <c r="J23" i="4"/>
  <c r="J24" i="4"/>
  <c r="J25" i="4"/>
  <c r="J26" i="4"/>
  <c r="J7" i="4"/>
  <c r="D34" i="4"/>
  <c r="D33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7" i="4"/>
  <c r="B33" i="4"/>
  <c r="B26" i="4"/>
  <c r="B24" i="4"/>
  <c r="B23" i="4"/>
  <c r="B22" i="4"/>
  <c r="B21" i="4"/>
  <c r="B20" i="4"/>
  <c r="B19" i="4"/>
  <c r="B17" i="4"/>
  <c r="B15" i="4"/>
  <c r="B14" i="4"/>
  <c r="B13" i="4"/>
  <c r="B12" i="4"/>
  <c r="B11" i="4"/>
  <c r="B10" i="4"/>
  <c r="B9" i="4"/>
  <c r="B7" i="4"/>
  <c r="D26" i="4"/>
  <c r="D25" i="4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B27" i="4" l="1"/>
  <c r="B8" i="4" l="1"/>
  <c r="G584" i="2" l="1"/>
  <c r="H508" i="2"/>
  <c r="H477" i="2"/>
  <c r="H415" i="2"/>
  <c r="H385" i="2" l="1"/>
  <c r="H355" i="2"/>
  <c r="C27" i="4" l="1"/>
  <c r="K26" i="4"/>
  <c r="E26" i="4"/>
  <c r="K25" i="4"/>
  <c r="F25" i="4"/>
  <c r="E25" i="4"/>
  <c r="K24" i="4"/>
  <c r="F24" i="4"/>
  <c r="E24" i="4"/>
  <c r="K23" i="4"/>
  <c r="K22" i="4"/>
  <c r="E22" i="4"/>
  <c r="K21" i="4"/>
  <c r="F21" i="4"/>
  <c r="E21" i="4"/>
  <c r="K20" i="4"/>
  <c r="F20" i="4"/>
  <c r="E20" i="4"/>
  <c r="K19" i="4"/>
  <c r="K18" i="4"/>
  <c r="E18" i="4"/>
  <c r="K17" i="4"/>
  <c r="E17" i="4"/>
  <c r="K16" i="4"/>
  <c r="F16" i="4"/>
  <c r="G16" i="4" s="1"/>
  <c r="E16" i="4"/>
  <c r="K15" i="4"/>
  <c r="F15" i="4"/>
  <c r="G15" i="4" s="1"/>
  <c r="E15" i="4"/>
  <c r="K14" i="4"/>
  <c r="E14" i="4"/>
  <c r="K13" i="4"/>
  <c r="E13" i="4"/>
  <c r="K12" i="4"/>
  <c r="F12" i="4"/>
  <c r="E12" i="4"/>
  <c r="K11" i="4"/>
  <c r="F11" i="4"/>
  <c r="G11" i="4" s="1"/>
  <c r="E11" i="4"/>
  <c r="K10" i="4"/>
  <c r="E10" i="4"/>
  <c r="K9" i="4"/>
  <c r="E9" i="4"/>
  <c r="K8" i="4"/>
  <c r="F8" i="4"/>
  <c r="E8" i="4"/>
  <c r="K7" i="4"/>
  <c r="F7" i="4"/>
  <c r="D27" i="4"/>
  <c r="I27" i="4" l="1"/>
  <c r="H16" i="4"/>
  <c r="H12" i="4"/>
  <c r="G24" i="4"/>
  <c r="H24" i="4" s="1"/>
  <c r="K27" i="4"/>
  <c r="G12" i="4"/>
  <c r="G20" i="4"/>
  <c r="H20" i="4" s="1"/>
  <c r="G8" i="4"/>
  <c r="H8" i="4" s="1"/>
  <c r="F9" i="4"/>
  <c r="F17" i="4"/>
  <c r="H11" i="4"/>
  <c r="F13" i="4"/>
  <c r="H15" i="4"/>
  <c r="E7" i="4"/>
  <c r="F10" i="4"/>
  <c r="F14" i="4"/>
  <c r="F18" i="4"/>
  <c r="E19" i="4"/>
  <c r="G21" i="4"/>
  <c r="H21" i="4" s="1"/>
  <c r="F22" i="4"/>
  <c r="E23" i="4"/>
  <c r="G25" i="4"/>
  <c r="H25" i="4" s="1"/>
  <c r="F26" i="4"/>
  <c r="F19" i="4"/>
  <c r="F23" i="4"/>
  <c r="G7" i="4"/>
  <c r="H7" i="4" s="1"/>
  <c r="J27" i="4" l="1"/>
  <c r="I30" i="4" s="1"/>
  <c r="L27" i="4"/>
  <c r="K30" i="4" s="1"/>
  <c r="G26" i="4"/>
  <c r="H26" i="4" s="1"/>
  <c r="G22" i="4"/>
  <c r="H22" i="4" s="1"/>
  <c r="G18" i="4"/>
  <c r="H18" i="4" s="1"/>
  <c r="G10" i="4"/>
  <c r="H10" i="4" s="1"/>
  <c r="G19" i="4"/>
  <c r="H19" i="4" s="1"/>
  <c r="G23" i="4"/>
  <c r="H23" i="4" s="1"/>
  <c r="G13" i="4"/>
  <c r="H13" i="4" s="1"/>
  <c r="G14" i="4"/>
  <c r="H14" i="4" s="1"/>
  <c r="G17" i="4"/>
  <c r="H17" i="4" s="1"/>
  <c r="G9" i="4"/>
  <c r="H9" i="4"/>
  <c r="F27" i="4"/>
  <c r="H27" i="4" l="1"/>
  <c r="G27" i="4"/>
  <c r="G30" i="4" s="1"/>
  <c r="H30" i="4" s="1"/>
  <c r="E492" i="2" l="1"/>
  <c r="F110" i="2" l="1"/>
  <c r="E110" i="2"/>
  <c r="D110" i="2"/>
  <c r="C110" i="2"/>
  <c r="C628" i="2" l="1"/>
  <c r="C629" i="2"/>
  <c r="C630" i="2"/>
  <c r="E628" i="2"/>
  <c r="F628" i="2"/>
  <c r="E629" i="2"/>
  <c r="F629" i="2"/>
  <c r="E630" i="2"/>
  <c r="F630" i="2"/>
  <c r="D629" i="2"/>
  <c r="D630" i="2"/>
  <c r="D628" i="2"/>
  <c r="H12" i="2" l="1"/>
  <c r="F663" i="2" l="1"/>
  <c r="E663" i="2"/>
  <c r="D663" i="2"/>
  <c r="F662" i="2"/>
  <c r="E662" i="2"/>
  <c r="F661" i="2"/>
  <c r="E661" i="2"/>
  <c r="D661" i="2"/>
  <c r="F660" i="2"/>
  <c r="E660" i="2"/>
  <c r="F659" i="2"/>
  <c r="E659" i="2"/>
  <c r="F658" i="2"/>
  <c r="E658" i="2"/>
  <c r="D658" i="2"/>
  <c r="F657" i="2"/>
  <c r="E657" i="2"/>
  <c r="F655" i="2"/>
  <c r="E655" i="2"/>
  <c r="F653" i="2"/>
  <c r="E653" i="2"/>
  <c r="F652" i="2"/>
  <c r="F651" i="2"/>
  <c r="E651" i="2"/>
  <c r="E650" i="2"/>
  <c r="F649" i="2"/>
  <c r="E649" i="2"/>
  <c r="D649" i="2"/>
  <c r="F648" i="2"/>
  <c r="E648" i="2"/>
  <c r="D648" i="2"/>
  <c r="F647" i="2"/>
  <c r="E647" i="2"/>
  <c r="D647" i="2"/>
  <c r="F646" i="2"/>
  <c r="E646" i="2"/>
  <c r="D646" i="2"/>
  <c r="F641" i="2"/>
  <c r="E641" i="2"/>
  <c r="F637" i="2"/>
  <c r="E637" i="2"/>
  <c r="F618" i="2"/>
  <c r="E618" i="2"/>
  <c r="D618" i="2"/>
  <c r="F642" i="2"/>
  <c r="E642" i="2"/>
  <c r="D642" i="2"/>
  <c r="F623" i="2"/>
  <c r="E623" i="2"/>
  <c r="D623" i="2"/>
  <c r="F622" i="2"/>
  <c r="E622" i="2"/>
  <c r="E636" i="2"/>
  <c r="F636" i="2"/>
  <c r="F625" i="2"/>
  <c r="E625" i="2"/>
  <c r="F624" i="2"/>
  <c r="E624" i="2"/>
  <c r="D636" i="2"/>
  <c r="F644" i="2" l="1"/>
  <c r="E644" i="2"/>
  <c r="D644" i="2"/>
  <c r="C644" i="2"/>
  <c r="D664" i="2" l="1"/>
  <c r="E664" i="2"/>
  <c r="F664" i="2"/>
  <c r="C664" i="2"/>
  <c r="F614" i="2"/>
  <c r="E614" i="2"/>
  <c r="D614" i="2"/>
  <c r="C614" i="2"/>
  <c r="F616" i="2"/>
  <c r="E616" i="2"/>
  <c r="D616" i="2"/>
  <c r="C616" i="2"/>
  <c r="C617" i="2"/>
  <c r="E617" i="2"/>
  <c r="F617" i="2"/>
  <c r="D617" i="2"/>
  <c r="F615" i="2"/>
  <c r="E615" i="2"/>
  <c r="D615" i="2"/>
  <c r="C615" i="2"/>
  <c r="F638" i="2" l="1"/>
  <c r="E638" i="2"/>
  <c r="D638" i="2"/>
  <c r="C638" i="2"/>
  <c r="F632" i="2"/>
  <c r="E632" i="2"/>
  <c r="D632" i="2"/>
  <c r="C632" i="2"/>
  <c r="I627" i="2"/>
  <c r="F627" i="2"/>
  <c r="E627" i="2"/>
  <c r="D627" i="2"/>
  <c r="C627" i="2"/>
  <c r="F613" i="2"/>
  <c r="E613" i="2"/>
  <c r="D613" i="2"/>
  <c r="C613" i="2"/>
  <c r="G608" i="2"/>
  <c r="H608" i="2" s="1"/>
  <c r="J608" i="2" s="1"/>
  <c r="F606" i="2"/>
  <c r="E606" i="2"/>
  <c r="D606" i="2"/>
  <c r="C606" i="2"/>
  <c r="G603" i="2"/>
  <c r="H603" i="2" s="1"/>
  <c r="J603" i="2" s="1"/>
  <c r="G602" i="2"/>
  <c r="H602" i="2" s="1"/>
  <c r="J602" i="2" s="1"/>
  <c r="G601" i="2"/>
  <c r="H601" i="2" s="1"/>
  <c r="J601" i="2" s="1"/>
  <c r="F600" i="2"/>
  <c r="E600" i="2"/>
  <c r="D600" i="2"/>
  <c r="C600" i="2"/>
  <c r="G597" i="2"/>
  <c r="H597" i="2" s="1"/>
  <c r="J597" i="2" s="1"/>
  <c r="I595" i="2"/>
  <c r="F595" i="2"/>
  <c r="E595" i="2"/>
  <c r="D595" i="2"/>
  <c r="C595" i="2"/>
  <c r="G594" i="2"/>
  <c r="H594" i="2" s="1"/>
  <c r="J594" i="2" s="1"/>
  <c r="G592" i="2"/>
  <c r="H592" i="2" s="1"/>
  <c r="J592" i="2" s="1"/>
  <c r="G591" i="2"/>
  <c r="H591" i="2" s="1"/>
  <c r="J591" i="2" s="1"/>
  <c r="H587" i="2"/>
  <c r="J587" i="2" s="1"/>
  <c r="G585" i="2"/>
  <c r="H585" i="2" s="1"/>
  <c r="J585" i="2" s="1"/>
  <c r="H584" i="2"/>
  <c r="J584" i="2" s="1"/>
  <c r="F583" i="2"/>
  <c r="E583" i="2"/>
  <c r="D583" i="2"/>
  <c r="C583" i="2"/>
  <c r="G580" i="2"/>
  <c r="H580" i="2" s="1"/>
  <c r="J580" i="2" s="1"/>
  <c r="G578" i="2"/>
  <c r="H578" i="2" s="1"/>
  <c r="J578" i="2" s="1"/>
  <c r="F576" i="2"/>
  <c r="F569" i="2" s="1"/>
  <c r="E576" i="2"/>
  <c r="D576" i="2"/>
  <c r="C576" i="2"/>
  <c r="G573" i="2"/>
  <c r="H573" i="2" s="1"/>
  <c r="J573" i="2" s="1"/>
  <c r="G572" i="2"/>
  <c r="H572" i="2" s="1"/>
  <c r="J572" i="2" s="1"/>
  <c r="G571" i="2"/>
  <c r="H571" i="2" s="1"/>
  <c r="J571" i="2" s="1"/>
  <c r="F570" i="2"/>
  <c r="E570" i="2"/>
  <c r="D570" i="2"/>
  <c r="C570" i="2"/>
  <c r="I565" i="2"/>
  <c r="F565" i="2"/>
  <c r="E565" i="2"/>
  <c r="D565" i="2"/>
  <c r="C565" i="2"/>
  <c r="G564" i="2"/>
  <c r="H564" i="2" s="1"/>
  <c r="J564" i="2" s="1"/>
  <c r="G563" i="2"/>
  <c r="H563" i="2" s="1"/>
  <c r="J563" i="2" s="1"/>
  <c r="G562" i="2"/>
  <c r="H562" i="2" s="1"/>
  <c r="J562" i="2" s="1"/>
  <c r="G561" i="2"/>
  <c r="H561" i="2" s="1"/>
  <c r="J561" i="2" s="1"/>
  <c r="H557" i="2"/>
  <c r="J557" i="2" s="1"/>
  <c r="G555" i="2"/>
  <c r="H555" i="2" s="1"/>
  <c r="J555" i="2" s="1"/>
  <c r="F553" i="2"/>
  <c r="E553" i="2"/>
  <c r="D553" i="2"/>
  <c r="C553" i="2"/>
  <c r="G548" i="2"/>
  <c r="H548" i="2" s="1"/>
  <c r="J548" i="2" s="1"/>
  <c r="F546" i="2"/>
  <c r="E546" i="2"/>
  <c r="D546" i="2"/>
  <c r="C546" i="2"/>
  <c r="G543" i="2"/>
  <c r="H543" i="2" s="1"/>
  <c r="J543" i="2" s="1"/>
  <c r="G542" i="2"/>
  <c r="H542" i="2" s="1"/>
  <c r="J542" i="2" s="1"/>
  <c r="G541" i="2"/>
  <c r="H541" i="2" s="1"/>
  <c r="J541" i="2" s="1"/>
  <c r="F540" i="2"/>
  <c r="E540" i="2"/>
  <c r="D540" i="2"/>
  <c r="C540" i="2"/>
  <c r="I535" i="2"/>
  <c r="F535" i="2"/>
  <c r="E535" i="2"/>
  <c r="D535" i="2"/>
  <c r="C535" i="2"/>
  <c r="G533" i="2"/>
  <c r="H533" i="2" s="1"/>
  <c r="J533" i="2" s="1"/>
  <c r="G532" i="2"/>
  <c r="H532" i="2" s="1"/>
  <c r="J532" i="2" s="1"/>
  <c r="H527" i="2"/>
  <c r="J527" i="2" s="1"/>
  <c r="G525" i="2"/>
  <c r="H525" i="2" s="1"/>
  <c r="J525" i="2" s="1"/>
  <c r="F522" i="2"/>
  <c r="E522" i="2"/>
  <c r="D522" i="2"/>
  <c r="C522" i="2"/>
  <c r="G517" i="2"/>
  <c r="H517" i="2" s="1"/>
  <c r="J517" i="2" s="1"/>
  <c r="F515" i="2"/>
  <c r="E515" i="2"/>
  <c r="D515" i="2"/>
  <c r="C515" i="2"/>
  <c r="G512" i="2"/>
  <c r="H512" i="2" s="1"/>
  <c r="J512" i="2" s="1"/>
  <c r="G511" i="2"/>
  <c r="H511" i="2" s="1"/>
  <c r="J511" i="2" s="1"/>
  <c r="G510" i="2"/>
  <c r="H510" i="2" s="1"/>
  <c r="J510" i="2" s="1"/>
  <c r="F509" i="2"/>
  <c r="E509" i="2"/>
  <c r="D509" i="2"/>
  <c r="C509" i="2"/>
  <c r="I504" i="2"/>
  <c r="F504" i="2"/>
  <c r="E504" i="2"/>
  <c r="D504" i="2"/>
  <c r="C504" i="2"/>
  <c r="G502" i="2"/>
  <c r="H502" i="2" s="1"/>
  <c r="J502" i="2" s="1"/>
  <c r="G501" i="2"/>
  <c r="H501" i="2" s="1"/>
  <c r="J501" i="2" s="1"/>
  <c r="H496" i="2"/>
  <c r="J496" i="2" s="1"/>
  <c r="G494" i="2"/>
  <c r="H494" i="2" s="1"/>
  <c r="J494" i="2" s="1"/>
  <c r="F491" i="2"/>
  <c r="E491" i="2"/>
  <c r="D491" i="2"/>
  <c r="C491" i="2"/>
  <c r="G486" i="2"/>
  <c r="H486" i="2" s="1"/>
  <c r="J486" i="2" s="1"/>
  <c r="F484" i="2"/>
  <c r="F477" i="2" s="1"/>
  <c r="E484" i="2"/>
  <c r="D484" i="2"/>
  <c r="C484" i="2"/>
  <c r="G481" i="2"/>
  <c r="H481" i="2" s="1"/>
  <c r="J481" i="2" s="1"/>
  <c r="G480" i="2"/>
  <c r="H480" i="2" s="1"/>
  <c r="J480" i="2" s="1"/>
  <c r="G479" i="2"/>
  <c r="H479" i="2" s="1"/>
  <c r="J479" i="2" s="1"/>
  <c r="F478" i="2"/>
  <c r="E478" i="2"/>
  <c r="D478" i="2"/>
  <c r="C478" i="2"/>
  <c r="I473" i="2"/>
  <c r="F473" i="2"/>
  <c r="E473" i="2"/>
  <c r="D473" i="2"/>
  <c r="C473" i="2"/>
  <c r="G471" i="2"/>
  <c r="H471" i="2" s="1"/>
  <c r="J471" i="2" s="1"/>
  <c r="H465" i="2"/>
  <c r="J465" i="2" s="1"/>
  <c r="G462" i="2"/>
  <c r="H462" i="2" s="1"/>
  <c r="J462" i="2" s="1"/>
  <c r="F459" i="2"/>
  <c r="E459" i="2"/>
  <c r="D459" i="2"/>
  <c r="C459" i="2"/>
  <c r="G454" i="2"/>
  <c r="H454" i="2" s="1"/>
  <c r="J454" i="2" s="1"/>
  <c r="F452" i="2"/>
  <c r="E452" i="2"/>
  <c r="D452" i="2"/>
  <c r="C452" i="2"/>
  <c r="G449" i="2"/>
  <c r="H449" i="2" s="1"/>
  <c r="J449" i="2" s="1"/>
  <c r="G448" i="2"/>
  <c r="H448" i="2" s="1"/>
  <c r="J448" i="2" s="1"/>
  <c r="G447" i="2"/>
  <c r="H447" i="2" s="1"/>
  <c r="J447" i="2" s="1"/>
  <c r="F446" i="2"/>
  <c r="E446" i="2"/>
  <c r="D446" i="2"/>
  <c r="C446" i="2"/>
  <c r="I441" i="2"/>
  <c r="F441" i="2"/>
  <c r="E441" i="2"/>
  <c r="D441" i="2"/>
  <c r="C441" i="2"/>
  <c r="G440" i="2"/>
  <c r="H440" i="2" s="1"/>
  <c r="J440" i="2" s="1"/>
  <c r="G439" i="2"/>
  <c r="H439" i="2" s="1"/>
  <c r="J439" i="2" s="1"/>
  <c r="G438" i="2"/>
  <c r="H438" i="2" s="1"/>
  <c r="J438" i="2" s="1"/>
  <c r="H433" i="2"/>
  <c r="J433" i="2" s="1"/>
  <c r="G431" i="2"/>
  <c r="H431" i="2" s="1"/>
  <c r="J431" i="2" s="1"/>
  <c r="F429" i="2"/>
  <c r="E429" i="2"/>
  <c r="D429" i="2"/>
  <c r="C429" i="2"/>
  <c r="G424" i="2"/>
  <c r="H424" i="2" s="1"/>
  <c r="J424" i="2" s="1"/>
  <c r="F422" i="2"/>
  <c r="F415" i="2" s="1"/>
  <c r="E422" i="2"/>
  <c r="D422" i="2"/>
  <c r="C422" i="2"/>
  <c r="G419" i="2"/>
  <c r="H419" i="2" s="1"/>
  <c r="J419" i="2" s="1"/>
  <c r="G418" i="2"/>
  <c r="H418" i="2" s="1"/>
  <c r="J418" i="2" s="1"/>
  <c r="G417" i="2"/>
  <c r="H417" i="2" s="1"/>
  <c r="J417" i="2" s="1"/>
  <c r="F416" i="2"/>
  <c r="E416" i="2"/>
  <c r="D416" i="2"/>
  <c r="C416" i="2"/>
  <c r="I411" i="2"/>
  <c r="F411" i="2"/>
  <c r="E411" i="2"/>
  <c r="D411" i="2"/>
  <c r="C411" i="2"/>
  <c r="G410" i="2"/>
  <c r="H410" i="2" s="1"/>
  <c r="J410" i="2" s="1"/>
  <c r="G409" i="2"/>
  <c r="H409" i="2" s="1"/>
  <c r="J409" i="2" s="1"/>
  <c r="G408" i="2"/>
  <c r="H408" i="2" s="1"/>
  <c r="J408" i="2" s="1"/>
  <c r="H403" i="2"/>
  <c r="J403" i="2" s="1"/>
  <c r="G401" i="2"/>
  <c r="H401" i="2" s="1"/>
  <c r="J401" i="2" s="1"/>
  <c r="F399" i="2"/>
  <c r="E399" i="2"/>
  <c r="D399" i="2"/>
  <c r="C399" i="2"/>
  <c r="G396" i="2"/>
  <c r="H396" i="2" s="1"/>
  <c r="J396" i="2" s="1"/>
  <c r="G394" i="2"/>
  <c r="H394" i="2" s="1"/>
  <c r="J394" i="2" s="1"/>
  <c r="F392" i="2"/>
  <c r="F385" i="2" s="1"/>
  <c r="E392" i="2"/>
  <c r="D392" i="2"/>
  <c r="C392" i="2"/>
  <c r="G389" i="2"/>
  <c r="H389" i="2" s="1"/>
  <c r="J389" i="2" s="1"/>
  <c r="G388" i="2"/>
  <c r="H388" i="2" s="1"/>
  <c r="J388" i="2" s="1"/>
  <c r="G387" i="2"/>
  <c r="H387" i="2" s="1"/>
  <c r="J387" i="2" s="1"/>
  <c r="F386" i="2"/>
  <c r="E386" i="2"/>
  <c r="E385" i="2" s="1"/>
  <c r="D386" i="2"/>
  <c r="C386" i="2"/>
  <c r="G382" i="2"/>
  <c r="H382" i="2" s="1"/>
  <c r="J382" i="2" s="1"/>
  <c r="I381" i="2"/>
  <c r="F381" i="2"/>
  <c r="E381" i="2"/>
  <c r="D381" i="2"/>
  <c r="C381" i="2"/>
  <c r="G380" i="2"/>
  <c r="H380" i="2" s="1"/>
  <c r="J380" i="2" s="1"/>
  <c r="G379" i="2"/>
  <c r="H379" i="2" s="1"/>
  <c r="J379" i="2" s="1"/>
  <c r="G378" i="2"/>
  <c r="H378" i="2" s="1"/>
  <c r="J378" i="2" s="1"/>
  <c r="G377" i="2"/>
  <c r="H377" i="2" s="1"/>
  <c r="J377" i="2" s="1"/>
  <c r="G376" i="2"/>
  <c r="H376" i="2" s="1"/>
  <c r="J376" i="2" s="1"/>
  <c r="H373" i="2"/>
  <c r="J373" i="2" s="1"/>
  <c r="G371" i="2"/>
  <c r="H371" i="2" s="1"/>
  <c r="J371" i="2" s="1"/>
  <c r="F369" i="2"/>
  <c r="E369" i="2"/>
  <c r="D369" i="2"/>
  <c r="C369" i="2"/>
  <c r="G366" i="2"/>
  <c r="H366" i="2" s="1"/>
  <c r="J366" i="2" s="1"/>
  <c r="G364" i="2"/>
  <c r="H364" i="2" s="1"/>
  <c r="J364" i="2" s="1"/>
  <c r="G363" i="2"/>
  <c r="H363" i="2" s="1"/>
  <c r="F362" i="2"/>
  <c r="E362" i="2"/>
  <c r="D362" i="2"/>
  <c r="C362" i="2"/>
  <c r="G359" i="2"/>
  <c r="H359" i="2" s="1"/>
  <c r="J359" i="2" s="1"/>
  <c r="G358" i="2"/>
  <c r="H358" i="2" s="1"/>
  <c r="J358" i="2" s="1"/>
  <c r="G357" i="2"/>
  <c r="H357" i="2" s="1"/>
  <c r="J357" i="2" s="1"/>
  <c r="F356" i="2"/>
  <c r="E356" i="2"/>
  <c r="E355" i="2" s="1"/>
  <c r="D356" i="2"/>
  <c r="C356" i="2"/>
  <c r="I351" i="2"/>
  <c r="F351" i="2"/>
  <c r="E351" i="2"/>
  <c r="D351" i="2"/>
  <c r="C351" i="2"/>
  <c r="G350" i="2"/>
  <c r="H350" i="2" s="1"/>
  <c r="J350" i="2" s="1"/>
  <c r="G349" i="2"/>
  <c r="H349" i="2" s="1"/>
  <c r="J349" i="2" s="1"/>
  <c r="G348" i="2"/>
  <c r="H348" i="2" s="1"/>
  <c r="J348" i="2" s="1"/>
  <c r="H343" i="2"/>
  <c r="J343" i="2" s="1"/>
  <c r="G341" i="2"/>
  <c r="H341" i="2" s="1"/>
  <c r="J341" i="2" s="1"/>
  <c r="F339" i="2"/>
  <c r="E339" i="2"/>
  <c r="D339" i="2"/>
  <c r="C339" i="2"/>
  <c r="G336" i="2"/>
  <c r="H336" i="2" s="1"/>
  <c r="J336" i="2" s="1"/>
  <c r="G334" i="2"/>
  <c r="H334" i="2" s="1"/>
  <c r="J334" i="2" s="1"/>
  <c r="F332" i="2"/>
  <c r="E332" i="2"/>
  <c r="D332" i="2"/>
  <c r="C332" i="2"/>
  <c r="G329" i="2"/>
  <c r="H329" i="2" s="1"/>
  <c r="J329" i="2" s="1"/>
  <c r="G328" i="2"/>
  <c r="H328" i="2" s="1"/>
  <c r="J328" i="2" s="1"/>
  <c r="G327" i="2"/>
  <c r="H327" i="2" s="1"/>
  <c r="J327" i="2" s="1"/>
  <c r="F326" i="2"/>
  <c r="E326" i="2"/>
  <c r="E325" i="2" s="1"/>
  <c r="D326" i="2"/>
  <c r="C326" i="2"/>
  <c r="I321" i="2"/>
  <c r="F321" i="2"/>
  <c r="E321" i="2"/>
  <c r="D321" i="2"/>
  <c r="C321" i="2"/>
  <c r="G319" i="2"/>
  <c r="H319" i="2" s="1"/>
  <c r="J319" i="2" s="1"/>
  <c r="G318" i="2"/>
  <c r="H318" i="2" s="1"/>
  <c r="J318" i="2" s="1"/>
  <c r="H313" i="2"/>
  <c r="J313" i="2" s="1"/>
  <c r="G311" i="2"/>
  <c r="H311" i="2" s="1"/>
  <c r="J311" i="2" s="1"/>
  <c r="F309" i="2"/>
  <c r="E309" i="2"/>
  <c r="D309" i="2"/>
  <c r="C309" i="2"/>
  <c r="F302" i="2"/>
  <c r="E302" i="2"/>
  <c r="D302" i="2"/>
  <c r="C302" i="2"/>
  <c r="G299" i="2"/>
  <c r="H299" i="2" s="1"/>
  <c r="J299" i="2" s="1"/>
  <c r="G298" i="2"/>
  <c r="H298" i="2" s="1"/>
  <c r="J298" i="2" s="1"/>
  <c r="G297" i="2"/>
  <c r="H297" i="2" s="1"/>
  <c r="J297" i="2" s="1"/>
  <c r="F296" i="2"/>
  <c r="E296" i="2"/>
  <c r="D296" i="2"/>
  <c r="C296" i="2"/>
  <c r="I291" i="2"/>
  <c r="F291" i="2"/>
  <c r="E291" i="2"/>
  <c r="D291" i="2"/>
  <c r="C291" i="2"/>
  <c r="H283" i="2"/>
  <c r="J283" i="2" s="1"/>
  <c r="F278" i="2"/>
  <c r="E278" i="2"/>
  <c r="D278" i="2"/>
  <c r="C278" i="2"/>
  <c r="G275" i="2"/>
  <c r="H275" i="2" s="1"/>
  <c r="J275" i="2" s="1"/>
  <c r="G273" i="2"/>
  <c r="H273" i="2" s="1"/>
  <c r="J273" i="2" s="1"/>
  <c r="G272" i="2"/>
  <c r="H272" i="2" s="1"/>
  <c r="F271" i="2"/>
  <c r="E271" i="2"/>
  <c r="D271" i="2"/>
  <c r="C271" i="2"/>
  <c r="G268" i="2"/>
  <c r="H268" i="2" s="1"/>
  <c r="J268" i="2" s="1"/>
  <c r="G267" i="2"/>
  <c r="H267" i="2" s="1"/>
  <c r="J267" i="2" s="1"/>
  <c r="G266" i="2"/>
  <c r="H266" i="2" s="1"/>
  <c r="J266" i="2" s="1"/>
  <c r="F265" i="2"/>
  <c r="E265" i="2"/>
  <c r="D265" i="2"/>
  <c r="D264" i="2" s="1"/>
  <c r="C265" i="2"/>
  <c r="I260" i="2"/>
  <c r="F260" i="2"/>
  <c r="E260" i="2"/>
  <c r="D260" i="2"/>
  <c r="C260" i="2"/>
  <c r="G258" i="2"/>
  <c r="H258" i="2" s="1"/>
  <c r="J258" i="2" s="1"/>
  <c r="G257" i="2"/>
  <c r="H257" i="2" s="1"/>
  <c r="J257" i="2" s="1"/>
  <c r="H252" i="2"/>
  <c r="J252" i="2" s="1"/>
  <c r="G250" i="2"/>
  <c r="H250" i="2" s="1"/>
  <c r="J250" i="2" s="1"/>
  <c r="F248" i="2"/>
  <c r="E248" i="2"/>
  <c r="D248" i="2"/>
  <c r="C248" i="2"/>
  <c r="G243" i="2"/>
  <c r="H243" i="2" s="1"/>
  <c r="J243" i="2" s="1"/>
  <c r="F241" i="2"/>
  <c r="E241" i="2"/>
  <c r="D241" i="2"/>
  <c r="C241" i="2"/>
  <c r="G238" i="2"/>
  <c r="H238" i="2" s="1"/>
  <c r="J238" i="2" s="1"/>
  <c r="G237" i="2"/>
  <c r="H237" i="2" s="1"/>
  <c r="J237" i="2" s="1"/>
  <c r="G236" i="2"/>
  <c r="H236" i="2" s="1"/>
  <c r="J236" i="2" s="1"/>
  <c r="F235" i="2"/>
  <c r="E235" i="2"/>
  <c r="D235" i="2"/>
  <c r="C235" i="2"/>
  <c r="I230" i="2"/>
  <c r="F230" i="2"/>
  <c r="E230" i="2"/>
  <c r="D230" i="2"/>
  <c r="C230" i="2"/>
  <c r="G228" i="2"/>
  <c r="H228" i="2" s="1"/>
  <c r="J228" i="2" s="1"/>
  <c r="G227" i="2"/>
  <c r="H227" i="2" s="1"/>
  <c r="J227" i="2" s="1"/>
  <c r="H222" i="2"/>
  <c r="J222" i="2" s="1"/>
  <c r="G220" i="2"/>
  <c r="H220" i="2" s="1"/>
  <c r="J220" i="2" s="1"/>
  <c r="F218" i="2"/>
  <c r="E218" i="2"/>
  <c r="D218" i="2"/>
  <c r="C218" i="2"/>
  <c r="G213" i="2"/>
  <c r="H213" i="2" s="1"/>
  <c r="J213" i="2" s="1"/>
  <c r="F211" i="2"/>
  <c r="E211" i="2"/>
  <c r="D211" i="2"/>
  <c r="C211" i="2"/>
  <c r="G208" i="2"/>
  <c r="H208" i="2" s="1"/>
  <c r="J208" i="2" s="1"/>
  <c r="G207" i="2"/>
  <c r="H207" i="2" s="1"/>
  <c r="J207" i="2" s="1"/>
  <c r="G206" i="2"/>
  <c r="H206" i="2" s="1"/>
  <c r="J206" i="2" s="1"/>
  <c r="F205" i="2"/>
  <c r="E205" i="2"/>
  <c r="D205" i="2"/>
  <c r="C205" i="2"/>
  <c r="I200" i="2"/>
  <c r="F200" i="2"/>
  <c r="E200" i="2"/>
  <c r="D200" i="2"/>
  <c r="C200" i="2"/>
  <c r="G199" i="2"/>
  <c r="H199" i="2" s="1"/>
  <c r="J199" i="2" s="1"/>
  <c r="G198" i="2"/>
  <c r="H198" i="2" s="1"/>
  <c r="J198" i="2" s="1"/>
  <c r="G197" i="2"/>
  <c r="H197" i="2" s="1"/>
  <c r="J197" i="2" s="1"/>
  <c r="H192" i="2"/>
  <c r="J192" i="2" s="1"/>
  <c r="G190" i="2"/>
  <c r="H190" i="2" s="1"/>
  <c r="J190" i="2" s="1"/>
  <c r="F188" i="2"/>
  <c r="E188" i="2"/>
  <c r="D188" i="2"/>
  <c r="C188" i="2"/>
  <c r="G183" i="2"/>
  <c r="H183" i="2" s="1"/>
  <c r="J183" i="2" s="1"/>
  <c r="F181" i="2"/>
  <c r="E181" i="2"/>
  <c r="D181" i="2"/>
  <c r="C181" i="2"/>
  <c r="G178" i="2"/>
  <c r="H178" i="2" s="1"/>
  <c r="J178" i="2" s="1"/>
  <c r="G177" i="2"/>
  <c r="H177" i="2" s="1"/>
  <c r="J177" i="2" s="1"/>
  <c r="G176" i="2"/>
  <c r="H176" i="2" s="1"/>
  <c r="J176" i="2" s="1"/>
  <c r="F175" i="2"/>
  <c r="E175" i="2"/>
  <c r="D175" i="2"/>
  <c r="C175" i="2"/>
  <c r="I170" i="2"/>
  <c r="F170" i="2"/>
  <c r="E170" i="2"/>
  <c r="D170" i="2"/>
  <c r="C170" i="2"/>
  <c r="G169" i="2"/>
  <c r="H169" i="2" s="1"/>
  <c r="J169" i="2" s="1"/>
  <c r="G168" i="2"/>
  <c r="H168" i="2" s="1"/>
  <c r="J168" i="2" s="1"/>
  <c r="G167" i="2"/>
  <c r="H167" i="2" s="1"/>
  <c r="J167" i="2" s="1"/>
  <c r="H162" i="2"/>
  <c r="J162" i="2" s="1"/>
  <c r="G160" i="2"/>
  <c r="H160" i="2" s="1"/>
  <c r="J160" i="2" s="1"/>
  <c r="F158" i="2"/>
  <c r="E158" i="2"/>
  <c r="D158" i="2"/>
  <c r="C158" i="2"/>
  <c r="G153" i="2"/>
  <c r="H153" i="2" s="1"/>
  <c r="J153" i="2" s="1"/>
  <c r="F151" i="2"/>
  <c r="E151" i="2"/>
  <c r="D151" i="2"/>
  <c r="C151" i="2"/>
  <c r="G148" i="2"/>
  <c r="H148" i="2" s="1"/>
  <c r="J148" i="2" s="1"/>
  <c r="G147" i="2"/>
  <c r="H147" i="2" s="1"/>
  <c r="J147" i="2" s="1"/>
  <c r="G146" i="2"/>
  <c r="H146" i="2" s="1"/>
  <c r="J146" i="2" s="1"/>
  <c r="F145" i="2"/>
  <c r="E145" i="2"/>
  <c r="D145" i="2"/>
  <c r="C145" i="2"/>
  <c r="I140" i="2"/>
  <c r="F140" i="2"/>
  <c r="E140" i="2"/>
  <c r="D140" i="2"/>
  <c r="C140" i="2"/>
  <c r="G139" i="2"/>
  <c r="H139" i="2" s="1"/>
  <c r="J139" i="2" s="1"/>
  <c r="G138" i="2"/>
  <c r="H138" i="2" s="1"/>
  <c r="J138" i="2" s="1"/>
  <c r="G137" i="2"/>
  <c r="H137" i="2" s="1"/>
  <c r="J137" i="2" s="1"/>
  <c r="G136" i="2"/>
  <c r="H136" i="2" s="1"/>
  <c r="J136" i="2" s="1"/>
  <c r="G130" i="2"/>
  <c r="H130" i="2" s="1"/>
  <c r="J130" i="2" s="1"/>
  <c r="F128" i="2"/>
  <c r="E128" i="2"/>
  <c r="D128" i="2"/>
  <c r="C128" i="2"/>
  <c r="G123" i="2"/>
  <c r="H123" i="2" s="1"/>
  <c r="J123" i="2" s="1"/>
  <c r="F121" i="2"/>
  <c r="E121" i="2"/>
  <c r="D121" i="2"/>
  <c r="C121" i="2"/>
  <c r="G118" i="2"/>
  <c r="H118" i="2" s="1"/>
  <c r="G117" i="2"/>
  <c r="H117" i="2" s="1"/>
  <c r="G116" i="2"/>
  <c r="H116" i="2" s="1"/>
  <c r="F115" i="2"/>
  <c r="E115" i="2"/>
  <c r="D115" i="2"/>
  <c r="C115" i="2"/>
  <c r="I110" i="2"/>
  <c r="G109" i="2"/>
  <c r="H109" i="2" s="1"/>
  <c r="J109" i="2" s="1"/>
  <c r="G108" i="2"/>
  <c r="H108" i="2" s="1"/>
  <c r="J108" i="2" s="1"/>
  <c r="G107" i="2"/>
  <c r="H107" i="2" s="1"/>
  <c r="J107" i="2" s="1"/>
  <c r="H102" i="2"/>
  <c r="J102" i="2" s="1"/>
  <c r="G100" i="2"/>
  <c r="H100" i="2" s="1"/>
  <c r="J100" i="2" s="1"/>
  <c r="F98" i="2"/>
  <c r="E98" i="2"/>
  <c r="D98" i="2"/>
  <c r="C98" i="2"/>
  <c r="G93" i="2"/>
  <c r="H93" i="2" s="1"/>
  <c r="J93" i="2" s="1"/>
  <c r="F91" i="2"/>
  <c r="E91" i="2"/>
  <c r="D91" i="2"/>
  <c r="C91" i="2"/>
  <c r="G88" i="2"/>
  <c r="H88" i="2" s="1"/>
  <c r="G87" i="2"/>
  <c r="H87" i="2" s="1"/>
  <c r="G86" i="2"/>
  <c r="H86" i="2" s="1"/>
  <c r="F85" i="2"/>
  <c r="E85" i="2"/>
  <c r="D85" i="2"/>
  <c r="C85" i="2"/>
  <c r="I80" i="2"/>
  <c r="F80" i="2"/>
  <c r="E80" i="2"/>
  <c r="D80" i="2"/>
  <c r="C80" i="2"/>
  <c r="G78" i="2"/>
  <c r="H78" i="2" s="1"/>
  <c r="J78" i="2" s="1"/>
  <c r="G77" i="2"/>
  <c r="H77" i="2" s="1"/>
  <c r="J77" i="2" s="1"/>
  <c r="H72" i="2"/>
  <c r="J72" i="2" s="1"/>
  <c r="F66" i="2"/>
  <c r="E66" i="2"/>
  <c r="D66" i="2"/>
  <c r="C66" i="2"/>
  <c r="G61" i="2"/>
  <c r="H61" i="2" s="1"/>
  <c r="J61" i="2" s="1"/>
  <c r="F59" i="2"/>
  <c r="E59" i="2"/>
  <c r="D59" i="2"/>
  <c r="C59" i="2"/>
  <c r="G56" i="2"/>
  <c r="H56" i="2" s="1"/>
  <c r="J56" i="2" s="1"/>
  <c r="F53" i="2"/>
  <c r="E53" i="2"/>
  <c r="E52" i="2" s="1"/>
  <c r="D53" i="2"/>
  <c r="C53" i="2"/>
  <c r="L48" i="2"/>
  <c r="K48" i="2"/>
  <c r="J48" i="2"/>
  <c r="I48" i="2"/>
  <c r="F48" i="2"/>
  <c r="E48" i="2"/>
  <c r="D48" i="2"/>
  <c r="C48" i="2"/>
  <c r="G47" i="2"/>
  <c r="H47" i="2" s="1"/>
  <c r="J47" i="2" s="1"/>
  <c r="G45" i="2"/>
  <c r="H45" i="2" s="1"/>
  <c r="J45" i="2" s="1"/>
  <c r="H40" i="2"/>
  <c r="J40" i="2" s="1"/>
  <c r="G38" i="2"/>
  <c r="H38" i="2" s="1"/>
  <c r="J38" i="2" s="1"/>
  <c r="F36" i="2"/>
  <c r="E36" i="2"/>
  <c r="D36" i="2"/>
  <c r="C36" i="2"/>
  <c r="E295" i="2" l="1"/>
  <c r="F144" i="2"/>
  <c r="D84" i="2"/>
  <c r="K237" i="2"/>
  <c r="L237" i="2" s="1"/>
  <c r="K258" i="2"/>
  <c r="L258" i="2" s="1"/>
  <c r="K396" i="2"/>
  <c r="L396" i="2" s="1"/>
  <c r="K417" i="2"/>
  <c r="L417" i="2" s="1"/>
  <c r="K40" i="2"/>
  <c r="L40" i="2" s="1"/>
  <c r="K77" i="2"/>
  <c r="L77" i="2" s="1"/>
  <c r="K198" i="2"/>
  <c r="L198" i="2" s="1"/>
  <c r="K222" i="2"/>
  <c r="L222" i="2" s="1"/>
  <c r="K438" i="2"/>
  <c r="L438" i="2" s="1"/>
  <c r="K108" i="2"/>
  <c r="L108" i="2" s="1"/>
  <c r="K146" i="2"/>
  <c r="L146" i="2"/>
  <c r="K313" i="2"/>
  <c r="L313" i="2" s="1"/>
  <c r="K341" i="2"/>
  <c r="L341" i="2" s="1"/>
  <c r="K349" i="2"/>
  <c r="L349" i="2" s="1"/>
  <c r="K364" i="2"/>
  <c r="L364" i="2"/>
  <c r="K403" i="2"/>
  <c r="L403" i="2" s="1"/>
  <c r="K183" i="2"/>
  <c r="L183" i="2" s="1"/>
  <c r="L250" i="2"/>
  <c r="K250" i="2"/>
  <c r="K283" i="2"/>
  <c r="L283" i="2" s="1"/>
  <c r="K359" i="2"/>
  <c r="L359" i="2" s="1"/>
  <c r="K93" i="2"/>
  <c r="L93" i="2" s="1"/>
  <c r="K190" i="2"/>
  <c r="L190" i="2" s="1"/>
  <c r="K328" i="2"/>
  <c r="L328" i="2" s="1"/>
  <c r="K100" i="2"/>
  <c r="L100" i="2" s="1"/>
  <c r="K139" i="2"/>
  <c r="L139" i="2" s="1"/>
  <c r="K167" i="2"/>
  <c r="L167" i="2" s="1"/>
  <c r="K178" i="2"/>
  <c r="L178" i="2" s="1"/>
  <c r="L376" i="2"/>
  <c r="K376" i="2"/>
  <c r="K380" i="2"/>
  <c r="L380" i="2"/>
  <c r="L387" i="2"/>
  <c r="K387" i="2"/>
  <c r="K454" i="2"/>
  <c r="L454" i="2"/>
  <c r="L479" i="2"/>
  <c r="K479" i="2"/>
  <c r="K496" i="2"/>
  <c r="L496" i="2" s="1"/>
  <c r="K511" i="2"/>
  <c r="L511" i="2" s="1"/>
  <c r="K533" i="2"/>
  <c r="L533" i="2" s="1"/>
  <c r="L561" i="2"/>
  <c r="K561" i="2"/>
  <c r="K571" i="2"/>
  <c r="L571" i="2" s="1"/>
  <c r="K580" i="2"/>
  <c r="L580" i="2" s="1"/>
  <c r="K591" i="2"/>
  <c r="L591" i="2"/>
  <c r="K56" i="2"/>
  <c r="L56" i="2" s="1"/>
  <c r="K136" i="2"/>
  <c r="L136" i="2" s="1"/>
  <c r="K168" i="2"/>
  <c r="L168" i="2" s="1"/>
  <c r="K227" i="2"/>
  <c r="L227" i="2" s="1"/>
  <c r="L238" i="2"/>
  <c r="K238" i="2"/>
  <c r="K266" i="2"/>
  <c r="L266" i="2"/>
  <c r="L275" i="2"/>
  <c r="K275" i="2"/>
  <c r="F295" i="2"/>
  <c r="F277" i="2" s="1"/>
  <c r="K329" i="2"/>
  <c r="L329" i="2" s="1"/>
  <c r="K373" i="2"/>
  <c r="L373" i="2" s="1"/>
  <c r="K418" i="2"/>
  <c r="L418" i="2" s="1"/>
  <c r="K439" i="2"/>
  <c r="L439" i="2"/>
  <c r="K480" i="2"/>
  <c r="L480" i="2" s="1"/>
  <c r="K517" i="2"/>
  <c r="L517" i="2" s="1"/>
  <c r="K562" i="2"/>
  <c r="L562" i="2"/>
  <c r="K572" i="2"/>
  <c r="L572" i="2" s="1"/>
  <c r="K584" i="2"/>
  <c r="L584" i="2" s="1"/>
  <c r="K597" i="2"/>
  <c r="L597" i="2" s="1"/>
  <c r="D599" i="2"/>
  <c r="K608" i="2"/>
  <c r="L608" i="2" s="1"/>
  <c r="K38" i="2"/>
  <c r="L38" i="2" s="1"/>
  <c r="K102" i="2"/>
  <c r="L102" i="2" s="1"/>
  <c r="K137" i="2"/>
  <c r="L137" i="2"/>
  <c r="L148" i="2"/>
  <c r="K148" i="2"/>
  <c r="K153" i="2"/>
  <c r="L153" i="2"/>
  <c r="K169" i="2"/>
  <c r="L169" i="2" s="1"/>
  <c r="K176" i="2"/>
  <c r="L176" i="2" s="1"/>
  <c r="K192" i="2"/>
  <c r="L192" i="2" s="1"/>
  <c r="K207" i="2"/>
  <c r="L207" i="2"/>
  <c r="L220" i="2"/>
  <c r="K220" i="2"/>
  <c r="K228" i="2"/>
  <c r="L228" i="2" s="1"/>
  <c r="E234" i="2"/>
  <c r="K252" i="2"/>
  <c r="L252" i="2" s="1"/>
  <c r="K267" i="2"/>
  <c r="L267" i="2" s="1"/>
  <c r="C264" i="2"/>
  <c r="J272" i="2"/>
  <c r="L298" i="2"/>
  <c r="K298" i="2"/>
  <c r="K311" i="2"/>
  <c r="L311" i="2" s="1"/>
  <c r="K319" i="2"/>
  <c r="L319" i="2" s="1"/>
  <c r="K343" i="2"/>
  <c r="L343" i="2" s="1"/>
  <c r="L357" i="2"/>
  <c r="K357" i="2"/>
  <c r="K366" i="2"/>
  <c r="L366" i="2" s="1"/>
  <c r="K378" i="2"/>
  <c r="L378" i="2" s="1"/>
  <c r="K389" i="2"/>
  <c r="L389" i="2"/>
  <c r="L394" i="2"/>
  <c r="K394" i="2"/>
  <c r="K401" i="2"/>
  <c r="L401" i="2" s="1"/>
  <c r="K409" i="2"/>
  <c r="L409" i="2" s="1"/>
  <c r="K419" i="2"/>
  <c r="L419" i="2" s="1"/>
  <c r="D415" i="2"/>
  <c r="D398" i="2" s="1"/>
  <c r="K424" i="2"/>
  <c r="L424" i="2" s="1"/>
  <c r="K440" i="2"/>
  <c r="L440" i="2"/>
  <c r="K447" i="2"/>
  <c r="L447" i="2" s="1"/>
  <c r="F445" i="2"/>
  <c r="F428" i="2" s="1"/>
  <c r="L481" i="2"/>
  <c r="K481" i="2"/>
  <c r="K486" i="2"/>
  <c r="L486" i="2" s="1"/>
  <c r="L494" i="2"/>
  <c r="K494" i="2"/>
  <c r="K502" i="2"/>
  <c r="L502" i="2"/>
  <c r="L527" i="2"/>
  <c r="K527" i="2"/>
  <c r="K542" i="2"/>
  <c r="L542" i="2" s="1"/>
  <c r="K555" i="2"/>
  <c r="L555" i="2" s="1"/>
  <c r="K563" i="2"/>
  <c r="L563" i="2" s="1"/>
  <c r="K573" i="2"/>
  <c r="L573" i="2" s="1"/>
  <c r="D569" i="2"/>
  <c r="H569" i="2" s="1"/>
  <c r="K578" i="2"/>
  <c r="L578" i="2"/>
  <c r="K585" i="2"/>
  <c r="L585" i="2" s="1"/>
  <c r="K449" i="2"/>
  <c r="L449" i="2" s="1"/>
  <c r="K525" i="2"/>
  <c r="L525" i="2" s="1"/>
  <c r="K557" i="2"/>
  <c r="L557" i="2"/>
  <c r="K587" i="2"/>
  <c r="L587" i="2" s="1"/>
  <c r="K602" i="2"/>
  <c r="L602" i="2"/>
  <c r="K45" i="2"/>
  <c r="L45" i="2"/>
  <c r="K61" i="2"/>
  <c r="L61" i="2" s="1"/>
  <c r="K78" i="2"/>
  <c r="L78" i="2" s="1"/>
  <c r="K109" i="2"/>
  <c r="L109" i="2"/>
  <c r="K147" i="2"/>
  <c r="L147" i="2"/>
  <c r="K160" i="2"/>
  <c r="L160" i="2" s="1"/>
  <c r="K199" i="2"/>
  <c r="L199" i="2" s="1"/>
  <c r="K206" i="2"/>
  <c r="L206" i="2"/>
  <c r="K243" i="2"/>
  <c r="L243" i="2" s="1"/>
  <c r="F264" i="2"/>
  <c r="F247" i="2" s="1"/>
  <c r="L297" i="2"/>
  <c r="K297" i="2"/>
  <c r="K318" i="2"/>
  <c r="L318" i="2" s="1"/>
  <c r="K334" i="2"/>
  <c r="L334" i="2" s="1"/>
  <c r="K350" i="2"/>
  <c r="L350" i="2" s="1"/>
  <c r="L377" i="2"/>
  <c r="K377" i="2"/>
  <c r="K382" i="2"/>
  <c r="L382" i="2"/>
  <c r="L388" i="2"/>
  <c r="K388" i="2"/>
  <c r="K408" i="2"/>
  <c r="L408" i="2"/>
  <c r="K431" i="2"/>
  <c r="L431" i="2" s="1"/>
  <c r="K465" i="2"/>
  <c r="L465" i="2" s="1"/>
  <c r="C477" i="2"/>
  <c r="C458" i="2" s="1"/>
  <c r="K501" i="2"/>
  <c r="L501" i="2" s="1"/>
  <c r="K512" i="2"/>
  <c r="L512" i="2" s="1"/>
  <c r="K541" i="2"/>
  <c r="L541" i="2" s="1"/>
  <c r="K592" i="2"/>
  <c r="L592" i="2" s="1"/>
  <c r="K603" i="2"/>
  <c r="L603" i="2" s="1"/>
  <c r="K47" i="2"/>
  <c r="L47" i="2"/>
  <c r="K72" i="2"/>
  <c r="L72" i="2" s="1"/>
  <c r="K107" i="2"/>
  <c r="L107" i="2"/>
  <c r="K123" i="2"/>
  <c r="L123" i="2" s="1"/>
  <c r="K130" i="2"/>
  <c r="L130" i="2" s="1"/>
  <c r="K138" i="2"/>
  <c r="L138" i="2"/>
  <c r="K162" i="2"/>
  <c r="L162" i="2" s="1"/>
  <c r="K177" i="2"/>
  <c r="L177" i="2" s="1"/>
  <c r="K197" i="2"/>
  <c r="L197" i="2" s="1"/>
  <c r="K208" i="2"/>
  <c r="L208" i="2" s="1"/>
  <c r="D204" i="2"/>
  <c r="D187" i="2" s="1"/>
  <c r="K213" i="2"/>
  <c r="L213" i="2" s="1"/>
  <c r="K236" i="2"/>
  <c r="L236" i="2" s="1"/>
  <c r="K257" i="2"/>
  <c r="L257" i="2" s="1"/>
  <c r="E264" i="2"/>
  <c r="K268" i="2"/>
  <c r="L268" i="2" s="1"/>
  <c r="K273" i="2"/>
  <c r="L273" i="2" s="1"/>
  <c r="K299" i="2"/>
  <c r="L299" i="2"/>
  <c r="K327" i="2"/>
  <c r="L327" i="2" s="1"/>
  <c r="K336" i="2"/>
  <c r="L336" i="2" s="1"/>
  <c r="K348" i="2"/>
  <c r="L348" i="2" s="1"/>
  <c r="K358" i="2"/>
  <c r="L358" i="2" s="1"/>
  <c r="J363" i="2"/>
  <c r="K371" i="2"/>
  <c r="L371" i="2" s="1"/>
  <c r="K379" i="2"/>
  <c r="L379" i="2"/>
  <c r="K410" i="2"/>
  <c r="L410" i="2" s="1"/>
  <c r="K433" i="2"/>
  <c r="L433" i="2"/>
  <c r="K448" i="2"/>
  <c r="L448" i="2" s="1"/>
  <c r="K462" i="2"/>
  <c r="L462" i="2" s="1"/>
  <c r="K471" i="2"/>
  <c r="L471" i="2" s="1"/>
  <c r="K510" i="2"/>
  <c r="L510" i="2"/>
  <c r="F508" i="2"/>
  <c r="K532" i="2"/>
  <c r="L532" i="2" s="1"/>
  <c r="E539" i="2"/>
  <c r="K543" i="2"/>
  <c r="L543" i="2" s="1"/>
  <c r="D539" i="2"/>
  <c r="K548" i="2"/>
  <c r="L548" i="2" s="1"/>
  <c r="K564" i="2"/>
  <c r="L564" i="2" s="1"/>
  <c r="K594" i="2"/>
  <c r="L594" i="2"/>
  <c r="K601" i="2"/>
  <c r="L601" i="2" s="1"/>
  <c r="E599" i="2"/>
  <c r="E582" i="2" s="1"/>
  <c r="E204" i="2"/>
  <c r="D174" i="2"/>
  <c r="E144" i="2"/>
  <c r="F631" i="2"/>
  <c r="F612" i="2" s="1"/>
  <c r="C631" i="2"/>
  <c r="C612" i="2" s="1"/>
  <c r="E631" i="2"/>
  <c r="E612" i="2" s="1"/>
  <c r="D631" i="2"/>
  <c r="D612" i="2" s="1"/>
  <c r="F599" i="2"/>
  <c r="F582" i="2" s="1"/>
  <c r="C599" i="2"/>
  <c r="D582" i="2"/>
  <c r="C582" i="2"/>
  <c r="E569" i="2"/>
  <c r="C569" i="2"/>
  <c r="C552" i="2" s="1"/>
  <c r="F552" i="2"/>
  <c r="D552" i="2"/>
  <c r="F539" i="2"/>
  <c r="C539" i="2"/>
  <c r="C521" i="2" s="1"/>
  <c r="F521" i="2"/>
  <c r="D521" i="2"/>
  <c r="D508" i="2"/>
  <c r="D490" i="2" s="1"/>
  <c r="C508" i="2"/>
  <c r="C490" i="2" s="1"/>
  <c r="F490" i="2"/>
  <c r="E508" i="2"/>
  <c r="D477" i="2"/>
  <c r="E477" i="2"/>
  <c r="E458" i="2" s="1"/>
  <c r="F458" i="2"/>
  <c r="D458" i="2"/>
  <c r="E445" i="2"/>
  <c r="D445" i="2"/>
  <c r="D428" i="2" s="1"/>
  <c r="C445" i="2"/>
  <c r="C428" i="2" s="1"/>
  <c r="F398" i="2"/>
  <c r="E415" i="2"/>
  <c r="E398" i="2" s="1"/>
  <c r="C415" i="2"/>
  <c r="C398" i="2" s="1"/>
  <c r="D385" i="2"/>
  <c r="C385" i="2"/>
  <c r="C368" i="2" s="1"/>
  <c r="F368" i="2"/>
  <c r="F355" i="2"/>
  <c r="F338" i="2" s="1"/>
  <c r="D355" i="2"/>
  <c r="D338" i="2" s="1"/>
  <c r="C355" i="2"/>
  <c r="C338" i="2" s="1"/>
  <c r="F325" i="2"/>
  <c r="F308" i="2" s="1"/>
  <c r="D325" i="2"/>
  <c r="H325" i="2" s="1"/>
  <c r="C325" i="2"/>
  <c r="C308" i="2" s="1"/>
  <c r="D295" i="2"/>
  <c r="D277" i="2" s="1"/>
  <c r="C295" i="2"/>
  <c r="C277" i="2" s="1"/>
  <c r="E277" i="2"/>
  <c r="D247" i="2"/>
  <c r="C247" i="2"/>
  <c r="F234" i="2"/>
  <c r="F217" i="2" s="1"/>
  <c r="C234" i="2"/>
  <c r="C217" i="2" s="1"/>
  <c r="D234" i="2"/>
  <c r="D217" i="2" s="1"/>
  <c r="F204" i="2"/>
  <c r="F187" i="2" s="1"/>
  <c r="C204" i="2"/>
  <c r="C187" i="2" s="1"/>
  <c r="E174" i="2"/>
  <c r="H174" i="2" s="1"/>
  <c r="F174" i="2"/>
  <c r="F157" i="2" s="1"/>
  <c r="C174" i="2"/>
  <c r="C157" i="2" s="1"/>
  <c r="D157" i="2"/>
  <c r="D144" i="2"/>
  <c r="C144" i="2"/>
  <c r="C127" i="2" s="1"/>
  <c r="F127" i="2"/>
  <c r="E114" i="2"/>
  <c r="E97" i="2" s="1"/>
  <c r="F114" i="2"/>
  <c r="F97" i="2" s="1"/>
  <c r="D114" i="2"/>
  <c r="D97" i="2" s="1"/>
  <c r="C114" i="2"/>
  <c r="C97" i="2" s="1"/>
  <c r="F84" i="2"/>
  <c r="F65" i="2" s="1"/>
  <c r="E84" i="2"/>
  <c r="E65" i="2" s="1"/>
  <c r="C84" i="2"/>
  <c r="C65" i="2" s="1"/>
  <c r="D65" i="2"/>
  <c r="F52" i="2"/>
  <c r="D52" i="2"/>
  <c r="D35" i="2" s="1"/>
  <c r="C52" i="2"/>
  <c r="C35" i="2" s="1"/>
  <c r="F35" i="2"/>
  <c r="E552" i="2"/>
  <c r="E521" i="2"/>
  <c r="H539" i="2"/>
  <c r="E368" i="2"/>
  <c r="E338" i="2"/>
  <c r="E308" i="2"/>
  <c r="H295" i="2"/>
  <c r="E247" i="2"/>
  <c r="H264" i="2"/>
  <c r="E187" i="2"/>
  <c r="E157" i="2"/>
  <c r="E127" i="2"/>
  <c r="H84" i="2"/>
  <c r="E35" i="2"/>
  <c r="D6" i="2"/>
  <c r="E6" i="2"/>
  <c r="F6" i="2"/>
  <c r="C6" i="2"/>
  <c r="H144" i="2" l="1"/>
  <c r="H234" i="2"/>
  <c r="H204" i="2"/>
  <c r="E217" i="2"/>
  <c r="K272" i="2"/>
  <c r="L272" i="2" s="1"/>
  <c r="K363" i="2"/>
  <c r="L363" i="2" s="1"/>
  <c r="H631" i="2"/>
  <c r="E490" i="2"/>
  <c r="E428" i="2"/>
  <c r="D368" i="2"/>
  <c r="D308" i="2"/>
  <c r="D127" i="2"/>
  <c r="H114" i="2"/>
  <c r="D29" i="2"/>
  <c r="E29" i="2"/>
  <c r="F29" i="2"/>
  <c r="C29" i="2"/>
  <c r="D23" i="2"/>
  <c r="E23" i="2"/>
  <c r="F23" i="2"/>
  <c r="C23" i="2"/>
  <c r="I18" i="2"/>
  <c r="F18" i="2"/>
  <c r="E18" i="2"/>
  <c r="D18" i="2"/>
  <c r="C18" i="2"/>
  <c r="H10" i="2"/>
  <c r="J10" i="2" s="1"/>
  <c r="K10" i="2" l="1"/>
  <c r="L10" i="2" s="1"/>
  <c r="D22" i="2"/>
  <c r="F22" i="2"/>
  <c r="F5" i="2" s="1"/>
  <c r="E22" i="2"/>
  <c r="E5" i="2" s="1"/>
  <c r="C22" i="2"/>
  <c r="C5" i="2" s="1"/>
  <c r="F47" i="1"/>
  <c r="J47" i="1" s="1"/>
  <c r="D47" i="1"/>
  <c r="H47" i="1" s="1"/>
  <c r="H45" i="1"/>
  <c r="F45" i="1"/>
  <c r="D45" i="1"/>
  <c r="H43" i="1"/>
  <c r="F43" i="1"/>
  <c r="D43" i="1"/>
  <c r="J43" i="1" s="1"/>
  <c r="H41" i="1"/>
  <c r="F41" i="1"/>
  <c r="D41" i="1"/>
  <c r="H39" i="1"/>
  <c r="J39" i="1" s="1"/>
  <c r="F39" i="1"/>
  <c r="D39" i="1"/>
  <c r="H37" i="1"/>
  <c r="F37" i="1"/>
  <c r="D37" i="1"/>
  <c r="H35" i="1"/>
  <c r="F35" i="1"/>
  <c r="D35" i="1"/>
  <c r="H32" i="1"/>
  <c r="F32" i="1"/>
  <c r="D32" i="1"/>
  <c r="H30" i="1"/>
  <c r="F30" i="1"/>
  <c r="D30" i="1"/>
  <c r="H28" i="1"/>
  <c r="F28" i="1"/>
  <c r="J28" i="1" s="1"/>
  <c r="D28" i="1"/>
  <c r="H26" i="1"/>
  <c r="F26" i="1"/>
  <c r="D26" i="1"/>
  <c r="H24" i="1"/>
  <c r="F24" i="1"/>
  <c r="D24" i="1"/>
  <c r="H22" i="1"/>
  <c r="F22" i="1"/>
  <c r="D22" i="1"/>
  <c r="H20" i="1"/>
  <c r="F20" i="1"/>
  <c r="D20" i="1"/>
  <c r="H18" i="1"/>
  <c r="F18" i="1"/>
  <c r="D18" i="1"/>
  <c r="H16" i="1"/>
  <c r="F16" i="1"/>
  <c r="D16" i="1"/>
  <c r="H14" i="1"/>
  <c r="F14" i="1"/>
  <c r="D14" i="1"/>
  <c r="H12" i="1"/>
  <c r="F12" i="1"/>
  <c r="J12" i="1" s="1"/>
  <c r="D12" i="1"/>
  <c r="H10" i="1"/>
  <c r="F10" i="1"/>
  <c r="D10" i="1"/>
  <c r="H8" i="1"/>
  <c r="F8" i="1"/>
  <c r="D8" i="1"/>
  <c r="H6" i="1"/>
  <c r="F6" i="1"/>
  <c r="D6" i="1"/>
  <c r="I18" i="1" l="1"/>
  <c r="I20" i="1"/>
  <c r="K20" i="1" s="1"/>
  <c r="I28" i="1"/>
  <c r="K28" i="1" s="1"/>
  <c r="I35" i="1"/>
  <c r="I37" i="1"/>
  <c r="J45" i="1"/>
  <c r="J22" i="1"/>
  <c r="J30" i="1"/>
  <c r="I30" i="1"/>
  <c r="K30" i="1" s="1"/>
  <c r="H22" i="2"/>
  <c r="D5" i="2"/>
  <c r="J18" i="1"/>
  <c r="J16" i="1"/>
  <c r="I16" i="1"/>
  <c r="K16" i="1" s="1"/>
  <c r="I14" i="1"/>
  <c r="J14" i="1"/>
  <c r="K14" i="1" s="1"/>
  <c r="I12" i="1"/>
  <c r="K12" i="1" s="1"/>
  <c r="J10" i="1"/>
  <c r="J6" i="1"/>
  <c r="I6" i="1"/>
  <c r="J8" i="1"/>
  <c r="I8" i="1"/>
  <c r="K8" i="1" s="1"/>
  <c r="I45" i="1"/>
  <c r="J41" i="1"/>
  <c r="I41" i="1"/>
  <c r="K41" i="1" s="1"/>
  <c r="I39" i="1"/>
  <c r="K39" i="1" s="1"/>
  <c r="J37" i="1"/>
  <c r="K37" i="1" s="1"/>
  <c r="J35" i="1"/>
  <c r="I32" i="1"/>
  <c r="J32" i="1"/>
  <c r="K32" i="1" s="1"/>
  <c r="J26" i="1"/>
  <c r="I24" i="1"/>
  <c r="J24" i="1"/>
  <c r="J20" i="1"/>
  <c r="K6" i="1"/>
  <c r="K18" i="1"/>
  <c r="K35" i="1"/>
  <c r="I10" i="1"/>
  <c r="K10" i="1" s="1"/>
  <c r="I22" i="1"/>
  <c r="K24" i="1"/>
  <c r="I26" i="1"/>
  <c r="K26" i="1" s="1"/>
  <c r="I43" i="1"/>
  <c r="K43" i="1" s="1"/>
  <c r="K45" i="1"/>
  <c r="I47" i="1"/>
  <c r="K47" i="1" s="1"/>
  <c r="G618" i="2" l="1"/>
  <c r="H618" i="2" s="1"/>
  <c r="J618" i="2" s="1"/>
  <c r="K618" i="2" s="1"/>
  <c r="L618" i="2" s="1"/>
  <c r="G609" i="2"/>
  <c r="H609" i="2" s="1"/>
  <c r="J609" i="2" s="1"/>
  <c r="K609" i="2" s="1"/>
  <c r="L609" i="2" s="1"/>
  <c r="G549" i="2"/>
  <c r="H549" i="2" s="1"/>
  <c r="J549" i="2" s="1"/>
  <c r="G526" i="2"/>
  <c r="H526" i="2" s="1"/>
  <c r="J526" i="2" s="1"/>
  <c r="G640" i="2"/>
  <c r="H640" i="2" s="1"/>
  <c r="J640" i="2" s="1"/>
  <c r="G586" i="2"/>
  <c r="H586" i="2" s="1"/>
  <c r="G495" i="2"/>
  <c r="H495" i="2" s="1"/>
  <c r="J495" i="2" s="1"/>
  <c r="G464" i="2"/>
  <c r="H464" i="2" s="1"/>
  <c r="J464" i="2" s="1"/>
  <c r="G641" i="2"/>
  <c r="H641" i="2" s="1"/>
  <c r="J641" i="2" s="1"/>
  <c r="K641" i="2" s="1"/>
  <c r="L641" i="2" s="1"/>
  <c r="G556" i="2"/>
  <c r="H556" i="2" s="1"/>
  <c r="J556" i="2" s="1"/>
  <c r="K556" i="2" s="1"/>
  <c r="L556" i="2" s="1"/>
  <c r="G487" i="2"/>
  <c r="H487" i="2" s="1"/>
  <c r="J487" i="2" s="1"/>
  <c r="G518" i="2"/>
  <c r="H518" i="2" s="1"/>
  <c r="J518" i="2" s="1"/>
  <c r="G619" i="2"/>
  <c r="H619" i="2" s="1"/>
  <c r="J619" i="2" s="1"/>
  <c r="G579" i="2"/>
  <c r="H579" i="2" s="1"/>
  <c r="J579" i="2" s="1"/>
  <c r="G432" i="2"/>
  <c r="H432" i="2" s="1"/>
  <c r="J432" i="2" s="1"/>
  <c r="K432" i="2" s="1"/>
  <c r="L432" i="2" s="1"/>
  <c r="G395" i="2"/>
  <c r="H395" i="2" s="1"/>
  <c r="J395" i="2" s="1"/>
  <c r="G372" i="2"/>
  <c r="H372" i="2" s="1"/>
  <c r="J372" i="2" s="1"/>
  <c r="G342" i="2"/>
  <c r="H342" i="2" s="1"/>
  <c r="J342" i="2" s="1"/>
  <c r="G282" i="2"/>
  <c r="H282" i="2" s="1"/>
  <c r="J282" i="2" s="1"/>
  <c r="G365" i="2"/>
  <c r="H365" i="2" s="1"/>
  <c r="G335" i="2"/>
  <c r="H335" i="2" s="1"/>
  <c r="J335" i="2" s="1"/>
  <c r="G304" i="2"/>
  <c r="H304" i="2" s="1"/>
  <c r="J304" i="2" s="1"/>
  <c r="G154" i="2"/>
  <c r="H154" i="2" s="1"/>
  <c r="J154" i="2" s="1"/>
  <c r="G274" i="2"/>
  <c r="H274" i="2" s="1"/>
  <c r="G132" i="2"/>
  <c r="H132" i="2" s="1"/>
  <c r="J132" i="2" s="1"/>
  <c r="G455" i="2"/>
  <c r="H455" i="2" s="1"/>
  <c r="J455" i="2" s="1"/>
  <c r="G305" i="2"/>
  <c r="H305" i="2" s="1"/>
  <c r="J305" i="2" s="1"/>
  <c r="G244" i="2"/>
  <c r="H244" i="2" s="1"/>
  <c r="J244" i="2" s="1"/>
  <c r="G221" i="2"/>
  <c r="H221" i="2" s="1"/>
  <c r="J221" i="2" s="1"/>
  <c r="G131" i="2"/>
  <c r="H131" i="2" s="1"/>
  <c r="J131" i="2" s="1"/>
  <c r="G402" i="2"/>
  <c r="H402" i="2" s="1"/>
  <c r="J402" i="2" s="1"/>
  <c r="G312" i="2"/>
  <c r="H312" i="2" s="1"/>
  <c r="J312" i="2" s="1"/>
  <c r="G251" i="2"/>
  <c r="H251" i="2" s="1"/>
  <c r="J251" i="2" s="1"/>
  <c r="G425" i="2"/>
  <c r="H425" i="2" s="1"/>
  <c r="J425" i="2" s="1"/>
  <c r="G191" i="2"/>
  <c r="H191" i="2" s="1"/>
  <c r="J191" i="2" s="1"/>
  <c r="G101" i="2"/>
  <c r="H101" i="2" s="1"/>
  <c r="J101" i="2" s="1"/>
  <c r="G71" i="2"/>
  <c r="H71" i="2" s="1"/>
  <c r="J71" i="2" s="1"/>
  <c r="G184" i="2"/>
  <c r="H184" i="2" s="1"/>
  <c r="J184" i="2" s="1"/>
  <c r="G94" i="2"/>
  <c r="H94" i="2" s="1"/>
  <c r="J94" i="2" s="1"/>
  <c r="G214" i="2"/>
  <c r="H214" i="2" s="1"/>
  <c r="J214" i="2" s="1"/>
  <c r="G124" i="2"/>
  <c r="H124" i="2" s="1"/>
  <c r="J124" i="2" s="1"/>
  <c r="G161" i="2"/>
  <c r="H161" i="2" s="1"/>
  <c r="J161" i="2" s="1"/>
  <c r="G62" i="2"/>
  <c r="H62" i="2" s="1"/>
  <c r="J62" i="2" s="1"/>
  <c r="G39" i="2"/>
  <c r="H39" i="2" s="1"/>
  <c r="J39" i="2" s="1"/>
  <c r="G32" i="2"/>
  <c r="H32" i="2" s="1"/>
  <c r="J32" i="2" s="1"/>
  <c r="G9" i="2"/>
  <c r="H9" i="2" s="1"/>
  <c r="J9" i="2" s="1"/>
  <c r="G31" i="2"/>
  <c r="H31" i="2" s="1"/>
  <c r="J31" i="2" s="1"/>
  <c r="G642" i="2"/>
  <c r="H642" i="2" s="1"/>
  <c r="J642" i="2" s="1"/>
  <c r="K642" i="2" s="1"/>
  <c r="L642" i="2" s="1"/>
  <c r="G531" i="2"/>
  <c r="H531" i="2" s="1"/>
  <c r="J531" i="2" s="1"/>
  <c r="G488" i="2"/>
  <c r="H488" i="2" s="1"/>
  <c r="J488" i="2" s="1"/>
  <c r="K488" i="2" s="1"/>
  <c r="L488" i="2" s="1"/>
  <c r="G616" i="2"/>
  <c r="H616" i="2" s="1"/>
  <c r="J616" i="2" s="1"/>
  <c r="G610" i="2"/>
  <c r="H610" i="2" s="1"/>
  <c r="J610" i="2" s="1"/>
  <c r="G519" i="2"/>
  <c r="H519" i="2" s="1"/>
  <c r="J519" i="2" s="1"/>
  <c r="K519" i="2" s="1"/>
  <c r="L519" i="2" s="1"/>
  <c r="G500" i="2"/>
  <c r="H500" i="2" s="1"/>
  <c r="J500" i="2" s="1"/>
  <c r="G623" i="2"/>
  <c r="H623" i="2" s="1"/>
  <c r="J623" i="2" s="1"/>
  <c r="K623" i="2" s="1"/>
  <c r="L623" i="2" s="1"/>
  <c r="G550" i="2"/>
  <c r="H550" i="2" s="1"/>
  <c r="J550" i="2" s="1"/>
  <c r="K550" i="2" s="1"/>
  <c r="L550" i="2" s="1"/>
  <c r="G456" i="2"/>
  <c r="H456" i="2" s="1"/>
  <c r="J456" i="2" s="1"/>
  <c r="K456" i="2" s="1"/>
  <c r="L456" i="2" s="1"/>
  <c r="G437" i="2"/>
  <c r="H437" i="2" s="1"/>
  <c r="J437" i="2" s="1"/>
  <c r="K437" i="2" s="1"/>
  <c r="L437" i="2" s="1"/>
  <c r="G347" i="2"/>
  <c r="H347" i="2" s="1"/>
  <c r="J347" i="2" s="1"/>
  <c r="G306" i="2"/>
  <c r="H306" i="2" s="1"/>
  <c r="J306" i="2" s="1"/>
  <c r="K306" i="2" s="1"/>
  <c r="L306" i="2" s="1"/>
  <c r="G287" i="2"/>
  <c r="H287" i="2" s="1"/>
  <c r="J287" i="2" s="1"/>
  <c r="G245" i="2"/>
  <c r="H245" i="2" s="1"/>
  <c r="J245" i="2" s="1"/>
  <c r="G426" i="2"/>
  <c r="H426" i="2" s="1"/>
  <c r="J426" i="2" s="1"/>
  <c r="G407" i="2"/>
  <c r="H407" i="2" s="1"/>
  <c r="J407" i="2" s="1"/>
  <c r="G317" i="2"/>
  <c r="H317" i="2" s="1"/>
  <c r="J317" i="2" s="1"/>
  <c r="G256" i="2"/>
  <c r="H256" i="2" s="1"/>
  <c r="J256" i="2" s="1"/>
  <c r="G281" i="2"/>
  <c r="H281" i="2" s="1"/>
  <c r="J281" i="2" s="1"/>
  <c r="G226" i="2"/>
  <c r="H226" i="2" s="1"/>
  <c r="J226" i="2" s="1"/>
  <c r="G155" i="2"/>
  <c r="H155" i="2" s="1"/>
  <c r="J155" i="2" s="1"/>
  <c r="K155" i="2" s="1"/>
  <c r="L155" i="2" s="1"/>
  <c r="G215" i="2"/>
  <c r="H215" i="2" s="1"/>
  <c r="J215" i="2" s="1"/>
  <c r="K215" i="2" s="1"/>
  <c r="L215" i="2" s="1"/>
  <c r="G196" i="2"/>
  <c r="H196" i="2" s="1"/>
  <c r="J196" i="2" s="1"/>
  <c r="G125" i="2"/>
  <c r="H125" i="2" s="1"/>
  <c r="J125" i="2" s="1"/>
  <c r="K125" i="2" s="1"/>
  <c r="L125" i="2" s="1"/>
  <c r="G106" i="2"/>
  <c r="H106" i="2" s="1"/>
  <c r="J106" i="2" s="1"/>
  <c r="G44" i="2"/>
  <c r="H44" i="2" s="1"/>
  <c r="J44" i="2" s="1"/>
  <c r="G63" i="2"/>
  <c r="H63" i="2" s="1"/>
  <c r="J63" i="2" s="1"/>
  <c r="G185" i="2"/>
  <c r="H185" i="2" s="1"/>
  <c r="J185" i="2" s="1"/>
  <c r="K185" i="2" s="1"/>
  <c r="L185" i="2" s="1"/>
  <c r="G166" i="2"/>
  <c r="H166" i="2" s="1"/>
  <c r="J166" i="2" s="1"/>
  <c r="G69" i="2"/>
  <c r="H69" i="2" s="1"/>
  <c r="J69" i="2" s="1"/>
  <c r="G95" i="2"/>
  <c r="H95" i="2" s="1"/>
  <c r="J95" i="2" s="1"/>
  <c r="K95" i="2" s="1"/>
  <c r="L95" i="2" s="1"/>
  <c r="G76" i="2"/>
  <c r="H76" i="2" s="1"/>
  <c r="J76" i="2" s="1"/>
  <c r="G14" i="2"/>
  <c r="H14" i="2" s="1"/>
  <c r="J14" i="2" s="1"/>
  <c r="G33" i="2"/>
  <c r="H33" i="2" s="1"/>
  <c r="J33" i="2" s="1"/>
  <c r="G8" i="2"/>
  <c r="H8" i="2" s="1"/>
  <c r="J8" i="2" s="1"/>
  <c r="G598" i="2"/>
  <c r="H598" i="2" s="1"/>
  <c r="J598" i="2" s="1"/>
  <c r="G538" i="2"/>
  <c r="H538" i="2" s="1"/>
  <c r="J538" i="2" s="1"/>
  <c r="G507" i="2"/>
  <c r="H507" i="2" s="1"/>
  <c r="J507" i="2" s="1"/>
  <c r="G568" i="2"/>
  <c r="H568" i="2" s="1"/>
  <c r="J568" i="2" s="1"/>
  <c r="G630" i="2"/>
  <c r="H630" i="2" s="1"/>
  <c r="J630" i="2" s="1"/>
  <c r="K630" i="2" s="1"/>
  <c r="L630" i="2" s="1"/>
  <c r="G476" i="2"/>
  <c r="H476" i="2" s="1"/>
  <c r="J476" i="2" s="1"/>
  <c r="G384" i="2"/>
  <c r="H384" i="2" s="1"/>
  <c r="J384" i="2" s="1"/>
  <c r="G294" i="2"/>
  <c r="H294" i="2" s="1"/>
  <c r="J294" i="2" s="1"/>
  <c r="G414" i="2"/>
  <c r="H414" i="2" s="1"/>
  <c r="J414" i="2" s="1"/>
  <c r="G444" i="2"/>
  <c r="H444" i="2" s="1"/>
  <c r="J444" i="2" s="1"/>
  <c r="G354" i="2"/>
  <c r="H354" i="2" s="1"/>
  <c r="J354" i="2" s="1"/>
  <c r="G233" i="2"/>
  <c r="H233" i="2" s="1"/>
  <c r="J233" i="2" s="1"/>
  <c r="G324" i="2"/>
  <c r="H324" i="2" s="1"/>
  <c r="J324" i="2" s="1"/>
  <c r="G263" i="2"/>
  <c r="H263" i="2" s="1"/>
  <c r="J263" i="2" s="1"/>
  <c r="G143" i="2"/>
  <c r="H143" i="2" s="1"/>
  <c r="J143" i="2" s="1"/>
  <c r="G51" i="2"/>
  <c r="H51" i="2" s="1"/>
  <c r="G203" i="2"/>
  <c r="H203" i="2" s="1"/>
  <c r="J203" i="2" s="1"/>
  <c r="G113" i="2"/>
  <c r="H113" i="2" s="1"/>
  <c r="J113" i="2" s="1"/>
  <c r="G173" i="2"/>
  <c r="H173" i="2" s="1"/>
  <c r="J173" i="2" s="1"/>
  <c r="G83" i="2"/>
  <c r="H83" i="2" s="1"/>
  <c r="J83" i="2" s="1"/>
  <c r="G21" i="2"/>
  <c r="H21" i="2" s="1"/>
  <c r="J21" i="2" s="1"/>
  <c r="K21" i="2" s="1"/>
  <c r="L21" i="2" s="1"/>
  <c r="G264" i="1"/>
  <c r="G615" i="2"/>
  <c r="H615" i="2" s="1"/>
  <c r="J615" i="2" s="1"/>
  <c r="G493" i="2"/>
  <c r="H493" i="2" s="1"/>
  <c r="J493" i="2" s="1"/>
  <c r="G524" i="2"/>
  <c r="H524" i="2" s="1"/>
  <c r="J524" i="2" s="1"/>
  <c r="G461" i="2"/>
  <c r="H461" i="2" s="1"/>
  <c r="J461" i="2" s="1"/>
  <c r="G280" i="2"/>
  <c r="H280" i="2" s="1"/>
  <c r="J280" i="2" s="1"/>
  <c r="G68" i="2"/>
  <c r="H68" i="2" s="1"/>
  <c r="J68" i="2" s="1"/>
  <c r="G635" i="2"/>
  <c r="H635" i="2" s="1"/>
  <c r="J635" i="2" s="1"/>
  <c r="G26" i="2"/>
  <c r="H26" i="2" s="1"/>
  <c r="J26" i="2" s="1"/>
  <c r="G7" i="2"/>
  <c r="G622" i="2"/>
  <c r="H622" i="2" s="1"/>
  <c r="J622" i="2" s="1"/>
  <c r="K622" i="2" s="1"/>
  <c r="L622" i="2" s="1"/>
  <c r="G554" i="2"/>
  <c r="H554" i="2" s="1"/>
  <c r="G523" i="2"/>
  <c r="H523" i="2" s="1"/>
  <c r="G499" i="2"/>
  <c r="H499" i="2" s="1"/>
  <c r="J499" i="2" s="1"/>
  <c r="G530" i="2"/>
  <c r="H530" i="2" s="1"/>
  <c r="J530" i="2" s="1"/>
  <c r="G492" i="2"/>
  <c r="H492" i="2" s="1"/>
  <c r="G470" i="2"/>
  <c r="H470" i="2" s="1"/>
  <c r="J470" i="2" s="1"/>
  <c r="G624" i="2"/>
  <c r="H624" i="2" s="1"/>
  <c r="J624" i="2" s="1"/>
  <c r="G614" i="2"/>
  <c r="H614" i="2" s="1"/>
  <c r="G560" i="2"/>
  <c r="H560" i="2" s="1"/>
  <c r="J560" i="2" s="1"/>
  <c r="G590" i="2"/>
  <c r="H590" i="2" s="1"/>
  <c r="J590" i="2" s="1"/>
  <c r="G468" i="2"/>
  <c r="H468" i="2" s="1"/>
  <c r="J468" i="2" s="1"/>
  <c r="G225" i="2"/>
  <c r="H225" i="2" s="1"/>
  <c r="J225" i="2" s="1"/>
  <c r="K225" i="2" s="1"/>
  <c r="L225" i="2" s="1"/>
  <c r="G129" i="2"/>
  <c r="H129" i="2" s="1"/>
  <c r="G400" i="2"/>
  <c r="H400" i="2" s="1"/>
  <c r="G316" i="2"/>
  <c r="H316" i="2" s="1"/>
  <c r="J316" i="2" s="1"/>
  <c r="G288" i="2"/>
  <c r="H288" i="2" s="1"/>
  <c r="J288" i="2" s="1"/>
  <c r="K288" i="2" s="1"/>
  <c r="L288" i="2" s="1"/>
  <c r="G249" i="2"/>
  <c r="H249" i="2" s="1"/>
  <c r="G460" i="2"/>
  <c r="H460" i="2" s="1"/>
  <c r="G436" i="2"/>
  <c r="H436" i="2" s="1"/>
  <c r="J436" i="2" s="1"/>
  <c r="G430" i="2"/>
  <c r="H430" i="2" s="1"/>
  <c r="G370" i="2"/>
  <c r="H370" i="2" s="1"/>
  <c r="G346" i="2"/>
  <c r="H346" i="2" s="1"/>
  <c r="J346" i="2" s="1"/>
  <c r="K346" i="2" s="1"/>
  <c r="L346" i="2" s="1"/>
  <c r="G340" i="2"/>
  <c r="H340" i="2" s="1"/>
  <c r="G286" i="2"/>
  <c r="H286" i="2" s="1"/>
  <c r="J286" i="2" s="1"/>
  <c r="G135" i="2"/>
  <c r="H135" i="2" s="1"/>
  <c r="J135" i="2" s="1"/>
  <c r="G219" i="2"/>
  <c r="H219" i="2" s="1"/>
  <c r="G406" i="2"/>
  <c r="H406" i="2" s="1"/>
  <c r="J406" i="2" s="1"/>
  <c r="K406" i="2" s="1"/>
  <c r="L406" i="2" s="1"/>
  <c r="G310" i="2"/>
  <c r="H310" i="2" s="1"/>
  <c r="G279" i="2"/>
  <c r="H279" i="2" s="1"/>
  <c r="G255" i="2"/>
  <c r="H255" i="2" s="1"/>
  <c r="J255" i="2" s="1"/>
  <c r="G43" i="2"/>
  <c r="H43" i="2" s="1"/>
  <c r="J43" i="2" s="1"/>
  <c r="G159" i="2"/>
  <c r="H159" i="2" s="1"/>
  <c r="G75" i="2"/>
  <c r="H75" i="2" s="1"/>
  <c r="J75" i="2" s="1"/>
  <c r="G67" i="2"/>
  <c r="H67" i="2" s="1"/>
  <c r="G195" i="2"/>
  <c r="H195" i="2" s="1"/>
  <c r="J195" i="2" s="1"/>
  <c r="G189" i="2"/>
  <c r="H189" i="2" s="1"/>
  <c r="G105" i="2"/>
  <c r="H105" i="2" s="1"/>
  <c r="J105" i="2" s="1"/>
  <c r="G99" i="2"/>
  <c r="H99" i="2" s="1"/>
  <c r="G165" i="2"/>
  <c r="H165" i="2" s="1"/>
  <c r="J165" i="2" s="1"/>
  <c r="G37" i="2"/>
  <c r="H37" i="2" s="1"/>
  <c r="G15" i="2"/>
  <c r="H15" i="2" s="1"/>
  <c r="J15" i="2" s="1"/>
  <c r="G13" i="2"/>
  <c r="H13" i="2" s="1"/>
  <c r="J13" i="2" s="1"/>
  <c r="G634" i="2"/>
  <c r="H634" i="2" s="1"/>
  <c r="J634" i="2" s="1"/>
  <c r="G55" i="2"/>
  <c r="H55" i="2" s="1"/>
  <c r="J55" i="2" s="1"/>
  <c r="G25" i="2"/>
  <c r="H25" i="2" s="1"/>
  <c r="J25" i="2" s="1"/>
  <c r="G589" i="2"/>
  <c r="H589" i="2" s="1"/>
  <c r="J589" i="2" s="1"/>
  <c r="G498" i="2"/>
  <c r="H498" i="2" s="1"/>
  <c r="J498" i="2" s="1"/>
  <c r="G467" i="2"/>
  <c r="H467" i="2" s="1"/>
  <c r="J467" i="2" s="1"/>
  <c r="G559" i="2"/>
  <c r="H559" i="2" s="1"/>
  <c r="J559" i="2" s="1"/>
  <c r="G621" i="2"/>
  <c r="H621" i="2" s="1"/>
  <c r="J621" i="2" s="1"/>
  <c r="G529" i="2"/>
  <c r="H529" i="2" s="1"/>
  <c r="J529" i="2" s="1"/>
  <c r="G405" i="2"/>
  <c r="H405" i="2" s="1"/>
  <c r="J405" i="2" s="1"/>
  <c r="G315" i="2"/>
  <c r="H315" i="2" s="1"/>
  <c r="J315" i="2" s="1"/>
  <c r="G254" i="2"/>
  <c r="H254" i="2" s="1"/>
  <c r="J254" i="2" s="1"/>
  <c r="G345" i="2"/>
  <c r="H345" i="2" s="1"/>
  <c r="J345" i="2" s="1"/>
  <c r="G285" i="2"/>
  <c r="H285" i="2" s="1"/>
  <c r="J285" i="2" s="1"/>
  <c r="G134" i="2"/>
  <c r="H134" i="2" s="1"/>
  <c r="J134" i="2" s="1"/>
  <c r="G224" i="2"/>
  <c r="H224" i="2" s="1"/>
  <c r="J224" i="2" s="1"/>
  <c r="G435" i="2"/>
  <c r="H435" i="2" s="1"/>
  <c r="J435" i="2" s="1"/>
  <c r="G375" i="2"/>
  <c r="H375" i="2" s="1"/>
  <c r="J375" i="2" s="1"/>
  <c r="G164" i="2"/>
  <c r="H164" i="2" s="1"/>
  <c r="J164" i="2" s="1"/>
  <c r="G74" i="2"/>
  <c r="H74" i="2" s="1"/>
  <c r="J74" i="2" s="1"/>
  <c r="G194" i="2"/>
  <c r="H194" i="2" s="1"/>
  <c r="J194" i="2" s="1"/>
  <c r="G104" i="2"/>
  <c r="H104" i="2" s="1"/>
  <c r="J104" i="2" s="1"/>
  <c r="G42" i="2"/>
  <c r="H42" i="2" s="1"/>
  <c r="J42" i="2" s="1"/>
  <c r="G12" i="2"/>
  <c r="J12" i="2" s="1"/>
  <c r="G626" i="2"/>
  <c r="H626" i="2" s="1"/>
  <c r="J626" i="2" s="1"/>
  <c r="G472" i="2"/>
  <c r="H472" i="2" s="1"/>
  <c r="J472" i="2" s="1"/>
  <c r="G503" i="2"/>
  <c r="H503" i="2" s="1"/>
  <c r="J503" i="2" s="1"/>
  <c r="G534" i="2"/>
  <c r="H534" i="2" s="1"/>
  <c r="J534" i="2" s="1"/>
  <c r="G229" i="2"/>
  <c r="H229" i="2" s="1"/>
  <c r="J229" i="2" s="1"/>
  <c r="G79" i="2"/>
  <c r="H79" i="2" s="1"/>
  <c r="J79" i="2" s="1"/>
  <c r="G320" i="2"/>
  <c r="H320" i="2" s="1"/>
  <c r="J320" i="2" s="1"/>
  <c r="G290" i="2"/>
  <c r="H290" i="2" s="1"/>
  <c r="J290" i="2" s="1"/>
  <c r="G259" i="2"/>
  <c r="H259" i="2" s="1"/>
  <c r="J259" i="2" s="1"/>
  <c r="G17" i="2"/>
  <c r="H17" i="2" s="1"/>
  <c r="J17" i="2" s="1"/>
  <c r="K22" i="1"/>
  <c r="G577" i="2"/>
  <c r="H577" i="2" s="1"/>
  <c r="G558" i="2"/>
  <c r="H558" i="2" s="1"/>
  <c r="J558" i="2" s="1"/>
  <c r="G620" i="2"/>
  <c r="H620" i="2" s="1"/>
  <c r="J620" i="2" s="1"/>
  <c r="G485" i="2"/>
  <c r="H485" i="2" s="1"/>
  <c r="G528" i="2"/>
  <c r="H528" i="2" s="1"/>
  <c r="J528" i="2" s="1"/>
  <c r="G516" i="2"/>
  <c r="H516" i="2" s="1"/>
  <c r="G625" i="2"/>
  <c r="H625" i="2" s="1"/>
  <c r="J625" i="2" s="1"/>
  <c r="G607" i="2"/>
  <c r="H607" i="2" s="1"/>
  <c r="G588" i="2"/>
  <c r="H588" i="2" s="1"/>
  <c r="J588" i="2" s="1"/>
  <c r="G547" i="2"/>
  <c r="H547" i="2" s="1"/>
  <c r="G497" i="2"/>
  <c r="H497" i="2" s="1"/>
  <c r="J497" i="2" s="1"/>
  <c r="G466" i="2"/>
  <c r="H466" i="2" s="1"/>
  <c r="J466" i="2" s="1"/>
  <c r="G593" i="2"/>
  <c r="H593" i="2" s="1"/>
  <c r="J593" i="2" s="1"/>
  <c r="G469" i="2"/>
  <c r="H469" i="2" s="1"/>
  <c r="J469" i="2" s="1"/>
  <c r="G639" i="2"/>
  <c r="H639" i="2" s="1"/>
  <c r="G152" i="2"/>
  <c r="H152" i="2" s="1"/>
  <c r="G133" i="2"/>
  <c r="H133" i="2" s="1"/>
  <c r="J133" i="2" s="1"/>
  <c r="G423" i="2"/>
  <c r="H423" i="2" s="1"/>
  <c r="G223" i="2"/>
  <c r="H223" i="2" s="1"/>
  <c r="J223" i="2" s="1"/>
  <c r="G242" i="2"/>
  <c r="H242" i="2" s="1"/>
  <c r="G374" i="2"/>
  <c r="H374" i="2" s="1"/>
  <c r="J374" i="2" s="1"/>
  <c r="G333" i="2"/>
  <c r="H333" i="2" s="1"/>
  <c r="G303" i="2"/>
  <c r="H303" i="2" s="1"/>
  <c r="G404" i="2"/>
  <c r="H404" i="2" s="1"/>
  <c r="J404" i="2" s="1"/>
  <c r="G393" i="2"/>
  <c r="H393" i="2" s="1"/>
  <c r="G314" i="2"/>
  <c r="H314" i="2" s="1"/>
  <c r="J314" i="2" s="1"/>
  <c r="G253" i="2"/>
  <c r="H253" i="2" s="1"/>
  <c r="J253" i="2" s="1"/>
  <c r="G453" i="2"/>
  <c r="H453" i="2" s="1"/>
  <c r="G289" i="2"/>
  <c r="H289" i="2" s="1"/>
  <c r="J289" i="2" s="1"/>
  <c r="G434" i="2"/>
  <c r="H434" i="2" s="1"/>
  <c r="J434" i="2" s="1"/>
  <c r="G344" i="2"/>
  <c r="H344" i="2" s="1"/>
  <c r="J344" i="2" s="1"/>
  <c r="G284" i="2"/>
  <c r="H284" i="2" s="1"/>
  <c r="J284" i="2" s="1"/>
  <c r="G182" i="2"/>
  <c r="H182" i="2" s="1"/>
  <c r="G92" i="2"/>
  <c r="H92" i="2" s="1"/>
  <c r="G212" i="2"/>
  <c r="H212" i="2" s="1"/>
  <c r="G122" i="2"/>
  <c r="H122" i="2" s="1"/>
  <c r="G60" i="2"/>
  <c r="H60" i="2" s="1"/>
  <c r="G46" i="2"/>
  <c r="H46" i="2" s="1"/>
  <c r="J46" i="2" s="1"/>
  <c r="G41" i="2"/>
  <c r="H41" i="2" s="1"/>
  <c r="J41" i="2" s="1"/>
  <c r="G163" i="2"/>
  <c r="H163" i="2" s="1"/>
  <c r="J163" i="2" s="1"/>
  <c r="G73" i="2"/>
  <c r="H73" i="2" s="1"/>
  <c r="J73" i="2" s="1"/>
  <c r="G193" i="2"/>
  <c r="H193" i="2" s="1"/>
  <c r="J193" i="2" s="1"/>
  <c r="G103" i="2"/>
  <c r="H103" i="2" s="1"/>
  <c r="J103" i="2" s="1"/>
  <c r="G16" i="2"/>
  <c r="H16" i="2" s="1"/>
  <c r="J16" i="2" s="1"/>
  <c r="G11" i="2"/>
  <c r="H11" i="2" s="1"/>
  <c r="J11" i="2" s="1"/>
  <c r="G30" i="2"/>
  <c r="H30" i="2" s="1"/>
  <c r="G633" i="2"/>
  <c r="H633" i="2" s="1"/>
  <c r="G54" i="2"/>
  <c r="H54" i="2" s="1"/>
  <c r="G24" i="2"/>
  <c r="H24" i="2" s="1"/>
  <c r="G637" i="2"/>
  <c r="H637" i="2" s="1"/>
  <c r="J637" i="2" s="1"/>
  <c r="G567" i="2"/>
  <c r="H567" i="2" s="1"/>
  <c r="J567" i="2" s="1"/>
  <c r="G514" i="2"/>
  <c r="H514" i="2" s="1"/>
  <c r="J514" i="2" s="1"/>
  <c r="G505" i="2"/>
  <c r="H505" i="2" s="1"/>
  <c r="G482" i="2"/>
  <c r="H482" i="2" s="1"/>
  <c r="G629" i="2"/>
  <c r="H629" i="2" s="1"/>
  <c r="J629" i="2" s="1"/>
  <c r="K629" i="2" s="1"/>
  <c r="L629" i="2" s="1"/>
  <c r="G605" i="2"/>
  <c r="H605" i="2" s="1"/>
  <c r="J605" i="2" s="1"/>
  <c r="G536" i="2"/>
  <c r="H536" i="2" s="1"/>
  <c r="G475" i="2"/>
  <c r="H475" i="2" s="1"/>
  <c r="J475" i="2" s="1"/>
  <c r="G628" i="2"/>
  <c r="H628" i="2" s="1"/>
  <c r="G604" i="2"/>
  <c r="H604" i="2" s="1"/>
  <c r="G544" i="2"/>
  <c r="H544" i="2" s="1"/>
  <c r="G474" i="2"/>
  <c r="H474" i="2" s="1"/>
  <c r="G636" i="2"/>
  <c r="H636" i="2" s="1"/>
  <c r="J636" i="2" s="1"/>
  <c r="K636" i="2" s="1"/>
  <c r="L636" i="2" s="1"/>
  <c r="G596" i="2"/>
  <c r="H596" i="2" s="1"/>
  <c r="G575" i="2"/>
  <c r="H575" i="2" s="1"/>
  <c r="J575" i="2" s="1"/>
  <c r="G566" i="2"/>
  <c r="H566" i="2" s="1"/>
  <c r="G537" i="2"/>
  <c r="H537" i="2" s="1"/>
  <c r="J537" i="2" s="1"/>
  <c r="G513" i="2"/>
  <c r="H513" i="2" s="1"/>
  <c r="G574" i="2"/>
  <c r="H574" i="2" s="1"/>
  <c r="G545" i="2"/>
  <c r="H545" i="2" s="1"/>
  <c r="J545" i="2" s="1"/>
  <c r="G506" i="2"/>
  <c r="H506" i="2" s="1"/>
  <c r="J506" i="2" s="1"/>
  <c r="G483" i="2"/>
  <c r="H483" i="2" s="1"/>
  <c r="J483" i="2" s="1"/>
  <c r="G142" i="2"/>
  <c r="H142" i="2" s="1"/>
  <c r="J142" i="2" s="1"/>
  <c r="G450" i="2"/>
  <c r="H450" i="2" s="1"/>
  <c r="G413" i="2"/>
  <c r="H413" i="2" s="1"/>
  <c r="J413" i="2" s="1"/>
  <c r="G360" i="2"/>
  <c r="H360" i="2" s="1"/>
  <c r="G331" i="2"/>
  <c r="H331" i="2" s="1"/>
  <c r="J331" i="2" s="1"/>
  <c r="G322" i="2"/>
  <c r="H322" i="2" s="1"/>
  <c r="G301" i="2"/>
  <c r="H301" i="2" s="1"/>
  <c r="J301" i="2" s="1"/>
  <c r="G292" i="2"/>
  <c r="H292" i="2" s="1"/>
  <c r="G270" i="2"/>
  <c r="H270" i="2" s="1"/>
  <c r="J270" i="2" s="1"/>
  <c r="G261" i="2"/>
  <c r="H261" i="2" s="1"/>
  <c r="G239" i="2"/>
  <c r="H239" i="2" s="1"/>
  <c r="G149" i="2"/>
  <c r="H149" i="2" s="1"/>
  <c r="G443" i="2"/>
  <c r="H443" i="2" s="1"/>
  <c r="J443" i="2" s="1"/>
  <c r="G391" i="2"/>
  <c r="H391" i="2" s="1"/>
  <c r="J391" i="2" s="1"/>
  <c r="G451" i="2"/>
  <c r="H451" i="2" s="1"/>
  <c r="J451" i="2" s="1"/>
  <c r="G442" i="2"/>
  <c r="H442" i="2" s="1"/>
  <c r="G352" i="2"/>
  <c r="H352" i="2" s="1"/>
  <c r="G231" i="2"/>
  <c r="H231" i="2" s="1"/>
  <c r="G150" i="2"/>
  <c r="H150" i="2" s="1"/>
  <c r="J150" i="2" s="1"/>
  <c r="G141" i="2"/>
  <c r="H141" i="2" s="1"/>
  <c r="G421" i="2"/>
  <c r="H421" i="2" s="1"/>
  <c r="J421" i="2" s="1"/>
  <c r="G412" i="2"/>
  <c r="H412" i="2" s="1"/>
  <c r="G383" i="2"/>
  <c r="H383" i="2" s="1"/>
  <c r="G330" i="2"/>
  <c r="H330" i="2" s="1"/>
  <c r="G300" i="2"/>
  <c r="H300" i="2" s="1"/>
  <c r="G269" i="2"/>
  <c r="H269" i="2" s="1"/>
  <c r="G420" i="2"/>
  <c r="H420" i="2" s="1"/>
  <c r="G353" i="2"/>
  <c r="H353" i="2" s="1"/>
  <c r="J353" i="2" s="1"/>
  <c r="G232" i="2"/>
  <c r="H232" i="2" s="1"/>
  <c r="J232" i="2" s="1"/>
  <c r="G390" i="2"/>
  <c r="H390" i="2" s="1"/>
  <c r="G361" i="2"/>
  <c r="H361" i="2" s="1"/>
  <c r="J361" i="2" s="1"/>
  <c r="G323" i="2"/>
  <c r="H323" i="2" s="1"/>
  <c r="J323" i="2" s="1"/>
  <c r="G293" i="2"/>
  <c r="H293" i="2" s="1"/>
  <c r="J293" i="2" s="1"/>
  <c r="G262" i="2"/>
  <c r="H262" i="2" s="1"/>
  <c r="J262" i="2" s="1"/>
  <c r="G240" i="2"/>
  <c r="H240" i="2" s="1"/>
  <c r="J240" i="2" s="1"/>
  <c r="G209" i="2"/>
  <c r="H209" i="2" s="1"/>
  <c r="G172" i="2"/>
  <c r="H172" i="2" s="1"/>
  <c r="J172" i="2" s="1"/>
  <c r="G119" i="2"/>
  <c r="H119" i="2" s="1"/>
  <c r="G82" i="2"/>
  <c r="H82" i="2" s="1"/>
  <c r="J82" i="2" s="1"/>
  <c r="G58" i="2"/>
  <c r="H58" i="2" s="1"/>
  <c r="J58" i="2" s="1"/>
  <c r="G57" i="2"/>
  <c r="H57" i="2" s="1"/>
  <c r="J57" i="2" s="1"/>
  <c r="G50" i="2"/>
  <c r="H50" i="2" s="1"/>
  <c r="G89" i="2"/>
  <c r="H89" i="2" s="1"/>
  <c r="G201" i="2"/>
  <c r="H201" i="2" s="1"/>
  <c r="G111" i="2"/>
  <c r="H111" i="2" s="1"/>
  <c r="G180" i="2"/>
  <c r="H180" i="2" s="1"/>
  <c r="J180" i="2" s="1"/>
  <c r="G171" i="2"/>
  <c r="H171" i="2" s="1"/>
  <c r="G90" i="2"/>
  <c r="H90" i="2" s="1"/>
  <c r="J90" i="2" s="1"/>
  <c r="G81" i="2"/>
  <c r="H81" i="2" s="1"/>
  <c r="G202" i="2"/>
  <c r="H202" i="2" s="1"/>
  <c r="J202" i="2" s="1"/>
  <c r="G179" i="2"/>
  <c r="H179" i="2" s="1"/>
  <c r="G112" i="2"/>
  <c r="H112" i="2" s="1"/>
  <c r="J112" i="2" s="1"/>
  <c r="G49" i="2"/>
  <c r="H49" i="2" s="1"/>
  <c r="G210" i="2"/>
  <c r="H210" i="2" s="1"/>
  <c r="J210" i="2" s="1"/>
  <c r="G120" i="2"/>
  <c r="H120" i="2" s="1"/>
  <c r="J120" i="2" s="1"/>
  <c r="G27" i="2"/>
  <c r="H27" i="2" s="1"/>
  <c r="J27" i="2" s="1"/>
  <c r="G20" i="2"/>
  <c r="H20" i="2" s="1"/>
  <c r="J20" i="2" s="1"/>
  <c r="K20" i="2" s="1"/>
  <c r="L20" i="2" s="1"/>
  <c r="G19" i="2"/>
  <c r="H19" i="2" s="1"/>
  <c r="G28" i="2"/>
  <c r="H28" i="2" s="1"/>
  <c r="J28" i="2" s="1"/>
  <c r="H7" i="2"/>
  <c r="J442" i="2" l="1"/>
  <c r="H441" i="2"/>
  <c r="J149" i="2"/>
  <c r="H145" i="2"/>
  <c r="J145" i="2" s="1"/>
  <c r="H6" i="2"/>
  <c r="J6" i="2" s="1"/>
  <c r="K6" i="2" s="1"/>
  <c r="L6" i="2" s="1"/>
  <c r="J7" i="2"/>
  <c r="K90" i="2"/>
  <c r="L90" i="2" s="1"/>
  <c r="J209" i="2"/>
  <c r="H205" i="2"/>
  <c r="J205" i="2" s="1"/>
  <c r="J360" i="2"/>
  <c r="K360" i="2" s="1"/>
  <c r="L360" i="2" s="1"/>
  <c r="H356" i="2"/>
  <c r="J356" i="2" s="1"/>
  <c r="K483" i="2"/>
  <c r="L483" i="2"/>
  <c r="J513" i="2"/>
  <c r="H509" i="2"/>
  <c r="J509" i="2" s="1"/>
  <c r="J596" i="2"/>
  <c r="H595" i="2"/>
  <c r="J604" i="2"/>
  <c r="H600" i="2"/>
  <c r="J600" i="2" s="1"/>
  <c r="K605" i="2"/>
  <c r="L605" i="2" s="1"/>
  <c r="K514" i="2"/>
  <c r="L514" i="2" s="1"/>
  <c r="J54" i="2"/>
  <c r="H53" i="2"/>
  <c r="J53" i="2" s="1"/>
  <c r="K16" i="2"/>
  <c r="L16" i="2" s="1"/>
  <c r="K163" i="2"/>
  <c r="L163" i="2" s="1"/>
  <c r="J122" i="2"/>
  <c r="H121" i="2"/>
  <c r="J121" i="2" s="1"/>
  <c r="K121" i="2" s="1"/>
  <c r="L121" i="2" s="1"/>
  <c r="K284" i="2"/>
  <c r="L284" i="2" s="1"/>
  <c r="J453" i="2"/>
  <c r="H452" i="2"/>
  <c r="J452" i="2" s="1"/>
  <c r="K404" i="2"/>
  <c r="L404" i="2" s="1"/>
  <c r="J242" i="2"/>
  <c r="H241" i="2"/>
  <c r="J241" i="2" s="1"/>
  <c r="J152" i="2"/>
  <c r="H151" i="2"/>
  <c r="J151" i="2" s="1"/>
  <c r="K466" i="2"/>
  <c r="L466" i="2" s="1"/>
  <c r="J607" i="2"/>
  <c r="H606" i="2"/>
  <c r="J485" i="2"/>
  <c r="H484" i="2"/>
  <c r="J484" i="2" s="1"/>
  <c r="K484" i="2" s="1"/>
  <c r="L484" i="2" s="1"/>
  <c r="G617" i="2"/>
  <c r="H617" i="2" s="1"/>
  <c r="J617" i="2" s="1"/>
  <c r="G463" i="2"/>
  <c r="H463" i="2" s="1"/>
  <c r="J463" i="2" s="1"/>
  <c r="G70" i="2"/>
  <c r="H70" i="2" s="1"/>
  <c r="J70" i="2" s="1"/>
  <c r="K320" i="2"/>
  <c r="L320" i="2" s="1"/>
  <c r="K503" i="2"/>
  <c r="L503" i="2" s="1"/>
  <c r="K42" i="2"/>
  <c r="L42" i="2" s="1"/>
  <c r="K164" i="2"/>
  <c r="L164" i="2" s="1"/>
  <c r="K134" i="2"/>
  <c r="L134" i="2" s="1"/>
  <c r="K315" i="2"/>
  <c r="L315" i="2" s="1"/>
  <c r="K559" i="2"/>
  <c r="L559" i="2" s="1"/>
  <c r="K25" i="2"/>
  <c r="L25" i="2" s="1"/>
  <c r="K15" i="2"/>
  <c r="L15" i="2" s="1"/>
  <c r="K105" i="2"/>
  <c r="L105" i="2" s="1"/>
  <c r="L75" i="2"/>
  <c r="K75" i="2"/>
  <c r="H278" i="2"/>
  <c r="J278" i="2" s="1"/>
  <c r="K278" i="2" s="1"/>
  <c r="L278" i="2" s="1"/>
  <c r="J279" i="2"/>
  <c r="L135" i="2"/>
  <c r="K135" i="2"/>
  <c r="H248" i="2"/>
  <c r="J248" i="2" s="1"/>
  <c r="K248" i="2" s="1"/>
  <c r="L248" i="2" s="1"/>
  <c r="J249" i="2"/>
  <c r="K560" i="2"/>
  <c r="L560" i="2" s="1"/>
  <c r="H553" i="2"/>
  <c r="J553" i="2" s="1"/>
  <c r="K553" i="2" s="1"/>
  <c r="L553" i="2" s="1"/>
  <c r="J554" i="2"/>
  <c r="K635" i="2"/>
  <c r="L635" i="2" s="1"/>
  <c r="K324" i="2"/>
  <c r="L324" i="2" s="1"/>
  <c r="K414" i="2"/>
  <c r="L414" i="2" s="1"/>
  <c r="K598" i="2"/>
  <c r="L598" i="2" s="1"/>
  <c r="L76" i="2"/>
  <c r="K76" i="2"/>
  <c r="K407" i="2"/>
  <c r="L407" i="2" s="1"/>
  <c r="K214" i="2"/>
  <c r="L214" i="2" s="1"/>
  <c r="K312" i="2"/>
  <c r="L312" i="2" s="1"/>
  <c r="J274" i="2"/>
  <c r="H271" i="2"/>
  <c r="J271" i="2" s="1"/>
  <c r="K395" i="2"/>
  <c r="L395" i="2" s="1"/>
  <c r="K526" i="2"/>
  <c r="L526" i="2" s="1"/>
  <c r="K120" i="2"/>
  <c r="L120" i="2" s="1"/>
  <c r="J171" i="2"/>
  <c r="H170" i="2"/>
  <c r="K82" i="2"/>
  <c r="L82" i="2" s="1"/>
  <c r="K361" i="2"/>
  <c r="L361" i="2" s="1"/>
  <c r="J383" i="2"/>
  <c r="H381" i="2"/>
  <c r="K451" i="2"/>
  <c r="L451" i="2" s="1"/>
  <c r="K301" i="2"/>
  <c r="L301" i="2" s="1"/>
  <c r="K506" i="2"/>
  <c r="L506" i="2" s="1"/>
  <c r="J633" i="2"/>
  <c r="H632" i="2"/>
  <c r="J632" i="2" s="1"/>
  <c r="K41" i="2"/>
  <c r="L41" i="2" s="1"/>
  <c r="K344" i="2"/>
  <c r="L344" i="2" s="1"/>
  <c r="J303" i="2"/>
  <c r="H302" i="2"/>
  <c r="J302" i="2" s="1"/>
  <c r="K302" i="2" s="1"/>
  <c r="L302" i="2" s="1"/>
  <c r="J639" i="2"/>
  <c r="H638" i="2"/>
  <c r="J638" i="2" s="1"/>
  <c r="K638" i="2" s="1"/>
  <c r="L638" i="2" s="1"/>
  <c r="K625" i="2"/>
  <c r="L625" i="2" s="1"/>
  <c r="K17" i="2"/>
  <c r="L17" i="2" s="1"/>
  <c r="K472" i="2"/>
  <c r="L472" i="2" s="1"/>
  <c r="K375" i="2"/>
  <c r="L375" i="2" s="1"/>
  <c r="K405" i="2"/>
  <c r="L405" i="2" s="1"/>
  <c r="K467" i="2"/>
  <c r="L467" i="2"/>
  <c r="J37" i="2"/>
  <c r="H36" i="2"/>
  <c r="J36" i="2" s="1"/>
  <c r="K36" i="2" s="1"/>
  <c r="L36" i="2" s="1"/>
  <c r="H158" i="2"/>
  <c r="J158" i="2" s="1"/>
  <c r="K158" i="2" s="1"/>
  <c r="L158" i="2" s="1"/>
  <c r="J159" i="2"/>
  <c r="L286" i="2"/>
  <c r="K286" i="2"/>
  <c r="J614" i="2"/>
  <c r="H613" i="2"/>
  <c r="J613" i="2" s="1"/>
  <c r="K613" i="2" s="1"/>
  <c r="L613" i="2" s="1"/>
  <c r="L493" i="2"/>
  <c r="K493" i="2"/>
  <c r="K233" i="2"/>
  <c r="L233" i="2" s="1"/>
  <c r="L568" i="2"/>
  <c r="K568" i="2"/>
  <c r="K196" i="2"/>
  <c r="L196" i="2" s="1"/>
  <c r="K426" i="2"/>
  <c r="L426" i="2" s="1"/>
  <c r="K347" i="2"/>
  <c r="L347" i="2" s="1"/>
  <c r="L31" i="2"/>
  <c r="K31" i="2"/>
  <c r="K62" i="2"/>
  <c r="L62" i="2" s="1"/>
  <c r="K191" i="2"/>
  <c r="L191" i="2" s="1"/>
  <c r="K402" i="2"/>
  <c r="L402" i="2" s="1"/>
  <c r="K305" i="2"/>
  <c r="L305" i="2" s="1"/>
  <c r="K282" i="2"/>
  <c r="L282" i="2" s="1"/>
  <c r="L487" i="2"/>
  <c r="K487" i="2"/>
  <c r="K495" i="2"/>
  <c r="L495" i="2"/>
  <c r="K549" i="2"/>
  <c r="L549" i="2" s="1"/>
  <c r="J19" i="2"/>
  <c r="K19" i="2" s="1"/>
  <c r="L19" i="2" s="1"/>
  <c r="H18" i="2"/>
  <c r="J18" i="2" s="1"/>
  <c r="K18" i="2" s="1"/>
  <c r="L18" i="2" s="1"/>
  <c r="K210" i="2"/>
  <c r="L210" i="2" s="1"/>
  <c r="K202" i="2"/>
  <c r="L202" i="2"/>
  <c r="L180" i="2"/>
  <c r="K180" i="2"/>
  <c r="J119" i="2"/>
  <c r="H115" i="2"/>
  <c r="J115" i="2" s="1"/>
  <c r="K262" i="2"/>
  <c r="L262" i="2" s="1"/>
  <c r="J390" i="2"/>
  <c r="H386" i="2"/>
  <c r="J386" i="2" s="1"/>
  <c r="J269" i="2"/>
  <c r="H265" i="2"/>
  <c r="J265" i="2" s="1"/>
  <c r="J412" i="2"/>
  <c r="H411" i="2"/>
  <c r="J231" i="2"/>
  <c r="H230" i="2"/>
  <c r="K391" i="2"/>
  <c r="L391" i="2" s="1"/>
  <c r="J261" i="2"/>
  <c r="H260" i="2"/>
  <c r="J322" i="2"/>
  <c r="H321" i="2"/>
  <c r="J450" i="2"/>
  <c r="H446" i="2"/>
  <c r="J446" i="2" s="1"/>
  <c r="K545" i="2"/>
  <c r="L545" i="2" s="1"/>
  <c r="J566" i="2"/>
  <c r="H565" i="2"/>
  <c r="J474" i="2"/>
  <c r="H473" i="2"/>
  <c r="K475" i="2"/>
  <c r="L475" i="2"/>
  <c r="J482" i="2"/>
  <c r="H478" i="2"/>
  <c r="J478" i="2" s="1"/>
  <c r="K637" i="2"/>
  <c r="L637" i="2"/>
  <c r="J30" i="2"/>
  <c r="K30" i="2" s="1"/>
  <c r="L30" i="2" s="1"/>
  <c r="H29" i="2"/>
  <c r="J29" i="2" s="1"/>
  <c r="K193" i="2"/>
  <c r="L193" i="2" s="1"/>
  <c r="K46" i="2"/>
  <c r="L46" i="2"/>
  <c r="J92" i="2"/>
  <c r="H91" i="2"/>
  <c r="J91" i="2" s="1"/>
  <c r="K91" i="2" s="1"/>
  <c r="L91" i="2" s="1"/>
  <c r="K434" i="2"/>
  <c r="L434" i="2" s="1"/>
  <c r="K314" i="2"/>
  <c r="L314" i="2" s="1"/>
  <c r="J333" i="2"/>
  <c r="H332" i="2"/>
  <c r="J332" i="2" s="1"/>
  <c r="J423" i="2"/>
  <c r="H422" i="2"/>
  <c r="J422" i="2" s="1"/>
  <c r="K469" i="2"/>
  <c r="L469" i="2" s="1"/>
  <c r="J547" i="2"/>
  <c r="H546" i="2"/>
  <c r="J546" i="2" s="1"/>
  <c r="K546" i="2" s="1"/>
  <c r="L546" i="2" s="1"/>
  <c r="J516" i="2"/>
  <c r="H515" i="2"/>
  <c r="J515" i="2" s="1"/>
  <c r="K558" i="2"/>
  <c r="L558" i="2" s="1"/>
  <c r="K259" i="2"/>
  <c r="L259" i="2" s="1"/>
  <c r="K229" i="2"/>
  <c r="L229" i="2" s="1"/>
  <c r="K626" i="2"/>
  <c r="L626" i="2" s="1"/>
  <c r="K194" i="2"/>
  <c r="L194" i="2" s="1"/>
  <c r="K435" i="2"/>
  <c r="L435" i="2" s="1"/>
  <c r="K345" i="2"/>
  <c r="L345" i="2" s="1"/>
  <c r="K529" i="2"/>
  <c r="L529" i="2" s="1"/>
  <c r="K498" i="2"/>
  <c r="L498" i="2" s="1"/>
  <c r="K634" i="2"/>
  <c r="L634" i="2" s="1"/>
  <c r="K165" i="2"/>
  <c r="L165" i="2" s="1"/>
  <c r="K195" i="2"/>
  <c r="L195" i="2"/>
  <c r="K43" i="2"/>
  <c r="L43" i="2" s="1"/>
  <c r="H339" i="2"/>
  <c r="J339" i="2" s="1"/>
  <c r="K339" i="2" s="1"/>
  <c r="L339" i="2" s="1"/>
  <c r="J340" i="2"/>
  <c r="K436" i="2"/>
  <c r="L436" i="2"/>
  <c r="K316" i="2"/>
  <c r="L316" i="2" s="1"/>
  <c r="K468" i="2"/>
  <c r="L468" i="2" s="1"/>
  <c r="K624" i="2"/>
  <c r="L624" i="2"/>
  <c r="K499" i="2"/>
  <c r="L499" i="2"/>
  <c r="K280" i="2"/>
  <c r="L280" i="2" s="1"/>
  <c r="K615" i="2"/>
  <c r="L615" i="2" s="1"/>
  <c r="K173" i="2"/>
  <c r="L173" i="2" s="1"/>
  <c r="K143" i="2"/>
  <c r="L143" i="2" s="1"/>
  <c r="K354" i="2"/>
  <c r="L354" i="2"/>
  <c r="K384" i="2"/>
  <c r="L384" i="2" s="1"/>
  <c r="K507" i="2"/>
  <c r="L507" i="2" s="1"/>
  <c r="L33" i="2"/>
  <c r="K33" i="2"/>
  <c r="K69" i="2"/>
  <c r="L69" i="2" s="1"/>
  <c r="L44" i="2"/>
  <c r="K44" i="2"/>
  <c r="K256" i="2"/>
  <c r="L256" i="2" s="1"/>
  <c r="K245" i="2"/>
  <c r="L245" i="2" s="1"/>
  <c r="K500" i="2"/>
  <c r="L500" i="2" s="1"/>
  <c r="L9" i="2"/>
  <c r="K9" i="2"/>
  <c r="K161" i="2"/>
  <c r="L161" i="2" s="1"/>
  <c r="K184" i="2"/>
  <c r="L184" i="2" s="1"/>
  <c r="K425" i="2"/>
  <c r="L425" i="2" s="1"/>
  <c r="L131" i="2"/>
  <c r="K131" i="2"/>
  <c r="K455" i="2"/>
  <c r="L455" i="2" s="1"/>
  <c r="K304" i="2"/>
  <c r="L304" i="2" s="1"/>
  <c r="K342" i="2"/>
  <c r="L342" i="2"/>
  <c r="L579" i="2"/>
  <c r="K579" i="2"/>
  <c r="J586" i="2"/>
  <c r="H583" i="2"/>
  <c r="J583" i="2" s="1"/>
  <c r="K583" i="2" s="1"/>
  <c r="L583" i="2" s="1"/>
  <c r="L27" i="2"/>
  <c r="K27" i="2"/>
  <c r="K112" i="2"/>
  <c r="L112" i="2" s="1"/>
  <c r="J201" i="2"/>
  <c r="H200" i="2"/>
  <c r="K58" i="2"/>
  <c r="L58" i="2" s="1"/>
  <c r="K323" i="2"/>
  <c r="L323" i="2" s="1"/>
  <c r="K353" i="2"/>
  <c r="L353" i="2" s="1"/>
  <c r="J330" i="2"/>
  <c r="H326" i="2"/>
  <c r="J326" i="2" s="1"/>
  <c r="J141" i="2"/>
  <c r="H140" i="2"/>
  <c r="J292" i="2"/>
  <c r="H291" i="2"/>
  <c r="H369" i="2"/>
  <c r="J369" i="2" s="1"/>
  <c r="K369" i="2" s="1"/>
  <c r="L369" i="2" s="1"/>
  <c r="J370" i="2"/>
  <c r="J129" i="2"/>
  <c r="H128" i="2"/>
  <c r="J128" i="2" s="1"/>
  <c r="K128" i="2" s="1"/>
  <c r="L128" i="2" s="1"/>
  <c r="J492" i="2"/>
  <c r="H491" i="2"/>
  <c r="J491" i="2" s="1"/>
  <c r="K491" i="2" s="1"/>
  <c r="L491" i="2" s="1"/>
  <c r="K524" i="2"/>
  <c r="L524" i="2" s="1"/>
  <c r="K203" i="2"/>
  <c r="L203" i="2"/>
  <c r="K226" i="2"/>
  <c r="L226" i="2" s="1"/>
  <c r="K610" i="2"/>
  <c r="L610" i="2" s="1"/>
  <c r="K39" i="2"/>
  <c r="L39" i="2" s="1"/>
  <c r="K101" i="2"/>
  <c r="L101" i="2" s="1"/>
  <c r="K244" i="2"/>
  <c r="L244" i="2" s="1"/>
  <c r="J365" i="2"/>
  <c r="H362" i="2"/>
  <c r="J362" i="2" s="1"/>
  <c r="K518" i="2"/>
  <c r="L518" i="2" s="1"/>
  <c r="K464" i="2"/>
  <c r="L464" i="2"/>
  <c r="K28" i="2"/>
  <c r="L28" i="2" s="1"/>
  <c r="J179" i="2"/>
  <c r="H175" i="2"/>
  <c r="J175" i="2" s="1"/>
  <c r="J89" i="2"/>
  <c r="H85" i="2"/>
  <c r="J85" i="2" s="1"/>
  <c r="K240" i="2"/>
  <c r="L240" i="2"/>
  <c r="J420" i="2"/>
  <c r="H416" i="2"/>
  <c r="J416" i="2" s="1"/>
  <c r="K150" i="2"/>
  <c r="L150" i="2"/>
  <c r="J239" i="2"/>
  <c r="H235" i="2"/>
  <c r="J235" i="2" s="1"/>
  <c r="K413" i="2"/>
  <c r="L413" i="2" s="1"/>
  <c r="L537" i="2"/>
  <c r="K537" i="2"/>
  <c r="J628" i="2"/>
  <c r="H627" i="2"/>
  <c r="L567" i="2"/>
  <c r="K567" i="2"/>
  <c r="K103" i="2"/>
  <c r="L103" i="2" s="1"/>
  <c r="J212" i="2"/>
  <c r="H211" i="2"/>
  <c r="J211" i="2" s="1"/>
  <c r="K211" i="2" s="1"/>
  <c r="L211" i="2" s="1"/>
  <c r="K253" i="2"/>
  <c r="L253" i="2" s="1"/>
  <c r="L223" i="2"/>
  <c r="K223" i="2"/>
  <c r="K497" i="2"/>
  <c r="L497" i="2"/>
  <c r="L620" i="2"/>
  <c r="K620" i="2"/>
  <c r="K79" i="2"/>
  <c r="L79" i="2" s="1"/>
  <c r="K104" i="2"/>
  <c r="L104" i="2" s="1"/>
  <c r="K285" i="2"/>
  <c r="L285" i="2" s="1"/>
  <c r="K55" i="2"/>
  <c r="L55" i="2" s="1"/>
  <c r="J189" i="2"/>
  <c r="H188" i="2"/>
  <c r="J188" i="2" s="1"/>
  <c r="K188" i="2" s="1"/>
  <c r="L188" i="2" s="1"/>
  <c r="H309" i="2"/>
  <c r="J309" i="2" s="1"/>
  <c r="K309" i="2" s="1"/>
  <c r="L309" i="2" s="1"/>
  <c r="J310" i="2"/>
  <c r="H429" i="2"/>
  <c r="J429" i="2" s="1"/>
  <c r="K429" i="2" s="1"/>
  <c r="L429" i="2" s="1"/>
  <c r="J430" i="2"/>
  <c r="K530" i="2"/>
  <c r="L530" i="2" s="1"/>
  <c r="K68" i="2"/>
  <c r="L68" i="2" s="1"/>
  <c r="L83" i="2"/>
  <c r="K83" i="2"/>
  <c r="K294" i="2"/>
  <c r="L294" i="2"/>
  <c r="L8" i="2"/>
  <c r="K8" i="2"/>
  <c r="K63" i="2"/>
  <c r="L63" i="2" s="1"/>
  <c r="K281" i="2"/>
  <c r="L281" i="2" s="1"/>
  <c r="K616" i="2"/>
  <c r="L616" i="2"/>
  <c r="L94" i="2"/>
  <c r="K94" i="2"/>
  <c r="K154" i="2"/>
  <c r="L154" i="2"/>
  <c r="H48" i="2"/>
  <c r="J81" i="2"/>
  <c r="H80" i="2"/>
  <c r="J111" i="2"/>
  <c r="H110" i="2"/>
  <c r="K57" i="2"/>
  <c r="L57" i="2" s="1"/>
  <c r="K172" i="2"/>
  <c r="L172" i="2" s="1"/>
  <c r="K293" i="2"/>
  <c r="L293" i="2" s="1"/>
  <c r="K232" i="2"/>
  <c r="L232" i="2"/>
  <c r="J300" i="2"/>
  <c r="H296" i="2"/>
  <c r="J296" i="2" s="1"/>
  <c r="K421" i="2"/>
  <c r="L421" i="2" s="1"/>
  <c r="J352" i="2"/>
  <c r="H351" i="2"/>
  <c r="K443" i="2"/>
  <c r="L443" i="2" s="1"/>
  <c r="K270" i="2"/>
  <c r="L270" i="2" s="1"/>
  <c r="K331" i="2"/>
  <c r="L331" i="2"/>
  <c r="K142" i="2"/>
  <c r="L142" i="2"/>
  <c r="J574" i="2"/>
  <c r="H570" i="2"/>
  <c r="J570" i="2" s="1"/>
  <c r="K575" i="2"/>
  <c r="L575" i="2" s="1"/>
  <c r="J544" i="2"/>
  <c r="H540" i="2"/>
  <c r="J540" i="2" s="1"/>
  <c r="J536" i="2"/>
  <c r="H535" i="2"/>
  <c r="J505" i="2"/>
  <c r="H504" i="2"/>
  <c r="J24" i="2"/>
  <c r="H23" i="2"/>
  <c r="J23" i="2" s="1"/>
  <c r="K11" i="2"/>
  <c r="L11" i="2"/>
  <c r="K73" i="2"/>
  <c r="L73" i="2" s="1"/>
  <c r="J60" i="2"/>
  <c r="H59" i="2"/>
  <c r="J59" i="2" s="1"/>
  <c r="J182" i="2"/>
  <c r="H181" i="2"/>
  <c r="J181" i="2" s="1"/>
  <c r="K181" i="2" s="1"/>
  <c r="L181" i="2" s="1"/>
  <c r="K289" i="2"/>
  <c r="L289" i="2"/>
  <c r="J393" i="2"/>
  <c r="H392" i="2"/>
  <c r="J392" i="2" s="1"/>
  <c r="K374" i="2"/>
  <c r="L374" i="2" s="1"/>
  <c r="K133" i="2"/>
  <c r="L133" i="2"/>
  <c r="K593" i="2"/>
  <c r="L593" i="2"/>
  <c r="K588" i="2"/>
  <c r="L588" i="2"/>
  <c r="K528" i="2"/>
  <c r="L528" i="2" s="1"/>
  <c r="J577" i="2"/>
  <c r="H576" i="2"/>
  <c r="J576" i="2" s="1"/>
  <c r="K290" i="2"/>
  <c r="L290" i="2" s="1"/>
  <c r="K534" i="2"/>
  <c r="L534" i="2"/>
  <c r="K12" i="2"/>
  <c r="L12" i="2" s="1"/>
  <c r="K74" i="2"/>
  <c r="L74" i="2" s="1"/>
  <c r="K224" i="2"/>
  <c r="L224" i="2" s="1"/>
  <c r="K254" i="2"/>
  <c r="L254" i="2" s="1"/>
  <c r="K621" i="2"/>
  <c r="L621" i="2"/>
  <c r="K589" i="2"/>
  <c r="L589" i="2"/>
  <c r="K13" i="2"/>
  <c r="L13" i="2" s="1"/>
  <c r="J99" i="2"/>
  <c r="H98" i="2"/>
  <c r="J98" i="2" s="1"/>
  <c r="J67" i="2"/>
  <c r="H66" i="2"/>
  <c r="J66" i="2" s="1"/>
  <c r="K66" i="2" s="1"/>
  <c r="L66" i="2" s="1"/>
  <c r="K255" i="2"/>
  <c r="L255" i="2" s="1"/>
  <c r="H218" i="2"/>
  <c r="J218" i="2" s="1"/>
  <c r="K218" i="2" s="1"/>
  <c r="L218" i="2" s="1"/>
  <c r="J219" i="2"/>
  <c r="J460" i="2"/>
  <c r="J400" i="2"/>
  <c r="H399" i="2"/>
  <c r="J399" i="2" s="1"/>
  <c r="K399" i="2" s="1"/>
  <c r="L399" i="2" s="1"/>
  <c r="K590" i="2"/>
  <c r="L590" i="2" s="1"/>
  <c r="K470" i="2"/>
  <c r="L470" i="2"/>
  <c r="H522" i="2"/>
  <c r="J522" i="2" s="1"/>
  <c r="K522" i="2" s="1"/>
  <c r="L522" i="2" s="1"/>
  <c r="J523" i="2"/>
  <c r="K26" i="2"/>
  <c r="L26" i="2"/>
  <c r="K461" i="2"/>
  <c r="L461" i="2" s="1"/>
  <c r="K113" i="2"/>
  <c r="L113" i="2"/>
  <c r="K263" i="2"/>
  <c r="L263" i="2"/>
  <c r="K444" i="2"/>
  <c r="L444" i="2" s="1"/>
  <c r="K476" i="2"/>
  <c r="L476" i="2" s="1"/>
  <c r="K538" i="2"/>
  <c r="L538" i="2" s="1"/>
  <c r="K14" i="2"/>
  <c r="L14" i="2"/>
  <c r="K166" i="2"/>
  <c r="L166" i="2" s="1"/>
  <c r="K106" i="2"/>
  <c r="L106" i="2" s="1"/>
  <c r="K317" i="2"/>
  <c r="L317" i="2" s="1"/>
  <c r="K287" i="2"/>
  <c r="L287" i="2" s="1"/>
  <c r="K531" i="2"/>
  <c r="L531" i="2" s="1"/>
  <c r="K32" i="2"/>
  <c r="L32" i="2"/>
  <c r="K124" i="2"/>
  <c r="L124" i="2" s="1"/>
  <c r="K71" i="2"/>
  <c r="L71" i="2" s="1"/>
  <c r="K251" i="2"/>
  <c r="L251" i="2" s="1"/>
  <c r="K221" i="2"/>
  <c r="L221" i="2"/>
  <c r="K132" i="2"/>
  <c r="L132" i="2" s="1"/>
  <c r="K335" i="2"/>
  <c r="L335" i="2" s="1"/>
  <c r="K372" i="2"/>
  <c r="L372" i="2" s="1"/>
  <c r="K619" i="2"/>
  <c r="L619" i="2" s="1"/>
  <c r="K640" i="2"/>
  <c r="L640" i="2"/>
  <c r="J606" i="2" l="1"/>
  <c r="H599" i="2"/>
  <c r="H459" i="2"/>
  <c r="J459" i="2" s="1"/>
  <c r="K459" i="2" s="1"/>
  <c r="L459" i="2" s="1"/>
  <c r="K59" i="2"/>
  <c r="L59" i="2" s="1"/>
  <c r="K219" i="2"/>
  <c r="L219" i="2" s="1"/>
  <c r="J539" i="2"/>
  <c r="K540" i="2"/>
  <c r="K539" i="2" s="1"/>
  <c r="K212" i="2"/>
  <c r="L212" i="2" s="1"/>
  <c r="K239" i="2"/>
  <c r="L239" i="2" s="1"/>
  <c r="K420" i="2"/>
  <c r="L420" i="2" s="1"/>
  <c r="K89" i="2"/>
  <c r="L89" i="2"/>
  <c r="K129" i="2"/>
  <c r="L129" i="2" s="1"/>
  <c r="K292" i="2"/>
  <c r="K291" i="2" s="1"/>
  <c r="J291" i="2"/>
  <c r="L292" i="2"/>
  <c r="L291" i="2" s="1"/>
  <c r="K330" i="2"/>
  <c r="L330" i="2" s="1"/>
  <c r="K201" i="2"/>
  <c r="K200" i="2" s="1"/>
  <c r="J200" i="2"/>
  <c r="K422" i="2"/>
  <c r="L422" i="2" s="1"/>
  <c r="K400" i="2"/>
  <c r="L400" i="2" s="1"/>
  <c r="K67" i="2"/>
  <c r="L67" i="2"/>
  <c r="K60" i="2"/>
  <c r="L60" i="2" s="1"/>
  <c r="K505" i="2"/>
  <c r="K504" i="2" s="1"/>
  <c r="J504" i="2"/>
  <c r="K544" i="2"/>
  <c r="L544" i="2" s="1"/>
  <c r="K574" i="2"/>
  <c r="L574" i="2" s="1"/>
  <c r="K111" i="2"/>
  <c r="K110" i="2" s="1"/>
  <c r="L111" i="2"/>
  <c r="L110" i="2" s="1"/>
  <c r="J110" i="2"/>
  <c r="K430" i="2"/>
  <c r="L430" i="2" s="1"/>
  <c r="J174" i="2"/>
  <c r="K175" i="2"/>
  <c r="K174" i="2" s="1"/>
  <c r="K362" i="2"/>
  <c r="L362" i="2" s="1"/>
  <c r="K370" i="2"/>
  <c r="L370" i="2" s="1"/>
  <c r="K547" i="2"/>
  <c r="L547" i="2" s="1"/>
  <c r="K423" i="2"/>
  <c r="L423" i="2" s="1"/>
  <c r="K92" i="2"/>
  <c r="L92" i="2"/>
  <c r="J565" i="2"/>
  <c r="K566" i="2"/>
  <c r="K565" i="2" s="1"/>
  <c r="L566" i="2"/>
  <c r="L565" i="2" s="1"/>
  <c r="K450" i="2"/>
  <c r="L450" i="2" s="1"/>
  <c r="K261" i="2"/>
  <c r="K260" i="2" s="1"/>
  <c r="J260" i="2"/>
  <c r="K231" i="2"/>
  <c r="K230" i="2" s="1"/>
  <c r="J230" i="2"/>
  <c r="K269" i="2"/>
  <c r="L269" i="2" s="1"/>
  <c r="K37" i="2"/>
  <c r="L37" i="2" s="1"/>
  <c r="K303" i="2"/>
  <c r="L303" i="2" s="1"/>
  <c r="K171" i="2"/>
  <c r="K170" i="2" s="1"/>
  <c r="J170" i="2"/>
  <c r="K274" i="2"/>
  <c r="L274" i="2" s="1"/>
  <c r="K241" i="2"/>
  <c r="L241" i="2" s="1"/>
  <c r="K452" i="2"/>
  <c r="K600" i="2"/>
  <c r="L600" i="2" s="1"/>
  <c r="J599" i="2"/>
  <c r="K509" i="2"/>
  <c r="J508" i="2"/>
  <c r="L509" i="2"/>
  <c r="J355" i="2"/>
  <c r="K356" i="2"/>
  <c r="K355" i="2" s="1"/>
  <c r="L356" i="2"/>
  <c r="K145" i="2"/>
  <c r="L145" i="2" s="1"/>
  <c r="J144" i="2"/>
  <c r="K523" i="2"/>
  <c r="L523" i="2" s="1"/>
  <c r="K460" i="2"/>
  <c r="L460" i="2" s="1"/>
  <c r="K98" i="2"/>
  <c r="L98" i="2" s="1"/>
  <c r="K576" i="2"/>
  <c r="L576" i="2" s="1"/>
  <c r="K392" i="2"/>
  <c r="L392" i="2" s="1"/>
  <c r="J22" i="2"/>
  <c r="K23" i="2"/>
  <c r="L23" i="2" s="1"/>
  <c r="J295" i="2"/>
  <c r="K296" i="2"/>
  <c r="K295" i="2" s="1"/>
  <c r="L296" i="2"/>
  <c r="L295" i="2" s="1"/>
  <c r="K189" i="2"/>
  <c r="L189" i="2" s="1"/>
  <c r="J627" i="2"/>
  <c r="K628" i="2"/>
  <c r="K179" i="2"/>
  <c r="L179" i="2" s="1"/>
  <c r="K365" i="2"/>
  <c r="L365" i="2" s="1"/>
  <c r="K492" i="2"/>
  <c r="L492" i="2" s="1"/>
  <c r="K141" i="2"/>
  <c r="K140" i="2" s="1"/>
  <c r="J140" i="2"/>
  <c r="K586" i="2"/>
  <c r="L586" i="2" s="1"/>
  <c r="K340" i="2"/>
  <c r="L340" i="2" s="1"/>
  <c r="K515" i="2"/>
  <c r="L515" i="2" s="1"/>
  <c r="K332" i="2"/>
  <c r="L332" i="2" s="1"/>
  <c r="K29" i="2"/>
  <c r="L29" i="2" s="1"/>
  <c r="J477" i="2"/>
  <c r="K478" i="2"/>
  <c r="K477" i="2" s="1"/>
  <c r="K386" i="2"/>
  <c r="K385" i="2" s="1"/>
  <c r="J385" i="2"/>
  <c r="J114" i="2"/>
  <c r="K115" i="2"/>
  <c r="K114" i="2" s="1"/>
  <c r="K159" i="2"/>
  <c r="L159" i="2" s="1"/>
  <c r="K632" i="2"/>
  <c r="K631" i="2" s="1"/>
  <c r="J631" i="2"/>
  <c r="K554" i="2"/>
  <c r="L554" i="2" s="1"/>
  <c r="K249" i="2"/>
  <c r="L249" i="2" s="1"/>
  <c r="K279" i="2"/>
  <c r="L279" i="2" s="1"/>
  <c r="L70" i="2"/>
  <c r="K70" i="2"/>
  <c r="K485" i="2"/>
  <c r="L485" i="2"/>
  <c r="K242" i="2"/>
  <c r="L242" i="2" s="1"/>
  <c r="K453" i="2"/>
  <c r="L453" i="2"/>
  <c r="K122" i="2"/>
  <c r="L122" i="2" s="1"/>
  <c r="K604" i="2"/>
  <c r="L604" i="2" s="1"/>
  <c r="K513" i="2"/>
  <c r="L513" i="2" s="1"/>
  <c r="K149" i="2"/>
  <c r="L149" i="2" s="1"/>
  <c r="K99" i="2"/>
  <c r="L99" i="2" s="1"/>
  <c r="K577" i="2"/>
  <c r="L577" i="2" s="1"/>
  <c r="L393" i="2"/>
  <c r="K393" i="2"/>
  <c r="K182" i="2"/>
  <c r="L182" i="2"/>
  <c r="L24" i="2"/>
  <c r="K24" i="2"/>
  <c r="K536" i="2"/>
  <c r="K535" i="2" s="1"/>
  <c r="J535" i="2"/>
  <c r="K352" i="2"/>
  <c r="K351" i="2" s="1"/>
  <c r="K300" i="2"/>
  <c r="L300" i="2" s="1"/>
  <c r="K81" i="2"/>
  <c r="K80" i="2" s="1"/>
  <c r="J80" i="2"/>
  <c r="L310" i="2"/>
  <c r="K310" i="2"/>
  <c r="J234" i="2"/>
  <c r="K235" i="2"/>
  <c r="K234" i="2" s="1"/>
  <c r="J415" i="2"/>
  <c r="K416" i="2"/>
  <c r="L416" i="2"/>
  <c r="J84" i="2"/>
  <c r="K85" i="2"/>
  <c r="K84" i="2" s="1"/>
  <c r="J325" i="2"/>
  <c r="K326" i="2"/>
  <c r="J351" i="2"/>
  <c r="K516" i="2"/>
  <c r="L516" i="2" s="1"/>
  <c r="K333" i="2"/>
  <c r="L333" i="2" s="1"/>
  <c r="K482" i="2"/>
  <c r="L482" i="2" s="1"/>
  <c r="K474" i="2"/>
  <c r="K473" i="2" s="1"/>
  <c r="L474" i="2"/>
  <c r="L473" i="2" s="1"/>
  <c r="J473" i="2"/>
  <c r="K322" i="2"/>
  <c r="K321" i="2" s="1"/>
  <c r="J321" i="2"/>
  <c r="K412" i="2"/>
  <c r="K411" i="2" s="1"/>
  <c r="J411" i="2"/>
  <c r="K390" i="2"/>
  <c r="L390" i="2"/>
  <c r="K119" i="2"/>
  <c r="L119" i="2" s="1"/>
  <c r="K614" i="2"/>
  <c r="L614" i="2" s="1"/>
  <c r="K639" i="2"/>
  <c r="L639" i="2" s="1"/>
  <c r="K633" i="2"/>
  <c r="L633" i="2" s="1"/>
  <c r="L383" i="2"/>
  <c r="L381" i="2" s="1"/>
  <c r="K383" i="2"/>
  <c r="K381" i="2" s="1"/>
  <c r="J381" i="2"/>
  <c r="K463" i="2"/>
  <c r="L463" i="2" s="1"/>
  <c r="K606" i="2"/>
  <c r="K599" i="2" s="1"/>
  <c r="K151" i="2"/>
  <c r="K144" i="2" s="1"/>
  <c r="L151" i="2"/>
  <c r="J52" i="2"/>
  <c r="H52" i="2" s="1"/>
  <c r="K53" i="2"/>
  <c r="K52" i="2" s="1"/>
  <c r="L53" i="2"/>
  <c r="J204" i="2"/>
  <c r="K205" i="2"/>
  <c r="K204" i="2" s="1"/>
  <c r="K7" i="2"/>
  <c r="L7" i="2" s="1"/>
  <c r="J569" i="2"/>
  <c r="K570" i="2"/>
  <c r="K569" i="2" s="1"/>
  <c r="L570" i="2"/>
  <c r="K446" i="2"/>
  <c r="L446" i="2" s="1"/>
  <c r="J445" i="2"/>
  <c r="H445" i="2" s="1"/>
  <c r="J264" i="2"/>
  <c r="K265" i="2"/>
  <c r="K264" i="2" s="1"/>
  <c r="K271" i="2"/>
  <c r="L271" i="2"/>
  <c r="K617" i="2"/>
  <c r="L617" i="2" s="1"/>
  <c r="K607" i="2"/>
  <c r="L607" i="2" s="1"/>
  <c r="L152" i="2"/>
  <c r="K152" i="2"/>
  <c r="K54" i="2"/>
  <c r="L54" i="2" s="1"/>
  <c r="L596" i="2"/>
  <c r="L595" i="2" s="1"/>
  <c r="K596" i="2"/>
  <c r="K595" i="2" s="1"/>
  <c r="J595" i="2"/>
  <c r="K209" i="2"/>
  <c r="L209" i="2" s="1"/>
  <c r="K442" i="2"/>
  <c r="K441" i="2" s="1"/>
  <c r="J441" i="2"/>
  <c r="L536" i="2" l="1"/>
  <c r="L535" i="2" s="1"/>
  <c r="K415" i="2"/>
  <c r="K325" i="2"/>
  <c r="L231" i="2"/>
  <c r="L230" i="2" s="1"/>
  <c r="L85" i="2"/>
  <c r="L84" i="2" s="1"/>
  <c r="L22" i="2"/>
  <c r="L442" i="2"/>
  <c r="L441" i="2" s="1"/>
  <c r="L205" i="2"/>
  <c r="L204" i="2" s="1"/>
  <c r="L606" i="2"/>
  <c r="L599" i="2" s="1"/>
  <c r="L478" i="2"/>
  <c r="L477" i="2" s="1"/>
  <c r="L141" i="2"/>
  <c r="L140" i="2" s="1"/>
  <c r="K445" i="2"/>
  <c r="L175" i="2"/>
  <c r="L174" i="2" s="1"/>
  <c r="L265" i="2"/>
  <c r="L264" i="2" s="1"/>
  <c r="L412" i="2"/>
  <c r="L411" i="2" s="1"/>
  <c r="L322" i="2"/>
  <c r="L321" i="2" s="1"/>
  <c r="L326" i="2"/>
  <c r="L325" i="2" s="1"/>
  <c r="L81" i="2"/>
  <c r="L80" i="2" s="1"/>
  <c r="L352" i="2"/>
  <c r="L351" i="2" s="1"/>
  <c r="L632" i="2"/>
  <c r="L631" i="2" s="1"/>
  <c r="L508" i="2"/>
  <c r="L201" i="2"/>
  <c r="L200" i="2" s="1"/>
  <c r="L540" i="2"/>
  <c r="L539" i="2" s="1"/>
  <c r="L144" i="2"/>
  <c r="L115" i="2"/>
  <c r="L114" i="2" s="1"/>
  <c r="L386" i="2"/>
  <c r="L385" i="2" s="1"/>
  <c r="L355" i="2"/>
  <c r="L505" i="2"/>
  <c r="L504" i="2" s="1"/>
  <c r="L569" i="2"/>
  <c r="L52" i="2"/>
  <c r="L415" i="2"/>
  <c r="L235" i="2"/>
  <c r="L234" i="2" s="1"/>
  <c r="L628" i="2"/>
  <c r="L627" i="2" s="1"/>
  <c r="K627" i="2"/>
  <c r="K22" i="2"/>
  <c r="K508" i="2"/>
  <c r="L452" i="2"/>
  <c r="L445" i="2" s="1"/>
  <c r="L171" i="2"/>
  <c r="L170" i="2" s="1"/>
  <c r="L261" i="2"/>
  <c r="L260" i="2" s="1"/>
</calcChain>
</file>

<file path=xl/comments1.xml><?xml version="1.0" encoding="utf-8"?>
<comments xmlns="http://schemas.openxmlformats.org/spreadsheetml/2006/main">
  <authors>
    <author>Губанова</author>
  </authors>
  <commentList>
    <comment ref="D492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Губанова:</t>
        </r>
        <r>
          <rPr>
            <sz val="9"/>
            <color indexed="81"/>
            <rFont val="Tahoma"/>
            <family val="2"/>
            <charset val="204"/>
          </rPr>
          <t xml:space="preserve">
раздают на воспитателей и помощников совмещением</t>
        </r>
      </text>
    </comment>
    <comment ref="D497" authorId="0" shapeId="0">
      <text>
        <r>
          <rPr>
            <b/>
            <sz val="9"/>
            <color indexed="81"/>
            <rFont val="Tahoma"/>
            <family val="2"/>
            <charset val="204"/>
          </rPr>
          <t>Губанова:</t>
        </r>
        <r>
          <rPr>
            <sz val="9"/>
            <color indexed="81"/>
            <rFont val="Tahoma"/>
            <family val="2"/>
            <charset val="204"/>
          </rPr>
          <t xml:space="preserve">
на совмещении</t>
        </r>
      </text>
    </comment>
  </commentList>
</comments>
</file>

<file path=xl/sharedStrings.xml><?xml version="1.0" encoding="utf-8"?>
<sst xmlns="http://schemas.openxmlformats.org/spreadsheetml/2006/main" count="772" uniqueCount="152">
  <si>
    <t>Должностной оклад</t>
  </si>
  <si>
    <t>Доплата по учреждению</t>
  </si>
  <si>
    <t>Компенсационные выплаты</t>
  </si>
  <si>
    <t>Стимулирующие выплаты</t>
  </si>
  <si>
    <t>Районный коэффициент</t>
  </si>
  <si>
    <t xml:space="preserve">Дальневосточный коэффициент </t>
  </si>
  <si>
    <t>Итого начисленная зарплата</t>
  </si>
  <si>
    <t>%</t>
  </si>
  <si>
    <t>сумма</t>
  </si>
  <si>
    <t>Заместитель главного бухгалтера</t>
  </si>
  <si>
    <t>городской бюджет +родительская плата</t>
  </si>
  <si>
    <t>Помощник воспитателя</t>
  </si>
  <si>
    <t xml:space="preserve">Сторож, </t>
  </si>
  <si>
    <t>Младший воспитатель</t>
  </si>
  <si>
    <t>Кастелянша</t>
  </si>
  <si>
    <t>Рабочий по комплексному обслуживанию и ремонту зданий, помощник воспитателя, Ассистент (помощник) по оказанию технической помощи инвалидам и лицам с ограниченными возможностями здоровья</t>
  </si>
  <si>
    <t>Кладовщик</t>
  </si>
  <si>
    <t>Кухонный рабочий</t>
  </si>
  <si>
    <t>Помощник воспитателя спецгруппы</t>
  </si>
  <si>
    <t>Бухгалтер</t>
  </si>
  <si>
    <t>Оператор хлораторной установки</t>
  </si>
  <si>
    <t>Повар</t>
  </si>
  <si>
    <t>Бухгалтер 1 кат</t>
  </si>
  <si>
    <t>Ведущий бухгалтер</t>
  </si>
  <si>
    <t xml:space="preserve">Сторож </t>
  </si>
  <si>
    <t>Рабочий по комплексному обслуживанию и ремонту зданий</t>
  </si>
  <si>
    <t>Заведующий производством (шеф-повар)</t>
  </si>
  <si>
    <t xml:space="preserve">Машинист по стирке и ремонту спецодежды, </t>
  </si>
  <si>
    <t xml:space="preserve"> младший воспитатель спецгруппы</t>
  </si>
  <si>
    <t>Юрисконсульт</t>
  </si>
  <si>
    <t>Водитель автомобиля</t>
  </si>
  <si>
    <t>Администратор административно-хозяйственной части</t>
  </si>
  <si>
    <t>Вахтер дворник, уборщик, кастелянша, кладовщик</t>
  </si>
  <si>
    <t>областной бюджет</t>
  </si>
  <si>
    <t xml:space="preserve">Гардеробщик </t>
  </si>
  <si>
    <t>Персонал, численность которого зависит от количества зданий и помещений</t>
  </si>
  <si>
    <t xml:space="preserve">Бухгалтер </t>
  </si>
  <si>
    <t>Инженер (электроник, програмист)</t>
  </si>
  <si>
    <t>Бухгалтер 1 категории</t>
  </si>
  <si>
    <t>Экономист</t>
  </si>
  <si>
    <t xml:space="preserve">Уборщик  служебных помещений </t>
  </si>
  <si>
    <t xml:space="preserve">Дворник </t>
  </si>
  <si>
    <t>Заведующий хозяйством, водитель, повар</t>
  </si>
  <si>
    <t>Персонал, численность которого не зависит от количества зданий и помещений</t>
  </si>
  <si>
    <t xml:space="preserve">Заведующий хозяйством </t>
  </si>
  <si>
    <t>Заведующий по учебной части</t>
  </si>
  <si>
    <t>Секретарь</t>
  </si>
  <si>
    <t xml:space="preserve">Делопроизводитель </t>
  </si>
  <si>
    <t>Машинист по стирке и ремонту спецодежды, мойщик посуды</t>
  </si>
  <si>
    <t>Секретарь машинистка</t>
  </si>
  <si>
    <t xml:space="preserve">Администратор административно-хозяйственной части, </t>
  </si>
  <si>
    <t>Таблица по начислению заработной платы в дошкольных учреждениях при установлении новых должностных окладов и процентов с 01.01.2024</t>
  </si>
  <si>
    <t>Специалист по охране труда</t>
  </si>
  <si>
    <t>Ассистент по оказанию технической помощи инвалидам</t>
  </si>
  <si>
    <t>Заведующий учебной частью</t>
  </si>
  <si>
    <t>Секретарь, делопроизводитель, кухонный рабочий, оператор хлораторной установки, ассистент по оказанию техпомоши</t>
  </si>
  <si>
    <t>Заведующий производством (шеф-повар), младший воспитатель, специалист по охране труда</t>
  </si>
  <si>
    <t>Наименование должности</t>
  </si>
  <si>
    <t xml:space="preserve">количество штатных единиц </t>
  </si>
  <si>
    <t xml:space="preserve">занятые штатные единицы </t>
  </si>
  <si>
    <t xml:space="preserve">среднесписочная численность работников за январь-сентябрь </t>
  </si>
  <si>
    <t>численность работников, чел.</t>
  </si>
  <si>
    <t>Потребность на 211</t>
  </si>
  <si>
    <t>Родительская плата</t>
  </si>
  <si>
    <t>Потребность город 211</t>
  </si>
  <si>
    <t>Потребность город на 213</t>
  </si>
  <si>
    <t>Итого</t>
  </si>
  <si>
    <t>МАОУ "Прогимназия г.Благовещенска"</t>
  </si>
  <si>
    <t xml:space="preserve">Вспомогательный персонал </t>
  </si>
  <si>
    <t xml:space="preserve">городской бюджет </t>
  </si>
  <si>
    <t xml:space="preserve">Ассистент (помощник) по оказанию технической помощи инвалидам </t>
  </si>
  <si>
    <t>Машинист по стирке и ремонту спецодежды</t>
  </si>
  <si>
    <t>Размер заработной платы в 2024 году</t>
  </si>
  <si>
    <t>Областной бюджет</t>
  </si>
  <si>
    <t>МАДОУ "ЦРР-ДС № 4 г.Благовещенска"</t>
  </si>
  <si>
    <t>МАДОУ "ДС № 3 г.Благовещенска"</t>
  </si>
  <si>
    <t>МАДОУ "ДС № 5 г.Благовещенска"</t>
  </si>
  <si>
    <t>МАДОУ "ДС № 14 г.Благовещенска"</t>
  </si>
  <si>
    <t>МАДОУ "ДС № 15 г.Благовещенска"</t>
  </si>
  <si>
    <t>МАДОУ "ДС № 19 г.Благовещенска"</t>
  </si>
  <si>
    <t>МАДОУ "ДС № 28 г.Благовещенска"</t>
  </si>
  <si>
    <t>МАДОУ "ДС № 32 г.Благовещенска"</t>
  </si>
  <si>
    <t>МАДОУ "ДС № 35 г.Благовещенска"</t>
  </si>
  <si>
    <t>МАДОУ "ДС № 40 г.Благовещенска"</t>
  </si>
  <si>
    <t>МАДОУ "ДС № 47 г.Благовещенска"</t>
  </si>
  <si>
    <t>МАДОУ "ДС № 49 г.Благовещенска"</t>
  </si>
  <si>
    <t>МАДОУ "ДС № 50 г.Благовещенска"</t>
  </si>
  <si>
    <t>МАДОУ "ДС № 55 г.Благовещенска"</t>
  </si>
  <si>
    <t>МАДОУ "ДС № 60 г.Благовещенска"</t>
  </si>
  <si>
    <t>МАДОУ "ДС № 67 г.Благовещенска"</t>
  </si>
  <si>
    <t>МАДОУ "ЦРР-ДС № 68 г.Благовещенска"</t>
  </si>
  <si>
    <t>МАОУ "Школа № 23 г.Благовещенска"</t>
  </si>
  <si>
    <t>МАОУ "Школа № 24 г.Благовещенска"</t>
  </si>
  <si>
    <t>Итоговая таблица</t>
  </si>
  <si>
    <t>Помощник воспитателя (спец группы)</t>
  </si>
  <si>
    <t>Младший воспитатель (спец группы)</t>
  </si>
  <si>
    <t>Помощник воспитатель (спец группы)</t>
  </si>
  <si>
    <t>прогим</t>
  </si>
  <si>
    <t>дс 4</t>
  </si>
  <si>
    <t>дс 3</t>
  </si>
  <si>
    <t>дс 5</t>
  </si>
  <si>
    <t>дс 14</t>
  </si>
  <si>
    <t>дс 15</t>
  </si>
  <si>
    <t>дс 19</t>
  </si>
  <si>
    <t>дс 28</t>
  </si>
  <si>
    <t>дс 32</t>
  </si>
  <si>
    <t>дс 35</t>
  </si>
  <si>
    <t>дс 40</t>
  </si>
  <si>
    <t>дс 47</t>
  </si>
  <si>
    <t>дс 49</t>
  </si>
  <si>
    <t>дс 50</t>
  </si>
  <si>
    <t>дс 55</t>
  </si>
  <si>
    <t>дс 60</t>
  </si>
  <si>
    <t>дс 67</t>
  </si>
  <si>
    <t>дс 68</t>
  </si>
  <si>
    <t>шк 23 дошк гр</t>
  </si>
  <si>
    <t>шк 24 дошк гр</t>
  </si>
  <si>
    <t>большой перекос между городом и областью, численность завышена</t>
  </si>
  <si>
    <t>Наименование учреждения</t>
  </si>
  <si>
    <t>МДОАУ ДС № 3</t>
  </si>
  <si>
    <t>МДОАУ "ЦРР-ДС № 4"</t>
  </si>
  <si>
    <t>МДОАУ ДС № 5</t>
  </si>
  <si>
    <t>МДОАУ ДС № 14</t>
  </si>
  <si>
    <t>МДОАУ ДС № 15</t>
  </si>
  <si>
    <t>МДОАУ ДС № 19</t>
  </si>
  <si>
    <t>МДОАУ ДС № 28</t>
  </si>
  <si>
    <t>МДОАУ ДС № 32</t>
  </si>
  <si>
    <t>МДОАУ ДС № 35</t>
  </si>
  <si>
    <t>МДОАУ ДС № 40</t>
  </si>
  <si>
    <t>МДОАУ ДС № 47</t>
  </si>
  <si>
    <t>МДОАУ ДС № 49</t>
  </si>
  <si>
    <t>МДОАУ ДС № 50</t>
  </si>
  <si>
    <t>МДОАУ ДС № 55</t>
  </si>
  <si>
    <t>МДОАУ ДС № 60</t>
  </si>
  <si>
    <t>МДОАУ ДС № 67</t>
  </si>
  <si>
    <t>МДОАУ ДС № 68</t>
  </si>
  <si>
    <t>МОАУ СОШ № 23 (ДС)</t>
  </si>
  <si>
    <t>МОАУ СОШ № 24 (ДС)</t>
  </si>
  <si>
    <t>МОАУ Прогимназия (ДС)</t>
  </si>
  <si>
    <t>Распределение городских средств</t>
  </si>
  <si>
    <t>Руководящие</t>
  </si>
  <si>
    <t>Педработники</t>
  </si>
  <si>
    <t>Вспомогательный персонал</t>
  </si>
  <si>
    <t>вспомог на 2024-2025</t>
  </si>
  <si>
    <t>Итого 211</t>
  </si>
  <si>
    <t>Итого 213</t>
  </si>
  <si>
    <t>Всего</t>
  </si>
  <si>
    <t xml:space="preserve">предусмотрено </t>
  </si>
  <si>
    <t>отклонение</t>
  </si>
  <si>
    <t>сокращение 4%</t>
  </si>
  <si>
    <t>сокращение 12,6%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</si>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</sst>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1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2"/>
    <xf numFmtId="0" fontId="3" fillId="0" borderId="1" xfId="2" applyBorder="1" applyAlignment="1">
      <alignment horizontal="center" vertical="center" wrapText="1"/>
    </xf>
    <xf numFmtId="0" fontId="3" fillId="0" borderId="0" xfId="2" applyAlignment="1">
      <alignment horizontal="center" vertical="center" wrapText="1"/>
    </xf>
    <xf numFmtId="0" fontId="3" fillId="2" borderId="1" xfId="2" applyFill="1" applyBorder="1"/>
    <xf numFmtId="164" fontId="0" fillId="2" borderId="1" xfId="3" applyFont="1" applyFill="1" applyBorder="1"/>
    <xf numFmtId="9" fontId="3" fillId="2" borderId="1" xfId="2" applyNumberFormat="1" applyFill="1" applyBorder="1"/>
    <xf numFmtId="0" fontId="6" fillId="0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wrapText="1"/>
    </xf>
    <xf numFmtId="0" fontId="6" fillId="0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justify" vertical="center"/>
    </xf>
    <xf numFmtId="164" fontId="3" fillId="0" borderId="0" xfId="2" applyNumberFormat="1"/>
    <xf numFmtId="0" fontId="3" fillId="0" borderId="1" xfId="2" applyBorder="1"/>
    <xf numFmtId="0" fontId="9" fillId="3" borderId="1" xfId="0" applyFont="1" applyFill="1" applyBorder="1" applyAlignment="1">
      <alignment wrapText="1"/>
    </xf>
    <xf numFmtId="0" fontId="10" fillId="0" borderId="1" xfId="2" applyFont="1" applyBorder="1"/>
    <xf numFmtId="0" fontId="3" fillId="2" borderId="2" xfId="2" applyFill="1" applyBorder="1"/>
    <xf numFmtId="164" fontId="0" fillId="2" borderId="3" xfId="3" applyFont="1" applyFill="1" applyBorder="1"/>
    <xf numFmtId="9" fontId="3" fillId="2" borderId="3" xfId="2" applyNumberFormat="1" applyFill="1" applyBorder="1"/>
    <xf numFmtId="164" fontId="0" fillId="2" borderId="4" xfId="3" applyFont="1" applyFill="1" applyBorder="1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Border="1" applyAlignment="1">
      <alignment horizontal="justify" vertical="center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/>
    </xf>
    <xf numFmtId="43" fontId="0" fillId="2" borderId="1" xfId="1" applyFont="1" applyFill="1" applyBorder="1"/>
    <xf numFmtId="0" fontId="2" fillId="4" borderId="1" xfId="0" applyFont="1" applyFill="1" applyBorder="1" applyAlignment="1"/>
    <xf numFmtId="0" fontId="11" fillId="0" borderId="1" xfId="0" applyFont="1" applyBorder="1"/>
    <xf numFmtId="0" fontId="5" fillId="2" borderId="1" xfId="0" applyFont="1" applyFill="1" applyBorder="1" applyAlignment="1">
      <alignment horizontal="center"/>
    </xf>
    <xf numFmtId="43" fontId="5" fillId="2" borderId="1" xfId="1" applyFont="1" applyFill="1" applyBorder="1" applyAlignment="1">
      <alignment horizontal="center"/>
    </xf>
    <xf numFmtId="43" fontId="2" fillId="2" borderId="1" xfId="1" applyFont="1" applyFill="1" applyBorder="1"/>
    <xf numFmtId="0" fontId="5" fillId="2" borderId="1" xfId="0" applyFont="1" applyFill="1" applyBorder="1" applyAlignment="1">
      <alignment horizontal="center" vertical="center"/>
    </xf>
    <xf numFmtId="43" fontId="5" fillId="2" borderId="1" xfId="1" applyFont="1" applyFill="1" applyBorder="1" applyAlignment="1">
      <alignment horizontal="center" vertical="center"/>
    </xf>
    <xf numFmtId="0" fontId="0" fillId="2" borderId="1" xfId="0" applyFill="1" applyBorder="1"/>
    <xf numFmtId="0" fontId="6" fillId="0" borderId="0" xfId="0" applyFont="1" applyFill="1" applyBorder="1" applyAlignment="1">
      <alignment wrapText="1"/>
    </xf>
    <xf numFmtId="4" fontId="0" fillId="2" borderId="1" xfId="0" applyNumberFormat="1" applyFill="1" applyBorder="1"/>
    <xf numFmtId="0" fontId="6" fillId="4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/>
    </xf>
    <xf numFmtId="0" fontId="0" fillId="3" borderId="0" xfId="0" applyFill="1"/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ont="1" applyBorder="1" applyAlignment="1">
      <alignment horizontal="center" vertical="center" wrapText="1"/>
    </xf>
    <xf numFmtId="164" fontId="0" fillId="0" borderId="1" xfId="4" applyFont="1" applyBorder="1"/>
    <xf numFmtId="0" fontId="2" fillId="0" borderId="0" xfId="0" applyFont="1"/>
    <xf numFmtId="164" fontId="0" fillId="0" borderId="0" xfId="4" applyFont="1"/>
    <xf numFmtId="43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Font="1" applyBorder="1"/>
    <xf numFmtId="164" fontId="0" fillId="0" borderId="2" xfId="4" applyFont="1" applyBorder="1"/>
    <xf numFmtId="4" fontId="0" fillId="0" borderId="1" xfId="0" applyNumberFormat="1" applyBorder="1"/>
    <xf numFmtId="164" fontId="0" fillId="2" borderId="1" xfId="4" applyFont="1" applyFill="1" applyBorder="1"/>
    <xf numFmtId="164" fontId="2" fillId="0" borderId="1" xfId="4" applyFont="1" applyBorder="1"/>
    <xf numFmtId="164" fontId="2" fillId="0" borderId="2" xfId="4" applyFont="1" applyBorder="1"/>
    <xf numFmtId="164" fontId="0" fillId="0" borderId="0" xfId="0" applyNumberFormat="1"/>
    <xf numFmtId="164" fontId="0" fillId="4" borderId="0" xfId="4" applyFont="1" applyFill="1"/>
    <xf numFmtId="164" fontId="0" fillId="2" borderId="0" xfId="4" applyFont="1" applyFill="1"/>
    <xf numFmtId="164" fontId="0" fillId="0" borderId="5" xfId="4" applyFont="1" applyFill="1" applyBorder="1"/>
    <xf numFmtId="43" fontId="0" fillId="0" borderId="0" xfId="1" applyFont="1"/>
    <xf numFmtId="0" fontId="4" fillId="0" borderId="2" xfId="0" applyFont="1" applyBorder="1" applyAlignment="1"/>
    <xf numFmtId="164" fontId="4" fillId="2" borderId="1" xfId="3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4" fillId="2" borderId="4" xfId="2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0" fillId="0" borderId="1" xfId="0" applyBorder="1" applyAlignment="1"/>
    <xf numFmtId="0" fontId="4" fillId="0" borderId="0" xfId="2" applyFont="1" applyAlignment="1">
      <alignment horizontal="center" wrapText="1"/>
    </xf>
    <xf numFmtId="0" fontId="3" fillId="0" borderId="1" xfId="2" applyBorder="1" applyAlignment="1">
      <alignment horizontal="center" vertical="center" wrapText="1"/>
    </xf>
    <xf numFmtId="165" fontId="4" fillId="2" borderId="1" xfId="3" applyNumberFormat="1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0" fillId="4" borderId="1" xfId="0" applyFill="1" applyBorder="1" applyAlignment="1">
      <alignment horizontal="center"/>
    </xf>
  </cellXfs>
  <cellStyles count="5">
    <cellStyle name="Обычный" xfId="0" builtinId="0"/>
    <cellStyle name="Обычный 2" xfId="2"/>
    <cellStyle name="Финансовый" xfId="1" builtinId="3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4"/>
  <sheetViews>
    <sheetView workbookViewId="0">
      <selection activeCell="A38" sqref="A38:K38"/>
    </sheetView>
  </sheetViews>
  <sheetFormatPr defaultColWidth="8.88671875" defaultRowHeight="13.2" x14ac:dyDescent="0.25"/>
  <cols>
    <col min="1" max="1" width="7.88671875" style="1" customWidth="1"/>
    <col min="2" max="4" width="14.33203125" style="1" customWidth="1"/>
    <col min="5" max="5" width="12.33203125" style="1" customWidth="1"/>
    <col min="6" max="6" width="11.109375" style="1" customWidth="1"/>
    <col min="7" max="7" width="9" style="1" customWidth="1"/>
    <col min="8" max="8" width="13.6640625" style="1" customWidth="1"/>
    <col min="9" max="9" width="15.6640625" style="1" customWidth="1"/>
    <col min="10" max="10" width="14.44140625" style="1" customWidth="1"/>
    <col min="11" max="11" width="13.6640625" style="1" customWidth="1"/>
    <col min="12" max="12" width="8.88671875" style="1"/>
    <col min="13" max="13" width="12.6640625" style="1" customWidth="1"/>
    <col min="14" max="14" width="30.6640625" style="1" customWidth="1"/>
    <col min="15" max="16384" width="8.88671875" style="1"/>
  </cols>
  <sheetData>
    <row r="1" spans="1:21" ht="27.6" customHeight="1" x14ac:dyDescent="0.25">
      <c r="A1" s="73" t="s">
        <v>51</v>
      </c>
      <c r="B1" s="73"/>
      <c r="C1" s="73"/>
      <c r="D1" s="73"/>
      <c r="E1" s="73"/>
      <c r="F1" s="73"/>
      <c r="G1" s="73"/>
      <c r="H1" s="73"/>
      <c r="I1" s="73"/>
      <c r="J1" s="73"/>
      <c r="K1" s="73"/>
    </row>
    <row r="3" spans="1:21" ht="39.6" x14ac:dyDescent="0.25">
      <c r="A3" s="2"/>
      <c r="B3" s="2" t="s">
        <v>0</v>
      </c>
      <c r="C3" s="74" t="s">
        <v>1</v>
      </c>
      <c r="D3" s="74"/>
      <c r="E3" s="74" t="s">
        <v>2</v>
      </c>
      <c r="F3" s="74"/>
      <c r="G3" s="74" t="s">
        <v>3</v>
      </c>
      <c r="H3" s="74"/>
      <c r="I3" s="2" t="s">
        <v>4</v>
      </c>
      <c r="J3" s="2" t="s">
        <v>5</v>
      </c>
      <c r="K3" s="2" t="s">
        <v>6</v>
      </c>
      <c r="L3" s="3"/>
      <c r="M3" s="3"/>
      <c r="N3" s="3"/>
      <c r="O3" s="3"/>
      <c r="P3" s="3"/>
      <c r="Q3" s="3"/>
      <c r="R3" s="3"/>
      <c r="S3" s="3"/>
      <c r="T3" s="3"/>
      <c r="U3" s="3"/>
    </row>
    <row r="4" spans="1:21" x14ac:dyDescent="0.25">
      <c r="A4" s="2"/>
      <c r="B4" s="2"/>
      <c r="C4" s="2" t="s">
        <v>7</v>
      </c>
      <c r="D4" s="2" t="s">
        <v>8</v>
      </c>
      <c r="E4" s="2" t="s">
        <v>7</v>
      </c>
      <c r="F4" s="2" t="s">
        <v>8</v>
      </c>
      <c r="G4" s="2" t="s">
        <v>7</v>
      </c>
      <c r="H4" s="2" t="s">
        <v>8</v>
      </c>
      <c r="I4" s="2"/>
      <c r="J4" s="2"/>
      <c r="K4" s="2"/>
      <c r="L4" s="3"/>
      <c r="M4" s="3"/>
      <c r="N4" s="3"/>
      <c r="O4" s="3"/>
      <c r="P4" s="3"/>
      <c r="Q4" s="3"/>
      <c r="R4" s="3"/>
      <c r="S4" s="3"/>
      <c r="T4" s="3"/>
      <c r="U4" s="3"/>
    </row>
    <row r="5" spans="1:21" ht="14.4" customHeight="1" x14ac:dyDescent="0.3">
      <c r="A5" s="65" t="s">
        <v>9</v>
      </c>
      <c r="B5" s="65"/>
      <c r="C5" s="65"/>
      <c r="D5" s="65"/>
      <c r="E5" s="65"/>
      <c r="F5" s="65"/>
      <c r="G5" s="65"/>
      <c r="H5" s="65"/>
      <c r="I5" s="65"/>
      <c r="J5" s="65"/>
      <c r="K5" s="65"/>
      <c r="M5" s="71" t="s">
        <v>10</v>
      </c>
      <c r="N5" s="72"/>
    </row>
    <row r="6" spans="1:21" ht="14.4" x14ac:dyDescent="0.3">
      <c r="A6" s="4"/>
      <c r="B6" s="5">
        <v>14300</v>
      </c>
      <c r="C6" s="6">
        <v>1</v>
      </c>
      <c r="D6" s="5">
        <f>B6*C6</f>
        <v>14300</v>
      </c>
      <c r="E6" s="6"/>
      <c r="F6" s="5">
        <f>B6*E6</f>
        <v>0</v>
      </c>
      <c r="G6" s="6">
        <v>0.3</v>
      </c>
      <c r="H6" s="5">
        <f>B6*G6</f>
        <v>4290</v>
      </c>
      <c r="I6" s="5">
        <f>(B6+F6+D6+H6)*30%</f>
        <v>9867</v>
      </c>
      <c r="J6" s="5">
        <f>(B6+F6+D6+H6)*30%</f>
        <v>9867</v>
      </c>
      <c r="K6" s="5">
        <f>B6+F6+I6+J6+H6+D6</f>
        <v>52624</v>
      </c>
      <c r="M6" s="7"/>
      <c r="N6" s="8" t="s">
        <v>11</v>
      </c>
    </row>
    <row r="7" spans="1:21" ht="21.6" customHeight="1" x14ac:dyDescent="0.25">
      <c r="A7" s="66" t="s">
        <v>12</v>
      </c>
      <c r="B7" s="67"/>
      <c r="C7" s="67"/>
      <c r="D7" s="67"/>
      <c r="E7" s="67"/>
      <c r="F7" s="67"/>
      <c r="G7" s="67"/>
      <c r="H7" s="67"/>
      <c r="I7" s="67"/>
      <c r="J7" s="67"/>
      <c r="K7" s="68"/>
      <c r="M7" s="7"/>
      <c r="N7" s="8" t="s">
        <v>13</v>
      </c>
    </row>
    <row r="8" spans="1:21" ht="14.4" x14ac:dyDescent="0.3">
      <c r="A8" s="4"/>
      <c r="B8" s="5">
        <v>9621</v>
      </c>
      <c r="C8" s="6">
        <v>1</v>
      </c>
      <c r="D8" s="5">
        <f>B8*C8</f>
        <v>9621</v>
      </c>
      <c r="E8" s="6">
        <v>0.15</v>
      </c>
      <c r="F8" s="5">
        <f>B8*E8</f>
        <v>1443.1499999999999</v>
      </c>
      <c r="G8" s="6">
        <v>0.05</v>
      </c>
      <c r="H8" s="5">
        <f>B8*G8</f>
        <v>481.05</v>
      </c>
      <c r="I8" s="5">
        <f>(B8+F8+D8+H8)*30%</f>
        <v>6349.86</v>
      </c>
      <c r="J8" s="5">
        <f>(B8+F8+D8+H8)*30%</f>
        <v>6349.86</v>
      </c>
      <c r="K8" s="5">
        <f>B8+F8+I8+J8+H8+D8</f>
        <v>33865.919999999998</v>
      </c>
      <c r="M8" s="7"/>
      <c r="N8" s="8" t="s">
        <v>14</v>
      </c>
    </row>
    <row r="9" spans="1:21" ht="29.4" customHeight="1" x14ac:dyDescent="0.25">
      <c r="A9" s="75" t="s">
        <v>15</v>
      </c>
      <c r="B9" s="75"/>
      <c r="C9" s="75"/>
      <c r="D9" s="75"/>
      <c r="E9" s="75"/>
      <c r="F9" s="75"/>
      <c r="G9" s="75"/>
      <c r="H9" s="75"/>
      <c r="I9" s="75"/>
      <c r="J9" s="75"/>
      <c r="K9" s="75"/>
      <c r="M9" s="7"/>
      <c r="N9" s="8" t="s">
        <v>16</v>
      </c>
    </row>
    <row r="10" spans="1:21" ht="14.4" x14ac:dyDescent="0.3">
      <c r="A10" s="4"/>
      <c r="B10" s="5">
        <v>10100</v>
      </c>
      <c r="C10" s="6">
        <v>1</v>
      </c>
      <c r="D10" s="5">
        <f>B10*C10</f>
        <v>10100</v>
      </c>
      <c r="E10" s="6"/>
      <c r="F10" s="5">
        <f>B10*E10</f>
        <v>0</v>
      </c>
      <c r="G10" s="6">
        <v>0.05</v>
      </c>
      <c r="H10" s="5">
        <f>B10*G10</f>
        <v>505</v>
      </c>
      <c r="I10" s="5">
        <f>(B10+F10+D10+H10)*30%</f>
        <v>6211.5</v>
      </c>
      <c r="J10" s="5">
        <f>(B10+F10+D10+H10)*30%</f>
        <v>6211.5</v>
      </c>
      <c r="K10" s="5">
        <f>B10+F10+I10+J10+H10+D10</f>
        <v>33128</v>
      </c>
      <c r="M10" s="7"/>
      <c r="N10" s="8" t="s">
        <v>17</v>
      </c>
    </row>
    <row r="11" spans="1:21" ht="28.8" customHeight="1" x14ac:dyDescent="0.25">
      <c r="A11" s="65" t="s">
        <v>18</v>
      </c>
      <c r="B11" s="65"/>
      <c r="C11" s="65"/>
      <c r="D11" s="65"/>
      <c r="E11" s="65"/>
      <c r="F11" s="65"/>
      <c r="G11" s="65"/>
      <c r="H11" s="65"/>
      <c r="I11" s="65"/>
      <c r="J11" s="65"/>
      <c r="K11" s="65"/>
      <c r="M11" s="7"/>
      <c r="N11" s="13" t="s">
        <v>53</v>
      </c>
    </row>
    <row r="12" spans="1:21" ht="14.4" x14ac:dyDescent="0.3">
      <c r="A12" s="4"/>
      <c r="B12" s="5">
        <v>10100</v>
      </c>
      <c r="C12" s="6">
        <v>1</v>
      </c>
      <c r="D12" s="5">
        <f>B12*C12</f>
        <v>10100</v>
      </c>
      <c r="E12" s="6">
        <v>0.15</v>
      </c>
      <c r="F12" s="5">
        <f>B12*E12</f>
        <v>1515</v>
      </c>
      <c r="G12" s="6">
        <v>0.1</v>
      </c>
      <c r="H12" s="5">
        <f>B12*G12</f>
        <v>1010</v>
      </c>
      <c r="I12" s="5">
        <f>(B12+F12+D12+H12)*30%</f>
        <v>6817.5</v>
      </c>
      <c r="J12" s="5">
        <f>(B12+F12+D12+H12)*30%</f>
        <v>6817.5</v>
      </c>
      <c r="K12" s="5">
        <f>B12+F12+I12+J12+H12+D12</f>
        <v>36360</v>
      </c>
      <c r="M12" s="7"/>
      <c r="N12" s="8"/>
    </row>
    <row r="13" spans="1:21" ht="13.8" x14ac:dyDescent="0.25">
      <c r="A13" s="66" t="s">
        <v>19</v>
      </c>
      <c r="B13" s="67"/>
      <c r="C13" s="67"/>
      <c r="D13" s="67"/>
      <c r="E13" s="67"/>
      <c r="F13" s="67"/>
      <c r="G13" s="67"/>
      <c r="H13" s="67"/>
      <c r="I13" s="67"/>
      <c r="J13" s="67"/>
      <c r="K13" s="68"/>
      <c r="M13" s="7"/>
      <c r="N13" s="8" t="s">
        <v>20</v>
      </c>
    </row>
    <row r="14" spans="1:21" ht="14.4" x14ac:dyDescent="0.3">
      <c r="A14" s="4"/>
      <c r="B14" s="5">
        <v>11100</v>
      </c>
      <c r="C14" s="6">
        <v>1</v>
      </c>
      <c r="D14" s="5">
        <f>B14*C14</f>
        <v>11100</v>
      </c>
      <c r="E14" s="6"/>
      <c r="F14" s="5">
        <f>B14*E14</f>
        <v>0</v>
      </c>
      <c r="G14" s="6">
        <v>0.2</v>
      </c>
      <c r="H14" s="5">
        <f>B14*G14</f>
        <v>2220</v>
      </c>
      <c r="I14" s="5">
        <f>(B14+F14+D14+H14)*30%</f>
        <v>7326</v>
      </c>
      <c r="J14" s="5">
        <f>(B14+F14+D14+H14)*30%</f>
        <v>7326</v>
      </c>
      <c r="K14" s="5">
        <f>B14+F14+I14+J14+H14+D14</f>
        <v>39072</v>
      </c>
      <c r="M14" s="7"/>
      <c r="N14" s="8" t="s">
        <v>21</v>
      </c>
    </row>
    <row r="15" spans="1:21" ht="13.8" x14ac:dyDescent="0.25">
      <c r="A15" s="66" t="s">
        <v>22</v>
      </c>
      <c r="B15" s="67"/>
      <c r="C15" s="67"/>
      <c r="D15" s="67"/>
      <c r="E15" s="67"/>
      <c r="F15" s="67"/>
      <c r="G15" s="67"/>
      <c r="H15" s="67"/>
      <c r="I15" s="67"/>
      <c r="J15" s="67"/>
      <c r="K15" s="68"/>
      <c r="M15" s="7"/>
      <c r="N15" s="9"/>
    </row>
    <row r="16" spans="1:21" ht="14.4" x14ac:dyDescent="0.3">
      <c r="A16" s="4"/>
      <c r="B16" s="5">
        <v>11900</v>
      </c>
      <c r="C16" s="6">
        <v>1</v>
      </c>
      <c r="D16" s="5">
        <f>B16*C16</f>
        <v>11900</v>
      </c>
      <c r="E16" s="6"/>
      <c r="F16" s="5">
        <f>B16*E16</f>
        <v>0</v>
      </c>
      <c r="G16" s="6">
        <v>0.2</v>
      </c>
      <c r="H16" s="5">
        <f>B16*G16</f>
        <v>2380</v>
      </c>
      <c r="I16" s="5">
        <f>(B16+F16+D16+H16)*30%</f>
        <v>7854</v>
      </c>
      <c r="J16" s="5">
        <f>(B16+F16+D16+H16)*30%</f>
        <v>7854</v>
      </c>
      <c r="K16" s="5">
        <f>B16+F16+I16+J16+H16+D16</f>
        <v>41888</v>
      </c>
      <c r="M16" s="7"/>
      <c r="N16" s="9"/>
    </row>
    <row r="17" spans="1:14" ht="13.8" x14ac:dyDescent="0.25">
      <c r="A17" s="65" t="s">
        <v>23</v>
      </c>
      <c r="B17" s="65"/>
      <c r="C17" s="65"/>
      <c r="D17" s="65"/>
      <c r="E17" s="65"/>
      <c r="F17" s="65"/>
      <c r="G17" s="65"/>
      <c r="H17" s="65"/>
      <c r="I17" s="65"/>
      <c r="J17" s="65"/>
      <c r="K17" s="65"/>
      <c r="M17" s="7"/>
      <c r="N17" s="8" t="s">
        <v>24</v>
      </c>
    </row>
    <row r="18" spans="1:14" ht="26.4" customHeight="1" x14ac:dyDescent="0.3">
      <c r="A18" s="4"/>
      <c r="B18" s="5">
        <v>12700</v>
      </c>
      <c r="C18" s="6">
        <v>1</v>
      </c>
      <c r="D18" s="5">
        <f>B18*C18</f>
        <v>12700</v>
      </c>
      <c r="E18" s="6"/>
      <c r="F18" s="5">
        <f>B18*E18</f>
        <v>0</v>
      </c>
      <c r="G18" s="6">
        <v>0.2</v>
      </c>
      <c r="H18" s="5">
        <f>B18*G18</f>
        <v>2540</v>
      </c>
      <c r="I18" s="5">
        <f>(B18+F18+D18+H18)*30%</f>
        <v>8382</v>
      </c>
      <c r="J18" s="5">
        <f>(B18+F18+D18+H18)*30%</f>
        <v>8382</v>
      </c>
      <c r="K18" s="5">
        <f>B18+F18+I18+J18+H18+D18</f>
        <v>44704</v>
      </c>
      <c r="M18" s="7"/>
      <c r="N18" s="8" t="s">
        <v>25</v>
      </c>
    </row>
    <row r="19" spans="1:14" ht="27" customHeight="1" x14ac:dyDescent="0.25">
      <c r="A19" s="66" t="s">
        <v>56</v>
      </c>
      <c r="B19" s="67"/>
      <c r="C19" s="67"/>
      <c r="D19" s="67"/>
      <c r="E19" s="67"/>
      <c r="F19" s="67"/>
      <c r="G19" s="67"/>
      <c r="H19" s="67"/>
      <c r="I19" s="67"/>
      <c r="J19" s="67"/>
      <c r="K19" s="68"/>
      <c r="M19" s="7"/>
      <c r="N19" s="8" t="s">
        <v>26</v>
      </c>
    </row>
    <row r="20" spans="1:14" ht="28.2" customHeight="1" x14ac:dyDescent="0.3">
      <c r="A20" s="4"/>
      <c r="B20" s="5">
        <v>10700</v>
      </c>
      <c r="C20" s="6">
        <v>1</v>
      </c>
      <c r="D20" s="5">
        <f>B20*C20</f>
        <v>10700</v>
      </c>
      <c r="E20" s="6">
        <v>0.05</v>
      </c>
      <c r="F20" s="5">
        <f>B20*E20</f>
        <v>535</v>
      </c>
      <c r="G20" s="6">
        <v>0.1</v>
      </c>
      <c r="H20" s="5">
        <f>B20*G20</f>
        <v>1070</v>
      </c>
      <c r="I20" s="5">
        <f>(B20+F20+D20+H20)*30%</f>
        <v>6901.5</v>
      </c>
      <c r="J20" s="5">
        <f>(B20+F20+D20+H20)*30%</f>
        <v>6901.5</v>
      </c>
      <c r="K20" s="5">
        <f>B20+F20+I20+J20+H20+D20</f>
        <v>36808</v>
      </c>
      <c r="M20" s="7"/>
      <c r="N20" s="8" t="s">
        <v>27</v>
      </c>
    </row>
    <row r="21" spans="1:14" ht="28.2" customHeight="1" x14ac:dyDescent="0.25">
      <c r="A21" s="66" t="s">
        <v>28</v>
      </c>
      <c r="B21" s="67"/>
      <c r="C21" s="67"/>
      <c r="D21" s="67"/>
      <c r="E21" s="67"/>
      <c r="F21" s="67"/>
      <c r="G21" s="67"/>
      <c r="H21" s="67"/>
      <c r="I21" s="67"/>
      <c r="J21" s="67"/>
      <c r="K21" s="68"/>
      <c r="M21" s="7"/>
      <c r="N21" s="8"/>
    </row>
    <row r="22" spans="1:14" ht="28.2" customHeight="1" x14ac:dyDescent="0.3">
      <c r="A22" s="4"/>
      <c r="B22" s="5">
        <v>10700</v>
      </c>
      <c r="C22" s="6">
        <v>1</v>
      </c>
      <c r="D22" s="5">
        <f>B22*C22</f>
        <v>10700</v>
      </c>
      <c r="E22" s="6">
        <v>0.1</v>
      </c>
      <c r="F22" s="5">
        <f>B22*E22</f>
        <v>1070</v>
      </c>
      <c r="G22" s="6">
        <v>0.1</v>
      </c>
      <c r="H22" s="5">
        <f>B22*G22</f>
        <v>1070</v>
      </c>
      <c r="I22" s="5">
        <f>(B22+F22+D22+H22)*30%</f>
        <v>7062</v>
      </c>
      <c r="J22" s="5">
        <f>(B22+F22+D22+H22)*30%</f>
        <v>7062</v>
      </c>
      <c r="K22" s="5">
        <f>B22+F22+I22+J22+H22+D22</f>
        <v>37664</v>
      </c>
      <c r="M22" s="7"/>
      <c r="N22" s="8"/>
    </row>
    <row r="23" spans="1:14" ht="13.8" x14ac:dyDescent="0.25">
      <c r="A23" s="65" t="s">
        <v>29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M23" s="7"/>
      <c r="N23" s="8" t="s">
        <v>30</v>
      </c>
    </row>
    <row r="24" spans="1:14" ht="28.2" customHeight="1" x14ac:dyDescent="0.3">
      <c r="A24" s="4"/>
      <c r="B24" s="5">
        <v>11100</v>
      </c>
      <c r="C24" s="6">
        <v>1</v>
      </c>
      <c r="D24" s="5">
        <f>B24*C24</f>
        <v>11100</v>
      </c>
      <c r="E24" s="6"/>
      <c r="F24" s="5">
        <f>B24*E24</f>
        <v>0</v>
      </c>
      <c r="G24" s="6">
        <v>0.4</v>
      </c>
      <c r="H24" s="5">
        <f>B24*G24</f>
        <v>4440</v>
      </c>
      <c r="I24" s="5">
        <f>(B24+F24+D24+H24)*30%</f>
        <v>7992</v>
      </c>
      <c r="J24" s="5">
        <f>(B24+F24+D24+H24)*30%</f>
        <v>7992</v>
      </c>
      <c r="K24" s="5">
        <f>B24+F24+I24+J24+H24+D24</f>
        <v>42624</v>
      </c>
      <c r="M24" s="7"/>
      <c r="N24" s="10" t="s">
        <v>31</v>
      </c>
    </row>
    <row r="25" spans="1:14" ht="13.8" x14ac:dyDescent="0.25">
      <c r="A25" s="66" t="s">
        <v>32</v>
      </c>
      <c r="B25" s="67"/>
      <c r="C25" s="67"/>
      <c r="D25" s="67"/>
      <c r="E25" s="67"/>
      <c r="F25" s="67"/>
      <c r="G25" s="67"/>
      <c r="H25" s="67"/>
      <c r="I25" s="67"/>
      <c r="J25" s="67"/>
      <c r="K25" s="68"/>
      <c r="M25" s="7"/>
      <c r="N25" s="8" t="s">
        <v>29</v>
      </c>
    </row>
    <row r="26" spans="1:14" ht="14.4" customHeight="1" x14ac:dyDescent="0.3">
      <c r="A26" s="4"/>
      <c r="B26" s="5">
        <v>9621</v>
      </c>
      <c r="C26" s="6">
        <v>1</v>
      </c>
      <c r="D26" s="5">
        <f>B26*C26</f>
        <v>9621</v>
      </c>
      <c r="E26" s="6"/>
      <c r="F26" s="5">
        <f>B26*E26</f>
        <v>0</v>
      </c>
      <c r="G26" s="6">
        <v>0.1</v>
      </c>
      <c r="H26" s="5">
        <f>B26*G26</f>
        <v>962.1</v>
      </c>
      <c r="I26" s="5">
        <f>(B26+F26+D26+H26)*30%</f>
        <v>6061.23</v>
      </c>
      <c r="J26" s="5">
        <f>(B26+F26+D26+H26)*30%</f>
        <v>6061.23</v>
      </c>
      <c r="K26" s="5">
        <f>B26+F26+I26+J26+H26+D26</f>
        <v>32326.559999999998</v>
      </c>
      <c r="M26" s="70" t="s">
        <v>33</v>
      </c>
      <c r="N26" s="70"/>
    </row>
    <row r="27" spans="1:14" ht="14.4" customHeight="1" x14ac:dyDescent="0.3">
      <c r="A27" s="65" t="s">
        <v>34</v>
      </c>
      <c r="B27" s="65"/>
      <c r="C27" s="65"/>
      <c r="D27" s="65"/>
      <c r="E27" s="65"/>
      <c r="F27" s="65"/>
      <c r="G27" s="65"/>
      <c r="H27" s="65"/>
      <c r="I27" s="65"/>
      <c r="J27" s="65"/>
      <c r="K27" s="65"/>
      <c r="M27" s="69" t="s">
        <v>35</v>
      </c>
      <c r="N27" s="69"/>
    </row>
    <row r="28" spans="1:14" ht="14.4" x14ac:dyDescent="0.3">
      <c r="A28" s="4"/>
      <c r="B28" s="5"/>
      <c r="C28" s="6">
        <v>1</v>
      </c>
      <c r="D28" s="5">
        <f>B28*C28</f>
        <v>0</v>
      </c>
      <c r="E28" s="6">
        <v>0.15</v>
      </c>
      <c r="F28" s="5">
        <f>B28*E28</f>
        <v>0</v>
      </c>
      <c r="G28" s="6">
        <v>0.1</v>
      </c>
      <c r="H28" s="5">
        <f>B28*G28</f>
        <v>0</v>
      </c>
      <c r="I28" s="5">
        <f>(B28+F28+D28+H28)*30%</f>
        <v>0</v>
      </c>
      <c r="J28" s="5">
        <f>(B28+F28+D28+H28)*30%</f>
        <v>0</v>
      </c>
      <c r="K28" s="5">
        <f>B28+F28+I28+J28+H28+D28</f>
        <v>0</v>
      </c>
      <c r="M28" s="7"/>
      <c r="N28" s="8" t="s">
        <v>36</v>
      </c>
    </row>
    <row r="29" spans="1:14" ht="13.8" x14ac:dyDescent="0.25">
      <c r="A29" s="66" t="s">
        <v>37</v>
      </c>
      <c r="B29" s="67"/>
      <c r="C29" s="67"/>
      <c r="D29" s="67"/>
      <c r="E29" s="67"/>
      <c r="F29" s="67"/>
      <c r="G29" s="67"/>
      <c r="H29" s="67"/>
      <c r="I29" s="67"/>
      <c r="J29" s="67"/>
      <c r="K29" s="68"/>
      <c r="M29" s="7"/>
      <c r="N29" s="8" t="s">
        <v>38</v>
      </c>
    </row>
    <row r="30" spans="1:14" ht="14.4" x14ac:dyDescent="0.3">
      <c r="A30" s="4"/>
      <c r="B30" s="5"/>
      <c r="C30" s="6">
        <v>1</v>
      </c>
      <c r="D30" s="5">
        <f>B30*C30</f>
        <v>0</v>
      </c>
      <c r="E30" s="6"/>
      <c r="F30" s="5">
        <f>B30*E30</f>
        <v>0</v>
      </c>
      <c r="G30" s="6">
        <v>0.2</v>
      </c>
      <c r="H30" s="5">
        <f>B30*G30</f>
        <v>0</v>
      </c>
      <c r="I30" s="5">
        <f>(B30+F30+D30+H30)*30%</f>
        <v>0</v>
      </c>
      <c r="J30" s="5">
        <f>(B30+F30+D30+H30)*30%</f>
        <v>0</v>
      </c>
      <c r="K30" s="5">
        <f>B30+F30+I30+J30+H30+D30</f>
        <v>0</v>
      </c>
      <c r="M30" s="7"/>
      <c r="N30" s="8" t="s">
        <v>23</v>
      </c>
    </row>
    <row r="31" spans="1:14" ht="27.6" x14ac:dyDescent="0.25">
      <c r="A31" s="65" t="s">
        <v>39</v>
      </c>
      <c r="B31" s="65"/>
      <c r="C31" s="65"/>
      <c r="D31" s="65"/>
      <c r="E31" s="65"/>
      <c r="F31" s="65"/>
      <c r="G31" s="65"/>
      <c r="H31" s="65"/>
      <c r="I31" s="65"/>
      <c r="J31" s="65"/>
      <c r="K31" s="65"/>
      <c r="M31" s="7"/>
      <c r="N31" s="8" t="s">
        <v>40</v>
      </c>
    </row>
    <row r="32" spans="1:14" ht="14.4" x14ac:dyDescent="0.3">
      <c r="A32" s="4"/>
      <c r="B32" s="5">
        <v>11000</v>
      </c>
      <c r="C32" s="6">
        <v>1</v>
      </c>
      <c r="D32" s="5">
        <f>B32*C32</f>
        <v>11000</v>
      </c>
      <c r="E32" s="6"/>
      <c r="F32" s="5">
        <f>B32*E32</f>
        <v>0</v>
      </c>
      <c r="G32" s="6">
        <v>0.5</v>
      </c>
      <c r="H32" s="5">
        <f>B32*G32</f>
        <v>5500</v>
      </c>
      <c r="I32" s="5">
        <f>(B32+F32+D32+H32)*30%</f>
        <v>8250</v>
      </c>
      <c r="J32" s="5">
        <f>(B32+F32+D32+H32)*30%</f>
        <v>8250</v>
      </c>
      <c r="K32" s="5">
        <f>B32+F32+I32+J32+H32+D32</f>
        <v>44000</v>
      </c>
      <c r="M32" s="7"/>
      <c r="N32" s="8" t="s">
        <v>41</v>
      </c>
    </row>
    <row r="33" spans="1:14" ht="14.4" x14ac:dyDescent="0.3">
      <c r="A33" s="15"/>
      <c r="B33" s="16"/>
      <c r="C33" s="17"/>
      <c r="D33" s="16"/>
      <c r="E33" s="17"/>
      <c r="F33" s="16"/>
      <c r="G33" s="17"/>
      <c r="H33" s="16"/>
      <c r="I33" s="16"/>
      <c r="J33" s="16"/>
      <c r="K33" s="18"/>
      <c r="M33" s="7"/>
      <c r="N33" s="8" t="s">
        <v>54</v>
      </c>
    </row>
    <row r="34" spans="1:14" ht="14.4" customHeight="1" x14ac:dyDescent="0.3">
      <c r="A34" s="66" t="s">
        <v>42</v>
      </c>
      <c r="B34" s="67"/>
      <c r="C34" s="67"/>
      <c r="D34" s="67"/>
      <c r="E34" s="67"/>
      <c r="F34" s="67"/>
      <c r="G34" s="67"/>
      <c r="H34" s="67"/>
      <c r="I34" s="67"/>
      <c r="J34" s="67"/>
      <c r="K34" s="68"/>
      <c r="M34" s="69" t="s">
        <v>43</v>
      </c>
      <c r="N34" s="69"/>
    </row>
    <row r="35" spans="1:14" ht="14.4" x14ac:dyDescent="0.3">
      <c r="A35" s="4"/>
      <c r="B35" s="5">
        <v>10300</v>
      </c>
      <c r="C35" s="6">
        <v>1</v>
      </c>
      <c r="D35" s="5">
        <f>B35*C35</f>
        <v>10300</v>
      </c>
      <c r="E35" s="6">
        <v>0.1</v>
      </c>
      <c r="F35" s="5">
        <f>B35*E35</f>
        <v>1030</v>
      </c>
      <c r="G35" s="6">
        <v>0.1</v>
      </c>
      <c r="H35" s="5">
        <f>B35*G35</f>
        <v>1030</v>
      </c>
      <c r="I35" s="5">
        <f>(B35+F35+D35+H35)*30%</f>
        <v>6798</v>
      </c>
      <c r="J35" s="5">
        <f>(B35+F35+D35+H35)*30%</f>
        <v>6798</v>
      </c>
      <c r="K35" s="5">
        <f>B35+F35+I35+J35+H35+D35</f>
        <v>36256</v>
      </c>
      <c r="M35" s="7"/>
      <c r="N35" s="8" t="s">
        <v>44</v>
      </c>
    </row>
    <row r="36" spans="1:14" ht="27.6" customHeight="1" x14ac:dyDescent="0.25">
      <c r="A36" s="65" t="s">
        <v>45</v>
      </c>
      <c r="B36" s="65"/>
      <c r="C36" s="65"/>
      <c r="D36" s="65"/>
      <c r="E36" s="65"/>
      <c r="F36" s="65"/>
      <c r="G36" s="65"/>
      <c r="H36" s="65"/>
      <c r="I36" s="65"/>
      <c r="J36" s="65"/>
      <c r="K36" s="65"/>
      <c r="M36" s="7"/>
      <c r="N36" s="9" t="s">
        <v>46</v>
      </c>
    </row>
    <row r="37" spans="1:14" ht="42" customHeight="1" x14ac:dyDescent="0.3">
      <c r="A37" s="4"/>
      <c r="B37" s="5">
        <v>14300</v>
      </c>
      <c r="C37" s="6">
        <v>1</v>
      </c>
      <c r="D37" s="5">
        <f>B37*C37</f>
        <v>14300</v>
      </c>
      <c r="E37" s="6"/>
      <c r="F37" s="5">
        <f>B37*E37</f>
        <v>0</v>
      </c>
      <c r="G37" s="6">
        <v>0.5</v>
      </c>
      <c r="H37" s="5">
        <f>B37*G37</f>
        <v>7150</v>
      </c>
      <c r="I37" s="5">
        <f>(B37+F37+D37+H37)*30%</f>
        <v>10725</v>
      </c>
      <c r="J37" s="5">
        <f>(B37+F37+D37+H37)*30%</f>
        <v>10725</v>
      </c>
      <c r="K37" s="5">
        <f>B37+F37+I37+J37+H37+D37</f>
        <v>57200</v>
      </c>
      <c r="M37" s="7"/>
      <c r="N37" s="9" t="s">
        <v>47</v>
      </c>
    </row>
    <row r="38" spans="1:14" x14ac:dyDescent="0.25">
      <c r="A38" s="66" t="s">
        <v>55</v>
      </c>
      <c r="B38" s="67"/>
      <c r="C38" s="67"/>
      <c r="D38" s="67"/>
      <c r="E38" s="67"/>
      <c r="F38" s="67"/>
      <c r="G38" s="67"/>
      <c r="H38" s="67"/>
      <c r="I38" s="67"/>
      <c r="J38" s="67"/>
      <c r="K38" s="68"/>
      <c r="M38" s="12"/>
      <c r="N38" s="14" t="s">
        <v>52</v>
      </c>
    </row>
    <row r="39" spans="1:14" ht="14.4" x14ac:dyDescent="0.3">
      <c r="A39" s="4"/>
      <c r="B39" s="5">
        <v>10100</v>
      </c>
      <c r="C39" s="6">
        <v>1</v>
      </c>
      <c r="D39" s="5">
        <f>B39*C39</f>
        <v>10100</v>
      </c>
      <c r="E39" s="6"/>
      <c r="F39" s="5">
        <f>B39*E39</f>
        <v>0</v>
      </c>
      <c r="G39" s="6">
        <v>0.1</v>
      </c>
      <c r="H39" s="5">
        <f>B39*G39</f>
        <v>1010</v>
      </c>
      <c r="I39" s="5">
        <f>(B39+F39+D39+H39)*30%</f>
        <v>6363</v>
      </c>
      <c r="J39" s="5">
        <f>(B39+F39+D39+H39)*30%</f>
        <v>6363</v>
      </c>
      <c r="K39" s="5">
        <f>B39+F39+I39+J39+H39+D39</f>
        <v>33936</v>
      </c>
    </row>
    <row r="40" spans="1:14" x14ac:dyDescent="0.25">
      <c r="A40" s="65" t="s">
        <v>48</v>
      </c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4" ht="14.4" x14ac:dyDescent="0.3">
      <c r="A41" s="4"/>
      <c r="B41" s="5">
        <v>9900</v>
      </c>
      <c r="C41" s="6">
        <v>1</v>
      </c>
      <c r="D41" s="5">
        <f>B41*C41</f>
        <v>9900</v>
      </c>
      <c r="E41" s="6"/>
      <c r="F41" s="5">
        <f>B41*E41</f>
        <v>0</v>
      </c>
      <c r="G41" s="6">
        <v>0.1</v>
      </c>
      <c r="H41" s="5">
        <f>B41*G41</f>
        <v>990</v>
      </c>
      <c r="I41" s="5">
        <f>(B41+F41+D41+H41)*30%</f>
        <v>6237</v>
      </c>
      <c r="J41" s="5">
        <f>(B41+F41+D41+H41)*30%</f>
        <v>6237</v>
      </c>
      <c r="K41" s="5">
        <f>B41+F41+I41+J41+H41+D41</f>
        <v>33264</v>
      </c>
    </row>
    <row r="42" spans="1:14" hidden="1" x14ac:dyDescent="0.25">
      <c r="A42" s="66" t="s">
        <v>49</v>
      </c>
      <c r="B42" s="67"/>
      <c r="C42" s="67"/>
      <c r="D42" s="67"/>
      <c r="E42" s="67"/>
      <c r="F42" s="67"/>
      <c r="G42" s="67"/>
      <c r="H42" s="67"/>
      <c r="I42" s="67"/>
      <c r="J42" s="67"/>
      <c r="K42" s="68"/>
    </row>
    <row r="43" spans="1:14" ht="14.4" hidden="1" x14ac:dyDescent="0.3">
      <c r="A43" s="4"/>
      <c r="B43" s="5"/>
      <c r="C43" s="6">
        <v>1</v>
      </c>
      <c r="D43" s="5">
        <f>B43*C43</f>
        <v>0</v>
      </c>
      <c r="E43" s="6"/>
      <c r="F43" s="5">
        <f>B43*E43</f>
        <v>0</v>
      </c>
      <c r="G43" s="6"/>
      <c r="H43" s="5">
        <f>B43*G43</f>
        <v>0</v>
      </c>
      <c r="I43" s="5">
        <f>(B43+F43+D43+H43)*30%</f>
        <v>0</v>
      </c>
      <c r="J43" s="5">
        <f>(B43+F43+D43+H43)*30%</f>
        <v>0</v>
      </c>
      <c r="K43" s="5">
        <f>B43+F43+I43+J43+H43+D43</f>
        <v>0</v>
      </c>
    </row>
    <row r="44" spans="1:14" x14ac:dyDescent="0.25">
      <c r="A44" s="65" t="s">
        <v>50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4" ht="14.4" x14ac:dyDescent="0.3">
      <c r="A45" s="4"/>
      <c r="B45" s="5">
        <v>14300</v>
      </c>
      <c r="C45" s="6">
        <v>1</v>
      </c>
      <c r="D45" s="5">
        <f>B45*C45</f>
        <v>14300</v>
      </c>
      <c r="E45" s="6"/>
      <c r="F45" s="5">
        <f>B45*E45</f>
        <v>0</v>
      </c>
      <c r="G45" s="6">
        <v>0.2</v>
      </c>
      <c r="H45" s="5">
        <f>B45*G45</f>
        <v>2860</v>
      </c>
      <c r="I45" s="5">
        <f>(B45+F45+D45+H45)*30%</f>
        <v>9438</v>
      </c>
      <c r="J45" s="5">
        <f>(B45+F45+D45+H45)*30%</f>
        <v>9438</v>
      </c>
      <c r="K45" s="5">
        <f>B45+F45+I45+J45+H45+D45</f>
        <v>50336</v>
      </c>
    </row>
    <row r="46" spans="1:14" x14ac:dyDescent="0.25">
      <c r="A46" s="66"/>
      <c r="B46" s="67"/>
      <c r="C46" s="67"/>
      <c r="D46" s="67"/>
      <c r="E46" s="67"/>
      <c r="F46" s="67"/>
      <c r="G46" s="67"/>
      <c r="H46" s="67"/>
      <c r="I46" s="67"/>
      <c r="J46" s="67"/>
      <c r="K46" s="68"/>
    </row>
    <row r="47" spans="1:14" ht="14.4" x14ac:dyDescent="0.3">
      <c r="A47" s="4"/>
      <c r="B47" s="5"/>
      <c r="C47" s="4"/>
      <c r="D47" s="5">
        <f>B47*C47</f>
        <v>0</v>
      </c>
      <c r="E47" s="6"/>
      <c r="F47" s="5">
        <f>B47*E47</f>
        <v>0</v>
      </c>
      <c r="G47" s="6"/>
      <c r="H47" s="5">
        <f>D47*G47</f>
        <v>0</v>
      </c>
      <c r="I47" s="5">
        <f>(B47+F47)*30%</f>
        <v>0</v>
      </c>
      <c r="J47" s="5">
        <f>(B47+F47)*30%</f>
        <v>0</v>
      </c>
      <c r="K47" s="5">
        <f>B47+F47+I47+J47</f>
        <v>0</v>
      </c>
    </row>
    <row r="264" spans="7:7" x14ac:dyDescent="0.25">
      <c r="G264" s="11">
        <f>'расчёт зарплаты'!K12</f>
        <v>36360</v>
      </c>
    </row>
  </sheetData>
  <mergeCells count="29">
    <mergeCell ref="M5:N5"/>
    <mergeCell ref="A17:K17"/>
    <mergeCell ref="A1:K1"/>
    <mergeCell ref="C3:D3"/>
    <mergeCell ref="E3:F3"/>
    <mergeCell ref="G3:H3"/>
    <mergeCell ref="A5:K5"/>
    <mergeCell ref="A7:K7"/>
    <mergeCell ref="A9:K9"/>
    <mergeCell ref="A11:K11"/>
    <mergeCell ref="A13:K13"/>
    <mergeCell ref="A15:K15"/>
    <mergeCell ref="M34:N34"/>
    <mergeCell ref="A36:K36"/>
    <mergeCell ref="A38:K38"/>
    <mergeCell ref="A19:K19"/>
    <mergeCell ref="A21:K21"/>
    <mergeCell ref="A23:K23"/>
    <mergeCell ref="A25:K25"/>
    <mergeCell ref="M26:N26"/>
    <mergeCell ref="A27:K27"/>
    <mergeCell ref="M27:N27"/>
    <mergeCell ref="A40:K40"/>
    <mergeCell ref="A42:K42"/>
    <mergeCell ref="A44:K44"/>
    <mergeCell ref="A46:K46"/>
    <mergeCell ref="A29:K29"/>
    <mergeCell ref="A31:K31"/>
    <mergeCell ref="A34:K34"/>
  </mergeCells>
  <pageMargins left="0.31496062992125984" right="0.11811023622047245" top="0.15748031496062992" bottom="0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M672"/>
  <sheetViews>
    <sheetView workbookViewId="0">
      <pane xSplit="2" ySplit="4" topLeftCell="C625" activePane="bottomRight" state="frozen"/>
      <selection pane="topRight" activeCell="C1" sqref="C1"/>
      <selection pane="bottomLeft" activeCell="A5" sqref="A5"/>
      <selection pane="bottomRight" activeCell="I636" sqref="I636"/>
    </sheetView>
  </sheetViews>
  <sheetFormatPr defaultRowHeight="14.4" x14ac:dyDescent="0.3"/>
  <cols>
    <col min="1" max="1" width="3.44140625" customWidth="1"/>
    <col min="2" max="2" width="26.6640625" customWidth="1"/>
    <col min="3" max="3" width="11.33203125" customWidth="1"/>
    <col min="4" max="5" width="10.77734375" customWidth="1"/>
    <col min="6" max="6" width="10.109375" customWidth="1"/>
    <col min="7" max="7" width="13" customWidth="1"/>
    <col min="8" max="8" width="16.5546875" customWidth="1"/>
    <col min="9" max="9" width="7.33203125" customWidth="1"/>
    <col min="10" max="10" width="16.109375" customWidth="1"/>
    <col min="11" max="11" width="17.44140625" customWidth="1"/>
    <col min="12" max="12" width="17.21875" customWidth="1"/>
  </cols>
  <sheetData>
    <row r="3" spans="1:12" ht="100.8" x14ac:dyDescent="0.3">
      <c r="A3" s="19"/>
      <c r="B3" s="20" t="s">
        <v>57</v>
      </c>
      <c r="C3" s="21" t="s">
        <v>58</v>
      </c>
      <c r="D3" s="21" t="s">
        <v>59</v>
      </c>
      <c r="E3" s="21" t="s">
        <v>60</v>
      </c>
      <c r="F3" s="21" t="s">
        <v>61</v>
      </c>
      <c r="G3" s="21" t="s">
        <v>72</v>
      </c>
      <c r="H3" s="21" t="s">
        <v>62</v>
      </c>
      <c r="I3" s="21" t="s">
        <v>63</v>
      </c>
      <c r="J3" s="21" t="s">
        <v>64</v>
      </c>
      <c r="K3" s="21" t="s">
        <v>65</v>
      </c>
      <c r="L3" s="21" t="s">
        <v>66</v>
      </c>
    </row>
    <row r="4" spans="1:12" x14ac:dyDescent="0.3">
      <c r="A4" s="28"/>
      <c r="B4" s="76" t="s">
        <v>67</v>
      </c>
      <c r="C4" s="77"/>
      <c r="D4" s="77"/>
      <c r="E4" s="77"/>
      <c r="F4" s="77"/>
      <c r="G4" s="77"/>
      <c r="H4" s="77"/>
      <c r="I4" s="77"/>
      <c r="J4" s="77"/>
      <c r="K4" s="77"/>
      <c r="L4" s="78"/>
    </row>
    <row r="5" spans="1:12" x14ac:dyDescent="0.3">
      <c r="A5" s="71" t="s">
        <v>68</v>
      </c>
      <c r="B5" s="72"/>
      <c r="C5" s="30">
        <f>C6+C22+C18</f>
        <v>224</v>
      </c>
      <c r="D5" s="30">
        <f>D6+D22+D18</f>
        <v>194</v>
      </c>
      <c r="E5" s="39">
        <f>E6+E22+E18</f>
        <v>173</v>
      </c>
      <c r="F5" s="30">
        <f>F6+F22+F18</f>
        <v>194</v>
      </c>
      <c r="G5" s="27"/>
      <c r="H5" s="27"/>
      <c r="I5" s="27"/>
      <c r="J5" s="27"/>
      <c r="K5" s="27"/>
      <c r="L5" s="27"/>
    </row>
    <row r="6" spans="1:12" x14ac:dyDescent="0.3">
      <c r="A6" s="71" t="s">
        <v>69</v>
      </c>
      <c r="B6" s="72"/>
      <c r="C6" s="30">
        <f>SUM(C7:C17)</f>
        <v>149.25</v>
      </c>
      <c r="D6" s="30">
        <f>SUM(D7:D17)</f>
        <v>139</v>
      </c>
      <c r="E6" s="30">
        <f>SUM(E7:E17)</f>
        <v>120</v>
      </c>
      <c r="F6" s="30">
        <f>SUM(F7:F17)</f>
        <v>139</v>
      </c>
      <c r="G6" s="30"/>
      <c r="H6" s="31">
        <f>SUM(H7:H17)</f>
        <v>53578270.079999998</v>
      </c>
      <c r="I6" s="32"/>
      <c r="J6" s="32">
        <f>H6-I6</f>
        <v>53578270.079999998</v>
      </c>
      <c r="K6" s="32">
        <f>J6*30.2%</f>
        <v>16180637.564159999</v>
      </c>
      <c r="L6" s="32">
        <f>J6+K6</f>
        <v>69758907.644160002</v>
      </c>
    </row>
    <row r="7" spans="1:12" ht="21" customHeight="1" x14ac:dyDescent="0.3">
      <c r="A7" s="7"/>
      <c r="B7" s="9" t="s">
        <v>11</v>
      </c>
      <c r="C7" s="26">
        <v>77.75</v>
      </c>
      <c r="D7" s="26">
        <v>76</v>
      </c>
      <c r="E7" s="26">
        <v>67</v>
      </c>
      <c r="F7" s="26">
        <v>76</v>
      </c>
      <c r="G7" s="27">
        <f>'расчёт зарплаты'!K10</f>
        <v>33128</v>
      </c>
      <c r="H7" s="27">
        <f>E7*G7*12+ ((D7-E7)*G7/2*12)</f>
        <v>28423824</v>
      </c>
      <c r="I7" s="27"/>
      <c r="J7" s="27">
        <f>H7</f>
        <v>28423824</v>
      </c>
      <c r="K7" s="27">
        <f>J7*30.2%</f>
        <v>8583994.8479999993</v>
      </c>
      <c r="L7" s="27">
        <f>J7+K7</f>
        <v>37007818.847999997</v>
      </c>
    </row>
    <row r="8" spans="1:12" ht="21" customHeight="1" x14ac:dyDescent="0.3">
      <c r="A8" s="7"/>
      <c r="B8" s="9" t="s">
        <v>13</v>
      </c>
      <c r="C8" s="26"/>
      <c r="D8" s="26"/>
      <c r="E8" s="26"/>
      <c r="F8" s="26"/>
      <c r="G8" s="27">
        <f>'расчёт зарплаты'!K20</f>
        <v>36808</v>
      </c>
      <c r="H8" s="27">
        <f t="shared" ref="H8:H22" si="0">E8*G8*12+ ((D8-E8)*G8/2*12)</f>
        <v>0</v>
      </c>
      <c r="I8" s="27"/>
      <c r="J8" s="27">
        <f t="shared" ref="J8:J21" si="1">H8</f>
        <v>0</v>
      </c>
      <c r="K8" s="27">
        <f t="shared" ref="K8:K21" si="2">J8*30.2%</f>
        <v>0</v>
      </c>
      <c r="L8" s="27">
        <f t="shared" ref="L8:L21" si="3">J8+K8</f>
        <v>0</v>
      </c>
    </row>
    <row r="9" spans="1:12" ht="21" customHeight="1" x14ac:dyDescent="0.3">
      <c r="A9" s="7"/>
      <c r="B9" s="9" t="s">
        <v>17</v>
      </c>
      <c r="C9" s="26">
        <v>15.5</v>
      </c>
      <c r="D9" s="26">
        <v>12</v>
      </c>
      <c r="E9" s="26">
        <v>11</v>
      </c>
      <c r="F9" s="26">
        <v>12</v>
      </c>
      <c r="G9" s="27">
        <f>'расчёт зарплаты'!K39</f>
        <v>33936</v>
      </c>
      <c r="H9" s="27">
        <f t="shared" si="0"/>
        <v>4683168</v>
      </c>
      <c r="I9" s="27"/>
      <c r="J9" s="27">
        <f t="shared" si="1"/>
        <v>4683168</v>
      </c>
      <c r="K9" s="27">
        <f t="shared" si="2"/>
        <v>1414316.736</v>
      </c>
      <c r="L9" s="27">
        <f t="shared" si="3"/>
        <v>6097484.7359999996</v>
      </c>
    </row>
    <row r="10" spans="1:12" ht="34.799999999999997" customHeight="1" x14ac:dyDescent="0.3">
      <c r="A10" s="7"/>
      <c r="B10" s="9" t="s">
        <v>20</v>
      </c>
      <c r="C10" s="26"/>
      <c r="D10" s="26"/>
      <c r="E10" s="26"/>
      <c r="F10" s="26"/>
      <c r="G10" s="27"/>
      <c r="H10" s="27">
        <f t="shared" si="0"/>
        <v>0</v>
      </c>
      <c r="I10" s="27"/>
      <c r="J10" s="27">
        <f t="shared" si="1"/>
        <v>0</v>
      </c>
      <c r="K10" s="27">
        <f t="shared" si="2"/>
        <v>0</v>
      </c>
      <c r="L10" s="27">
        <f t="shared" si="3"/>
        <v>0</v>
      </c>
    </row>
    <row r="11" spans="1:12" ht="21" customHeight="1" x14ac:dyDescent="0.3">
      <c r="A11" s="7"/>
      <c r="B11" s="9" t="s">
        <v>21</v>
      </c>
      <c r="C11" s="26">
        <v>19</v>
      </c>
      <c r="D11" s="26">
        <v>14</v>
      </c>
      <c r="E11" s="26">
        <v>12</v>
      </c>
      <c r="F11" s="26">
        <v>14</v>
      </c>
      <c r="G11" s="27">
        <f>'расчёт зарплаты'!K35</f>
        <v>36256</v>
      </c>
      <c r="H11" s="27">
        <f t="shared" si="0"/>
        <v>5655936</v>
      </c>
      <c r="I11" s="27"/>
      <c r="J11" s="27">
        <f t="shared" si="1"/>
        <v>5655936</v>
      </c>
      <c r="K11" s="27">
        <f t="shared" si="2"/>
        <v>1708092.672</v>
      </c>
      <c r="L11" s="27">
        <f t="shared" si="3"/>
        <v>7364028.6720000003</v>
      </c>
    </row>
    <row r="12" spans="1:12" ht="21" customHeight="1" x14ac:dyDescent="0.3">
      <c r="A12" s="7"/>
      <c r="B12" s="9" t="s">
        <v>24</v>
      </c>
      <c r="C12" s="26">
        <v>27</v>
      </c>
      <c r="D12" s="26">
        <v>27</v>
      </c>
      <c r="E12" s="26">
        <v>22</v>
      </c>
      <c r="F12" s="26">
        <v>27</v>
      </c>
      <c r="G12" s="27">
        <f>'расчёт зарплаты'!K8</f>
        <v>33865.919999999998</v>
      </c>
      <c r="H12" s="27">
        <f>C12*G12*12</f>
        <v>10972558.08</v>
      </c>
      <c r="I12" s="27"/>
      <c r="J12" s="27">
        <f t="shared" si="1"/>
        <v>10972558.08</v>
      </c>
      <c r="K12" s="27">
        <f t="shared" si="2"/>
        <v>3313712.5401599999</v>
      </c>
      <c r="L12" s="27">
        <f t="shared" si="3"/>
        <v>14286270.62016</v>
      </c>
    </row>
    <row r="13" spans="1:12" ht="45" customHeight="1" x14ac:dyDescent="0.3">
      <c r="A13" s="7"/>
      <c r="B13" s="9" t="s">
        <v>25</v>
      </c>
      <c r="C13" s="26">
        <v>4</v>
      </c>
      <c r="D13" s="26">
        <v>4</v>
      </c>
      <c r="E13" s="26">
        <v>2</v>
      </c>
      <c r="F13" s="26">
        <v>4</v>
      </c>
      <c r="G13" s="27">
        <f>'расчёт зарплаты'!K10</f>
        <v>33128</v>
      </c>
      <c r="H13" s="27">
        <f t="shared" si="0"/>
        <v>1192608</v>
      </c>
      <c r="I13" s="27"/>
      <c r="J13" s="27">
        <f t="shared" si="1"/>
        <v>1192608</v>
      </c>
      <c r="K13" s="27">
        <f t="shared" si="2"/>
        <v>360167.61599999998</v>
      </c>
      <c r="L13" s="27">
        <f t="shared" si="3"/>
        <v>1552775.6159999999</v>
      </c>
    </row>
    <row r="14" spans="1:12" ht="37.200000000000003" customHeight="1" x14ac:dyDescent="0.3">
      <c r="A14" s="7"/>
      <c r="B14" s="9" t="s">
        <v>26</v>
      </c>
      <c r="C14" s="26">
        <v>6</v>
      </c>
      <c r="D14" s="26">
        <v>6</v>
      </c>
      <c r="E14" s="26">
        <v>6</v>
      </c>
      <c r="F14" s="26">
        <v>6</v>
      </c>
      <c r="G14" s="27">
        <f>'расчёт зарплаты'!K20</f>
        <v>36808</v>
      </c>
      <c r="H14" s="27">
        <f t="shared" si="0"/>
        <v>2650176</v>
      </c>
      <c r="I14" s="27"/>
      <c r="J14" s="27">
        <f t="shared" si="1"/>
        <v>2650176</v>
      </c>
      <c r="K14" s="27">
        <f t="shared" si="2"/>
        <v>800353.152</v>
      </c>
      <c r="L14" s="27">
        <f t="shared" si="3"/>
        <v>3450529.1519999998</v>
      </c>
    </row>
    <row r="15" spans="1:12" ht="44.4" customHeight="1" x14ac:dyDescent="0.3">
      <c r="A15" s="7"/>
      <c r="B15" s="9" t="s">
        <v>70</v>
      </c>
      <c r="C15" s="26"/>
      <c r="D15" s="26"/>
      <c r="E15" s="26"/>
      <c r="F15" s="26"/>
      <c r="G15" s="27">
        <f>'расчёт зарплаты'!K10</f>
        <v>33128</v>
      </c>
      <c r="H15" s="27">
        <f t="shared" si="0"/>
        <v>0</v>
      </c>
      <c r="I15" s="27"/>
      <c r="J15" s="27">
        <f t="shared" si="1"/>
        <v>0</v>
      </c>
      <c r="K15" s="27">
        <f t="shared" si="2"/>
        <v>0</v>
      </c>
      <c r="L15" s="27">
        <f t="shared" si="3"/>
        <v>0</v>
      </c>
    </row>
    <row r="16" spans="1:12" ht="21" customHeight="1" x14ac:dyDescent="0.3">
      <c r="A16" s="7"/>
      <c r="B16" s="9" t="s">
        <v>30</v>
      </c>
      <c r="C16" s="26"/>
      <c r="D16" s="26"/>
      <c r="E16" s="26"/>
      <c r="F16" s="26"/>
      <c r="G16" s="27">
        <f>'расчёт зарплаты'!K35</f>
        <v>36256</v>
      </c>
      <c r="H16" s="27">
        <f t="shared" si="0"/>
        <v>0</v>
      </c>
      <c r="I16" s="27"/>
      <c r="J16" s="27">
        <f t="shared" si="1"/>
        <v>0</v>
      </c>
      <c r="K16" s="27">
        <f t="shared" si="2"/>
        <v>0</v>
      </c>
      <c r="L16" s="27">
        <f t="shared" si="3"/>
        <v>0</v>
      </c>
    </row>
    <row r="17" spans="1:12" ht="39" customHeight="1" x14ac:dyDescent="0.3">
      <c r="A17" s="7"/>
      <c r="B17" s="22" t="s">
        <v>31</v>
      </c>
      <c r="C17" s="26"/>
      <c r="D17" s="26"/>
      <c r="E17" s="26"/>
      <c r="F17" s="26"/>
      <c r="G17" s="27">
        <f>'расчёт зарплаты'!K45</f>
        <v>50336</v>
      </c>
      <c r="H17" s="27">
        <f t="shared" si="0"/>
        <v>0</v>
      </c>
      <c r="I17" s="27"/>
      <c r="J17" s="27">
        <f t="shared" si="1"/>
        <v>0</v>
      </c>
      <c r="K17" s="27">
        <f t="shared" si="2"/>
        <v>0</v>
      </c>
      <c r="L17" s="27">
        <f t="shared" si="3"/>
        <v>0</v>
      </c>
    </row>
    <row r="18" spans="1:12" ht="21" customHeight="1" x14ac:dyDescent="0.3">
      <c r="A18" s="23" t="s">
        <v>63</v>
      </c>
      <c r="B18" s="24"/>
      <c r="C18" s="33">
        <f>C19+C20+C21</f>
        <v>28</v>
      </c>
      <c r="D18" s="33">
        <f t="shared" ref="D18:I18" si="4">D19+D20+D21</f>
        <v>16</v>
      </c>
      <c r="E18" s="33">
        <f t="shared" si="4"/>
        <v>19</v>
      </c>
      <c r="F18" s="33">
        <f t="shared" si="4"/>
        <v>16</v>
      </c>
      <c r="G18" s="33"/>
      <c r="H18" s="34">
        <f t="shared" si="4"/>
        <v>6839199.3599999994</v>
      </c>
      <c r="I18" s="34">
        <f t="shared" si="4"/>
        <v>0</v>
      </c>
      <c r="J18" s="27">
        <f t="shared" si="1"/>
        <v>6839199.3599999994</v>
      </c>
      <c r="K18" s="27">
        <f t="shared" si="2"/>
        <v>2065438.2067199997</v>
      </c>
      <c r="L18" s="27">
        <f t="shared" si="3"/>
        <v>8904637.5667199995</v>
      </c>
    </row>
    <row r="19" spans="1:12" ht="21" customHeight="1" x14ac:dyDescent="0.3">
      <c r="A19" s="7"/>
      <c r="B19" s="9" t="s">
        <v>14</v>
      </c>
      <c r="C19" s="26">
        <v>8.25</v>
      </c>
      <c r="D19" s="26">
        <v>6</v>
      </c>
      <c r="E19" s="26">
        <v>6</v>
      </c>
      <c r="F19" s="26">
        <v>6</v>
      </c>
      <c r="G19" s="27">
        <f>'расчёт зарплаты'!K26</f>
        <v>32326.559999999998</v>
      </c>
      <c r="H19" s="27">
        <f t="shared" si="0"/>
        <v>2327512.3199999998</v>
      </c>
      <c r="I19" s="27"/>
      <c r="J19" s="27">
        <f t="shared" si="1"/>
        <v>2327512.3199999998</v>
      </c>
      <c r="K19" s="27">
        <f t="shared" si="2"/>
        <v>702908.72063999996</v>
      </c>
      <c r="L19" s="27">
        <f t="shared" si="3"/>
        <v>3030421.0406399998</v>
      </c>
    </row>
    <row r="20" spans="1:12" ht="21" customHeight="1" x14ac:dyDescent="0.3">
      <c r="A20" s="7"/>
      <c r="B20" s="9" t="s">
        <v>16</v>
      </c>
      <c r="C20" s="26">
        <v>8.5</v>
      </c>
      <c r="D20" s="26">
        <v>6</v>
      </c>
      <c r="E20" s="26">
        <v>8</v>
      </c>
      <c r="F20" s="26">
        <v>6</v>
      </c>
      <c r="G20" s="27">
        <f>'расчёт зарплаты'!K26</f>
        <v>32326.559999999998</v>
      </c>
      <c r="H20" s="27">
        <f t="shared" si="0"/>
        <v>2715431.04</v>
      </c>
      <c r="I20" s="27"/>
      <c r="J20" s="27">
        <f t="shared" si="1"/>
        <v>2715431.04</v>
      </c>
      <c r="K20" s="27">
        <f t="shared" si="2"/>
        <v>820060.17408000003</v>
      </c>
      <c r="L20" s="27">
        <f t="shared" si="3"/>
        <v>3535491.2140800003</v>
      </c>
    </row>
    <row r="21" spans="1:12" ht="34.200000000000003" customHeight="1" x14ac:dyDescent="0.3">
      <c r="A21" s="7"/>
      <c r="B21" s="9" t="s">
        <v>71</v>
      </c>
      <c r="C21" s="26">
        <v>11.25</v>
      </c>
      <c r="D21" s="26">
        <v>4</v>
      </c>
      <c r="E21" s="26">
        <v>5</v>
      </c>
      <c r="F21" s="26">
        <v>4</v>
      </c>
      <c r="G21" s="27">
        <f>'расчёт зарплаты'!K41</f>
        <v>33264</v>
      </c>
      <c r="H21" s="27">
        <f t="shared" si="0"/>
        <v>1796256</v>
      </c>
      <c r="I21" s="27"/>
      <c r="J21" s="27">
        <f t="shared" si="1"/>
        <v>1796256</v>
      </c>
      <c r="K21" s="27">
        <f t="shared" si="2"/>
        <v>542469.31200000003</v>
      </c>
      <c r="L21" s="27">
        <f t="shared" si="3"/>
        <v>2338725.3119999999</v>
      </c>
    </row>
    <row r="22" spans="1:12" ht="21" customHeight="1" x14ac:dyDescent="0.3">
      <c r="A22" s="69" t="s">
        <v>73</v>
      </c>
      <c r="B22" s="69"/>
      <c r="C22" s="30">
        <f>C23+C29</f>
        <v>46.75</v>
      </c>
      <c r="D22" s="30">
        <f>D23+D29</f>
        <v>39</v>
      </c>
      <c r="E22" s="30">
        <f>E23+E29</f>
        <v>34</v>
      </c>
      <c r="F22" s="30">
        <f>F23+F29</f>
        <v>39</v>
      </c>
      <c r="G22" s="27"/>
      <c r="H22" s="27">
        <f t="shared" si="0"/>
        <v>0</v>
      </c>
      <c r="I22" s="27"/>
      <c r="J22" s="32">
        <f>J23+J29</f>
        <v>17111937.600000001</v>
      </c>
      <c r="K22" s="32">
        <f>K23+K29</f>
        <v>5167805.1551999999</v>
      </c>
      <c r="L22" s="32">
        <f>L23+L29</f>
        <v>22279742.755199999</v>
      </c>
    </row>
    <row r="23" spans="1:12" ht="43.2" customHeight="1" x14ac:dyDescent="0.3">
      <c r="A23" s="69" t="s">
        <v>35</v>
      </c>
      <c r="B23" s="69"/>
      <c r="C23" s="30">
        <f>C24+C25+C26+C27+C28</f>
        <v>34.5</v>
      </c>
      <c r="D23" s="30">
        <f>D24+D25+D26+D27+D28</f>
        <v>29</v>
      </c>
      <c r="E23" s="30">
        <f>E24+E25+E26+E27+E28</f>
        <v>26</v>
      </c>
      <c r="F23" s="30">
        <f>F24+F25+F26+F27+F28</f>
        <v>29</v>
      </c>
      <c r="G23" s="32"/>
      <c r="H23" s="32">
        <f>H24+H25+H27+H28+H26</f>
        <v>13217505.6</v>
      </c>
      <c r="I23" s="32"/>
      <c r="J23" s="32">
        <f t="shared" ref="J23:J33" si="5">H23</f>
        <v>13217505.6</v>
      </c>
      <c r="K23" s="32">
        <f t="shared" ref="K23:K33" si="6">J23*30.2%</f>
        <v>3991686.6911999998</v>
      </c>
      <c r="L23" s="32">
        <f t="shared" ref="L23:L33" si="7">J23+K23</f>
        <v>17209192.291200001</v>
      </c>
    </row>
    <row r="24" spans="1:12" ht="21" customHeight="1" x14ac:dyDescent="0.3">
      <c r="A24" s="7"/>
      <c r="B24" s="9" t="s">
        <v>36</v>
      </c>
      <c r="C24" s="26">
        <v>3</v>
      </c>
      <c r="D24" s="26">
        <v>2</v>
      </c>
      <c r="E24" s="26">
        <v>2</v>
      </c>
      <c r="F24" s="26">
        <v>2</v>
      </c>
      <c r="G24" s="27">
        <f>'расчёт зарплаты'!K14</f>
        <v>39072</v>
      </c>
      <c r="H24" s="27">
        <f>E24*G24*12+ ((D24-E24)*G24/2*12)</f>
        <v>937728</v>
      </c>
      <c r="I24" s="27"/>
      <c r="J24" s="27">
        <f t="shared" si="5"/>
        <v>937728</v>
      </c>
      <c r="K24" s="27">
        <f t="shared" si="6"/>
        <v>283193.85599999997</v>
      </c>
      <c r="L24" s="27">
        <f t="shared" si="7"/>
        <v>1220921.8559999999</v>
      </c>
    </row>
    <row r="25" spans="1:12" ht="21" customHeight="1" x14ac:dyDescent="0.3">
      <c r="A25" s="7"/>
      <c r="B25" s="9" t="s">
        <v>23</v>
      </c>
      <c r="C25" s="26"/>
      <c r="D25" s="26"/>
      <c r="E25" s="26"/>
      <c r="F25" s="26"/>
      <c r="G25" s="27">
        <f>'расчёт зарплаты'!K18</f>
        <v>44704</v>
      </c>
      <c r="H25" s="27">
        <f>E25*G25*12+ ((D25-E25)*G25/2*12)</f>
        <v>0</v>
      </c>
      <c r="I25" s="27"/>
      <c r="J25" s="27">
        <f t="shared" si="5"/>
        <v>0</v>
      </c>
      <c r="K25" s="27">
        <f t="shared" si="6"/>
        <v>0</v>
      </c>
      <c r="L25" s="27">
        <f t="shared" si="7"/>
        <v>0</v>
      </c>
    </row>
    <row r="26" spans="1:12" ht="21" customHeight="1" x14ac:dyDescent="0.3">
      <c r="A26" s="7"/>
      <c r="B26" s="25" t="s">
        <v>54</v>
      </c>
      <c r="C26" s="26">
        <v>8</v>
      </c>
      <c r="D26" s="26">
        <v>8</v>
      </c>
      <c r="E26" s="26">
        <v>8</v>
      </c>
      <c r="F26" s="26">
        <v>8</v>
      </c>
      <c r="G26" s="27">
        <f>'расчёт зарплаты'!K37</f>
        <v>57200</v>
      </c>
      <c r="H26" s="27">
        <f>E26*G26*12+ ((D26-E26)*G26/2*12)</f>
        <v>5491200</v>
      </c>
      <c r="I26" s="27"/>
      <c r="J26" s="27">
        <f t="shared" si="5"/>
        <v>5491200</v>
      </c>
      <c r="K26" s="27">
        <f t="shared" si="6"/>
        <v>1658342.3999999999</v>
      </c>
      <c r="L26" s="27">
        <f t="shared" si="7"/>
        <v>7149542.4000000004</v>
      </c>
    </row>
    <row r="27" spans="1:12" ht="31.2" customHeight="1" x14ac:dyDescent="0.3">
      <c r="A27" s="7"/>
      <c r="B27" s="9" t="s">
        <v>40</v>
      </c>
      <c r="C27" s="26">
        <v>8.5</v>
      </c>
      <c r="D27" s="26">
        <v>7</v>
      </c>
      <c r="E27" s="26">
        <v>6</v>
      </c>
      <c r="F27" s="26">
        <v>7</v>
      </c>
      <c r="G27" s="27">
        <f>'расчёт зарплаты'!K26</f>
        <v>32326.559999999998</v>
      </c>
      <c r="H27" s="27">
        <f>E27*G27*12+ ((D27-E27)*G27/2*12)</f>
        <v>2521471.6799999997</v>
      </c>
      <c r="I27" s="27"/>
      <c r="J27" s="27">
        <f t="shared" si="5"/>
        <v>2521471.6799999997</v>
      </c>
      <c r="K27" s="27">
        <f t="shared" si="6"/>
        <v>761484.44735999987</v>
      </c>
      <c r="L27" s="27">
        <f t="shared" si="7"/>
        <v>3282956.1273599993</v>
      </c>
    </row>
    <row r="28" spans="1:12" ht="21" customHeight="1" x14ac:dyDescent="0.3">
      <c r="A28" s="7"/>
      <c r="B28" s="9" t="s">
        <v>41</v>
      </c>
      <c r="C28" s="26">
        <v>15</v>
      </c>
      <c r="D28" s="26">
        <v>12</v>
      </c>
      <c r="E28" s="26">
        <v>10</v>
      </c>
      <c r="F28" s="26">
        <v>12</v>
      </c>
      <c r="G28" s="27">
        <f>'расчёт зарплаты'!K26</f>
        <v>32326.559999999998</v>
      </c>
      <c r="H28" s="27">
        <f>E28*G28*12+ ((D28-E28)*G28/2*12)</f>
        <v>4267105.92</v>
      </c>
      <c r="I28" s="27"/>
      <c r="J28" s="27">
        <f t="shared" si="5"/>
        <v>4267105.92</v>
      </c>
      <c r="K28" s="27">
        <f t="shared" si="6"/>
        <v>1288665.9878399998</v>
      </c>
      <c r="L28" s="27">
        <f t="shared" si="7"/>
        <v>5555771.9078399995</v>
      </c>
    </row>
    <row r="29" spans="1:12" ht="42" customHeight="1" x14ac:dyDescent="0.3">
      <c r="A29" s="69" t="s">
        <v>43</v>
      </c>
      <c r="B29" s="69"/>
      <c r="C29" s="30">
        <f>C30+C31+C32+C33</f>
        <v>12.25</v>
      </c>
      <c r="D29" s="30">
        <f>D30+D31+D32+D33</f>
        <v>10</v>
      </c>
      <c r="E29" s="30">
        <f>E30+E31+E32+E33</f>
        <v>8</v>
      </c>
      <c r="F29" s="30">
        <f>F30+F31+F32+F33</f>
        <v>10</v>
      </c>
      <c r="G29" s="32"/>
      <c r="H29" s="32">
        <f>H30+H31+H32+H33</f>
        <v>3894432</v>
      </c>
      <c r="I29" s="32"/>
      <c r="J29" s="32">
        <f t="shared" si="5"/>
        <v>3894432</v>
      </c>
      <c r="K29" s="32">
        <f t="shared" si="6"/>
        <v>1176118.4639999999</v>
      </c>
      <c r="L29" s="32">
        <f t="shared" si="7"/>
        <v>5070550.4639999997</v>
      </c>
    </row>
    <row r="30" spans="1:12" ht="21" customHeight="1" x14ac:dyDescent="0.3">
      <c r="A30" s="7"/>
      <c r="B30" s="9" t="s">
        <v>44</v>
      </c>
      <c r="C30" s="26">
        <v>8</v>
      </c>
      <c r="D30" s="26">
        <v>8</v>
      </c>
      <c r="E30" s="38">
        <v>6</v>
      </c>
      <c r="F30" s="26">
        <v>8</v>
      </c>
      <c r="G30" s="27">
        <f>'расчёт зарплаты'!K35</f>
        <v>36256</v>
      </c>
      <c r="H30" s="27">
        <f>E30*G30*12+ ((D30-E30)*G30/2*12)</f>
        <v>3045504</v>
      </c>
      <c r="I30" s="27"/>
      <c r="J30" s="27">
        <f t="shared" si="5"/>
        <v>3045504</v>
      </c>
      <c r="K30" s="27">
        <f t="shared" si="6"/>
        <v>919742.20799999998</v>
      </c>
      <c r="L30" s="27">
        <f t="shared" si="7"/>
        <v>3965246.2080000001</v>
      </c>
    </row>
    <row r="31" spans="1:12" ht="21" customHeight="1" x14ac:dyDescent="0.3">
      <c r="A31" s="7"/>
      <c r="B31" s="9" t="s">
        <v>46</v>
      </c>
      <c r="C31" s="26"/>
      <c r="D31" s="26"/>
      <c r="E31" s="26"/>
      <c r="F31" s="26"/>
      <c r="G31" s="27">
        <f>'расчёт зарплаты'!K39</f>
        <v>33936</v>
      </c>
      <c r="H31" s="27">
        <f>E31*G31*12+ ((D31-E31)*G31/2*12)</f>
        <v>0</v>
      </c>
      <c r="I31" s="27"/>
      <c r="J31" s="27">
        <f t="shared" si="5"/>
        <v>0</v>
      </c>
      <c r="K31" s="27">
        <f t="shared" si="6"/>
        <v>0</v>
      </c>
      <c r="L31" s="27">
        <f t="shared" si="7"/>
        <v>0</v>
      </c>
    </row>
    <row r="32" spans="1:12" ht="21" customHeight="1" x14ac:dyDescent="0.3">
      <c r="A32" s="7"/>
      <c r="B32" s="9" t="s">
        <v>47</v>
      </c>
      <c r="C32" s="26">
        <v>2.5</v>
      </c>
      <c r="D32" s="26">
        <v>1</v>
      </c>
      <c r="E32" s="26">
        <v>1</v>
      </c>
      <c r="F32" s="26">
        <v>1</v>
      </c>
      <c r="G32" s="27">
        <f>'расчёт зарплаты'!K39</f>
        <v>33936</v>
      </c>
      <c r="H32" s="27">
        <f>E32*G32*12+ ((D32-E32)*G32/2*12)</f>
        <v>407232</v>
      </c>
      <c r="I32" s="27"/>
      <c r="J32" s="27">
        <f t="shared" si="5"/>
        <v>407232</v>
      </c>
      <c r="K32" s="27">
        <f t="shared" si="6"/>
        <v>122984.064</v>
      </c>
      <c r="L32" s="27">
        <f t="shared" si="7"/>
        <v>530216.06400000001</v>
      </c>
    </row>
    <row r="33" spans="1:12" ht="18" customHeight="1" x14ac:dyDescent="0.3">
      <c r="A33" s="19"/>
      <c r="B33" s="29" t="s">
        <v>52</v>
      </c>
      <c r="C33" s="35">
        <v>1.75</v>
      </c>
      <c r="D33" s="35">
        <v>1</v>
      </c>
      <c r="E33" s="35">
        <v>1</v>
      </c>
      <c r="F33" s="35">
        <v>1</v>
      </c>
      <c r="G33" s="27">
        <f>'расчёт зарплаты'!K20</f>
        <v>36808</v>
      </c>
      <c r="H33" s="27">
        <f>E33*G33*12+ ((D33-E33)*G33/2*12)</f>
        <v>441696</v>
      </c>
      <c r="I33" s="35"/>
      <c r="J33" s="27">
        <f t="shared" si="5"/>
        <v>441696</v>
      </c>
      <c r="K33" s="27">
        <f t="shared" si="6"/>
        <v>133392.19200000001</v>
      </c>
      <c r="L33" s="27">
        <f t="shared" si="7"/>
        <v>575088.19200000004</v>
      </c>
    </row>
    <row r="34" spans="1:12" x14ac:dyDescent="0.3">
      <c r="A34" s="28"/>
      <c r="B34" s="76" t="s">
        <v>74</v>
      </c>
      <c r="C34" s="77"/>
      <c r="D34" s="77"/>
      <c r="E34" s="77"/>
      <c r="F34" s="77"/>
      <c r="G34" s="77"/>
      <c r="H34" s="77"/>
      <c r="I34" s="77"/>
      <c r="J34" s="77"/>
      <c r="K34" s="77"/>
      <c r="L34" s="78"/>
    </row>
    <row r="35" spans="1:12" x14ac:dyDescent="0.3">
      <c r="A35" s="71" t="s">
        <v>68</v>
      </c>
      <c r="B35" s="72"/>
      <c r="C35" s="30">
        <f>C36+C52+C48</f>
        <v>79.75</v>
      </c>
      <c r="D35" s="30">
        <f>D36+D52+D48</f>
        <v>79.75</v>
      </c>
      <c r="E35" s="30">
        <f>E36+E52+E48</f>
        <v>70.75</v>
      </c>
      <c r="F35" s="30">
        <f>F36+F52+F48</f>
        <v>70.75</v>
      </c>
      <c r="G35" s="27"/>
      <c r="H35" s="27"/>
      <c r="I35" s="27"/>
      <c r="J35" s="27"/>
      <c r="K35" s="27"/>
      <c r="L35" s="27"/>
    </row>
    <row r="36" spans="1:12" x14ac:dyDescent="0.3">
      <c r="A36" s="71" t="s">
        <v>69</v>
      </c>
      <c r="B36" s="72"/>
      <c r="C36" s="30">
        <f>SUM(C37:C47)</f>
        <v>55</v>
      </c>
      <c r="D36" s="30">
        <f>SUM(D37:D47)</f>
        <v>55</v>
      </c>
      <c r="E36" s="30">
        <f>SUM(E37:E47)</f>
        <v>52</v>
      </c>
      <c r="F36" s="30">
        <f>SUM(F37:F47)</f>
        <v>52</v>
      </c>
      <c r="G36" s="30"/>
      <c r="H36" s="31">
        <f>SUM(H37:H47)</f>
        <v>21727443.359999999</v>
      </c>
      <c r="I36" s="32"/>
      <c r="J36" s="32">
        <f>H36-I36</f>
        <v>21727443.359999999</v>
      </c>
      <c r="K36" s="32">
        <f>J36*30.2%</f>
        <v>6561687.8947199993</v>
      </c>
      <c r="L36" s="32">
        <f>J36+K36</f>
        <v>28289131.254719999</v>
      </c>
    </row>
    <row r="37" spans="1:12" x14ac:dyDescent="0.3">
      <c r="A37" s="7"/>
      <c r="B37" s="9" t="s">
        <v>11</v>
      </c>
      <c r="C37" s="26">
        <v>30</v>
      </c>
      <c r="D37" s="26">
        <v>30</v>
      </c>
      <c r="E37" s="26">
        <v>30</v>
      </c>
      <c r="F37" s="26">
        <v>30</v>
      </c>
      <c r="G37" s="27">
        <f>'расчёт зарплаты'!K10</f>
        <v>33128</v>
      </c>
      <c r="H37" s="27">
        <f>E37*G37*12+ ((D37-E37)*G37/2*12)</f>
        <v>11926080</v>
      </c>
      <c r="I37" s="27"/>
      <c r="J37" s="27">
        <f>H37</f>
        <v>11926080</v>
      </c>
      <c r="K37" s="27">
        <f>J37*30.2%</f>
        <v>3601676.1599999997</v>
      </c>
      <c r="L37" s="27">
        <f>J37+K37</f>
        <v>15527756.16</v>
      </c>
    </row>
    <row r="38" spans="1:12" x14ac:dyDescent="0.3">
      <c r="A38" s="7"/>
      <c r="B38" s="9" t="s">
        <v>13</v>
      </c>
      <c r="C38" s="26"/>
      <c r="D38" s="26"/>
      <c r="E38" s="26"/>
      <c r="F38" s="26"/>
      <c r="G38" s="27">
        <f>'расчёт зарплаты'!K50</f>
        <v>0</v>
      </c>
      <c r="H38" s="27">
        <f t="shared" ref="H38:H47" si="8">E38*G38*12+ ((D38-E38)*G38/2*12)</f>
        <v>0</v>
      </c>
      <c r="I38" s="27"/>
      <c r="J38" s="27">
        <f t="shared" ref="J38:J47" si="9">H38</f>
        <v>0</v>
      </c>
      <c r="K38" s="27">
        <f t="shared" ref="K38:K47" si="10">J38*30.2%</f>
        <v>0</v>
      </c>
      <c r="L38" s="27">
        <f t="shared" ref="L38:L47" si="11">J38+K38</f>
        <v>0</v>
      </c>
    </row>
    <row r="39" spans="1:12" x14ac:dyDescent="0.3">
      <c r="A39" s="7"/>
      <c r="B39" s="9" t="s">
        <v>17</v>
      </c>
      <c r="C39" s="26">
        <v>5.75</v>
      </c>
      <c r="D39" s="26">
        <v>5.75</v>
      </c>
      <c r="E39" s="26">
        <v>4</v>
      </c>
      <c r="F39" s="26">
        <v>4</v>
      </c>
      <c r="G39" s="27">
        <f>'расчёт зарплаты'!K39</f>
        <v>33936</v>
      </c>
      <c r="H39" s="27">
        <f t="shared" si="8"/>
        <v>1985256</v>
      </c>
      <c r="I39" s="27"/>
      <c r="J39" s="27">
        <f t="shared" si="9"/>
        <v>1985256</v>
      </c>
      <c r="K39" s="27">
        <f t="shared" si="10"/>
        <v>599547.31200000003</v>
      </c>
      <c r="L39" s="27">
        <f t="shared" si="11"/>
        <v>2584803.3119999999</v>
      </c>
    </row>
    <row r="40" spans="1:12" ht="28.2" x14ac:dyDescent="0.3">
      <c r="A40" s="7"/>
      <c r="B40" s="9" t="s">
        <v>20</v>
      </c>
      <c r="C40" s="26"/>
      <c r="D40" s="26"/>
      <c r="E40" s="26"/>
      <c r="F40" s="26"/>
      <c r="G40" s="27"/>
      <c r="H40" s="27">
        <f t="shared" si="8"/>
        <v>0</v>
      </c>
      <c r="I40" s="27"/>
      <c r="J40" s="27">
        <f t="shared" si="9"/>
        <v>0</v>
      </c>
      <c r="K40" s="27">
        <f t="shared" si="10"/>
        <v>0</v>
      </c>
      <c r="L40" s="27">
        <f t="shared" si="11"/>
        <v>0</v>
      </c>
    </row>
    <row r="41" spans="1:12" x14ac:dyDescent="0.3">
      <c r="A41" s="7"/>
      <c r="B41" s="9" t="s">
        <v>21</v>
      </c>
      <c r="C41" s="26">
        <v>6</v>
      </c>
      <c r="D41" s="26">
        <v>6</v>
      </c>
      <c r="E41" s="26">
        <v>5</v>
      </c>
      <c r="F41" s="26">
        <v>5</v>
      </c>
      <c r="G41" s="27">
        <f>'расчёт зарплаты'!K35</f>
        <v>36256</v>
      </c>
      <c r="H41" s="27">
        <f t="shared" si="8"/>
        <v>2392896</v>
      </c>
      <c r="I41" s="27"/>
      <c r="J41" s="27">
        <f t="shared" si="9"/>
        <v>2392896</v>
      </c>
      <c r="K41" s="27">
        <f t="shared" si="10"/>
        <v>722654.59199999995</v>
      </c>
      <c r="L41" s="27">
        <f t="shared" si="11"/>
        <v>3115550.5920000002</v>
      </c>
    </row>
    <row r="42" spans="1:12" x14ac:dyDescent="0.3">
      <c r="A42" s="7"/>
      <c r="B42" s="9" t="s">
        <v>24</v>
      </c>
      <c r="C42" s="26">
        <v>9</v>
      </c>
      <c r="D42" s="26">
        <v>9</v>
      </c>
      <c r="E42" s="26">
        <v>9</v>
      </c>
      <c r="F42" s="26">
        <v>9</v>
      </c>
      <c r="G42" s="27">
        <f>'расчёт зарплаты'!K8</f>
        <v>33865.919999999998</v>
      </c>
      <c r="H42" s="27">
        <f t="shared" si="8"/>
        <v>3657519.3599999994</v>
      </c>
      <c r="I42" s="27"/>
      <c r="J42" s="27">
        <f t="shared" si="9"/>
        <v>3657519.3599999994</v>
      </c>
      <c r="K42" s="27">
        <f t="shared" si="10"/>
        <v>1104570.8467199998</v>
      </c>
      <c r="L42" s="27">
        <f t="shared" si="11"/>
        <v>4762090.2067199992</v>
      </c>
    </row>
    <row r="43" spans="1:12" ht="42" x14ac:dyDescent="0.3">
      <c r="A43" s="7"/>
      <c r="B43" s="9" t="s">
        <v>25</v>
      </c>
      <c r="C43" s="26">
        <v>1.25</v>
      </c>
      <c r="D43" s="26">
        <v>1.25</v>
      </c>
      <c r="E43" s="26">
        <v>1</v>
      </c>
      <c r="F43" s="26">
        <v>1</v>
      </c>
      <c r="G43" s="27">
        <f>'расчёт зарплаты'!K10</f>
        <v>33128</v>
      </c>
      <c r="H43" s="27">
        <f t="shared" si="8"/>
        <v>447228</v>
      </c>
      <c r="I43" s="27"/>
      <c r="J43" s="27">
        <f t="shared" si="9"/>
        <v>447228</v>
      </c>
      <c r="K43" s="27">
        <f t="shared" si="10"/>
        <v>135062.856</v>
      </c>
      <c r="L43" s="27">
        <f t="shared" si="11"/>
        <v>582290.85600000003</v>
      </c>
    </row>
    <row r="44" spans="1:12" ht="28.2" x14ac:dyDescent="0.3">
      <c r="A44" s="7"/>
      <c r="B44" s="9" t="s">
        <v>26</v>
      </c>
      <c r="C44" s="26">
        <v>2</v>
      </c>
      <c r="D44" s="26">
        <v>2</v>
      </c>
      <c r="E44" s="26">
        <v>2</v>
      </c>
      <c r="F44" s="26">
        <v>2</v>
      </c>
      <c r="G44" s="27">
        <f>'расчёт зарплаты'!K20</f>
        <v>36808</v>
      </c>
      <c r="H44" s="27">
        <f t="shared" si="8"/>
        <v>883392</v>
      </c>
      <c r="I44" s="27"/>
      <c r="J44" s="27">
        <f t="shared" si="9"/>
        <v>883392</v>
      </c>
      <c r="K44" s="27">
        <f t="shared" si="10"/>
        <v>266784.38400000002</v>
      </c>
      <c r="L44" s="27">
        <f t="shared" si="11"/>
        <v>1150176.3840000001</v>
      </c>
    </row>
    <row r="45" spans="1:12" ht="42" x14ac:dyDescent="0.3">
      <c r="A45" s="7"/>
      <c r="B45" s="9" t="s">
        <v>70</v>
      </c>
      <c r="C45" s="26"/>
      <c r="D45" s="26"/>
      <c r="E45" s="26"/>
      <c r="F45" s="26"/>
      <c r="G45" s="27">
        <f>'расчёт зарплаты'!K40</f>
        <v>0</v>
      </c>
      <c r="H45" s="27">
        <f t="shared" si="8"/>
        <v>0</v>
      </c>
      <c r="I45" s="27"/>
      <c r="J45" s="27">
        <f t="shared" si="9"/>
        <v>0</v>
      </c>
      <c r="K45" s="27">
        <f t="shared" si="10"/>
        <v>0</v>
      </c>
      <c r="L45" s="27">
        <f t="shared" si="11"/>
        <v>0</v>
      </c>
    </row>
    <row r="46" spans="1:12" x14ac:dyDescent="0.3">
      <c r="A46" s="7"/>
      <c r="B46" s="9" t="s">
        <v>30</v>
      </c>
      <c r="C46" s="26">
        <v>1</v>
      </c>
      <c r="D46" s="26">
        <v>1</v>
      </c>
      <c r="E46" s="26">
        <v>1</v>
      </c>
      <c r="F46" s="26">
        <v>1</v>
      </c>
      <c r="G46" s="27">
        <f>'расчёт зарплаты'!K35</f>
        <v>36256</v>
      </c>
      <c r="H46" s="27">
        <f t="shared" si="8"/>
        <v>435072</v>
      </c>
      <c r="I46" s="27"/>
      <c r="J46" s="27">
        <f t="shared" si="9"/>
        <v>435072</v>
      </c>
      <c r="K46" s="27">
        <f t="shared" si="10"/>
        <v>131391.74400000001</v>
      </c>
      <c r="L46" s="27">
        <f t="shared" si="11"/>
        <v>566463.74399999995</v>
      </c>
    </row>
    <row r="47" spans="1:12" ht="39.6" x14ac:dyDescent="0.3">
      <c r="A47" s="7"/>
      <c r="B47" s="22" t="s">
        <v>31</v>
      </c>
      <c r="C47" s="26"/>
      <c r="D47" s="26"/>
      <c r="E47" s="26"/>
      <c r="F47" s="26"/>
      <c r="G47" s="27">
        <f>'расчёт зарплаты'!K75</f>
        <v>0</v>
      </c>
      <c r="H47" s="27">
        <f t="shared" si="8"/>
        <v>0</v>
      </c>
      <c r="I47" s="27"/>
      <c r="J47" s="27">
        <f t="shared" si="9"/>
        <v>0</v>
      </c>
      <c r="K47" s="27">
        <f t="shared" si="10"/>
        <v>0</v>
      </c>
      <c r="L47" s="27">
        <f t="shared" si="11"/>
        <v>0</v>
      </c>
    </row>
    <row r="48" spans="1:12" x14ac:dyDescent="0.3">
      <c r="A48" s="23" t="s">
        <v>63</v>
      </c>
      <c r="B48" s="24"/>
      <c r="C48" s="33">
        <f>C49+C50+C51</f>
        <v>7</v>
      </c>
      <c r="D48" s="33">
        <f>D49+D50+D51</f>
        <v>7</v>
      </c>
      <c r="E48" s="33">
        <f>E49+E50+E51</f>
        <v>5</v>
      </c>
      <c r="F48" s="33">
        <f>F49+F50+F51</f>
        <v>5</v>
      </c>
      <c r="G48" s="33"/>
      <c r="H48" s="34">
        <f>H49+H50+H51</f>
        <v>2354229.36</v>
      </c>
      <c r="I48" s="34">
        <f>I49+I50+I51</f>
        <v>0</v>
      </c>
      <c r="J48" s="34">
        <f>J49+J50+J51</f>
        <v>0</v>
      </c>
      <c r="K48" s="34">
        <f>K49+K50+K51</f>
        <v>0</v>
      </c>
      <c r="L48" s="34">
        <f>L49+L50+L51</f>
        <v>0</v>
      </c>
    </row>
    <row r="49" spans="1:12" x14ac:dyDescent="0.3">
      <c r="A49" s="7"/>
      <c r="B49" s="9" t="s">
        <v>14</v>
      </c>
      <c r="C49" s="26">
        <v>1.25</v>
      </c>
      <c r="D49" s="26">
        <v>1.25</v>
      </c>
      <c r="E49" s="26">
        <v>0</v>
      </c>
      <c r="F49" s="26">
        <v>0</v>
      </c>
      <c r="G49" s="27">
        <f>'расчёт зарплаты'!K26</f>
        <v>32326.559999999998</v>
      </c>
      <c r="H49" s="27">
        <f>E49*G49*12+ ((D49-E49)*G49/2*12)</f>
        <v>242449.19999999998</v>
      </c>
      <c r="I49" s="27"/>
      <c r="J49" s="27"/>
      <c r="K49" s="27"/>
      <c r="L49" s="27"/>
    </row>
    <row r="50" spans="1:12" x14ac:dyDescent="0.3">
      <c r="A50" s="7"/>
      <c r="B50" s="9" t="s">
        <v>16</v>
      </c>
      <c r="C50" s="26">
        <v>3</v>
      </c>
      <c r="D50" s="26">
        <v>3</v>
      </c>
      <c r="E50" s="26">
        <v>3</v>
      </c>
      <c r="F50" s="26">
        <v>3</v>
      </c>
      <c r="G50" s="27">
        <f>'расчёт зарплаты'!K26</f>
        <v>32326.559999999998</v>
      </c>
      <c r="H50" s="27">
        <f>E50*G50*12+ ((D50-E50)*G50/2*12)</f>
        <v>1163756.1599999999</v>
      </c>
      <c r="I50" s="27"/>
      <c r="J50" s="27"/>
      <c r="K50" s="27"/>
      <c r="L50" s="27"/>
    </row>
    <row r="51" spans="1:12" ht="28.2" x14ac:dyDescent="0.3">
      <c r="A51" s="7"/>
      <c r="B51" s="9" t="s">
        <v>71</v>
      </c>
      <c r="C51" s="26">
        <v>2.75</v>
      </c>
      <c r="D51" s="26">
        <v>2.75</v>
      </c>
      <c r="E51" s="26">
        <v>2</v>
      </c>
      <c r="F51" s="26">
        <v>2</v>
      </c>
      <c r="G51" s="27">
        <f>'расчёт зарплаты'!K41</f>
        <v>33264</v>
      </c>
      <c r="H51" s="27">
        <f>E51*G51*12+ ((D51-E51)*G51/2*12)</f>
        <v>948024</v>
      </c>
      <c r="I51" s="27"/>
      <c r="J51" s="27"/>
      <c r="K51" s="27"/>
      <c r="L51" s="27"/>
    </row>
    <row r="52" spans="1:12" x14ac:dyDescent="0.3">
      <c r="A52" s="69" t="s">
        <v>73</v>
      </c>
      <c r="B52" s="69"/>
      <c r="C52" s="30">
        <f>C53+C59</f>
        <v>17.75</v>
      </c>
      <c r="D52" s="30">
        <f>D53+D59</f>
        <v>17.75</v>
      </c>
      <c r="E52" s="30">
        <f>E53+E59</f>
        <v>13.75</v>
      </c>
      <c r="F52" s="30">
        <f>F53+F59</f>
        <v>13.75</v>
      </c>
      <c r="G52" s="27"/>
      <c r="H52" s="32">
        <f>J52</f>
        <v>6662283.3599999994</v>
      </c>
      <c r="I52" s="27"/>
      <c r="J52" s="32">
        <f>J53+J59</f>
        <v>6662283.3599999994</v>
      </c>
      <c r="K52" s="32">
        <f>K53+K59</f>
        <v>2012009.5747199999</v>
      </c>
      <c r="L52" s="32">
        <f>L53+L59</f>
        <v>8674292.9347199984</v>
      </c>
    </row>
    <row r="53" spans="1:12" x14ac:dyDescent="0.3">
      <c r="A53" s="69" t="s">
        <v>35</v>
      </c>
      <c r="B53" s="69"/>
      <c r="C53" s="30">
        <f>C54+C55+C56+C57+C58</f>
        <v>11.5</v>
      </c>
      <c r="D53" s="30">
        <f>D54+D55+D56+D57+D58</f>
        <v>11.5</v>
      </c>
      <c r="E53" s="30">
        <f>E54+E55+E56+E57+E58</f>
        <v>9</v>
      </c>
      <c r="F53" s="30">
        <f>F54+F55+F56+F57+F58</f>
        <v>9</v>
      </c>
      <c r="G53" s="32"/>
      <c r="H53" s="32">
        <f>H54+H55+H57+H58+H56</f>
        <v>4327059.3599999994</v>
      </c>
      <c r="I53" s="32"/>
      <c r="J53" s="32">
        <f t="shared" ref="J53:J63" si="12">H53</f>
        <v>4327059.3599999994</v>
      </c>
      <c r="K53" s="32">
        <f t="shared" ref="K53:K63" si="13">J53*30.2%</f>
        <v>1306771.9267199999</v>
      </c>
      <c r="L53" s="32">
        <f t="shared" ref="L53:L63" si="14">J53+K53</f>
        <v>5633831.2867199993</v>
      </c>
    </row>
    <row r="54" spans="1:12" x14ac:dyDescent="0.3">
      <c r="A54" s="7"/>
      <c r="B54" s="9" t="s">
        <v>36</v>
      </c>
      <c r="C54" s="26">
        <v>3</v>
      </c>
      <c r="D54" s="26">
        <v>3</v>
      </c>
      <c r="E54" s="26">
        <v>2</v>
      </c>
      <c r="F54" s="26">
        <v>2</v>
      </c>
      <c r="G54" s="27">
        <f>'расчёт зарплаты'!K14</f>
        <v>39072</v>
      </c>
      <c r="H54" s="27">
        <f>E54*G54*12+ ((D54-E54)*G54/2*12)</f>
        <v>1172160</v>
      </c>
      <c r="I54" s="27"/>
      <c r="J54" s="27">
        <f t="shared" si="12"/>
        <v>1172160</v>
      </c>
      <c r="K54" s="27">
        <f t="shared" si="13"/>
        <v>353992.32</v>
      </c>
      <c r="L54" s="27">
        <f t="shared" si="14"/>
        <v>1526152.32</v>
      </c>
    </row>
    <row r="55" spans="1:12" x14ac:dyDescent="0.3">
      <c r="A55" s="7"/>
      <c r="B55" s="9" t="s">
        <v>23</v>
      </c>
      <c r="C55" s="26">
        <v>1</v>
      </c>
      <c r="D55" s="26">
        <v>1</v>
      </c>
      <c r="E55" s="26">
        <v>1</v>
      </c>
      <c r="F55" s="26">
        <v>1</v>
      </c>
      <c r="G55" s="27">
        <f>'расчёт зарплаты'!K18</f>
        <v>44704</v>
      </c>
      <c r="H55" s="27">
        <f>E55*G55*12+ ((D55-E55)*G55/2*12)</f>
        <v>536448</v>
      </c>
      <c r="I55" s="27"/>
      <c r="J55" s="27">
        <f t="shared" si="12"/>
        <v>536448</v>
      </c>
      <c r="K55" s="27">
        <f t="shared" si="13"/>
        <v>162007.296</v>
      </c>
      <c r="L55" s="27">
        <f t="shared" si="14"/>
        <v>698455.29599999997</v>
      </c>
    </row>
    <row r="56" spans="1:12" x14ac:dyDescent="0.3">
      <c r="A56" s="7"/>
      <c r="B56" s="25" t="s">
        <v>54</v>
      </c>
      <c r="C56" s="26"/>
      <c r="D56" s="26"/>
      <c r="E56" s="26"/>
      <c r="F56" s="26"/>
      <c r="G56" s="27">
        <f>'расчёт зарплаты'!K67</f>
        <v>0</v>
      </c>
      <c r="H56" s="27">
        <f>E56*G56*12+ ((D56-E56)*G56/2*12)</f>
        <v>0</v>
      </c>
      <c r="I56" s="27"/>
      <c r="J56" s="27">
        <f t="shared" si="12"/>
        <v>0</v>
      </c>
      <c r="K56" s="27">
        <f t="shared" si="13"/>
        <v>0</v>
      </c>
      <c r="L56" s="27">
        <f t="shared" si="14"/>
        <v>0</v>
      </c>
    </row>
    <row r="57" spans="1:12" ht="28.2" x14ac:dyDescent="0.3">
      <c r="A57" s="7"/>
      <c r="B57" s="9" t="s">
        <v>40</v>
      </c>
      <c r="C57" s="26">
        <v>4.25</v>
      </c>
      <c r="D57" s="26">
        <v>4.25</v>
      </c>
      <c r="E57" s="26">
        <v>3</v>
      </c>
      <c r="F57" s="26">
        <v>3</v>
      </c>
      <c r="G57" s="27">
        <f>'расчёт зарплаты'!K26</f>
        <v>32326.559999999998</v>
      </c>
      <c r="H57" s="27">
        <f>E57*G57*12+ ((D57-E57)*G57/2*12)</f>
        <v>1406205.3599999999</v>
      </c>
      <c r="I57" s="27"/>
      <c r="J57" s="27">
        <f t="shared" si="12"/>
        <v>1406205.3599999999</v>
      </c>
      <c r="K57" s="27">
        <f t="shared" si="13"/>
        <v>424674.01871999993</v>
      </c>
      <c r="L57" s="27">
        <f t="shared" si="14"/>
        <v>1830879.3787199999</v>
      </c>
    </row>
    <row r="58" spans="1:12" x14ac:dyDescent="0.3">
      <c r="A58" s="7"/>
      <c r="B58" s="9" t="s">
        <v>41</v>
      </c>
      <c r="C58" s="26">
        <v>3.25</v>
      </c>
      <c r="D58" s="26">
        <v>3.25</v>
      </c>
      <c r="E58" s="26">
        <v>3</v>
      </c>
      <c r="F58" s="26">
        <v>3</v>
      </c>
      <c r="G58" s="27">
        <f>'расчёт зарплаты'!K26</f>
        <v>32326.559999999998</v>
      </c>
      <c r="H58" s="27">
        <f>E58*G58*12+ ((D58-E58)*G58/2*12)</f>
        <v>1212246</v>
      </c>
      <c r="I58" s="27"/>
      <c r="J58" s="27">
        <f t="shared" si="12"/>
        <v>1212246</v>
      </c>
      <c r="K58" s="27">
        <f t="shared" si="13"/>
        <v>366098.29200000002</v>
      </c>
      <c r="L58" s="27">
        <f t="shared" si="14"/>
        <v>1578344.2919999999</v>
      </c>
    </row>
    <row r="59" spans="1:12" x14ac:dyDescent="0.3">
      <c r="A59" s="69" t="s">
        <v>43</v>
      </c>
      <c r="B59" s="69"/>
      <c r="C59" s="30">
        <f>C60+C61+C62+C63</f>
        <v>6.25</v>
      </c>
      <c r="D59" s="30">
        <f>D60+D61+D62+D63</f>
        <v>6.25</v>
      </c>
      <c r="E59" s="30">
        <f>E60+E61+E62+E63</f>
        <v>4.75</v>
      </c>
      <c r="F59" s="30">
        <f>F60+F61+F62+F63</f>
        <v>4.75</v>
      </c>
      <c r="G59" s="32"/>
      <c r="H59" s="32">
        <f>H60+H61+H62+H63</f>
        <v>2335224</v>
      </c>
      <c r="I59" s="32"/>
      <c r="J59" s="32">
        <f t="shared" si="12"/>
        <v>2335224</v>
      </c>
      <c r="K59" s="32">
        <f t="shared" si="13"/>
        <v>705237.64799999993</v>
      </c>
      <c r="L59" s="32">
        <f t="shared" si="14"/>
        <v>3040461.648</v>
      </c>
    </row>
    <row r="60" spans="1:12" x14ac:dyDescent="0.3">
      <c r="A60" s="7"/>
      <c r="B60" s="9" t="s">
        <v>44</v>
      </c>
      <c r="C60" s="26">
        <v>3</v>
      </c>
      <c r="D60" s="26">
        <v>3</v>
      </c>
      <c r="E60" s="26">
        <v>2</v>
      </c>
      <c r="F60" s="26">
        <v>2</v>
      </c>
      <c r="G60" s="27">
        <f>'расчёт зарплаты'!K35</f>
        <v>36256</v>
      </c>
      <c r="H60" s="27">
        <f>E60*G60*12+ ((D60-E60)*G60/2*12)</f>
        <v>1087680</v>
      </c>
      <c r="I60" s="27"/>
      <c r="J60" s="27">
        <f t="shared" si="12"/>
        <v>1087680</v>
      </c>
      <c r="K60" s="27">
        <f t="shared" si="13"/>
        <v>328479.35999999999</v>
      </c>
      <c r="L60" s="27">
        <f t="shared" si="14"/>
        <v>1416159.3599999999</v>
      </c>
    </row>
    <row r="61" spans="1:12" x14ac:dyDescent="0.3">
      <c r="A61" s="7"/>
      <c r="B61" s="9" t="s">
        <v>46</v>
      </c>
      <c r="C61" s="26"/>
      <c r="D61" s="26"/>
      <c r="E61" s="26"/>
      <c r="F61" s="26"/>
      <c r="G61" s="27">
        <f>'расчёт зарплаты'!K69</f>
        <v>0</v>
      </c>
      <c r="H61" s="27">
        <f>E61*G61*12+ ((D61-E61)*G61/2*12)</f>
        <v>0</v>
      </c>
      <c r="I61" s="27"/>
      <c r="J61" s="27">
        <f t="shared" si="12"/>
        <v>0</v>
      </c>
      <c r="K61" s="27">
        <f t="shared" si="13"/>
        <v>0</v>
      </c>
      <c r="L61" s="27">
        <f t="shared" si="14"/>
        <v>0</v>
      </c>
    </row>
    <row r="62" spans="1:12" x14ac:dyDescent="0.3">
      <c r="A62" s="7"/>
      <c r="B62" s="9" t="s">
        <v>47</v>
      </c>
      <c r="C62" s="26">
        <v>2.5</v>
      </c>
      <c r="D62" s="26">
        <v>2.5</v>
      </c>
      <c r="E62" s="26">
        <v>2</v>
      </c>
      <c r="F62" s="26">
        <v>2</v>
      </c>
      <c r="G62" s="27">
        <f>'расчёт зарплаты'!K39</f>
        <v>33936</v>
      </c>
      <c r="H62" s="27">
        <f>E62*G62*12+ ((D62-E62)*G62/2*12)</f>
        <v>916272</v>
      </c>
      <c r="I62" s="27"/>
      <c r="J62" s="27">
        <f t="shared" si="12"/>
        <v>916272</v>
      </c>
      <c r="K62" s="27">
        <f t="shared" si="13"/>
        <v>276714.14399999997</v>
      </c>
      <c r="L62" s="27">
        <f t="shared" si="14"/>
        <v>1192986.1439999999</v>
      </c>
    </row>
    <row r="63" spans="1:12" x14ac:dyDescent="0.3">
      <c r="A63" s="19"/>
      <c r="B63" s="29" t="s">
        <v>52</v>
      </c>
      <c r="C63" s="35">
        <v>0.75</v>
      </c>
      <c r="D63" s="35">
        <v>0.75</v>
      </c>
      <c r="E63" s="35">
        <v>0.75</v>
      </c>
      <c r="F63" s="35">
        <v>0.75</v>
      </c>
      <c r="G63" s="27">
        <f>'расчёт зарплаты'!K20</f>
        <v>36808</v>
      </c>
      <c r="H63" s="27">
        <f>E63*G63*12+ ((D63-E63)*G63/2*12)</f>
        <v>331272</v>
      </c>
      <c r="I63" s="35"/>
      <c r="J63" s="27">
        <f t="shared" si="12"/>
        <v>331272</v>
      </c>
      <c r="K63" s="27">
        <f t="shared" si="13"/>
        <v>100044.144</v>
      </c>
      <c r="L63" s="27">
        <f t="shared" si="14"/>
        <v>431316.14399999997</v>
      </c>
    </row>
    <row r="64" spans="1:12" x14ac:dyDescent="0.3">
      <c r="A64" s="28"/>
      <c r="B64" s="76" t="s">
        <v>75</v>
      </c>
      <c r="C64" s="77"/>
      <c r="D64" s="77"/>
      <c r="E64" s="77"/>
      <c r="F64" s="77"/>
      <c r="G64" s="77"/>
      <c r="H64" s="77"/>
      <c r="I64" s="77"/>
      <c r="J64" s="77"/>
      <c r="K64" s="77"/>
      <c r="L64" s="78"/>
    </row>
    <row r="65" spans="1:13" x14ac:dyDescent="0.3">
      <c r="A65" s="71" t="s">
        <v>68</v>
      </c>
      <c r="B65" s="72"/>
      <c r="C65" s="30">
        <f>C66+C84+C80</f>
        <v>116.25</v>
      </c>
      <c r="D65" s="30">
        <f>D66+D84+D80</f>
        <v>107.5</v>
      </c>
      <c r="E65" s="30">
        <f>E66+E84+E80</f>
        <v>99.2</v>
      </c>
      <c r="F65" s="30">
        <f>F66+F84+F80</f>
        <v>95</v>
      </c>
      <c r="G65" s="27"/>
      <c r="H65" s="27"/>
      <c r="I65" s="27"/>
      <c r="J65" s="27"/>
      <c r="K65" s="27"/>
      <c r="L65" s="27"/>
    </row>
    <row r="66" spans="1:13" x14ac:dyDescent="0.3">
      <c r="A66" s="71" t="s">
        <v>69</v>
      </c>
      <c r="B66" s="72"/>
      <c r="C66" s="30">
        <f>SUM(C67:C79)</f>
        <v>81</v>
      </c>
      <c r="D66" s="30">
        <f>SUM(D67:D79)</f>
        <v>75.75</v>
      </c>
      <c r="E66" s="30">
        <f>SUM(E67:E79)</f>
        <v>73.2</v>
      </c>
      <c r="F66" s="30">
        <f>SUM(F67:F79)</f>
        <v>68</v>
      </c>
      <c r="G66" s="30"/>
      <c r="H66" s="31">
        <f>SUM(H67:H79)</f>
        <v>31284430.080000002</v>
      </c>
      <c r="I66" s="32"/>
      <c r="J66" s="32">
        <f>H66-I66</f>
        <v>31284430.080000002</v>
      </c>
      <c r="K66" s="32">
        <f>J66*30.2%</f>
        <v>9447897.8841600008</v>
      </c>
      <c r="L66" s="32">
        <f>J66+K66</f>
        <v>40732327.964160003</v>
      </c>
      <c r="M66" s="40" t="s">
        <v>117</v>
      </c>
    </row>
    <row r="67" spans="1:13" x14ac:dyDescent="0.3">
      <c r="A67" s="7"/>
      <c r="B67" s="9" t="s">
        <v>11</v>
      </c>
      <c r="C67" s="26">
        <v>22.25</v>
      </c>
      <c r="D67" s="26">
        <v>20</v>
      </c>
      <c r="E67" s="26">
        <v>18.200000000000003</v>
      </c>
      <c r="F67" s="26">
        <v>19</v>
      </c>
      <c r="G67" s="27">
        <f>'расчёт зарплаты'!K10</f>
        <v>33128</v>
      </c>
      <c r="H67" s="27">
        <f>E67*G67*12+ ((D67-E67)*G67/2*12)</f>
        <v>7592937.6000000006</v>
      </c>
      <c r="I67" s="27"/>
      <c r="J67" s="27">
        <f>H67</f>
        <v>7592937.6000000006</v>
      </c>
      <c r="K67" s="27">
        <f>J67*30.2%</f>
        <v>2293067.1551999999</v>
      </c>
      <c r="L67" s="27">
        <f>J67+K67</f>
        <v>9886004.7552000005</v>
      </c>
    </row>
    <row r="68" spans="1:13" ht="28.2" x14ac:dyDescent="0.3">
      <c r="A68" s="7"/>
      <c r="B68" s="9" t="s">
        <v>94</v>
      </c>
      <c r="C68" s="26">
        <v>19</v>
      </c>
      <c r="D68" s="26">
        <v>19</v>
      </c>
      <c r="E68" s="26">
        <v>19</v>
      </c>
      <c r="F68" s="26">
        <v>16</v>
      </c>
      <c r="G68" s="27">
        <f>'расчёт зарплаты'!K12</f>
        <v>36360</v>
      </c>
      <c r="H68" s="27">
        <f>E68*G68*12+ ((D68-E68)*G68/2*12)</f>
        <v>8290080</v>
      </c>
      <c r="I68" s="27"/>
      <c r="J68" s="27">
        <f t="shared" ref="J68:J79" si="15">H68</f>
        <v>8290080</v>
      </c>
      <c r="K68" s="27">
        <f t="shared" ref="K68:K83" si="16">J68*30.2%</f>
        <v>2503604.16</v>
      </c>
      <c r="L68" s="27">
        <f t="shared" ref="L68:L83" si="17">J68+K68</f>
        <v>10793684.16</v>
      </c>
    </row>
    <row r="69" spans="1:13" x14ac:dyDescent="0.3">
      <c r="A69" s="7"/>
      <c r="B69" s="9" t="s">
        <v>13</v>
      </c>
      <c r="C69" s="26">
        <v>1.5</v>
      </c>
      <c r="D69" s="26">
        <v>1</v>
      </c>
      <c r="E69" s="26">
        <v>1</v>
      </c>
      <c r="F69" s="26">
        <v>1</v>
      </c>
      <c r="G69" s="27">
        <f>'расчёт зарплаты'!K20</f>
        <v>36808</v>
      </c>
      <c r="H69" s="27">
        <f t="shared" ref="H69:H79" si="18">E69*G69*12+ ((D69-E69)*G69/2*12)</f>
        <v>441696</v>
      </c>
      <c r="I69" s="27"/>
      <c r="J69" s="27">
        <f t="shared" si="15"/>
        <v>441696</v>
      </c>
      <c r="K69" s="27">
        <f t="shared" si="16"/>
        <v>133392.19200000001</v>
      </c>
      <c r="L69" s="27">
        <f t="shared" si="17"/>
        <v>575088.19200000004</v>
      </c>
    </row>
    <row r="70" spans="1:13" ht="28.2" x14ac:dyDescent="0.3">
      <c r="A70" s="7"/>
      <c r="B70" s="9" t="s">
        <v>95</v>
      </c>
      <c r="C70" s="26">
        <v>2.25</v>
      </c>
      <c r="D70" s="26">
        <v>1</v>
      </c>
      <c r="E70" s="26">
        <v>1</v>
      </c>
      <c r="F70" s="26">
        <v>1</v>
      </c>
      <c r="G70" s="27">
        <f>'расчёт зарплаты'!K22</f>
        <v>37664</v>
      </c>
      <c r="H70" s="27">
        <f t="shared" si="18"/>
        <v>451968</v>
      </c>
      <c r="I70" s="27"/>
      <c r="J70" s="27">
        <f t="shared" si="15"/>
        <v>451968</v>
      </c>
      <c r="K70" s="27">
        <f t="shared" si="16"/>
        <v>136494.33600000001</v>
      </c>
      <c r="L70" s="27">
        <f t="shared" si="17"/>
        <v>588462.33600000001</v>
      </c>
    </row>
    <row r="71" spans="1:13" x14ac:dyDescent="0.3">
      <c r="A71" s="7"/>
      <c r="B71" s="9" t="s">
        <v>17</v>
      </c>
      <c r="C71" s="26">
        <v>6.5</v>
      </c>
      <c r="D71" s="26">
        <v>6.25</v>
      </c>
      <c r="E71" s="26">
        <v>6</v>
      </c>
      <c r="F71" s="26">
        <v>5</v>
      </c>
      <c r="G71" s="27">
        <f>'расчёт зарплаты'!K39</f>
        <v>33936</v>
      </c>
      <c r="H71" s="27">
        <f t="shared" si="18"/>
        <v>2494296</v>
      </c>
      <c r="I71" s="27"/>
      <c r="J71" s="27">
        <f t="shared" si="15"/>
        <v>2494296</v>
      </c>
      <c r="K71" s="27">
        <f t="shared" si="16"/>
        <v>753277.39199999999</v>
      </c>
      <c r="L71" s="27">
        <f t="shared" si="17"/>
        <v>3247573.392</v>
      </c>
    </row>
    <row r="72" spans="1:13" ht="28.2" x14ac:dyDescent="0.3">
      <c r="A72" s="7"/>
      <c r="B72" s="9" t="s">
        <v>20</v>
      </c>
      <c r="C72" s="26"/>
      <c r="D72" s="26"/>
      <c r="E72" s="26"/>
      <c r="F72" s="26"/>
      <c r="G72" s="27"/>
      <c r="H72" s="27">
        <f t="shared" si="18"/>
        <v>0</v>
      </c>
      <c r="I72" s="27"/>
      <c r="J72" s="27">
        <f t="shared" si="15"/>
        <v>0</v>
      </c>
      <c r="K72" s="27">
        <f t="shared" si="16"/>
        <v>0</v>
      </c>
      <c r="L72" s="27">
        <f t="shared" si="17"/>
        <v>0</v>
      </c>
    </row>
    <row r="73" spans="1:13" x14ac:dyDescent="0.3">
      <c r="A73" s="7"/>
      <c r="B73" s="9" t="s">
        <v>21</v>
      </c>
      <c r="C73" s="26">
        <v>9</v>
      </c>
      <c r="D73" s="26">
        <v>9</v>
      </c>
      <c r="E73" s="26">
        <v>9</v>
      </c>
      <c r="F73" s="26">
        <v>8</v>
      </c>
      <c r="G73" s="27">
        <f>'расчёт зарплаты'!K35</f>
        <v>36256</v>
      </c>
      <c r="H73" s="27">
        <f t="shared" si="18"/>
        <v>3915648</v>
      </c>
      <c r="I73" s="27"/>
      <c r="J73" s="27">
        <f t="shared" si="15"/>
        <v>3915648</v>
      </c>
      <c r="K73" s="27">
        <f t="shared" si="16"/>
        <v>1182525.696</v>
      </c>
      <c r="L73" s="27">
        <f t="shared" si="17"/>
        <v>5098173.6960000005</v>
      </c>
    </row>
    <row r="74" spans="1:13" x14ac:dyDescent="0.3">
      <c r="A74" s="7"/>
      <c r="B74" s="9" t="s">
        <v>24</v>
      </c>
      <c r="C74" s="26">
        <v>12</v>
      </c>
      <c r="D74" s="26">
        <v>12</v>
      </c>
      <c r="E74" s="26">
        <v>12</v>
      </c>
      <c r="F74" s="26">
        <v>12</v>
      </c>
      <c r="G74" s="27">
        <f>'расчёт зарплаты'!K8</f>
        <v>33865.919999999998</v>
      </c>
      <c r="H74" s="27">
        <f t="shared" si="18"/>
        <v>4876692.4799999995</v>
      </c>
      <c r="I74" s="27"/>
      <c r="J74" s="27">
        <f t="shared" si="15"/>
        <v>4876692.4799999995</v>
      </c>
      <c r="K74" s="27">
        <f t="shared" si="16"/>
        <v>1472761.1289599999</v>
      </c>
      <c r="L74" s="27">
        <f t="shared" si="17"/>
        <v>6349453.6089599989</v>
      </c>
    </row>
    <row r="75" spans="1:13" ht="42" x14ac:dyDescent="0.3">
      <c r="A75" s="7"/>
      <c r="B75" s="9" t="s">
        <v>25</v>
      </c>
      <c r="C75" s="26">
        <v>3.5</v>
      </c>
      <c r="D75" s="26">
        <v>3.5</v>
      </c>
      <c r="E75" s="26">
        <v>3</v>
      </c>
      <c r="F75" s="26">
        <v>2</v>
      </c>
      <c r="G75" s="27">
        <f>'расчёт зарплаты'!K10</f>
        <v>33128</v>
      </c>
      <c r="H75" s="27">
        <f t="shared" si="18"/>
        <v>1291992</v>
      </c>
      <c r="I75" s="27"/>
      <c r="J75" s="27">
        <f t="shared" si="15"/>
        <v>1291992</v>
      </c>
      <c r="K75" s="27">
        <f t="shared" si="16"/>
        <v>390181.58399999997</v>
      </c>
      <c r="L75" s="27">
        <f t="shared" si="17"/>
        <v>1682173.584</v>
      </c>
    </row>
    <row r="76" spans="1:13" ht="28.2" x14ac:dyDescent="0.3">
      <c r="A76" s="7"/>
      <c r="B76" s="9" t="s">
        <v>26</v>
      </c>
      <c r="C76" s="26">
        <v>3</v>
      </c>
      <c r="D76" s="26">
        <v>3</v>
      </c>
      <c r="E76" s="26">
        <v>3</v>
      </c>
      <c r="F76" s="26">
        <v>3</v>
      </c>
      <c r="G76" s="27">
        <f>'расчёт зарплаты'!K20</f>
        <v>36808</v>
      </c>
      <c r="H76" s="27">
        <f t="shared" si="18"/>
        <v>1325088</v>
      </c>
      <c r="I76" s="27"/>
      <c r="J76" s="27">
        <f t="shared" si="15"/>
        <v>1325088</v>
      </c>
      <c r="K76" s="27">
        <f t="shared" si="16"/>
        <v>400176.576</v>
      </c>
      <c r="L76" s="27">
        <f t="shared" si="17"/>
        <v>1725264.5759999999</v>
      </c>
    </row>
    <row r="77" spans="1:13" ht="42" x14ac:dyDescent="0.3">
      <c r="A77" s="7"/>
      <c r="B77" s="9" t="s">
        <v>70</v>
      </c>
      <c r="C77" s="26"/>
      <c r="D77" s="26"/>
      <c r="E77" s="26"/>
      <c r="F77" s="26"/>
      <c r="G77" s="27">
        <f>'расчёт зарплаты'!K70</f>
        <v>0</v>
      </c>
      <c r="H77" s="27">
        <f t="shared" si="18"/>
        <v>0</v>
      </c>
      <c r="I77" s="27"/>
      <c r="J77" s="27">
        <f t="shared" si="15"/>
        <v>0</v>
      </c>
      <c r="K77" s="27">
        <f t="shared" si="16"/>
        <v>0</v>
      </c>
      <c r="L77" s="27">
        <f t="shared" si="17"/>
        <v>0</v>
      </c>
    </row>
    <row r="78" spans="1:13" x14ac:dyDescent="0.3">
      <c r="A78" s="7"/>
      <c r="B78" s="9" t="s">
        <v>30</v>
      </c>
      <c r="C78" s="26"/>
      <c r="D78" s="26"/>
      <c r="E78" s="26"/>
      <c r="F78" s="26"/>
      <c r="G78" s="27">
        <f>'расчёт зарплаты'!K95</f>
        <v>0</v>
      </c>
      <c r="H78" s="27">
        <f t="shared" si="18"/>
        <v>0</v>
      </c>
      <c r="I78" s="27"/>
      <c r="J78" s="27">
        <f t="shared" si="15"/>
        <v>0</v>
      </c>
      <c r="K78" s="27">
        <f t="shared" si="16"/>
        <v>0</v>
      </c>
      <c r="L78" s="27">
        <f t="shared" si="17"/>
        <v>0</v>
      </c>
    </row>
    <row r="79" spans="1:13" ht="39.6" x14ac:dyDescent="0.3">
      <c r="A79" s="7"/>
      <c r="B79" s="22" t="s">
        <v>31</v>
      </c>
      <c r="C79" s="26">
        <v>2</v>
      </c>
      <c r="D79" s="26">
        <v>1</v>
      </c>
      <c r="E79" s="26">
        <v>1</v>
      </c>
      <c r="F79" s="26">
        <v>1</v>
      </c>
      <c r="G79" s="27">
        <f>'расчёт зарплаты'!K45</f>
        <v>50336</v>
      </c>
      <c r="H79" s="27">
        <f t="shared" si="18"/>
        <v>604032</v>
      </c>
      <c r="I79" s="27"/>
      <c r="J79" s="27">
        <f t="shared" si="15"/>
        <v>604032</v>
      </c>
      <c r="K79" s="27">
        <f t="shared" si="16"/>
        <v>182417.66399999999</v>
      </c>
      <c r="L79" s="27">
        <f t="shared" si="17"/>
        <v>786449.66399999999</v>
      </c>
    </row>
    <row r="80" spans="1:13" x14ac:dyDescent="0.3">
      <c r="A80" s="23" t="s">
        <v>63</v>
      </c>
      <c r="B80" s="24"/>
      <c r="C80" s="33">
        <f>C81+C82+C83</f>
        <v>15.5</v>
      </c>
      <c r="D80" s="33">
        <f>D81+D82+D83</f>
        <v>13.25</v>
      </c>
      <c r="E80" s="33">
        <f>E81+E82+E83</f>
        <v>10</v>
      </c>
      <c r="F80" s="33">
        <f>F81+F82+F83</f>
        <v>11</v>
      </c>
      <c r="G80" s="33"/>
      <c r="H80" s="34">
        <f>H81+H82+H83</f>
        <v>4564395.3599999994</v>
      </c>
      <c r="I80" s="34">
        <f>I81+I82+I83</f>
        <v>0</v>
      </c>
      <c r="J80" s="34">
        <f>J81+J82+J83</f>
        <v>4564395.3599999994</v>
      </c>
      <c r="K80" s="34">
        <f>K81+K82+K83</f>
        <v>1378447.3987199999</v>
      </c>
      <c r="L80" s="34">
        <f>L81+L82+L83</f>
        <v>5942842.7587199993</v>
      </c>
    </row>
    <row r="81" spans="1:12" x14ac:dyDescent="0.3">
      <c r="A81" s="7"/>
      <c r="B81" s="9" t="s">
        <v>14</v>
      </c>
      <c r="C81" s="26">
        <v>3.5</v>
      </c>
      <c r="D81" s="26">
        <v>3.5</v>
      </c>
      <c r="E81" s="26">
        <v>3</v>
      </c>
      <c r="F81" s="26">
        <v>3</v>
      </c>
      <c r="G81" s="27">
        <f>'расчёт зарплаты'!K26</f>
        <v>32326.559999999998</v>
      </c>
      <c r="H81" s="27">
        <f>E81*G81*12+ ((D81-E81)*G81/2*12)</f>
        <v>1260735.8399999999</v>
      </c>
      <c r="I81" s="27"/>
      <c r="J81" s="27">
        <f>H81</f>
        <v>1260735.8399999999</v>
      </c>
      <c r="K81" s="27">
        <f t="shared" si="16"/>
        <v>380742.22367999994</v>
      </c>
      <c r="L81" s="27">
        <f t="shared" si="17"/>
        <v>1641478.0636799997</v>
      </c>
    </row>
    <row r="82" spans="1:12" x14ac:dyDescent="0.3">
      <c r="A82" s="7"/>
      <c r="B82" s="9" t="s">
        <v>16</v>
      </c>
      <c r="C82" s="26">
        <v>4</v>
      </c>
      <c r="D82" s="26">
        <v>4</v>
      </c>
      <c r="E82" s="26">
        <v>3</v>
      </c>
      <c r="F82" s="26">
        <v>4</v>
      </c>
      <c r="G82" s="27">
        <f>'расчёт зарплаты'!K26</f>
        <v>32326.559999999998</v>
      </c>
      <c r="H82" s="27">
        <f>E82*G82*12+ ((D82-E82)*G82/2*12)</f>
        <v>1357715.52</v>
      </c>
      <c r="I82" s="27"/>
      <c r="J82" s="27">
        <f>H82</f>
        <v>1357715.52</v>
      </c>
      <c r="K82" s="27">
        <f t="shared" si="16"/>
        <v>410030.08704000001</v>
      </c>
      <c r="L82" s="27">
        <f t="shared" si="17"/>
        <v>1767745.6070400001</v>
      </c>
    </row>
    <row r="83" spans="1:12" ht="28.2" x14ac:dyDescent="0.3">
      <c r="A83" s="7"/>
      <c r="B83" s="9" t="s">
        <v>71</v>
      </c>
      <c r="C83" s="26">
        <v>8</v>
      </c>
      <c r="D83" s="26">
        <v>5.75</v>
      </c>
      <c r="E83" s="26">
        <v>4</v>
      </c>
      <c r="F83" s="26">
        <v>4</v>
      </c>
      <c r="G83" s="27">
        <f>'расчёт зарплаты'!K41</f>
        <v>33264</v>
      </c>
      <c r="H83" s="27">
        <f>E83*G83*12+ ((D83-E83)*G83/2*12)</f>
        <v>1945944</v>
      </c>
      <c r="I83" s="27"/>
      <c r="J83" s="27">
        <f>H83</f>
        <v>1945944</v>
      </c>
      <c r="K83" s="27">
        <f t="shared" si="16"/>
        <v>587675.08799999999</v>
      </c>
      <c r="L83" s="27">
        <f t="shared" si="17"/>
        <v>2533619.088</v>
      </c>
    </row>
    <row r="84" spans="1:12" x14ac:dyDescent="0.3">
      <c r="A84" s="69" t="s">
        <v>73</v>
      </c>
      <c r="B84" s="69"/>
      <c r="C84" s="30">
        <f>C85+C91</f>
        <v>19.75</v>
      </c>
      <c r="D84" s="30">
        <f>D85+D91</f>
        <v>18.5</v>
      </c>
      <c r="E84" s="30">
        <f>E85+E91</f>
        <v>16</v>
      </c>
      <c r="F84" s="30">
        <f>F85+F91</f>
        <v>16</v>
      </c>
      <c r="G84" s="27"/>
      <c r="H84" s="27">
        <f>E84*G84*12+ ((D84-E84)*G84/2*12)</f>
        <v>0</v>
      </c>
      <c r="I84" s="27"/>
      <c r="J84" s="32">
        <f>J85+J91</f>
        <v>6909409.9199999999</v>
      </c>
      <c r="K84" s="32">
        <f>K85+K91</f>
        <v>2086641.7958399998</v>
      </c>
      <c r="L84" s="32">
        <f>L85+L91</f>
        <v>8996051.7158400007</v>
      </c>
    </row>
    <row r="85" spans="1:12" x14ac:dyDescent="0.3">
      <c r="A85" s="69" t="s">
        <v>35</v>
      </c>
      <c r="B85" s="69"/>
      <c r="C85" s="30">
        <f>C86+C87+C88+C89+C90</f>
        <v>11.25</v>
      </c>
      <c r="D85" s="30">
        <f>D86+D87+D88+D89+D90</f>
        <v>11</v>
      </c>
      <c r="E85" s="30">
        <f>E86+E87+E88+E89+E90</f>
        <v>11</v>
      </c>
      <c r="F85" s="30">
        <f>F86+F87+F88+F89+F90</f>
        <v>11</v>
      </c>
      <c r="G85" s="32"/>
      <c r="H85" s="32">
        <f>H86+H87+H89+H90+H88</f>
        <v>4267105.92</v>
      </c>
      <c r="I85" s="32"/>
      <c r="J85" s="32">
        <f>H85</f>
        <v>4267105.92</v>
      </c>
      <c r="K85" s="32">
        <f>J85*30.2%</f>
        <v>1288665.9878399998</v>
      </c>
      <c r="L85" s="32">
        <f>J85+K85</f>
        <v>5555771.9078399995</v>
      </c>
    </row>
    <row r="86" spans="1:12" x14ac:dyDescent="0.3">
      <c r="A86" s="7"/>
      <c r="B86" s="9" t="s">
        <v>36</v>
      </c>
      <c r="C86" s="26"/>
      <c r="D86" s="26"/>
      <c r="E86" s="26"/>
      <c r="F86" s="26"/>
      <c r="G86" s="27">
        <f>'расчёт зарплаты'!K74</f>
        <v>0</v>
      </c>
      <c r="H86" s="27">
        <f>E86*G86*12+ ((D86-E86)*G86/2*12)</f>
        <v>0</v>
      </c>
      <c r="I86" s="27"/>
      <c r="J86" s="27"/>
      <c r="K86" s="27"/>
      <c r="L86" s="27"/>
    </row>
    <row r="87" spans="1:12" x14ac:dyDescent="0.3">
      <c r="A87" s="7"/>
      <c r="B87" s="9" t="s">
        <v>23</v>
      </c>
      <c r="C87" s="26"/>
      <c r="D87" s="26"/>
      <c r="E87" s="26"/>
      <c r="F87" s="26"/>
      <c r="G87" s="27">
        <f>'расчёт зарплаты'!K78</f>
        <v>0</v>
      </c>
      <c r="H87" s="27">
        <f>E87*G87*12+ ((D87-E87)*G87/2*12)</f>
        <v>0</v>
      </c>
      <c r="I87" s="27"/>
      <c r="J87" s="27"/>
      <c r="K87" s="27"/>
      <c r="L87" s="27"/>
    </row>
    <row r="88" spans="1:12" x14ac:dyDescent="0.3">
      <c r="A88" s="7"/>
      <c r="B88" s="25" t="s">
        <v>54</v>
      </c>
      <c r="C88" s="26"/>
      <c r="D88" s="26"/>
      <c r="E88" s="26"/>
      <c r="F88" s="26"/>
      <c r="G88" s="27">
        <f>'расчёт зарплаты'!K97</f>
        <v>0</v>
      </c>
      <c r="H88" s="27">
        <f>E88*G88*12+ ((D88-E88)*G88/2*12)</f>
        <v>0</v>
      </c>
      <c r="I88" s="27"/>
      <c r="J88" s="27"/>
      <c r="K88" s="27"/>
      <c r="L88" s="27"/>
    </row>
    <row r="89" spans="1:12" ht="28.2" x14ac:dyDescent="0.3">
      <c r="A89" s="7"/>
      <c r="B89" s="9" t="s">
        <v>40</v>
      </c>
      <c r="C89" s="26">
        <v>4</v>
      </c>
      <c r="D89" s="26">
        <v>4</v>
      </c>
      <c r="E89" s="26">
        <v>4</v>
      </c>
      <c r="F89" s="26">
        <v>4</v>
      </c>
      <c r="G89" s="27">
        <f>'расчёт зарплаты'!K26</f>
        <v>32326.559999999998</v>
      </c>
      <c r="H89" s="27">
        <f>E89*G89*12+ ((D89-E89)*G89/2*12)</f>
        <v>1551674.88</v>
      </c>
      <c r="I89" s="27"/>
      <c r="J89" s="27">
        <f t="shared" ref="J89:J95" si="19">H89</f>
        <v>1551674.88</v>
      </c>
      <c r="K89" s="27">
        <f t="shared" ref="K89:K95" si="20">J89*30.2%</f>
        <v>468605.81375999993</v>
      </c>
      <c r="L89" s="27">
        <f t="shared" ref="L89:L95" si="21">J89+K89</f>
        <v>2020280.6937599997</v>
      </c>
    </row>
    <row r="90" spans="1:12" x14ac:dyDescent="0.3">
      <c r="A90" s="7"/>
      <c r="B90" s="9" t="s">
        <v>41</v>
      </c>
      <c r="C90" s="26">
        <v>7.25</v>
      </c>
      <c r="D90" s="26">
        <v>7</v>
      </c>
      <c r="E90" s="26">
        <v>7</v>
      </c>
      <c r="F90" s="26">
        <v>7</v>
      </c>
      <c r="G90" s="27">
        <f>'расчёт зарплаты'!K26</f>
        <v>32326.559999999998</v>
      </c>
      <c r="H90" s="27">
        <f>E90*G90*12+ ((D90-E90)*G90/2*12)</f>
        <v>2715431.04</v>
      </c>
      <c r="I90" s="27"/>
      <c r="J90" s="27">
        <f t="shared" si="19"/>
        <v>2715431.04</v>
      </c>
      <c r="K90" s="27">
        <f t="shared" si="20"/>
        <v>820060.17408000003</v>
      </c>
      <c r="L90" s="27">
        <f t="shared" si="21"/>
        <v>3535491.2140800003</v>
      </c>
    </row>
    <row r="91" spans="1:12" x14ac:dyDescent="0.3">
      <c r="A91" s="69" t="s">
        <v>43</v>
      </c>
      <c r="B91" s="69"/>
      <c r="C91" s="30">
        <f>C92+C93+C94+C95</f>
        <v>8.5</v>
      </c>
      <c r="D91" s="30">
        <f>D92+D93+D94+D95</f>
        <v>7.5</v>
      </c>
      <c r="E91" s="30">
        <f>E92+E93+E94+E95</f>
        <v>5</v>
      </c>
      <c r="F91" s="30">
        <f>F92+F93+F94+F95</f>
        <v>5</v>
      </c>
      <c r="G91" s="32"/>
      <c r="H91" s="32">
        <f>H92+H93+H94+H95</f>
        <v>2642304</v>
      </c>
      <c r="I91" s="32"/>
      <c r="J91" s="32">
        <f t="shared" si="19"/>
        <v>2642304</v>
      </c>
      <c r="K91" s="32">
        <f t="shared" si="20"/>
        <v>797975.80799999996</v>
      </c>
      <c r="L91" s="32">
        <f t="shared" si="21"/>
        <v>3440279.8080000002</v>
      </c>
    </row>
    <row r="92" spans="1:12" x14ac:dyDescent="0.3">
      <c r="A92" s="7"/>
      <c r="B92" s="9" t="s">
        <v>44</v>
      </c>
      <c r="C92" s="26">
        <v>2.5</v>
      </c>
      <c r="D92" s="26">
        <v>2.5</v>
      </c>
      <c r="E92" s="26">
        <v>2</v>
      </c>
      <c r="F92" s="26">
        <v>2</v>
      </c>
      <c r="G92" s="27">
        <f>'расчёт зарплаты'!K35</f>
        <v>36256</v>
      </c>
      <c r="H92" s="27">
        <f>E92*G92*12+ ((D92-E92)*G92/2*12)</f>
        <v>978912</v>
      </c>
      <c r="I92" s="27"/>
      <c r="J92" s="27">
        <f t="shared" si="19"/>
        <v>978912</v>
      </c>
      <c r="K92" s="27">
        <f t="shared" si="20"/>
        <v>295631.424</v>
      </c>
      <c r="L92" s="27">
        <f t="shared" si="21"/>
        <v>1274543.4240000001</v>
      </c>
    </row>
    <row r="93" spans="1:12" x14ac:dyDescent="0.3">
      <c r="A93" s="7"/>
      <c r="B93" s="9" t="s">
        <v>46</v>
      </c>
      <c r="C93" s="26"/>
      <c r="D93" s="26"/>
      <c r="E93" s="26"/>
      <c r="F93" s="26"/>
      <c r="G93" s="27">
        <f>'расчёт зарплаты'!K99</f>
        <v>0</v>
      </c>
      <c r="H93" s="27">
        <f>E93*G93*12+ ((D93-E93)*G93/2*12)</f>
        <v>0</v>
      </c>
      <c r="I93" s="27"/>
      <c r="J93" s="27">
        <f t="shared" si="19"/>
        <v>0</v>
      </c>
      <c r="K93" s="27">
        <f t="shared" si="20"/>
        <v>0</v>
      </c>
      <c r="L93" s="27">
        <f t="shared" si="21"/>
        <v>0</v>
      </c>
    </row>
    <row r="94" spans="1:12" x14ac:dyDescent="0.3">
      <c r="A94" s="7"/>
      <c r="B94" s="9" t="s">
        <v>47</v>
      </c>
      <c r="C94" s="26">
        <v>5</v>
      </c>
      <c r="D94" s="26">
        <v>4</v>
      </c>
      <c r="E94" s="26">
        <v>2</v>
      </c>
      <c r="F94" s="26">
        <v>2</v>
      </c>
      <c r="G94" s="27">
        <f>'расчёт зарплаты'!K39</f>
        <v>33936</v>
      </c>
      <c r="H94" s="27">
        <f>E94*G94*12+ ((D94-E94)*G94/2*12)</f>
        <v>1221696</v>
      </c>
      <c r="I94" s="27"/>
      <c r="J94" s="27">
        <f t="shared" si="19"/>
        <v>1221696</v>
      </c>
      <c r="K94" s="27">
        <f t="shared" si="20"/>
        <v>368952.19199999998</v>
      </c>
      <c r="L94" s="27">
        <f t="shared" si="21"/>
        <v>1590648.192</v>
      </c>
    </row>
    <row r="95" spans="1:12" x14ac:dyDescent="0.3">
      <c r="A95" s="19"/>
      <c r="B95" s="29" t="s">
        <v>52</v>
      </c>
      <c r="C95" s="35">
        <v>1</v>
      </c>
      <c r="D95" s="35">
        <v>1</v>
      </c>
      <c r="E95" s="35">
        <v>1</v>
      </c>
      <c r="F95" s="35">
        <v>1</v>
      </c>
      <c r="G95" s="27">
        <f>'расчёт зарплаты'!K20</f>
        <v>36808</v>
      </c>
      <c r="H95" s="27">
        <f>E95*G95*12+ ((D95-E95)*G95/2*12)</f>
        <v>441696</v>
      </c>
      <c r="I95" s="35"/>
      <c r="J95" s="27">
        <f t="shared" si="19"/>
        <v>441696</v>
      </c>
      <c r="K95" s="27">
        <f t="shared" si="20"/>
        <v>133392.19200000001</v>
      </c>
      <c r="L95" s="27">
        <f t="shared" si="21"/>
        <v>575088.19200000004</v>
      </c>
    </row>
    <row r="96" spans="1:12" x14ac:dyDescent="0.3">
      <c r="A96" s="28"/>
      <c r="B96" s="76" t="s">
        <v>76</v>
      </c>
      <c r="C96" s="77"/>
      <c r="D96" s="77"/>
      <c r="E96" s="77"/>
      <c r="F96" s="77"/>
      <c r="G96" s="77"/>
      <c r="H96" s="77"/>
      <c r="I96" s="77"/>
      <c r="J96" s="77"/>
      <c r="K96" s="77"/>
      <c r="L96" s="78"/>
    </row>
    <row r="97" spans="1:12" x14ac:dyDescent="0.3">
      <c r="A97" s="71" t="s">
        <v>68</v>
      </c>
      <c r="B97" s="72"/>
      <c r="C97" s="30">
        <f>C98+C114+C110</f>
        <v>83</v>
      </c>
      <c r="D97" s="30">
        <f>D98+D114+D110</f>
        <v>77</v>
      </c>
      <c r="E97" s="30">
        <f>E98+E114+E110</f>
        <v>66.7</v>
      </c>
      <c r="F97" s="30">
        <f>F98+F114+F110</f>
        <v>62</v>
      </c>
      <c r="G97" s="27"/>
      <c r="H97" s="27"/>
      <c r="I97" s="27"/>
      <c r="J97" s="27"/>
      <c r="K97" s="27"/>
      <c r="L97" s="27"/>
    </row>
    <row r="98" spans="1:12" x14ac:dyDescent="0.3">
      <c r="A98" s="71" t="s">
        <v>69</v>
      </c>
      <c r="B98" s="72"/>
      <c r="C98" s="30">
        <f>SUM(C99:C109)</f>
        <v>59.5</v>
      </c>
      <c r="D98" s="30">
        <f>SUM(D99:D109)</f>
        <v>54.5</v>
      </c>
      <c r="E98" s="30">
        <f>SUM(E99:E109)</f>
        <v>48.7</v>
      </c>
      <c r="F98" s="30">
        <f>SUM(F99:F109)</f>
        <v>49</v>
      </c>
      <c r="G98" s="30"/>
      <c r="H98" s="31">
        <f>SUM(H99:H109)</f>
        <v>20920975.68</v>
      </c>
      <c r="I98" s="32"/>
      <c r="J98" s="32">
        <f>H98-I98</f>
        <v>20920975.68</v>
      </c>
      <c r="K98" s="32">
        <f>J98*30.2%</f>
        <v>6318134.6553599993</v>
      </c>
      <c r="L98" s="32">
        <f>J98+K98</f>
        <v>27239110.335359998</v>
      </c>
    </row>
    <row r="99" spans="1:12" x14ac:dyDescent="0.3">
      <c r="A99" s="7"/>
      <c r="B99" s="9" t="s">
        <v>11</v>
      </c>
      <c r="C99" s="26">
        <v>32.5</v>
      </c>
      <c r="D99" s="26">
        <v>29</v>
      </c>
      <c r="E99" s="26">
        <v>25.5</v>
      </c>
      <c r="F99" s="26">
        <v>26</v>
      </c>
      <c r="G99" s="27">
        <f>'расчёт зарплаты'!K10</f>
        <v>33128</v>
      </c>
      <c r="H99" s="27">
        <f>E99*G99*12+ ((D99-E99)*G99/2*12)</f>
        <v>10832856</v>
      </c>
      <c r="I99" s="27"/>
      <c r="J99" s="27">
        <f>H99</f>
        <v>10832856</v>
      </c>
      <c r="K99" s="27">
        <f>J99*30.2%</f>
        <v>3271522.5120000001</v>
      </c>
      <c r="L99" s="27">
        <f>J99+K99</f>
        <v>14104378.512</v>
      </c>
    </row>
    <row r="100" spans="1:12" x14ac:dyDescent="0.3">
      <c r="A100" s="7"/>
      <c r="B100" s="9" t="s">
        <v>13</v>
      </c>
      <c r="C100" s="26"/>
      <c r="D100" s="26"/>
      <c r="E100" s="26"/>
      <c r="F100" s="26"/>
      <c r="G100" s="27">
        <f>'расчёт зарплаты'!K110</f>
        <v>0</v>
      </c>
      <c r="H100" s="27">
        <f t="shared" ref="H100:H109" si="22">E100*G100*12+ ((D100-E100)*G100/2*12)</f>
        <v>0</v>
      </c>
      <c r="I100" s="27"/>
      <c r="J100" s="27">
        <f t="shared" ref="J100:J109" si="23">H100</f>
        <v>0</v>
      </c>
      <c r="K100" s="27">
        <f t="shared" ref="K100:K113" si="24">J100*30.2%</f>
        <v>0</v>
      </c>
      <c r="L100" s="27">
        <f t="shared" ref="L100:L113" si="25">J100+K100</f>
        <v>0</v>
      </c>
    </row>
    <row r="101" spans="1:12" x14ac:dyDescent="0.3">
      <c r="A101" s="7"/>
      <c r="B101" s="9" t="s">
        <v>17</v>
      </c>
      <c r="C101" s="26">
        <v>4.5</v>
      </c>
      <c r="D101" s="26">
        <v>4</v>
      </c>
      <c r="E101" s="26">
        <v>2.7</v>
      </c>
      <c r="F101" s="26">
        <v>3</v>
      </c>
      <c r="G101" s="27">
        <f>'расчёт зарплаты'!K39</f>
        <v>33936</v>
      </c>
      <c r="H101" s="27">
        <f t="shared" si="22"/>
        <v>1364227.2000000002</v>
      </c>
      <c r="I101" s="27"/>
      <c r="J101" s="27">
        <f t="shared" si="23"/>
        <v>1364227.2000000002</v>
      </c>
      <c r="K101" s="27">
        <f t="shared" si="24"/>
        <v>411996.61440000002</v>
      </c>
      <c r="L101" s="27">
        <f t="shared" si="25"/>
        <v>1776223.8144000003</v>
      </c>
    </row>
    <row r="102" spans="1:12" ht="28.2" x14ac:dyDescent="0.3">
      <c r="A102" s="7"/>
      <c r="B102" s="9" t="s">
        <v>20</v>
      </c>
      <c r="C102" s="26"/>
      <c r="D102" s="26"/>
      <c r="E102" s="26"/>
      <c r="F102" s="26"/>
      <c r="G102" s="27"/>
      <c r="H102" s="27">
        <f t="shared" si="22"/>
        <v>0</v>
      </c>
      <c r="I102" s="27"/>
      <c r="J102" s="27">
        <f t="shared" si="23"/>
        <v>0</v>
      </c>
      <c r="K102" s="27">
        <f t="shared" si="24"/>
        <v>0</v>
      </c>
      <c r="L102" s="27">
        <f t="shared" si="25"/>
        <v>0</v>
      </c>
    </row>
    <row r="103" spans="1:12" x14ac:dyDescent="0.3">
      <c r="A103" s="7"/>
      <c r="B103" s="9" t="s">
        <v>21</v>
      </c>
      <c r="C103" s="26">
        <v>7</v>
      </c>
      <c r="D103" s="26">
        <v>7</v>
      </c>
      <c r="E103" s="26">
        <v>5</v>
      </c>
      <c r="F103" s="26">
        <v>6</v>
      </c>
      <c r="G103" s="27">
        <f>'расчёт зарплаты'!K35</f>
        <v>36256</v>
      </c>
      <c r="H103" s="27">
        <f t="shared" si="22"/>
        <v>2610432</v>
      </c>
      <c r="I103" s="27"/>
      <c r="J103" s="27">
        <f t="shared" si="23"/>
        <v>2610432</v>
      </c>
      <c r="K103" s="27">
        <f t="shared" si="24"/>
        <v>788350.46399999992</v>
      </c>
      <c r="L103" s="27">
        <f t="shared" si="25"/>
        <v>3398782.4639999997</v>
      </c>
    </row>
    <row r="104" spans="1:12" x14ac:dyDescent="0.3">
      <c r="A104" s="7"/>
      <c r="B104" s="9" t="s">
        <v>24</v>
      </c>
      <c r="C104" s="26">
        <v>12</v>
      </c>
      <c r="D104" s="26">
        <v>12</v>
      </c>
      <c r="E104" s="26">
        <v>12</v>
      </c>
      <c r="F104" s="26">
        <v>12</v>
      </c>
      <c r="G104" s="27">
        <f>'расчёт зарплаты'!K8</f>
        <v>33865.919999999998</v>
      </c>
      <c r="H104" s="27">
        <f t="shared" si="22"/>
        <v>4876692.4799999995</v>
      </c>
      <c r="I104" s="27"/>
      <c r="J104" s="27">
        <f t="shared" si="23"/>
        <v>4876692.4799999995</v>
      </c>
      <c r="K104" s="27">
        <f t="shared" si="24"/>
        <v>1472761.1289599999</v>
      </c>
      <c r="L104" s="27">
        <f t="shared" si="25"/>
        <v>6349453.6089599989</v>
      </c>
    </row>
    <row r="105" spans="1:12" ht="42" x14ac:dyDescent="0.3">
      <c r="A105" s="7"/>
      <c r="B105" s="9" t="s">
        <v>25</v>
      </c>
      <c r="C105" s="26">
        <v>2.5</v>
      </c>
      <c r="D105" s="26">
        <v>1.5</v>
      </c>
      <c r="E105" s="26">
        <v>2.5</v>
      </c>
      <c r="F105" s="26">
        <v>1</v>
      </c>
      <c r="G105" s="27">
        <f>'расчёт зарплаты'!K10</f>
        <v>33128</v>
      </c>
      <c r="H105" s="27">
        <f t="shared" si="22"/>
        <v>795072</v>
      </c>
      <c r="I105" s="27"/>
      <c r="J105" s="27">
        <f t="shared" si="23"/>
        <v>795072</v>
      </c>
      <c r="K105" s="27">
        <f t="shared" si="24"/>
        <v>240111.74400000001</v>
      </c>
      <c r="L105" s="27">
        <f t="shared" si="25"/>
        <v>1035183.7439999999</v>
      </c>
    </row>
    <row r="106" spans="1:12" ht="28.2" x14ac:dyDescent="0.3">
      <c r="A106" s="7"/>
      <c r="B106" s="9" t="s">
        <v>26</v>
      </c>
      <c r="C106" s="26">
        <v>1</v>
      </c>
      <c r="D106" s="26">
        <v>1</v>
      </c>
      <c r="E106" s="26">
        <v>1</v>
      </c>
      <c r="F106" s="26">
        <v>1</v>
      </c>
      <c r="G106" s="27">
        <f>'расчёт зарплаты'!K20</f>
        <v>36808</v>
      </c>
      <c r="H106" s="27">
        <f t="shared" si="22"/>
        <v>441696</v>
      </c>
      <c r="I106" s="27"/>
      <c r="J106" s="27">
        <f t="shared" si="23"/>
        <v>441696</v>
      </c>
      <c r="K106" s="27">
        <f t="shared" si="24"/>
        <v>133392.19200000001</v>
      </c>
      <c r="L106" s="27">
        <f t="shared" si="25"/>
        <v>575088.19200000004</v>
      </c>
    </row>
    <row r="107" spans="1:12" ht="42" x14ac:dyDescent="0.3">
      <c r="A107" s="7"/>
      <c r="B107" s="9" t="s">
        <v>70</v>
      </c>
      <c r="C107" s="26"/>
      <c r="D107" s="26"/>
      <c r="E107" s="26"/>
      <c r="F107" s="26"/>
      <c r="G107" s="27">
        <f>'расчёт зарплаты'!K100</f>
        <v>0</v>
      </c>
      <c r="H107" s="27">
        <f t="shared" si="22"/>
        <v>0</v>
      </c>
      <c r="I107" s="27"/>
      <c r="J107" s="27">
        <f t="shared" si="23"/>
        <v>0</v>
      </c>
      <c r="K107" s="27">
        <f t="shared" si="24"/>
        <v>0</v>
      </c>
      <c r="L107" s="27">
        <f t="shared" si="25"/>
        <v>0</v>
      </c>
    </row>
    <row r="108" spans="1:12" x14ac:dyDescent="0.3">
      <c r="A108" s="7"/>
      <c r="B108" s="9" t="s">
        <v>30</v>
      </c>
      <c r="C108" s="26"/>
      <c r="D108" s="26"/>
      <c r="E108" s="26"/>
      <c r="F108" s="26"/>
      <c r="G108" s="27">
        <f>'расчёт зарплаты'!K125</f>
        <v>0</v>
      </c>
      <c r="H108" s="27">
        <f t="shared" si="22"/>
        <v>0</v>
      </c>
      <c r="I108" s="27"/>
      <c r="J108" s="27">
        <f t="shared" si="23"/>
        <v>0</v>
      </c>
      <c r="K108" s="27">
        <f t="shared" si="24"/>
        <v>0</v>
      </c>
      <c r="L108" s="27">
        <f t="shared" si="25"/>
        <v>0</v>
      </c>
    </row>
    <row r="109" spans="1:12" ht="39.6" x14ac:dyDescent="0.3">
      <c r="A109" s="7"/>
      <c r="B109" s="22" t="s">
        <v>31</v>
      </c>
      <c r="C109" s="26"/>
      <c r="D109" s="26"/>
      <c r="E109" s="26"/>
      <c r="F109" s="26"/>
      <c r="G109" s="27">
        <f>'расчёт зарплаты'!K135</f>
        <v>0</v>
      </c>
      <c r="H109" s="27">
        <f t="shared" si="22"/>
        <v>0</v>
      </c>
      <c r="I109" s="27"/>
      <c r="J109" s="27">
        <f t="shared" si="23"/>
        <v>0</v>
      </c>
      <c r="K109" s="27">
        <f t="shared" si="24"/>
        <v>0</v>
      </c>
      <c r="L109" s="27">
        <f t="shared" si="25"/>
        <v>0</v>
      </c>
    </row>
    <row r="110" spans="1:12" x14ac:dyDescent="0.3">
      <c r="A110" s="23" t="s">
        <v>63</v>
      </c>
      <c r="B110" s="24"/>
      <c r="C110" s="33">
        <f>C111+C112+C113</f>
        <v>9</v>
      </c>
      <c r="D110" s="33">
        <f>D111+D112+D113</f>
        <v>9</v>
      </c>
      <c r="E110" s="33">
        <f>E111+E112+E113</f>
        <v>7</v>
      </c>
      <c r="F110" s="33">
        <f>F111+F112+F113</f>
        <v>6</v>
      </c>
      <c r="G110" s="33"/>
      <c r="H110" s="34">
        <f>H111+H112+H113</f>
        <v>3142722.2399999998</v>
      </c>
      <c r="I110" s="34">
        <f>I111+I112+I113</f>
        <v>0</v>
      </c>
      <c r="J110" s="34">
        <f>J111+J112+J113</f>
        <v>3142722.2399999998</v>
      </c>
      <c r="K110" s="34">
        <f>K111+K112+K113</f>
        <v>949102.11647999997</v>
      </c>
      <c r="L110" s="34">
        <f>L111+L112+L113</f>
        <v>4091824.3564799996</v>
      </c>
    </row>
    <row r="111" spans="1:12" x14ac:dyDescent="0.3">
      <c r="A111" s="7"/>
      <c r="B111" s="9" t="s">
        <v>14</v>
      </c>
      <c r="C111" s="26">
        <v>1.5</v>
      </c>
      <c r="D111" s="26">
        <v>1.5</v>
      </c>
      <c r="E111" s="26">
        <v>1</v>
      </c>
      <c r="F111" s="26"/>
      <c r="G111" s="27">
        <f>'расчёт зарплаты'!K26</f>
        <v>32326.559999999998</v>
      </c>
      <c r="H111" s="27">
        <f>E111*G111*12+ ((D111-E111)*G111/2*12)</f>
        <v>484898.39999999997</v>
      </c>
      <c r="I111" s="27"/>
      <c r="J111" s="27">
        <f>H111</f>
        <v>484898.39999999997</v>
      </c>
      <c r="K111" s="27">
        <f t="shared" si="24"/>
        <v>146439.31679999997</v>
      </c>
      <c r="L111" s="27">
        <f t="shared" si="25"/>
        <v>631337.71679999994</v>
      </c>
    </row>
    <row r="112" spans="1:12" x14ac:dyDescent="0.3">
      <c r="A112" s="7"/>
      <c r="B112" s="9" t="s">
        <v>16</v>
      </c>
      <c r="C112" s="26">
        <v>3.5</v>
      </c>
      <c r="D112" s="26">
        <v>3.5</v>
      </c>
      <c r="E112" s="26">
        <v>3</v>
      </c>
      <c r="F112" s="26">
        <v>3</v>
      </c>
      <c r="G112" s="27">
        <f>'расчёт зарплаты'!K26</f>
        <v>32326.559999999998</v>
      </c>
      <c r="H112" s="27">
        <f>E112*G112*12+ ((D112-E112)*G112/2*12)</f>
        <v>1260735.8399999999</v>
      </c>
      <c r="I112" s="27"/>
      <c r="J112" s="27">
        <f>H112</f>
        <v>1260735.8399999999</v>
      </c>
      <c r="K112" s="27">
        <f t="shared" si="24"/>
        <v>380742.22367999994</v>
      </c>
      <c r="L112" s="27">
        <f t="shared" si="25"/>
        <v>1641478.0636799997</v>
      </c>
    </row>
    <row r="113" spans="1:12" ht="28.2" x14ac:dyDescent="0.3">
      <c r="A113" s="7"/>
      <c r="B113" s="9" t="s">
        <v>71</v>
      </c>
      <c r="C113" s="26">
        <v>4</v>
      </c>
      <c r="D113" s="26">
        <v>4</v>
      </c>
      <c r="E113" s="26">
        <v>3</v>
      </c>
      <c r="F113" s="26">
        <v>3</v>
      </c>
      <c r="G113" s="27">
        <f>'расчёт зарплаты'!K41</f>
        <v>33264</v>
      </c>
      <c r="H113" s="27">
        <f>E113*G113*12+ ((D113-E113)*G113/2*12)</f>
        <v>1397088</v>
      </c>
      <c r="I113" s="27"/>
      <c r="J113" s="27">
        <f>H113</f>
        <v>1397088</v>
      </c>
      <c r="K113" s="27">
        <f t="shared" si="24"/>
        <v>421920.576</v>
      </c>
      <c r="L113" s="27">
        <f t="shared" si="25"/>
        <v>1819008.5759999999</v>
      </c>
    </row>
    <row r="114" spans="1:12" x14ac:dyDescent="0.3">
      <c r="A114" s="69" t="s">
        <v>73</v>
      </c>
      <c r="B114" s="69"/>
      <c r="C114" s="30">
        <f>C115+C121</f>
        <v>14.5</v>
      </c>
      <c r="D114" s="30">
        <f>D115+D121</f>
        <v>13.5</v>
      </c>
      <c r="E114" s="30">
        <f>E115+E121</f>
        <v>11</v>
      </c>
      <c r="F114" s="30">
        <f>F115+F121</f>
        <v>7</v>
      </c>
      <c r="G114" s="27"/>
      <c r="H114" s="27">
        <f>E114*G114*12+ ((D114-E114)*G114/2*12)</f>
        <v>0</v>
      </c>
      <c r="I114" s="27"/>
      <c r="J114" s="32">
        <f>J115+J121</f>
        <v>4843465.68</v>
      </c>
      <c r="K114" s="32">
        <f>K115+K121</f>
        <v>1462726.6353599997</v>
      </c>
      <c r="L114" s="32">
        <f>L115+L121</f>
        <v>6306192.3153599994</v>
      </c>
    </row>
    <row r="115" spans="1:12" x14ac:dyDescent="0.3">
      <c r="A115" s="69" t="s">
        <v>35</v>
      </c>
      <c r="B115" s="69"/>
      <c r="C115" s="30">
        <f>C116+C117+C118+C119+C120</f>
        <v>11.5</v>
      </c>
      <c r="D115" s="30">
        <f>D116+D117+D118+D119+D120</f>
        <v>10.5</v>
      </c>
      <c r="E115" s="30">
        <f>E116+E117+E118+E119+E120</f>
        <v>8.75</v>
      </c>
      <c r="F115" s="30">
        <f>F116+F117+F118+F119+F120</f>
        <v>5</v>
      </c>
      <c r="G115" s="32"/>
      <c r="H115" s="32">
        <f>H116+H117+H119+H120+H118</f>
        <v>3733717.6799999997</v>
      </c>
      <c r="I115" s="32"/>
      <c r="J115" s="32">
        <f>H115</f>
        <v>3733717.6799999997</v>
      </c>
      <c r="K115" s="32">
        <f>J115*30.2%</f>
        <v>1127582.7393599998</v>
      </c>
      <c r="L115" s="32">
        <f>J115+K115</f>
        <v>4861300.4193599997</v>
      </c>
    </row>
    <row r="116" spans="1:12" x14ac:dyDescent="0.3">
      <c r="A116" s="7"/>
      <c r="B116" s="9" t="s">
        <v>36</v>
      </c>
      <c r="C116" s="26"/>
      <c r="D116" s="26"/>
      <c r="E116" s="26"/>
      <c r="F116" s="26"/>
      <c r="G116" s="27">
        <f>'расчёт зарплаты'!K104</f>
        <v>0</v>
      </c>
      <c r="H116" s="27">
        <f>E116*G116*12+ ((D116-E116)*G116/2*12)</f>
        <v>0</v>
      </c>
      <c r="I116" s="27"/>
      <c r="J116" s="27"/>
      <c r="K116" s="27"/>
      <c r="L116" s="27"/>
    </row>
    <row r="117" spans="1:12" x14ac:dyDescent="0.3">
      <c r="A117" s="7"/>
      <c r="B117" s="9" t="s">
        <v>23</v>
      </c>
      <c r="C117" s="26"/>
      <c r="D117" s="26"/>
      <c r="E117" s="26"/>
      <c r="F117" s="26"/>
      <c r="G117" s="27">
        <f>'расчёт зарплаты'!K108</f>
        <v>0</v>
      </c>
      <c r="H117" s="27">
        <f>E117*G117*12+ ((D117-E117)*G117/2*12)</f>
        <v>0</v>
      </c>
      <c r="I117" s="27"/>
      <c r="J117" s="27"/>
      <c r="K117" s="27"/>
      <c r="L117" s="27"/>
    </row>
    <row r="118" spans="1:12" x14ac:dyDescent="0.3">
      <c r="A118" s="7"/>
      <c r="B118" s="25" t="s">
        <v>54</v>
      </c>
      <c r="C118" s="26"/>
      <c r="D118" s="26"/>
      <c r="E118" s="26"/>
      <c r="F118" s="26"/>
      <c r="G118" s="27">
        <f>'расчёт зарплаты'!K127</f>
        <v>0</v>
      </c>
      <c r="H118" s="27">
        <f>E118*G118*12+ ((D118-E118)*G118/2*12)</f>
        <v>0</v>
      </c>
      <c r="I118" s="27"/>
      <c r="J118" s="27"/>
      <c r="K118" s="27"/>
      <c r="L118" s="27"/>
    </row>
    <row r="119" spans="1:12" ht="28.2" x14ac:dyDescent="0.3">
      <c r="A119" s="7"/>
      <c r="B119" s="9" t="s">
        <v>40</v>
      </c>
      <c r="C119" s="26">
        <v>5</v>
      </c>
      <c r="D119" s="41">
        <v>5</v>
      </c>
      <c r="E119" s="41">
        <v>5</v>
      </c>
      <c r="F119" s="41">
        <v>1</v>
      </c>
      <c r="G119" s="27">
        <f>'расчёт зарплаты'!K26</f>
        <v>32326.559999999998</v>
      </c>
      <c r="H119" s="27">
        <f>E119*G119*12+ ((D119-E119)*G119/2*12)</f>
        <v>1939593.5999999999</v>
      </c>
      <c r="I119" s="27"/>
      <c r="J119" s="27">
        <f t="shared" ref="J119:J125" si="26">H119</f>
        <v>1939593.5999999999</v>
      </c>
      <c r="K119" s="27">
        <f t="shared" ref="K119:K125" si="27">J119*30.2%</f>
        <v>585757.26719999989</v>
      </c>
      <c r="L119" s="27">
        <f t="shared" ref="L119:L125" si="28">J119+K119</f>
        <v>2525350.8671999997</v>
      </c>
    </row>
    <row r="120" spans="1:12" x14ac:dyDescent="0.3">
      <c r="A120" s="7"/>
      <c r="B120" s="9" t="s">
        <v>41</v>
      </c>
      <c r="C120" s="26">
        <v>6.5</v>
      </c>
      <c r="D120" s="26">
        <v>5.5</v>
      </c>
      <c r="E120" s="26">
        <v>3.75</v>
      </c>
      <c r="F120" s="26">
        <v>4</v>
      </c>
      <c r="G120" s="27">
        <f>'расчёт зарплаты'!K26</f>
        <v>32326.559999999998</v>
      </c>
      <c r="H120" s="27">
        <f>E120*G120*12+ ((D120-E120)*G120/2*12)</f>
        <v>1794124.08</v>
      </c>
      <c r="I120" s="27"/>
      <c r="J120" s="27">
        <f t="shared" si="26"/>
        <v>1794124.08</v>
      </c>
      <c r="K120" s="27">
        <f t="shared" si="27"/>
        <v>541825.47216</v>
      </c>
      <c r="L120" s="27">
        <f t="shared" si="28"/>
        <v>2335949.55216</v>
      </c>
    </row>
    <row r="121" spans="1:12" x14ac:dyDescent="0.3">
      <c r="A121" s="69" t="s">
        <v>43</v>
      </c>
      <c r="B121" s="69"/>
      <c r="C121" s="30">
        <f>C122+C123+C124+C125</f>
        <v>3</v>
      </c>
      <c r="D121" s="30">
        <f>D122+D123+D124+D125</f>
        <v>3</v>
      </c>
      <c r="E121" s="30">
        <f>E122+E123+E124+E125</f>
        <v>2.25</v>
      </c>
      <c r="F121" s="30">
        <f>F122+F123+F124+F125</f>
        <v>2</v>
      </c>
      <c r="G121" s="32"/>
      <c r="H121" s="32">
        <f>H122+H123+H124+H125</f>
        <v>1109748</v>
      </c>
      <c r="I121" s="32"/>
      <c r="J121" s="32">
        <f t="shared" si="26"/>
        <v>1109748</v>
      </c>
      <c r="K121" s="32">
        <f t="shared" si="27"/>
        <v>335143.89600000001</v>
      </c>
      <c r="L121" s="32">
        <f t="shared" si="28"/>
        <v>1444891.8959999999</v>
      </c>
    </row>
    <row r="122" spans="1:12" x14ac:dyDescent="0.3">
      <c r="A122" s="7"/>
      <c r="B122" s="9" t="s">
        <v>44</v>
      </c>
      <c r="C122" s="26">
        <v>1</v>
      </c>
      <c r="D122" s="26">
        <v>1</v>
      </c>
      <c r="E122" s="26">
        <v>1</v>
      </c>
      <c r="F122" s="26">
        <v>1</v>
      </c>
      <c r="G122" s="27">
        <f>'расчёт зарплаты'!K35</f>
        <v>36256</v>
      </c>
      <c r="H122" s="27">
        <f>E122*G122*12+ ((D122-E122)*G122/2*12)</f>
        <v>435072</v>
      </c>
      <c r="I122" s="27"/>
      <c r="J122" s="27">
        <f t="shared" si="26"/>
        <v>435072</v>
      </c>
      <c r="K122" s="27">
        <f t="shared" si="27"/>
        <v>131391.74400000001</v>
      </c>
      <c r="L122" s="27">
        <f t="shared" si="28"/>
        <v>566463.74399999995</v>
      </c>
    </row>
    <row r="123" spans="1:12" x14ac:dyDescent="0.3">
      <c r="A123" s="7"/>
      <c r="B123" s="9" t="s">
        <v>46</v>
      </c>
      <c r="C123" s="26"/>
      <c r="D123" s="26"/>
      <c r="E123" s="26"/>
      <c r="F123" s="26"/>
      <c r="G123" s="27">
        <f>'расчёт зарплаты'!K129</f>
        <v>0</v>
      </c>
      <c r="H123" s="27">
        <f>E123*G123*12+ ((D123-E123)*G123/2*12)</f>
        <v>0</v>
      </c>
      <c r="I123" s="27"/>
      <c r="J123" s="27">
        <f t="shared" si="26"/>
        <v>0</v>
      </c>
      <c r="K123" s="27">
        <f t="shared" si="27"/>
        <v>0</v>
      </c>
      <c r="L123" s="27">
        <f t="shared" si="28"/>
        <v>0</v>
      </c>
    </row>
    <row r="124" spans="1:12" x14ac:dyDescent="0.3">
      <c r="A124" s="7"/>
      <c r="B124" s="9" t="s">
        <v>47</v>
      </c>
      <c r="C124" s="26">
        <v>1.25</v>
      </c>
      <c r="D124" s="26">
        <v>1.25</v>
      </c>
      <c r="E124" s="26">
        <v>1.25</v>
      </c>
      <c r="F124" s="26">
        <v>1</v>
      </c>
      <c r="G124" s="27">
        <f>'расчёт зарплаты'!K39</f>
        <v>33936</v>
      </c>
      <c r="H124" s="27">
        <f>E124*G124*12+ ((D124-E124)*G124/2*12)</f>
        <v>509040</v>
      </c>
      <c r="I124" s="27"/>
      <c r="J124" s="27">
        <f t="shared" si="26"/>
        <v>509040</v>
      </c>
      <c r="K124" s="27">
        <f t="shared" si="27"/>
        <v>153730.07999999999</v>
      </c>
      <c r="L124" s="27">
        <f t="shared" si="28"/>
        <v>662770.07999999996</v>
      </c>
    </row>
    <row r="125" spans="1:12" x14ac:dyDescent="0.3">
      <c r="A125" s="19"/>
      <c r="B125" s="29" t="s">
        <v>52</v>
      </c>
      <c r="C125" s="35">
        <v>0.75</v>
      </c>
      <c r="D125" s="42">
        <v>0.75</v>
      </c>
      <c r="E125" s="42"/>
      <c r="F125" s="42"/>
      <c r="G125" s="27">
        <f>'расчёт зарплаты'!K20</f>
        <v>36808</v>
      </c>
      <c r="H125" s="27">
        <f>E125*G125*12+ ((D125-E125)*G125/2*12)</f>
        <v>165636</v>
      </c>
      <c r="I125" s="35"/>
      <c r="J125" s="27">
        <f t="shared" si="26"/>
        <v>165636</v>
      </c>
      <c r="K125" s="27">
        <f t="shared" si="27"/>
        <v>50022.072</v>
      </c>
      <c r="L125" s="27">
        <f t="shared" si="28"/>
        <v>215658.07199999999</v>
      </c>
    </row>
    <row r="126" spans="1:12" x14ac:dyDescent="0.3">
      <c r="A126" s="28"/>
      <c r="B126" s="76" t="s">
        <v>77</v>
      </c>
      <c r="C126" s="77"/>
      <c r="D126" s="77"/>
      <c r="E126" s="77"/>
      <c r="F126" s="77"/>
      <c r="G126" s="77"/>
      <c r="H126" s="77"/>
      <c r="I126" s="77"/>
      <c r="J126" s="77"/>
      <c r="K126" s="77"/>
      <c r="L126" s="78"/>
    </row>
    <row r="127" spans="1:12" x14ac:dyDescent="0.3">
      <c r="A127" s="71" t="s">
        <v>68</v>
      </c>
      <c r="B127" s="72"/>
      <c r="C127" s="30">
        <f>C128+C144+C140</f>
        <v>42.25</v>
      </c>
      <c r="D127" s="30">
        <f>D128+D144+D140</f>
        <v>40.75</v>
      </c>
      <c r="E127" s="30">
        <f>E128+E144+E140</f>
        <v>40.299999999999997</v>
      </c>
      <c r="F127" s="30">
        <f>F128+F144+F140</f>
        <v>39</v>
      </c>
      <c r="G127" s="27"/>
      <c r="H127" s="27"/>
      <c r="I127" s="27"/>
      <c r="J127" s="27"/>
      <c r="K127" s="27"/>
      <c r="L127" s="27"/>
    </row>
    <row r="128" spans="1:12" x14ac:dyDescent="0.3">
      <c r="A128" s="71" t="s">
        <v>69</v>
      </c>
      <c r="B128" s="72"/>
      <c r="C128" s="30">
        <f>SUM(C129:C139)</f>
        <v>29.75</v>
      </c>
      <c r="D128" s="30">
        <f>SUM(D129:D139)</f>
        <v>28.75</v>
      </c>
      <c r="E128" s="30">
        <f>SUM(E129:E139)</f>
        <v>29.3</v>
      </c>
      <c r="F128" s="30">
        <f>SUM(F129:F139)</f>
        <v>28</v>
      </c>
      <c r="G128" s="30"/>
      <c r="H128" s="31">
        <f>SUM(H129:H139)</f>
        <v>11777874.24</v>
      </c>
      <c r="I128" s="32"/>
      <c r="J128" s="32">
        <f>H128-I128</f>
        <v>11777874.24</v>
      </c>
      <c r="K128" s="32">
        <f>J128*30.2%</f>
        <v>3556918.0204799999</v>
      </c>
      <c r="L128" s="32">
        <f>J128+K128</f>
        <v>15334792.26048</v>
      </c>
    </row>
    <row r="129" spans="1:12" x14ac:dyDescent="0.3">
      <c r="A129" s="7"/>
      <c r="B129" s="9" t="s">
        <v>11</v>
      </c>
      <c r="C129" s="26">
        <v>15</v>
      </c>
      <c r="D129" s="26">
        <v>14</v>
      </c>
      <c r="E129" s="26">
        <v>14.6</v>
      </c>
      <c r="F129" s="26">
        <v>14</v>
      </c>
      <c r="G129" s="27">
        <f>'расчёт зарплаты'!K10</f>
        <v>33128</v>
      </c>
      <c r="H129" s="27">
        <f>E129*G129*12+ ((D129-E129)*G129/2*12)</f>
        <v>5684764.7999999998</v>
      </c>
      <c r="I129" s="27"/>
      <c r="J129" s="27">
        <f t="shared" ref="J129:J143" si="29">H129</f>
        <v>5684764.7999999998</v>
      </c>
      <c r="K129" s="27">
        <f t="shared" ref="K129:K143" si="30">J129*30.2%</f>
        <v>1716798.9696</v>
      </c>
      <c r="L129" s="27">
        <f t="shared" ref="L129:L143" si="31">J129+K129</f>
        <v>7401563.7696000002</v>
      </c>
    </row>
    <row r="130" spans="1:12" x14ac:dyDescent="0.3">
      <c r="A130" s="7"/>
      <c r="B130" s="9" t="s">
        <v>13</v>
      </c>
      <c r="C130" s="26"/>
      <c r="D130" s="26"/>
      <c r="E130" s="26"/>
      <c r="F130" s="26"/>
      <c r="G130" s="27">
        <f>'расчёт зарплаты'!K140</f>
        <v>0</v>
      </c>
      <c r="H130" s="27">
        <f t="shared" ref="H130:H139" si="32">E130*G130*12+ ((D130-E130)*G130/2*12)</f>
        <v>0</v>
      </c>
      <c r="I130" s="27"/>
      <c r="J130" s="27">
        <f t="shared" si="29"/>
        <v>0</v>
      </c>
      <c r="K130" s="27">
        <f t="shared" si="30"/>
        <v>0</v>
      </c>
      <c r="L130" s="27">
        <f t="shared" si="31"/>
        <v>0</v>
      </c>
    </row>
    <row r="131" spans="1:12" x14ac:dyDescent="0.3">
      <c r="A131" s="7"/>
      <c r="B131" s="9" t="s">
        <v>17</v>
      </c>
      <c r="C131" s="26">
        <v>2.75</v>
      </c>
      <c r="D131" s="26">
        <v>2.75</v>
      </c>
      <c r="E131" s="26">
        <v>2.7</v>
      </c>
      <c r="F131" s="26">
        <v>2</v>
      </c>
      <c r="G131" s="27">
        <f>'расчёт зарплаты'!K39</f>
        <v>33936</v>
      </c>
      <c r="H131" s="27">
        <f t="shared" si="32"/>
        <v>1109707.2000000002</v>
      </c>
      <c r="I131" s="27"/>
      <c r="J131" s="27">
        <f t="shared" si="29"/>
        <v>1109707.2000000002</v>
      </c>
      <c r="K131" s="27">
        <f t="shared" si="30"/>
        <v>335131.57440000004</v>
      </c>
      <c r="L131" s="27">
        <f t="shared" si="31"/>
        <v>1444838.7744000002</v>
      </c>
    </row>
    <row r="132" spans="1:12" ht="28.2" x14ac:dyDescent="0.3">
      <c r="A132" s="7"/>
      <c r="B132" s="9" t="s">
        <v>20</v>
      </c>
      <c r="C132" s="26">
        <v>1</v>
      </c>
      <c r="D132" s="26">
        <v>1</v>
      </c>
      <c r="E132" s="26">
        <v>1</v>
      </c>
      <c r="F132" s="26">
        <v>1</v>
      </c>
      <c r="G132" s="27">
        <f>'расчёт зарплаты'!K39</f>
        <v>33936</v>
      </c>
      <c r="H132" s="27">
        <f t="shared" si="32"/>
        <v>407232</v>
      </c>
      <c r="I132" s="27"/>
      <c r="J132" s="27">
        <f t="shared" si="29"/>
        <v>407232</v>
      </c>
      <c r="K132" s="27">
        <f t="shared" si="30"/>
        <v>122984.064</v>
      </c>
      <c r="L132" s="27">
        <f t="shared" si="31"/>
        <v>530216.06400000001</v>
      </c>
    </row>
    <row r="133" spans="1:12" x14ac:dyDescent="0.3">
      <c r="A133" s="7"/>
      <c r="B133" s="9" t="s">
        <v>21</v>
      </c>
      <c r="C133" s="26">
        <v>4</v>
      </c>
      <c r="D133" s="26">
        <v>4</v>
      </c>
      <c r="E133" s="26">
        <v>4</v>
      </c>
      <c r="F133" s="26">
        <v>4</v>
      </c>
      <c r="G133" s="27">
        <f>'расчёт зарплаты'!K35</f>
        <v>36256</v>
      </c>
      <c r="H133" s="27">
        <f t="shared" si="32"/>
        <v>1740288</v>
      </c>
      <c r="I133" s="27"/>
      <c r="J133" s="27">
        <f t="shared" si="29"/>
        <v>1740288</v>
      </c>
      <c r="K133" s="27">
        <f t="shared" si="30"/>
        <v>525566.97600000002</v>
      </c>
      <c r="L133" s="27">
        <f t="shared" si="31"/>
        <v>2265854.9759999998</v>
      </c>
    </row>
    <row r="134" spans="1:12" x14ac:dyDescent="0.3">
      <c r="A134" s="7"/>
      <c r="B134" s="9" t="s">
        <v>24</v>
      </c>
      <c r="C134" s="26">
        <v>6</v>
      </c>
      <c r="D134" s="26">
        <v>6</v>
      </c>
      <c r="E134" s="26">
        <v>6</v>
      </c>
      <c r="F134" s="26">
        <v>6</v>
      </c>
      <c r="G134" s="27">
        <f>'расчёт зарплаты'!K8</f>
        <v>33865.919999999998</v>
      </c>
      <c r="H134" s="27">
        <f t="shared" si="32"/>
        <v>2438346.2399999998</v>
      </c>
      <c r="I134" s="27"/>
      <c r="J134" s="27">
        <f t="shared" si="29"/>
        <v>2438346.2399999998</v>
      </c>
      <c r="K134" s="27">
        <f t="shared" si="30"/>
        <v>736380.56447999994</v>
      </c>
      <c r="L134" s="27">
        <f t="shared" si="31"/>
        <v>3174726.8044799995</v>
      </c>
    </row>
    <row r="135" spans="1:12" ht="42" x14ac:dyDescent="0.3">
      <c r="A135" s="7"/>
      <c r="B135" s="9" t="s">
        <v>25</v>
      </c>
      <c r="C135" s="26">
        <v>1</v>
      </c>
      <c r="D135" s="26">
        <v>1</v>
      </c>
      <c r="E135" s="26">
        <v>1</v>
      </c>
      <c r="F135" s="26">
        <v>1</v>
      </c>
      <c r="G135" s="27">
        <f>'расчёт зарплаты'!K10</f>
        <v>33128</v>
      </c>
      <c r="H135" s="27">
        <f t="shared" si="32"/>
        <v>397536</v>
      </c>
      <c r="I135" s="27"/>
      <c r="J135" s="27">
        <f t="shared" si="29"/>
        <v>397536</v>
      </c>
      <c r="K135" s="27">
        <f t="shared" si="30"/>
        <v>120055.872</v>
      </c>
      <c r="L135" s="27">
        <f t="shared" si="31"/>
        <v>517591.87199999997</v>
      </c>
    </row>
    <row r="136" spans="1:12" ht="28.2" x14ac:dyDescent="0.3">
      <c r="A136" s="7"/>
      <c r="B136" s="9" t="s">
        <v>26</v>
      </c>
      <c r="C136" s="26"/>
      <c r="D136" s="26"/>
      <c r="E136" s="26"/>
      <c r="F136" s="26"/>
      <c r="G136" s="27">
        <f>'расчёт зарплаты'!K140</f>
        <v>0</v>
      </c>
      <c r="H136" s="27">
        <f t="shared" si="32"/>
        <v>0</v>
      </c>
      <c r="I136" s="27"/>
      <c r="J136" s="27">
        <f t="shared" si="29"/>
        <v>0</v>
      </c>
      <c r="K136" s="27">
        <f t="shared" si="30"/>
        <v>0</v>
      </c>
      <c r="L136" s="27">
        <f t="shared" si="31"/>
        <v>0</v>
      </c>
    </row>
    <row r="137" spans="1:12" ht="42" x14ac:dyDescent="0.3">
      <c r="A137" s="7"/>
      <c r="B137" s="9" t="s">
        <v>70</v>
      </c>
      <c r="C137" s="26"/>
      <c r="D137" s="26"/>
      <c r="E137" s="26"/>
      <c r="F137" s="26"/>
      <c r="G137" s="27">
        <f>'расчёт зарплаты'!K130</f>
        <v>0</v>
      </c>
      <c r="H137" s="27">
        <f t="shared" si="32"/>
        <v>0</v>
      </c>
      <c r="I137" s="27"/>
      <c r="J137" s="27">
        <f t="shared" si="29"/>
        <v>0</v>
      </c>
      <c r="K137" s="27">
        <f t="shared" si="30"/>
        <v>0</v>
      </c>
      <c r="L137" s="27">
        <f t="shared" si="31"/>
        <v>0</v>
      </c>
    </row>
    <row r="138" spans="1:12" x14ac:dyDescent="0.3">
      <c r="A138" s="7"/>
      <c r="B138" s="9" t="s">
        <v>30</v>
      </c>
      <c r="C138" s="26"/>
      <c r="D138" s="26"/>
      <c r="E138" s="26"/>
      <c r="F138" s="26"/>
      <c r="G138" s="27">
        <f>'расчёт зарплаты'!K155</f>
        <v>0</v>
      </c>
      <c r="H138" s="27">
        <f t="shared" si="32"/>
        <v>0</v>
      </c>
      <c r="I138" s="27"/>
      <c r="J138" s="27">
        <f t="shared" si="29"/>
        <v>0</v>
      </c>
      <c r="K138" s="27">
        <f t="shared" si="30"/>
        <v>0</v>
      </c>
      <c r="L138" s="27">
        <f t="shared" si="31"/>
        <v>0</v>
      </c>
    </row>
    <row r="139" spans="1:12" ht="39.6" x14ac:dyDescent="0.3">
      <c r="A139" s="7"/>
      <c r="B139" s="22" t="s">
        <v>31</v>
      </c>
      <c r="C139" s="26"/>
      <c r="D139" s="26"/>
      <c r="E139" s="26"/>
      <c r="F139" s="26"/>
      <c r="G139" s="27">
        <f>'расчёт зарплаты'!K165</f>
        <v>0</v>
      </c>
      <c r="H139" s="27">
        <f t="shared" si="32"/>
        <v>0</v>
      </c>
      <c r="I139" s="27"/>
      <c r="J139" s="27">
        <f t="shared" si="29"/>
        <v>0</v>
      </c>
      <c r="K139" s="27">
        <f t="shared" si="30"/>
        <v>0</v>
      </c>
      <c r="L139" s="27">
        <f t="shared" si="31"/>
        <v>0</v>
      </c>
    </row>
    <row r="140" spans="1:12" x14ac:dyDescent="0.3">
      <c r="A140" s="23" t="s">
        <v>63</v>
      </c>
      <c r="B140" s="24"/>
      <c r="C140" s="33">
        <f>C141+C142+C143</f>
        <v>3.75</v>
      </c>
      <c r="D140" s="33">
        <f>D141+D142+D143</f>
        <v>3.25</v>
      </c>
      <c r="E140" s="33">
        <f>E141+E142+E143</f>
        <v>3</v>
      </c>
      <c r="F140" s="33">
        <f>F141+F142+F143</f>
        <v>3</v>
      </c>
      <c r="G140" s="33"/>
      <c r="H140" s="34">
        <f>H141+H142+H143</f>
        <v>1224901.44</v>
      </c>
      <c r="I140" s="34">
        <f>I141+I142+I143</f>
        <v>0</v>
      </c>
      <c r="J140" s="34">
        <f>J141+J142+J143</f>
        <v>1224901.44</v>
      </c>
      <c r="K140" s="34">
        <f>K141+K142+K143</f>
        <v>369920.23488</v>
      </c>
      <c r="L140" s="34">
        <f>L141+L142+L143</f>
        <v>1594821.6748799998</v>
      </c>
    </row>
    <row r="141" spans="1:12" x14ac:dyDescent="0.3">
      <c r="A141" s="7"/>
      <c r="B141" s="9" t="s">
        <v>14</v>
      </c>
      <c r="C141" s="26">
        <v>1</v>
      </c>
      <c r="D141" s="26">
        <v>1</v>
      </c>
      <c r="E141" s="26">
        <v>1</v>
      </c>
      <c r="F141" s="26">
        <v>1</v>
      </c>
      <c r="G141" s="27">
        <f>'расчёт зарплаты'!K26</f>
        <v>32326.559999999998</v>
      </c>
      <c r="H141" s="27">
        <f>E141*G141*12+ ((D141-E141)*G141/2*12)</f>
        <v>387918.72</v>
      </c>
      <c r="I141" s="27"/>
      <c r="J141" s="27">
        <f t="shared" si="29"/>
        <v>387918.72</v>
      </c>
      <c r="K141" s="27">
        <f t="shared" si="30"/>
        <v>117151.45343999998</v>
      </c>
      <c r="L141" s="27">
        <f t="shared" si="31"/>
        <v>505070.17343999993</v>
      </c>
    </row>
    <row r="142" spans="1:12" x14ac:dyDescent="0.3">
      <c r="A142" s="7"/>
      <c r="B142" s="9" t="s">
        <v>16</v>
      </c>
      <c r="C142" s="26">
        <v>1</v>
      </c>
      <c r="D142" s="26">
        <v>1</v>
      </c>
      <c r="E142" s="26">
        <v>1</v>
      </c>
      <c r="F142" s="26">
        <v>1</v>
      </c>
      <c r="G142" s="27">
        <f>'расчёт зарплаты'!K26</f>
        <v>32326.559999999998</v>
      </c>
      <c r="H142" s="27">
        <f>E142*G142*12+ ((D142-E142)*G142/2*12)</f>
        <v>387918.72</v>
      </c>
      <c r="I142" s="27"/>
      <c r="J142" s="27">
        <f t="shared" si="29"/>
        <v>387918.72</v>
      </c>
      <c r="K142" s="27">
        <f t="shared" si="30"/>
        <v>117151.45343999998</v>
      </c>
      <c r="L142" s="27">
        <f t="shared" si="31"/>
        <v>505070.17343999993</v>
      </c>
    </row>
    <row r="143" spans="1:12" ht="28.2" x14ac:dyDescent="0.3">
      <c r="A143" s="7"/>
      <c r="B143" s="9" t="s">
        <v>71</v>
      </c>
      <c r="C143" s="26">
        <v>1.75</v>
      </c>
      <c r="D143" s="26">
        <v>1.25</v>
      </c>
      <c r="E143" s="26">
        <v>1</v>
      </c>
      <c r="F143" s="26">
        <v>1</v>
      </c>
      <c r="G143" s="27">
        <f>'расчёт зарплаты'!K41</f>
        <v>33264</v>
      </c>
      <c r="H143" s="27">
        <f>E143*G143*12+ ((D143-E143)*G143/2*12)</f>
        <v>449064</v>
      </c>
      <c r="I143" s="27"/>
      <c r="J143" s="27">
        <f t="shared" si="29"/>
        <v>449064</v>
      </c>
      <c r="K143" s="27">
        <f t="shared" si="30"/>
        <v>135617.32800000001</v>
      </c>
      <c r="L143" s="27">
        <f t="shared" si="31"/>
        <v>584681.32799999998</v>
      </c>
    </row>
    <row r="144" spans="1:12" x14ac:dyDescent="0.3">
      <c r="A144" s="69" t="s">
        <v>73</v>
      </c>
      <c r="B144" s="69"/>
      <c r="C144" s="30">
        <f>C145+C151</f>
        <v>8.75</v>
      </c>
      <c r="D144" s="30">
        <f>D145+D151</f>
        <v>8.75</v>
      </c>
      <c r="E144" s="30">
        <f>E145+E151</f>
        <v>8</v>
      </c>
      <c r="F144" s="30">
        <f>F145+F151</f>
        <v>8</v>
      </c>
      <c r="G144" s="27"/>
      <c r="H144" s="27">
        <f>E144*G144*12+ ((D144-E144)*G144/2*12)</f>
        <v>0</v>
      </c>
      <c r="I144" s="27"/>
      <c r="J144" s="32">
        <f>J145+J151</f>
        <v>3348896.6399999997</v>
      </c>
      <c r="K144" s="32">
        <f>K145+K151</f>
        <v>1011366.78528</v>
      </c>
      <c r="L144" s="32">
        <f>L145+L151</f>
        <v>4360263.4252800001</v>
      </c>
    </row>
    <row r="145" spans="1:12" x14ac:dyDescent="0.3">
      <c r="A145" s="69" t="s">
        <v>35</v>
      </c>
      <c r="B145" s="69"/>
      <c r="C145" s="30">
        <f>C146+C147+C148+C149+C150</f>
        <v>6.5</v>
      </c>
      <c r="D145" s="30">
        <f>D146+D147+D148+D149+D150</f>
        <v>6.5</v>
      </c>
      <c r="E145" s="30">
        <f>E146+E147+E148+E149+E150</f>
        <v>5</v>
      </c>
      <c r="F145" s="30">
        <f>F146+F147+F148+F149+F150</f>
        <v>5</v>
      </c>
      <c r="G145" s="32"/>
      <c r="H145" s="32">
        <f>H146+H147+H149+H150+H148</f>
        <v>2230532.6399999997</v>
      </c>
      <c r="I145" s="32"/>
      <c r="J145" s="32">
        <f>H145</f>
        <v>2230532.6399999997</v>
      </c>
      <c r="K145" s="32">
        <f>J145*30.2%</f>
        <v>673620.85727999988</v>
      </c>
      <c r="L145" s="32">
        <f>J145+K145</f>
        <v>2904153.4972799998</v>
      </c>
    </row>
    <row r="146" spans="1:12" x14ac:dyDescent="0.3">
      <c r="A146" s="7"/>
      <c r="B146" s="9" t="s">
        <v>36</v>
      </c>
      <c r="C146" s="26"/>
      <c r="D146" s="26"/>
      <c r="E146" s="26"/>
      <c r="F146" s="26"/>
      <c r="G146" s="27">
        <f>'расчёт зарплаты'!K134</f>
        <v>0</v>
      </c>
      <c r="H146" s="27">
        <f>E146*G146*12+ ((D146-E146)*G146/2*12)</f>
        <v>0</v>
      </c>
      <c r="I146" s="27"/>
      <c r="J146" s="27">
        <f t="shared" ref="J146:J155" si="33">H146</f>
        <v>0</v>
      </c>
      <c r="K146" s="27">
        <f t="shared" ref="K146:K155" si="34">J146*30.2%</f>
        <v>0</v>
      </c>
      <c r="L146" s="27">
        <f t="shared" ref="L146:L155" si="35">J146+K146</f>
        <v>0</v>
      </c>
    </row>
    <row r="147" spans="1:12" x14ac:dyDescent="0.3">
      <c r="A147" s="7"/>
      <c r="B147" s="9" t="s">
        <v>23</v>
      </c>
      <c r="C147" s="26"/>
      <c r="D147" s="26"/>
      <c r="E147" s="26"/>
      <c r="F147" s="26"/>
      <c r="G147" s="27">
        <f>'расчёт зарплаты'!K138</f>
        <v>0</v>
      </c>
      <c r="H147" s="27">
        <f>E147*G147*12+ ((D147-E147)*G147/2*12)</f>
        <v>0</v>
      </c>
      <c r="I147" s="27"/>
      <c r="J147" s="27">
        <f t="shared" si="33"/>
        <v>0</v>
      </c>
      <c r="K147" s="27">
        <f t="shared" si="34"/>
        <v>0</v>
      </c>
      <c r="L147" s="27">
        <f t="shared" si="35"/>
        <v>0</v>
      </c>
    </row>
    <row r="148" spans="1:12" x14ac:dyDescent="0.3">
      <c r="A148" s="7"/>
      <c r="B148" s="25" t="s">
        <v>54</v>
      </c>
      <c r="C148" s="26"/>
      <c r="D148" s="26"/>
      <c r="E148" s="26"/>
      <c r="F148" s="26"/>
      <c r="G148" s="27">
        <f>'расчёт зарплаты'!K157</f>
        <v>0</v>
      </c>
      <c r="H148" s="27">
        <f>E148*G148*12+ ((D148-E148)*G148/2*12)</f>
        <v>0</v>
      </c>
      <c r="I148" s="27"/>
      <c r="J148" s="27">
        <f t="shared" si="33"/>
        <v>0</v>
      </c>
      <c r="K148" s="27">
        <f t="shared" si="34"/>
        <v>0</v>
      </c>
      <c r="L148" s="27">
        <f t="shared" si="35"/>
        <v>0</v>
      </c>
    </row>
    <row r="149" spans="1:12" ht="28.2" x14ac:dyDescent="0.3">
      <c r="A149" s="7"/>
      <c r="B149" s="9" t="s">
        <v>40</v>
      </c>
      <c r="C149" s="26">
        <v>3.5</v>
      </c>
      <c r="D149" s="26">
        <v>3.5</v>
      </c>
      <c r="E149" s="26">
        <v>2</v>
      </c>
      <c r="F149" s="26">
        <v>2</v>
      </c>
      <c r="G149" s="27">
        <f>'расчёт зарплаты'!K26</f>
        <v>32326.559999999998</v>
      </c>
      <c r="H149" s="27">
        <f>E149*G149*12+ ((D149-E149)*G149/2*12)</f>
        <v>1066776.48</v>
      </c>
      <c r="I149" s="27"/>
      <c r="J149" s="27">
        <f t="shared" si="33"/>
        <v>1066776.48</v>
      </c>
      <c r="K149" s="27">
        <f t="shared" si="34"/>
        <v>322166.49695999996</v>
      </c>
      <c r="L149" s="27">
        <f t="shared" si="35"/>
        <v>1388942.9769599999</v>
      </c>
    </row>
    <row r="150" spans="1:12" x14ac:dyDescent="0.3">
      <c r="A150" s="7"/>
      <c r="B150" s="9" t="s">
        <v>41</v>
      </c>
      <c r="C150" s="26">
        <v>3</v>
      </c>
      <c r="D150" s="26">
        <v>3</v>
      </c>
      <c r="E150" s="26">
        <v>3</v>
      </c>
      <c r="F150" s="26">
        <v>3</v>
      </c>
      <c r="G150" s="27">
        <f>'расчёт зарплаты'!K26</f>
        <v>32326.559999999998</v>
      </c>
      <c r="H150" s="27">
        <f>E150*G150*12+ ((D150-E150)*G150/2*12)</f>
        <v>1163756.1599999999</v>
      </c>
      <c r="I150" s="27"/>
      <c r="J150" s="27">
        <f t="shared" si="33"/>
        <v>1163756.1599999999</v>
      </c>
      <c r="K150" s="27">
        <f t="shared" si="34"/>
        <v>351454.36031999998</v>
      </c>
      <c r="L150" s="27">
        <f t="shared" si="35"/>
        <v>1515210.5203199999</v>
      </c>
    </row>
    <row r="151" spans="1:12" x14ac:dyDescent="0.3">
      <c r="A151" s="69" t="s">
        <v>43</v>
      </c>
      <c r="B151" s="69"/>
      <c r="C151" s="30">
        <f>C152+C153+C154+C155</f>
        <v>2.25</v>
      </c>
      <c r="D151" s="30">
        <f>D152+D153+D154+D155</f>
        <v>2.25</v>
      </c>
      <c r="E151" s="30">
        <f>E152+E153+E154+E155</f>
        <v>3</v>
      </c>
      <c r="F151" s="30">
        <f>F152+F153+F154+F155</f>
        <v>3</v>
      </c>
      <c r="G151" s="32"/>
      <c r="H151" s="32">
        <f>H152+H153+H154+H155</f>
        <v>1118364</v>
      </c>
      <c r="I151" s="32"/>
      <c r="J151" s="32">
        <f>H151</f>
        <v>1118364</v>
      </c>
      <c r="K151" s="32">
        <f>J151*30.2%</f>
        <v>337745.92800000001</v>
      </c>
      <c r="L151" s="32">
        <f>J151+K151</f>
        <v>1456109.9280000001</v>
      </c>
    </row>
    <row r="152" spans="1:12" x14ac:dyDescent="0.3">
      <c r="A152" s="7"/>
      <c r="B152" s="9" t="s">
        <v>44</v>
      </c>
      <c r="C152" s="26">
        <v>1</v>
      </c>
      <c r="D152" s="26">
        <v>1</v>
      </c>
      <c r="E152" s="26">
        <v>1</v>
      </c>
      <c r="F152" s="26">
        <v>1</v>
      </c>
      <c r="G152" s="27">
        <f>'расчёт зарплаты'!K35</f>
        <v>36256</v>
      </c>
      <c r="H152" s="27">
        <f>E152*G152*12+ ((D152-E152)*G152/2*12)</f>
        <v>435072</v>
      </c>
      <c r="I152" s="27"/>
      <c r="J152" s="27">
        <f t="shared" si="33"/>
        <v>435072</v>
      </c>
      <c r="K152" s="27">
        <f t="shared" si="34"/>
        <v>131391.74400000001</v>
      </c>
      <c r="L152" s="27">
        <f t="shared" si="35"/>
        <v>566463.74399999995</v>
      </c>
    </row>
    <row r="153" spans="1:12" x14ac:dyDescent="0.3">
      <c r="A153" s="7"/>
      <c r="B153" s="9" t="s">
        <v>46</v>
      </c>
      <c r="C153" s="26"/>
      <c r="D153" s="26"/>
      <c r="E153" s="26"/>
      <c r="F153" s="26"/>
      <c r="G153" s="27">
        <f>'расчёт зарплаты'!K159</f>
        <v>0</v>
      </c>
      <c r="H153" s="27">
        <f>E153*G153*12+ ((D153-E153)*G153/2*12)</f>
        <v>0</v>
      </c>
      <c r="I153" s="27"/>
      <c r="J153" s="27">
        <f t="shared" si="33"/>
        <v>0</v>
      </c>
      <c r="K153" s="27">
        <f t="shared" si="34"/>
        <v>0</v>
      </c>
      <c r="L153" s="27">
        <f t="shared" si="35"/>
        <v>0</v>
      </c>
    </row>
    <row r="154" spans="1:12" x14ac:dyDescent="0.3">
      <c r="A154" s="7"/>
      <c r="B154" s="9" t="s">
        <v>47</v>
      </c>
      <c r="C154" s="26">
        <v>1</v>
      </c>
      <c r="D154" s="26">
        <v>1</v>
      </c>
      <c r="E154" s="26">
        <v>1</v>
      </c>
      <c r="F154" s="26">
        <v>1</v>
      </c>
      <c r="G154" s="27">
        <f>'расчёт зарплаты'!K39</f>
        <v>33936</v>
      </c>
      <c r="H154" s="27">
        <f>E154*G154*12+ ((D154-E154)*G154/2*12)</f>
        <v>407232</v>
      </c>
      <c r="I154" s="27"/>
      <c r="J154" s="27">
        <f t="shared" si="33"/>
        <v>407232</v>
      </c>
      <c r="K154" s="27">
        <f t="shared" si="34"/>
        <v>122984.064</v>
      </c>
      <c r="L154" s="27">
        <f t="shared" si="35"/>
        <v>530216.06400000001</v>
      </c>
    </row>
    <row r="155" spans="1:12" x14ac:dyDescent="0.3">
      <c r="A155" s="19"/>
      <c r="B155" s="29" t="s">
        <v>52</v>
      </c>
      <c r="C155" s="35">
        <v>0.25</v>
      </c>
      <c r="D155" s="35">
        <v>0.25</v>
      </c>
      <c r="E155" s="35">
        <v>1</v>
      </c>
      <c r="F155" s="35">
        <v>1</v>
      </c>
      <c r="G155" s="27">
        <f>'расчёт зарплаты'!K20</f>
        <v>36808</v>
      </c>
      <c r="H155" s="27">
        <f>E155*G155*12+ ((D155-E155)*G155/2*12)</f>
        <v>276060</v>
      </c>
      <c r="I155" s="35"/>
      <c r="J155" s="27">
        <f t="shared" si="33"/>
        <v>276060</v>
      </c>
      <c r="K155" s="27">
        <f t="shared" si="34"/>
        <v>83370.12</v>
      </c>
      <c r="L155" s="27">
        <f t="shared" si="35"/>
        <v>359430.12</v>
      </c>
    </row>
    <row r="156" spans="1:12" x14ac:dyDescent="0.3">
      <c r="A156" s="28"/>
      <c r="B156" s="76" t="s">
        <v>78</v>
      </c>
      <c r="C156" s="77"/>
      <c r="D156" s="77"/>
      <c r="E156" s="77"/>
      <c r="F156" s="77"/>
      <c r="G156" s="77"/>
      <c r="H156" s="77"/>
      <c r="I156" s="77"/>
      <c r="J156" s="77"/>
      <c r="K156" s="77"/>
      <c r="L156" s="78"/>
    </row>
    <row r="157" spans="1:12" x14ac:dyDescent="0.3">
      <c r="A157" s="71" t="s">
        <v>68</v>
      </c>
      <c r="B157" s="72"/>
      <c r="C157" s="30">
        <f>C158+C174+C170</f>
        <v>46.75</v>
      </c>
      <c r="D157" s="30">
        <f>D158+D174+D170</f>
        <v>43</v>
      </c>
      <c r="E157" s="30">
        <f>E158+E174+E170</f>
        <v>39.799999999999997</v>
      </c>
      <c r="F157" s="30">
        <f>F158+F174+F170</f>
        <v>36</v>
      </c>
      <c r="G157" s="27"/>
      <c r="H157" s="27"/>
      <c r="I157" s="27"/>
      <c r="J157" s="27"/>
      <c r="K157" s="27"/>
      <c r="L157" s="27"/>
    </row>
    <row r="158" spans="1:12" x14ac:dyDescent="0.3">
      <c r="A158" s="71" t="s">
        <v>69</v>
      </c>
      <c r="B158" s="72"/>
      <c r="C158" s="30">
        <f>SUM(C159:C169)</f>
        <v>33.25</v>
      </c>
      <c r="D158" s="30">
        <f>SUM(D159:D169)</f>
        <v>32</v>
      </c>
      <c r="E158" s="30">
        <f>SUM(E159:E169)</f>
        <v>29.4</v>
      </c>
      <c r="F158" s="30">
        <f>SUM(F159:F169)</f>
        <v>30</v>
      </c>
      <c r="G158" s="30"/>
      <c r="H158" s="31">
        <f>SUM(H159:H169)</f>
        <v>12471181.439999999</v>
      </c>
      <c r="I158" s="32"/>
      <c r="J158" s="32">
        <f>H158-I158</f>
        <v>12471181.439999999</v>
      </c>
      <c r="K158" s="32">
        <f>J158*30.2%</f>
        <v>3766296.7948799999</v>
      </c>
      <c r="L158" s="32">
        <f>J158+K158</f>
        <v>16237478.23488</v>
      </c>
    </row>
    <row r="159" spans="1:12" x14ac:dyDescent="0.3">
      <c r="A159" s="7"/>
      <c r="B159" s="9" t="s">
        <v>11</v>
      </c>
      <c r="C159" s="26">
        <v>18.75</v>
      </c>
      <c r="D159" s="26">
        <v>18</v>
      </c>
      <c r="E159" s="26">
        <v>16.399999999999999</v>
      </c>
      <c r="F159" s="26">
        <v>17</v>
      </c>
      <c r="G159" s="27">
        <f>'расчёт зарплаты'!K10</f>
        <v>33128</v>
      </c>
      <c r="H159" s="27">
        <f>E159*G159*12+ ((D159-E159)*G159/2*12)</f>
        <v>6837619.1999999993</v>
      </c>
      <c r="I159" s="27"/>
      <c r="J159" s="27">
        <f t="shared" ref="J159:J173" si="36">H159</f>
        <v>6837619.1999999993</v>
      </c>
      <c r="K159" s="27">
        <f t="shared" ref="K159:K173" si="37">J159*30.2%</f>
        <v>2064960.9983999997</v>
      </c>
      <c r="L159" s="27">
        <f t="shared" ref="L159:L173" si="38">J159+K159</f>
        <v>8902580.1983999982</v>
      </c>
    </row>
    <row r="160" spans="1:12" x14ac:dyDescent="0.3">
      <c r="A160" s="7"/>
      <c r="B160" s="9" t="s">
        <v>13</v>
      </c>
      <c r="C160" s="26"/>
      <c r="D160" s="26"/>
      <c r="E160" s="26"/>
      <c r="F160" s="26"/>
      <c r="G160" s="27">
        <f>'расчёт зарплаты'!K170</f>
        <v>0</v>
      </c>
      <c r="H160" s="27">
        <f t="shared" ref="H160:H169" si="39">E160*G160*12+ ((D160-E160)*G160/2*12)</f>
        <v>0</v>
      </c>
      <c r="I160" s="27"/>
      <c r="J160" s="27">
        <f t="shared" si="36"/>
        <v>0</v>
      </c>
      <c r="K160" s="27">
        <f t="shared" si="37"/>
        <v>0</v>
      </c>
      <c r="L160" s="27">
        <f t="shared" si="38"/>
        <v>0</v>
      </c>
    </row>
    <row r="161" spans="1:12" x14ac:dyDescent="0.3">
      <c r="A161" s="7"/>
      <c r="B161" s="9" t="s">
        <v>17</v>
      </c>
      <c r="C161" s="26">
        <v>2.5</v>
      </c>
      <c r="D161" s="26">
        <v>2</v>
      </c>
      <c r="E161" s="26">
        <v>2</v>
      </c>
      <c r="F161" s="26">
        <v>1</v>
      </c>
      <c r="G161" s="27">
        <f>'расчёт зарплаты'!K39</f>
        <v>33936</v>
      </c>
      <c r="H161" s="27">
        <f t="shared" si="39"/>
        <v>814464</v>
      </c>
      <c r="I161" s="27"/>
      <c r="J161" s="27">
        <f t="shared" si="36"/>
        <v>814464</v>
      </c>
      <c r="K161" s="27">
        <f t="shared" si="37"/>
        <v>245968.128</v>
      </c>
      <c r="L161" s="27">
        <f t="shared" si="38"/>
        <v>1060432.128</v>
      </c>
    </row>
    <row r="162" spans="1:12" ht="28.2" x14ac:dyDescent="0.3">
      <c r="A162" s="7"/>
      <c r="B162" s="9" t="s">
        <v>20</v>
      </c>
      <c r="C162" s="26"/>
      <c r="D162" s="26"/>
      <c r="E162" s="26"/>
      <c r="F162" s="26"/>
      <c r="G162" s="27"/>
      <c r="H162" s="27">
        <f t="shared" si="39"/>
        <v>0</v>
      </c>
      <c r="I162" s="27"/>
      <c r="J162" s="27">
        <f t="shared" si="36"/>
        <v>0</v>
      </c>
      <c r="K162" s="27">
        <f t="shared" si="37"/>
        <v>0</v>
      </c>
      <c r="L162" s="27">
        <f t="shared" si="38"/>
        <v>0</v>
      </c>
    </row>
    <row r="163" spans="1:12" x14ac:dyDescent="0.3">
      <c r="A163" s="7"/>
      <c r="B163" s="9" t="s">
        <v>21</v>
      </c>
      <c r="C163" s="26">
        <v>4</v>
      </c>
      <c r="D163" s="26">
        <v>4</v>
      </c>
      <c r="E163" s="26">
        <v>4</v>
      </c>
      <c r="F163" s="26">
        <v>4</v>
      </c>
      <c r="G163" s="27">
        <f>'расчёт зарплаты'!K35</f>
        <v>36256</v>
      </c>
      <c r="H163" s="27">
        <f t="shared" si="39"/>
        <v>1740288</v>
      </c>
      <c r="I163" s="27"/>
      <c r="J163" s="27">
        <f t="shared" si="36"/>
        <v>1740288</v>
      </c>
      <c r="K163" s="27">
        <f t="shared" si="37"/>
        <v>525566.97600000002</v>
      </c>
      <c r="L163" s="27">
        <f t="shared" si="38"/>
        <v>2265854.9759999998</v>
      </c>
    </row>
    <row r="164" spans="1:12" x14ac:dyDescent="0.3">
      <c r="A164" s="7"/>
      <c r="B164" s="9" t="s">
        <v>24</v>
      </c>
      <c r="C164" s="26">
        <v>6</v>
      </c>
      <c r="D164" s="26">
        <v>6</v>
      </c>
      <c r="E164" s="26">
        <v>6</v>
      </c>
      <c r="F164" s="26">
        <v>6</v>
      </c>
      <c r="G164" s="27">
        <f>'расчёт зарплаты'!K8</f>
        <v>33865.919999999998</v>
      </c>
      <c r="H164" s="27">
        <f t="shared" si="39"/>
        <v>2438346.2399999998</v>
      </c>
      <c r="I164" s="27"/>
      <c r="J164" s="27">
        <f t="shared" si="36"/>
        <v>2438346.2399999998</v>
      </c>
      <c r="K164" s="27">
        <f t="shared" si="37"/>
        <v>736380.56447999994</v>
      </c>
      <c r="L164" s="27">
        <f t="shared" si="38"/>
        <v>3174726.8044799995</v>
      </c>
    </row>
    <row r="165" spans="1:12" ht="42" x14ac:dyDescent="0.3">
      <c r="A165" s="7"/>
      <c r="B165" s="9" t="s">
        <v>25</v>
      </c>
      <c r="C165" s="26">
        <v>1</v>
      </c>
      <c r="D165" s="26">
        <v>1</v>
      </c>
      <c r="E165" s="26">
        <v>0</v>
      </c>
      <c r="F165" s="26">
        <v>1</v>
      </c>
      <c r="G165" s="27">
        <f>'расчёт зарплаты'!K10</f>
        <v>33128</v>
      </c>
      <c r="H165" s="27">
        <f t="shared" si="39"/>
        <v>198768</v>
      </c>
      <c r="I165" s="27"/>
      <c r="J165" s="27">
        <f t="shared" si="36"/>
        <v>198768</v>
      </c>
      <c r="K165" s="27">
        <f t="shared" si="37"/>
        <v>60027.936000000002</v>
      </c>
      <c r="L165" s="27">
        <f t="shared" si="38"/>
        <v>258795.93599999999</v>
      </c>
    </row>
    <row r="166" spans="1:12" ht="28.2" x14ac:dyDescent="0.3">
      <c r="A166" s="7"/>
      <c r="B166" s="9" t="s">
        <v>26</v>
      </c>
      <c r="C166" s="26">
        <v>1</v>
      </c>
      <c r="D166" s="26">
        <v>1</v>
      </c>
      <c r="E166" s="26">
        <v>1</v>
      </c>
      <c r="F166" s="26">
        <v>1</v>
      </c>
      <c r="G166" s="27">
        <f>'расчёт зарплаты'!K20</f>
        <v>36808</v>
      </c>
      <c r="H166" s="27">
        <f t="shared" si="39"/>
        <v>441696</v>
      </c>
      <c r="I166" s="27"/>
      <c r="J166" s="27">
        <f t="shared" si="36"/>
        <v>441696</v>
      </c>
      <c r="K166" s="27">
        <f t="shared" si="37"/>
        <v>133392.19200000001</v>
      </c>
      <c r="L166" s="27">
        <f t="shared" si="38"/>
        <v>575088.19200000004</v>
      </c>
    </row>
    <row r="167" spans="1:12" ht="42" x14ac:dyDescent="0.3">
      <c r="A167" s="7"/>
      <c r="B167" s="9" t="s">
        <v>70</v>
      </c>
      <c r="C167" s="26"/>
      <c r="D167" s="26"/>
      <c r="E167" s="26"/>
      <c r="F167" s="26"/>
      <c r="G167" s="27">
        <f>'расчёт зарплаты'!K160</f>
        <v>0</v>
      </c>
      <c r="H167" s="27">
        <f t="shared" si="39"/>
        <v>0</v>
      </c>
      <c r="I167" s="27"/>
      <c r="J167" s="27">
        <f t="shared" si="36"/>
        <v>0</v>
      </c>
      <c r="K167" s="27">
        <f t="shared" si="37"/>
        <v>0</v>
      </c>
      <c r="L167" s="27">
        <f t="shared" si="38"/>
        <v>0</v>
      </c>
    </row>
    <row r="168" spans="1:12" x14ac:dyDescent="0.3">
      <c r="A168" s="7"/>
      <c r="B168" s="9" t="s">
        <v>30</v>
      </c>
      <c r="C168" s="26"/>
      <c r="D168" s="26"/>
      <c r="E168" s="26"/>
      <c r="F168" s="26"/>
      <c r="G168" s="27">
        <f>'расчёт зарплаты'!K185</f>
        <v>0</v>
      </c>
      <c r="H168" s="27">
        <f t="shared" si="39"/>
        <v>0</v>
      </c>
      <c r="I168" s="27"/>
      <c r="J168" s="27">
        <f t="shared" si="36"/>
        <v>0</v>
      </c>
      <c r="K168" s="27">
        <f t="shared" si="37"/>
        <v>0</v>
      </c>
      <c r="L168" s="27">
        <f t="shared" si="38"/>
        <v>0</v>
      </c>
    </row>
    <row r="169" spans="1:12" ht="39.6" x14ac:dyDescent="0.3">
      <c r="A169" s="7"/>
      <c r="B169" s="22" t="s">
        <v>31</v>
      </c>
      <c r="C169" s="26"/>
      <c r="D169" s="26"/>
      <c r="E169" s="26"/>
      <c r="F169" s="26"/>
      <c r="G169" s="27">
        <f>'расчёт зарплаты'!K195</f>
        <v>0</v>
      </c>
      <c r="H169" s="27">
        <f t="shared" si="39"/>
        <v>0</v>
      </c>
      <c r="I169" s="27"/>
      <c r="J169" s="27">
        <f t="shared" si="36"/>
        <v>0</v>
      </c>
      <c r="K169" s="27">
        <f t="shared" si="37"/>
        <v>0</v>
      </c>
      <c r="L169" s="27">
        <f t="shared" si="38"/>
        <v>0</v>
      </c>
    </row>
    <row r="170" spans="1:12" x14ac:dyDescent="0.3">
      <c r="A170" s="23" t="s">
        <v>63</v>
      </c>
      <c r="B170" s="24"/>
      <c r="C170" s="33">
        <f>C171+C172+C173</f>
        <v>5</v>
      </c>
      <c r="D170" s="33">
        <f>D171+D172+D173</f>
        <v>3</v>
      </c>
      <c r="E170" s="33">
        <f>E171+E172+E173</f>
        <v>4</v>
      </c>
      <c r="F170" s="33">
        <f>F171+F172+F173</f>
        <v>2</v>
      </c>
      <c r="G170" s="33"/>
      <c r="H170" s="34">
        <f>H171+H172+H173</f>
        <v>1368964.7999999998</v>
      </c>
      <c r="I170" s="34">
        <f>I171+I172+I173</f>
        <v>0</v>
      </c>
      <c r="J170" s="34">
        <f>J171+J172+J173</f>
        <v>1368964.7999999998</v>
      </c>
      <c r="K170" s="34">
        <f>K171+K172+K173</f>
        <v>413427.36959999992</v>
      </c>
      <c r="L170" s="34">
        <f>L171+L172+L173</f>
        <v>1782392.1695999999</v>
      </c>
    </row>
    <row r="171" spans="1:12" x14ac:dyDescent="0.3">
      <c r="A171" s="7"/>
      <c r="B171" s="9" t="s">
        <v>14</v>
      </c>
      <c r="C171" s="26">
        <v>1</v>
      </c>
      <c r="D171" s="26">
        <v>1</v>
      </c>
      <c r="E171" s="26">
        <v>1</v>
      </c>
      <c r="F171" s="26">
        <v>1</v>
      </c>
      <c r="G171" s="27">
        <f>'расчёт зарплаты'!K26</f>
        <v>32326.559999999998</v>
      </c>
      <c r="H171" s="27">
        <f>E171*G171*12+ ((D171-E171)*G171/2*12)</f>
        <v>387918.72</v>
      </c>
      <c r="I171" s="27"/>
      <c r="J171" s="27">
        <f t="shared" si="36"/>
        <v>387918.72</v>
      </c>
      <c r="K171" s="27">
        <f t="shared" si="37"/>
        <v>117151.45343999998</v>
      </c>
      <c r="L171" s="27">
        <f t="shared" si="38"/>
        <v>505070.17343999993</v>
      </c>
    </row>
    <row r="172" spans="1:12" x14ac:dyDescent="0.3">
      <c r="A172" s="7"/>
      <c r="B172" s="9" t="s">
        <v>16</v>
      </c>
      <c r="C172" s="26">
        <v>2</v>
      </c>
      <c r="D172" s="26">
        <v>1</v>
      </c>
      <c r="E172" s="26">
        <v>2</v>
      </c>
      <c r="F172" s="26">
        <v>1</v>
      </c>
      <c r="G172" s="27">
        <f>'расчёт зарплаты'!K26</f>
        <v>32326.559999999998</v>
      </c>
      <c r="H172" s="27">
        <f>E172*G172*12+ ((D172-E172)*G172/2*12)</f>
        <v>581878.07999999996</v>
      </c>
      <c r="I172" s="27"/>
      <c r="J172" s="27">
        <f t="shared" si="36"/>
        <v>581878.07999999996</v>
      </c>
      <c r="K172" s="27">
        <f t="shared" si="37"/>
        <v>175727.18015999999</v>
      </c>
      <c r="L172" s="27">
        <f t="shared" si="38"/>
        <v>757605.26015999995</v>
      </c>
    </row>
    <row r="173" spans="1:12" ht="28.2" x14ac:dyDescent="0.3">
      <c r="A173" s="7"/>
      <c r="B173" s="9" t="s">
        <v>71</v>
      </c>
      <c r="C173" s="26">
        <v>2</v>
      </c>
      <c r="D173" s="26">
        <v>1</v>
      </c>
      <c r="E173" s="26">
        <v>1</v>
      </c>
      <c r="F173" s="26"/>
      <c r="G173" s="27">
        <f>'расчёт зарплаты'!K41</f>
        <v>33264</v>
      </c>
      <c r="H173" s="27">
        <f>E173*G173*12+ ((D173-E173)*G173/2*12)</f>
        <v>399168</v>
      </c>
      <c r="I173" s="27"/>
      <c r="J173" s="27">
        <f t="shared" si="36"/>
        <v>399168</v>
      </c>
      <c r="K173" s="27">
        <f t="shared" si="37"/>
        <v>120548.73599999999</v>
      </c>
      <c r="L173" s="27">
        <f t="shared" si="38"/>
        <v>519716.73599999998</v>
      </c>
    </row>
    <row r="174" spans="1:12" x14ac:dyDescent="0.3">
      <c r="A174" s="69" t="s">
        <v>73</v>
      </c>
      <c r="B174" s="69"/>
      <c r="C174" s="30">
        <f>C175+C181</f>
        <v>8.5</v>
      </c>
      <c r="D174" s="30">
        <f>D175+D181</f>
        <v>8</v>
      </c>
      <c r="E174" s="30">
        <f>E175+E181</f>
        <v>6.4</v>
      </c>
      <c r="F174" s="30">
        <f>F175+F181</f>
        <v>4</v>
      </c>
      <c r="G174" s="27"/>
      <c r="H174" s="27">
        <f>E174*G174*12+ ((D174-E174)*G174/2*12)</f>
        <v>0</v>
      </c>
      <c r="I174" s="27"/>
      <c r="J174" s="32">
        <f>J175+J181</f>
        <v>2890157.6639999999</v>
      </c>
      <c r="K174" s="32">
        <f>K175+K181</f>
        <v>872827.61452799989</v>
      </c>
      <c r="L174" s="32">
        <f>L175+L181</f>
        <v>3762985.2785279998</v>
      </c>
    </row>
    <row r="175" spans="1:12" x14ac:dyDescent="0.3">
      <c r="A175" s="69" t="s">
        <v>35</v>
      </c>
      <c r="B175" s="69"/>
      <c r="C175" s="30">
        <f>C176+C177+C178+C179+C180</f>
        <v>5.5</v>
      </c>
      <c r="D175" s="30">
        <f>D176+D177+D178+D179+D180</f>
        <v>5.5</v>
      </c>
      <c r="E175" s="30">
        <f>E176+E177+E178+E179+E180</f>
        <v>4.4000000000000004</v>
      </c>
      <c r="F175" s="30">
        <f>F176+F177+F178+F179+F180</f>
        <v>2</v>
      </c>
      <c r="G175" s="32"/>
      <c r="H175" s="32">
        <f>H176+H177+H179+H180+H178</f>
        <v>1920197.6639999999</v>
      </c>
      <c r="I175" s="32"/>
      <c r="J175" s="32">
        <f>H175</f>
        <v>1920197.6639999999</v>
      </c>
      <c r="K175" s="32">
        <f>J175*30.2%</f>
        <v>579899.69452799996</v>
      </c>
      <c r="L175" s="32">
        <f>J175+K175</f>
        <v>2500097.3585279998</v>
      </c>
    </row>
    <row r="176" spans="1:12" x14ac:dyDescent="0.3">
      <c r="A176" s="7"/>
      <c r="B176" s="9" t="s">
        <v>36</v>
      </c>
      <c r="C176" s="26"/>
      <c r="D176" s="26"/>
      <c r="E176" s="26"/>
      <c r="F176" s="26"/>
      <c r="G176" s="27">
        <f>'расчёт зарплаты'!K164</f>
        <v>0</v>
      </c>
      <c r="H176" s="27">
        <f>E176*G176*12+ ((D176-E176)*G176/2*12)</f>
        <v>0</v>
      </c>
      <c r="I176" s="27"/>
      <c r="J176" s="27">
        <f t="shared" ref="J176:J185" si="40">H176</f>
        <v>0</v>
      </c>
      <c r="K176" s="27">
        <f t="shared" ref="K176:K185" si="41">J176*30.2%</f>
        <v>0</v>
      </c>
      <c r="L176" s="27">
        <f t="shared" ref="L176:L185" si="42">J176+K176</f>
        <v>0</v>
      </c>
    </row>
    <row r="177" spans="1:12" x14ac:dyDescent="0.3">
      <c r="A177" s="7"/>
      <c r="B177" s="9" t="s">
        <v>23</v>
      </c>
      <c r="C177" s="26"/>
      <c r="D177" s="26"/>
      <c r="E177" s="26"/>
      <c r="F177" s="26"/>
      <c r="G177" s="27">
        <f>'расчёт зарплаты'!K168</f>
        <v>0</v>
      </c>
      <c r="H177" s="27">
        <f>E177*G177*12+ ((D177-E177)*G177/2*12)</f>
        <v>0</v>
      </c>
      <c r="I177" s="27"/>
      <c r="J177" s="27">
        <f t="shared" si="40"/>
        <v>0</v>
      </c>
      <c r="K177" s="27">
        <f t="shared" si="41"/>
        <v>0</v>
      </c>
      <c r="L177" s="27">
        <f t="shared" si="42"/>
        <v>0</v>
      </c>
    </row>
    <row r="178" spans="1:12" x14ac:dyDescent="0.3">
      <c r="A178" s="7"/>
      <c r="B178" s="25" t="s">
        <v>54</v>
      </c>
      <c r="C178" s="26"/>
      <c r="D178" s="26"/>
      <c r="E178" s="26"/>
      <c r="F178" s="26"/>
      <c r="G178" s="27">
        <f>'расчёт зарплаты'!K187</f>
        <v>0</v>
      </c>
      <c r="H178" s="27">
        <f>E178*G178*12+ ((D178-E178)*G178/2*12)</f>
        <v>0</v>
      </c>
      <c r="I178" s="27"/>
      <c r="J178" s="27">
        <f t="shared" si="40"/>
        <v>0</v>
      </c>
      <c r="K178" s="27">
        <f t="shared" si="41"/>
        <v>0</v>
      </c>
      <c r="L178" s="27">
        <f t="shared" si="42"/>
        <v>0</v>
      </c>
    </row>
    <row r="179" spans="1:12" ht="28.2" x14ac:dyDescent="0.3">
      <c r="A179" s="7"/>
      <c r="B179" s="9" t="s">
        <v>40</v>
      </c>
      <c r="C179" s="26">
        <v>2.5</v>
      </c>
      <c r="D179" s="26">
        <v>2.5</v>
      </c>
      <c r="E179" s="26">
        <v>2.4</v>
      </c>
      <c r="F179" s="26">
        <v>1</v>
      </c>
      <c r="G179" s="27">
        <f>'расчёт зарплаты'!K26</f>
        <v>32326.559999999998</v>
      </c>
      <c r="H179" s="27">
        <f>E179*G179*12+ ((D179-E179)*G179/2*12)</f>
        <v>950400.86399999983</v>
      </c>
      <c r="I179" s="27"/>
      <c r="J179" s="27">
        <f t="shared" si="40"/>
        <v>950400.86399999983</v>
      </c>
      <c r="K179" s="27">
        <f t="shared" si="41"/>
        <v>287021.06092799996</v>
      </c>
      <c r="L179" s="27">
        <f t="shared" si="42"/>
        <v>1237421.9249279997</v>
      </c>
    </row>
    <row r="180" spans="1:12" x14ac:dyDescent="0.3">
      <c r="A180" s="7"/>
      <c r="B180" s="9" t="s">
        <v>41</v>
      </c>
      <c r="C180" s="26">
        <v>3</v>
      </c>
      <c r="D180" s="26">
        <v>3</v>
      </c>
      <c r="E180" s="26">
        <v>2</v>
      </c>
      <c r="F180" s="26">
        <v>1</v>
      </c>
      <c r="G180" s="27">
        <f>'расчёт зарплаты'!K26</f>
        <v>32326.559999999998</v>
      </c>
      <c r="H180" s="27">
        <f>E180*G180*12+ ((D180-E180)*G180/2*12)</f>
        <v>969796.79999999993</v>
      </c>
      <c r="I180" s="27"/>
      <c r="J180" s="27">
        <f t="shared" si="40"/>
        <v>969796.79999999993</v>
      </c>
      <c r="K180" s="27">
        <f t="shared" si="41"/>
        <v>292878.63359999994</v>
      </c>
      <c r="L180" s="27">
        <f t="shared" si="42"/>
        <v>1262675.4335999999</v>
      </c>
    </row>
    <row r="181" spans="1:12" x14ac:dyDescent="0.3">
      <c r="A181" s="69" t="s">
        <v>43</v>
      </c>
      <c r="B181" s="69"/>
      <c r="C181" s="30">
        <f>C182+C183+C184+C185</f>
        <v>3</v>
      </c>
      <c r="D181" s="30">
        <f>D182+D183+D184+D185</f>
        <v>2.5</v>
      </c>
      <c r="E181" s="30">
        <f>E182+E183+E184+E185</f>
        <v>2</v>
      </c>
      <c r="F181" s="30">
        <f>F182+F183+F184+F185</f>
        <v>2</v>
      </c>
      <c r="G181" s="32"/>
      <c r="H181" s="32">
        <f>H182+H183+H184+H185</f>
        <v>969960</v>
      </c>
      <c r="I181" s="32"/>
      <c r="J181" s="32">
        <f>H181</f>
        <v>969960</v>
      </c>
      <c r="K181" s="32">
        <f>J181*30.2%</f>
        <v>292927.92</v>
      </c>
      <c r="L181" s="32">
        <f>J181+K181</f>
        <v>1262887.92</v>
      </c>
    </row>
    <row r="182" spans="1:12" x14ac:dyDescent="0.3">
      <c r="A182" s="7"/>
      <c r="B182" s="9" t="s">
        <v>44</v>
      </c>
      <c r="C182" s="26">
        <v>1</v>
      </c>
      <c r="D182" s="26">
        <v>1</v>
      </c>
      <c r="E182" s="26">
        <v>1</v>
      </c>
      <c r="F182" s="26">
        <v>1</v>
      </c>
      <c r="G182" s="27">
        <f>'расчёт зарплаты'!K35</f>
        <v>36256</v>
      </c>
      <c r="H182" s="27">
        <f>E182*G182*12+ ((D182-E182)*G182/2*12)</f>
        <v>435072</v>
      </c>
      <c r="I182" s="27"/>
      <c r="J182" s="27">
        <f t="shared" si="40"/>
        <v>435072</v>
      </c>
      <c r="K182" s="27">
        <f t="shared" si="41"/>
        <v>131391.74400000001</v>
      </c>
      <c r="L182" s="27">
        <f t="shared" si="42"/>
        <v>566463.74399999995</v>
      </c>
    </row>
    <row r="183" spans="1:12" x14ac:dyDescent="0.3">
      <c r="A183" s="7"/>
      <c r="B183" s="9" t="s">
        <v>46</v>
      </c>
      <c r="C183" s="26"/>
      <c r="D183" s="26"/>
      <c r="E183" s="26"/>
      <c r="F183" s="26"/>
      <c r="G183" s="27">
        <f>'расчёт зарплаты'!K189</f>
        <v>0</v>
      </c>
      <c r="H183" s="27">
        <f>E183*G183*12+ ((D183-E183)*G183/2*12)</f>
        <v>0</v>
      </c>
      <c r="I183" s="27"/>
      <c r="J183" s="27">
        <f t="shared" si="40"/>
        <v>0</v>
      </c>
      <c r="K183" s="27">
        <f t="shared" si="41"/>
        <v>0</v>
      </c>
      <c r="L183" s="27">
        <f t="shared" si="42"/>
        <v>0</v>
      </c>
    </row>
    <row r="184" spans="1:12" x14ac:dyDescent="0.3">
      <c r="A184" s="7"/>
      <c r="B184" s="9" t="s">
        <v>47</v>
      </c>
      <c r="C184" s="26">
        <v>1.5</v>
      </c>
      <c r="D184" s="26">
        <v>1</v>
      </c>
      <c r="E184" s="26">
        <v>0</v>
      </c>
      <c r="F184" s="26">
        <v>0</v>
      </c>
      <c r="G184" s="27">
        <f>'расчёт зарплаты'!K39</f>
        <v>33936</v>
      </c>
      <c r="H184" s="27">
        <f>E184*G184*12+ ((D184-E184)*G184/2*12)</f>
        <v>203616</v>
      </c>
      <c r="I184" s="27"/>
      <c r="J184" s="27">
        <f t="shared" si="40"/>
        <v>203616</v>
      </c>
      <c r="K184" s="27">
        <f t="shared" si="41"/>
        <v>61492.031999999999</v>
      </c>
      <c r="L184" s="27">
        <f t="shared" si="42"/>
        <v>265108.03200000001</v>
      </c>
    </row>
    <row r="185" spans="1:12" x14ac:dyDescent="0.3">
      <c r="A185" s="19"/>
      <c r="B185" s="29" t="s">
        <v>52</v>
      </c>
      <c r="C185" s="35">
        <v>0.5</v>
      </c>
      <c r="D185" s="35">
        <v>0.5</v>
      </c>
      <c r="E185" s="35">
        <v>1</v>
      </c>
      <c r="F185" s="35">
        <v>1</v>
      </c>
      <c r="G185" s="27">
        <f>'расчёт зарплаты'!K20</f>
        <v>36808</v>
      </c>
      <c r="H185" s="27">
        <f>E185*G185*12+ ((D185-E185)*G185/2*12)</f>
        <v>331272</v>
      </c>
      <c r="I185" s="35"/>
      <c r="J185" s="27">
        <f t="shared" si="40"/>
        <v>331272</v>
      </c>
      <c r="K185" s="27">
        <f t="shared" si="41"/>
        <v>100044.144</v>
      </c>
      <c r="L185" s="27">
        <f t="shared" si="42"/>
        <v>431316.14399999997</v>
      </c>
    </row>
    <row r="186" spans="1:12" x14ac:dyDescent="0.3">
      <c r="A186" s="28"/>
      <c r="B186" s="76" t="s">
        <v>79</v>
      </c>
      <c r="C186" s="77"/>
      <c r="D186" s="77"/>
      <c r="E186" s="77"/>
      <c r="F186" s="77"/>
      <c r="G186" s="77"/>
      <c r="H186" s="77"/>
      <c r="I186" s="77"/>
      <c r="J186" s="77"/>
      <c r="K186" s="77"/>
      <c r="L186" s="78"/>
    </row>
    <row r="187" spans="1:12" x14ac:dyDescent="0.3">
      <c r="A187" s="71" t="s">
        <v>68</v>
      </c>
      <c r="B187" s="72"/>
      <c r="C187" s="30">
        <f>C188+C204+C200</f>
        <v>64.25</v>
      </c>
      <c r="D187" s="30">
        <f>D188+D204+D200</f>
        <v>62.75</v>
      </c>
      <c r="E187" s="30">
        <f>E188+E204+E200</f>
        <v>53.5</v>
      </c>
      <c r="F187" s="30">
        <f>F188+F204+F200</f>
        <v>51</v>
      </c>
      <c r="G187" s="27"/>
      <c r="H187" s="27"/>
      <c r="I187" s="27"/>
      <c r="J187" s="27"/>
      <c r="K187" s="27"/>
      <c r="L187" s="27"/>
    </row>
    <row r="188" spans="1:12" x14ac:dyDescent="0.3">
      <c r="A188" s="71" t="s">
        <v>69</v>
      </c>
      <c r="B188" s="72"/>
      <c r="C188" s="30">
        <f>SUM(C189:C199)</f>
        <v>45</v>
      </c>
      <c r="D188" s="30">
        <f>SUM(D189:D199)</f>
        <v>45</v>
      </c>
      <c r="E188" s="30">
        <f>SUM(E189:E199)</f>
        <v>39.5</v>
      </c>
      <c r="F188" s="30">
        <f>SUM(F189:F199)</f>
        <v>40</v>
      </c>
      <c r="G188" s="30"/>
      <c r="H188" s="31">
        <f>SUM(H189:H199)</f>
        <v>17133610.560000002</v>
      </c>
      <c r="I188" s="32"/>
      <c r="J188" s="32">
        <f>H188-I188</f>
        <v>17133610.560000002</v>
      </c>
      <c r="K188" s="32">
        <f>J188*30.2%</f>
        <v>5174350.3891200004</v>
      </c>
      <c r="L188" s="32">
        <f>J188+K188</f>
        <v>22307960.949120004</v>
      </c>
    </row>
    <row r="189" spans="1:12" x14ac:dyDescent="0.3">
      <c r="A189" s="7"/>
      <c r="B189" s="9" t="s">
        <v>11</v>
      </c>
      <c r="C189" s="26">
        <v>24</v>
      </c>
      <c r="D189" s="26">
        <v>24</v>
      </c>
      <c r="E189" s="26">
        <v>23.1</v>
      </c>
      <c r="F189" s="26">
        <v>22</v>
      </c>
      <c r="G189" s="27">
        <f>'расчёт зарплаты'!K10</f>
        <v>33128</v>
      </c>
      <c r="H189" s="27">
        <f>E189*G189*12+ ((D189-E189)*G189/2*12)</f>
        <v>9361972.8000000007</v>
      </c>
      <c r="I189" s="27"/>
      <c r="J189" s="27">
        <f t="shared" ref="J189:J203" si="43">H189</f>
        <v>9361972.8000000007</v>
      </c>
      <c r="K189" s="27">
        <f t="shared" ref="K189:K203" si="44">J189*30.2%</f>
        <v>2827315.7856000001</v>
      </c>
      <c r="L189" s="27">
        <f t="shared" ref="L189:L203" si="45">J189+K189</f>
        <v>12189288.5856</v>
      </c>
    </row>
    <row r="190" spans="1:12" x14ac:dyDescent="0.3">
      <c r="A190" s="7"/>
      <c r="B190" s="9" t="s">
        <v>13</v>
      </c>
      <c r="C190" s="26"/>
      <c r="D190" s="26"/>
      <c r="E190" s="26"/>
      <c r="F190" s="26"/>
      <c r="G190" s="27">
        <f>'расчёт зарплаты'!K200</f>
        <v>0</v>
      </c>
      <c r="H190" s="27">
        <f t="shared" ref="H190:H199" si="46">E190*G190*12+ ((D190-E190)*G190/2*12)</f>
        <v>0</v>
      </c>
      <c r="I190" s="27"/>
      <c r="J190" s="27">
        <f t="shared" si="43"/>
        <v>0</v>
      </c>
      <c r="K190" s="27">
        <f t="shared" si="44"/>
        <v>0</v>
      </c>
      <c r="L190" s="27">
        <f t="shared" si="45"/>
        <v>0</v>
      </c>
    </row>
    <row r="191" spans="1:12" x14ac:dyDescent="0.3">
      <c r="A191" s="7"/>
      <c r="B191" s="9" t="s">
        <v>17</v>
      </c>
      <c r="C191" s="26">
        <v>4</v>
      </c>
      <c r="D191" s="26">
        <v>4</v>
      </c>
      <c r="E191" s="26">
        <v>1.4</v>
      </c>
      <c r="F191" s="26">
        <v>2</v>
      </c>
      <c r="G191" s="27">
        <f>'расчёт зарплаты'!K39</f>
        <v>33936</v>
      </c>
      <c r="H191" s="27">
        <f t="shared" si="46"/>
        <v>1099526.3999999999</v>
      </c>
      <c r="I191" s="27"/>
      <c r="J191" s="27">
        <f t="shared" si="43"/>
        <v>1099526.3999999999</v>
      </c>
      <c r="K191" s="27">
        <f t="shared" si="44"/>
        <v>332056.97279999999</v>
      </c>
      <c r="L191" s="27">
        <f t="shared" si="45"/>
        <v>1431583.3728</v>
      </c>
    </row>
    <row r="192" spans="1:12" ht="28.2" x14ac:dyDescent="0.3">
      <c r="A192" s="7"/>
      <c r="B192" s="9" t="s">
        <v>20</v>
      </c>
      <c r="C192" s="26"/>
      <c r="D192" s="26"/>
      <c r="E192" s="26"/>
      <c r="F192" s="26"/>
      <c r="G192" s="27"/>
      <c r="H192" s="27">
        <f t="shared" si="46"/>
        <v>0</v>
      </c>
      <c r="I192" s="27"/>
      <c r="J192" s="27">
        <f t="shared" si="43"/>
        <v>0</v>
      </c>
      <c r="K192" s="27">
        <f t="shared" si="44"/>
        <v>0</v>
      </c>
      <c r="L192" s="27">
        <f t="shared" si="45"/>
        <v>0</v>
      </c>
    </row>
    <row r="193" spans="1:12" x14ac:dyDescent="0.3">
      <c r="A193" s="7"/>
      <c r="B193" s="9" t="s">
        <v>21</v>
      </c>
      <c r="C193" s="26">
        <v>6</v>
      </c>
      <c r="D193" s="26">
        <v>6</v>
      </c>
      <c r="E193" s="26">
        <v>4</v>
      </c>
      <c r="F193" s="26">
        <v>5</v>
      </c>
      <c r="G193" s="27">
        <f>'расчёт зарплаты'!K35</f>
        <v>36256</v>
      </c>
      <c r="H193" s="27">
        <f t="shared" si="46"/>
        <v>2175360</v>
      </c>
      <c r="I193" s="27"/>
      <c r="J193" s="27">
        <f t="shared" si="43"/>
        <v>2175360</v>
      </c>
      <c r="K193" s="27">
        <f t="shared" si="44"/>
        <v>656958.71999999997</v>
      </c>
      <c r="L193" s="27">
        <f t="shared" si="45"/>
        <v>2832318.7199999997</v>
      </c>
    </row>
    <row r="194" spans="1:12" x14ac:dyDescent="0.3">
      <c r="A194" s="7"/>
      <c r="B194" s="9" t="s">
        <v>24</v>
      </c>
      <c r="C194" s="26">
        <v>9</v>
      </c>
      <c r="D194" s="26">
        <v>9</v>
      </c>
      <c r="E194" s="26">
        <v>9</v>
      </c>
      <c r="F194" s="26">
        <v>9</v>
      </c>
      <c r="G194" s="27">
        <f>'расчёт зарплаты'!K8</f>
        <v>33865.919999999998</v>
      </c>
      <c r="H194" s="27">
        <f t="shared" si="46"/>
        <v>3657519.3599999994</v>
      </c>
      <c r="I194" s="27"/>
      <c r="J194" s="27">
        <f t="shared" si="43"/>
        <v>3657519.3599999994</v>
      </c>
      <c r="K194" s="27">
        <f t="shared" si="44"/>
        <v>1104570.8467199998</v>
      </c>
      <c r="L194" s="27">
        <f t="shared" si="45"/>
        <v>4762090.2067199992</v>
      </c>
    </row>
    <row r="195" spans="1:12" ht="42" x14ac:dyDescent="0.3">
      <c r="A195" s="7"/>
      <c r="B195" s="9" t="s">
        <v>25</v>
      </c>
      <c r="C195" s="26">
        <v>1</v>
      </c>
      <c r="D195" s="26">
        <v>1</v>
      </c>
      <c r="E195" s="26">
        <v>1</v>
      </c>
      <c r="F195" s="26">
        <v>1</v>
      </c>
      <c r="G195" s="27">
        <f>'расчёт зарплаты'!K10</f>
        <v>33128</v>
      </c>
      <c r="H195" s="27">
        <f t="shared" si="46"/>
        <v>397536</v>
      </c>
      <c r="I195" s="27"/>
      <c r="J195" s="27">
        <f t="shared" si="43"/>
        <v>397536</v>
      </c>
      <c r="K195" s="27">
        <f t="shared" si="44"/>
        <v>120055.872</v>
      </c>
      <c r="L195" s="27">
        <f t="shared" si="45"/>
        <v>517591.87199999997</v>
      </c>
    </row>
    <row r="196" spans="1:12" ht="28.2" x14ac:dyDescent="0.3">
      <c r="A196" s="7"/>
      <c r="B196" s="9" t="s">
        <v>26</v>
      </c>
      <c r="C196" s="26">
        <v>1</v>
      </c>
      <c r="D196" s="26">
        <v>1</v>
      </c>
      <c r="E196" s="26">
        <v>1</v>
      </c>
      <c r="F196" s="26">
        <v>1</v>
      </c>
      <c r="G196" s="27">
        <f>'расчёт зарплаты'!K20</f>
        <v>36808</v>
      </c>
      <c r="H196" s="27">
        <f t="shared" si="46"/>
        <v>441696</v>
      </c>
      <c r="I196" s="27"/>
      <c r="J196" s="27">
        <f t="shared" si="43"/>
        <v>441696</v>
      </c>
      <c r="K196" s="27">
        <f t="shared" si="44"/>
        <v>133392.19200000001</v>
      </c>
      <c r="L196" s="27">
        <f t="shared" si="45"/>
        <v>575088.19200000004</v>
      </c>
    </row>
    <row r="197" spans="1:12" ht="42" x14ac:dyDescent="0.3">
      <c r="A197" s="7"/>
      <c r="B197" s="9" t="s">
        <v>70</v>
      </c>
      <c r="C197" s="26"/>
      <c r="D197" s="26"/>
      <c r="E197" s="26"/>
      <c r="F197" s="26"/>
      <c r="G197" s="27">
        <f>'расчёт зарплаты'!K190</f>
        <v>0</v>
      </c>
      <c r="H197" s="27">
        <f t="shared" si="46"/>
        <v>0</v>
      </c>
      <c r="I197" s="27"/>
      <c r="J197" s="27">
        <f t="shared" si="43"/>
        <v>0</v>
      </c>
      <c r="K197" s="27">
        <f t="shared" si="44"/>
        <v>0</v>
      </c>
      <c r="L197" s="27">
        <f t="shared" si="45"/>
        <v>0</v>
      </c>
    </row>
    <row r="198" spans="1:12" x14ac:dyDescent="0.3">
      <c r="A198" s="7"/>
      <c r="B198" s="9" t="s">
        <v>30</v>
      </c>
      <c r="C198" s="26"/>
      <c r="D198" s="26"/>
      <c r="E198" s="26"/>
      <c r="F198" s="26"/>
      <c r="G198" s="27">
        <f>'расчёт зарплаты'!K215</f>
        <v>0</v>
      </c>
      <c r="H198" s="27">
        <f t="shared" si="46"/>
        <v>0</v>
      </c>
      <c r="I198" s="27"/>
      <c r="J198" s="27">
        <f t="shared" si="43"/>
        <v>0</v>
      </c>
      <c r="K198" s="27">
        <f t="shared" si="44"/>
        <v>0</v>
      </c>
      <c r="L198" s="27">
        <f t="shared" si="45"/>
        <v>0</v>
      </c>
    </row>
    <row r="199" spans="1:12" ht="39.6" x14ac:dyDescent="0.3">
      <c r="A199" s="7"/>
      <c r="B199" s="22" t="s">
        <v>31</v>
      </c>
      <c r="C199" s="26"/>
      <c r="D199" s="26"/>
      <c r="E199" s="26"/>
      <c r="F199" s="26"/>
      <c r="G199" s="27">
        <f>'расчёт зарплаты'!K225</f>
        <v>0</v>
      </c>
      <c r="H199" s="27">
        <f t="shared" si="46"/>
        <v>0</v>
      </c>
      <c r="I199" s="27"/>
      <c r="J199" s="27">
        <f t="shared" si="43"/>
        <v>0</v>
      </c>
      <c r="K199" s="27">
        <f t="shared" si="44"/>
        <v>0</v>
      </c>
      <c r="L199" s="27">
        <f t="shared" si="45"/>
        <v>0</v>
      </c>
    </row>
    <row r="200" spans="1:12" x14ac:dyDescent="0.3">
      <c r="A200" s="23" t="s">
        <v>63</v>
      </c>
      <c r="B200" s="24"/>
      <c r="C200" s="33">
        <f>C201+C202+C203</f>
        <v>8</v>
      </c>
      <c r="D200" s="33">
        <f>D201+D202+D203</f>
        <v>7.5</v>
      </c>
      <c r="E200" s="33">
        <f>E201+E202+E203</f>
        <v>6</v>
      </c>
      <c r="F200" s="33">
        <f>F201+F202+F203</f>
        <v>4</v>
      </c>
      <c r="G200" s="33"/>
      <c r="H200" s="34">
        <f>H201+H202+H203</f>
        <v>2646574.5599999996</v>
      </c>
      <c r="I200" s="34">
        <f>I201+I202+I203</f>
        <v>0</v>
      </c>
      <c r="J200" s="34">
        <f>J201+J202+J203</f>
        <v>2646574.5599999996</v>
      </c>
      <c r="K200" s="34">
        <f>K201+K202+K203</f>
        <v>799265.51711999997</v>
      </c>
      <c r="L200" s="34">
        <f>L201+L202+L203</f>
        <v>3445840.0771199996</v>
      </c>
    </row>
    <row r="201" spans="1:12" x14ac:dyDescent="0.3">
      <c r="A201" s="7"/>
      <c r="B201" s="9" t="s">
        <v>14</v>
      </c>
      <c r="C201" s="26">
        <v>1.5</v>
      </c>
      <c r="D201" s="26">
        <v>1.5</v>
      </c>
      <c r="E201" s="26">
        <v>1</v>
      </c>
      <c r="F201" s="26">
        <v>1</v>
      </c>
      <c r="G201" s="27">
        <f>'расчёт зарплаты'!K26</f>
        <v>32326.559999999998</v>
      </c>
      <c r="H201" s="27">
        <f>E201*G201*12+ ((D201-E201)*G201/2*12)</f>
        <v>484898.39999999997</v>
      </c>
      <c r="I201" s="27"/>
      <c r="J201" s="27">
        <f t="shared" si="43"/>
        <v>484898.39999999997</v>
      </c>
      <c r="K201" s="27">
        <f t="shared" si="44"/>
        <v>146439.31679999997</v>
      </c>
      <c r="L201" s="27">
        <f t="shared" si="45"/>
        <v>631337.71679999994</v>
      </c>
    </row>
    <row r="202" spans="1:12" x14ac:dyDescent="0.3">
      <c r="A202" s="7"/>
      <c r="B202" s="9" t="s">
        <v>16</v>
      </c>
      <c r="C202" s="26">
        <v>3</v>
      </c>
      <c r="D202" s="26">
        <v>3</v>
      </c>
      <c r="E202" s="26">
        <v>3</v>
      </c>
      <c r="F202" s="26">
        <v>2</v>
      </c>
      <c r="G202" s="27">
        <f>'расчёт зарплаты'!K26</f>
        <v>32326.559999999998</v>
      </c>
      <c r="H202" s="27">
        <f>E202*G202*12+ ((D202-E202)*G202/2*12)</f>
        <v>1163756.1599999999</v>
      </c>
      <c r="I202" s="27"/>
      <c r="J202" s="27">
        <f t="shared" si="43"/>
        <v>1163756.1599999999</v>
      </c>
      <c r="K202" s="27">
        <f t="shared" si="44"/>
        <v>351454.36031999998</v>
      </c>
      <c r="L202" s="27">
        <f t="shared" si="45"/>
        <v>1515210.5203199999</v>
      </c>
    </row>
    <row r="203" spans="1:12" ht="28.2" x14ac:dyDescent="0.3">
      <c r="A203" s="7"/>
      <c r="B203" s="9" t="s">
        <v>71</v>
      </c>
      <c r="C203" s="26">
        <v>3.5</v>
      </c>
      <c r="D203" s="26">
        <v>3</v>
      </c>
      <c r="E203" s="26">
        <v>2</v>
      </c>
      <c r="F203" s="26">
        <v>1</v>
      </c>
      <c r="G203" s="27">
        <f>'расчёт зарплаты'!K41</f>
        <v>33264</v>
      </c>
      <c r="H203" s="27">
        <f>E203*G203*12+ ((D203-E203)*G203/2*12)</f>
        <v>997920</v>
      </c>
      <c r="I203" s="27"/>
      <c r="J203" s="27">
        <f t="shared" si="43"/>
        <v>997920</v>
      </c>
      <c r="K203" s="27">
        <f t="shared" si="44"/>
        <v>301371.83999999997</v>
      </c>
      <c r="L203" s="27">
        <f t="shared" si="45"/>
        <v>1299291.8399999999</v>
      </c>
    </row>
    <row r="204" spans="1:12" x14ac:dyDescent="0.3">
      <c r="A204" s="69" t="s">
        <v>73</v>
      </c>
      <c r="B204" s="69"/>
      <c r="C204" s="30">
        <f>C205+C211</f>
        <v>11.25</v>
      </c>
      <c r="D204" s="30">
        <f>D205+D211</f>
        <v>10.25</v>
      </c>
      <c r="E204" s="30">
        <f>E205+E211</f>
        <v>8</v>
      </c>
      <c r="F204" s="30">
        <f>F205+F211</f>
        <v>7</v>
      </c>
      <c r="G204" s="27"/>
      <c r="H204" s="27">
        <f>E204*G204*12+ ((D204-E204)*G204/2*12)</f>
        <v>0</v>
      </c>
      <c r="I204" s="27"/>
      <c r="J204" s="32">
        <f>J205+J211</f>
        <v>3670416.96</v>
      </c>
      <c r="K204" s="32">
        <f>K205+K211</f>
        <v>1108465.9219199999</v>
      </c>
      <c r="L204" s="32">
        <f>L205+L211</f>
        <v>4778882.8819199996</v>
      </c>
    </row>
    <row r="205" spans="1:12" x14ac:dyDescent="0.3">
      <c r="A205" s="69" t="s">
        <v>35</v>
      </c>
      <c r="B205" s="69"/>
      <c r="C205" s="30">
        <f>C206+C207+C208+C209+C210</f>
        <v>7</v>
      </c>
      <c r="D205" s="30">
        <f>D206+D207+D208+D209+D210</f>
        <v>6</v>
      </c>
      <c r="E205" s="30">
        <f>E206+E207+E208+E209+E210</f>
        <v>5</v>
      </c>
      <c r="F205" s="30">
        <f>F206+F207+F208+F209+F210</f>
        <v>4</v>
      </c>
      <c r="G205" s="32"/>
      <c r="H205" s="32">
        <f>H206+H207+H209+H210+H208</f>
        <v>2133552.96</v>
      </c>
      <c r="I205" s="32"/>
      <c r="J205" s="32">
        <f>H205</f>
        <v>2133552.96</v>
      </c>
      <c r="K205" s="32">
        <f>J205*30.2%</f>
        <v>644332.99391999992</v>
      </c>
      <c r="L205" s="32">
        <f>J205+K205</f>
        <v>2777885.9539199998</v>
      </c>
    </row>
    <row r="206" spans="1:12" x14ac:dyDescent="0.3">
      <c r="A206" s="7"/>
      <c r="B206" s="9" t="s">
        <v>36</v>
      </c>
      <c r="C206" s="26"/>
      <c r="D206" s="26"/>
      <c r="E206" s="26"/>
      <c r="F206" s="26"/>
      <c r="G206" s="27">
        <f>'расчёт зарплаты'!K194</f>
        <v>0</v>
      </c>
      <c r="H206" s="27">
        <f>E206*G206*12+ ((D206-E206)*G206/2*12)</f>
        <v>0</v>
      </c>
      <c r="I206" s="27"/>
      <c r="J206" s="27">
        <f t="shared" ref="J206:J215" si="47">H206</f>
        <v>0</v>
      </c>
      <c r="K206" s="27">
        <f t="shared" ref="K206:K215" si="48">J206*30.2%</f>
        <v>0</v>
      </c>
      <c r="L206" s="27">
        <f t="shared" ref="L206:L215" si="49">J206+K206</f>
        <v>0</v>
      </c>
    </row>
    <row r="207" spans="1:12" x14ac:dyDescent="0.3">
      <c r="A207" s="7"/>
      <c r="B207" s="9" t="s">
        <v>23</v>
      </c>
      <c r="C207" s="26"/>
      <c r="D207" s="26"/>
      <c r="E207" s="26"/>
      <c r="F207" s="26"/>
      <c r="G207" s="27">
        <f>'расчёт зарплаты'!K198</f>
        <v>0</v>
      </c>
      <c r="H207" s="27">
        <f>E207*G207*12+ ((D207-E207)*G207/2*12)</f>
        <v>0</v>
      </c>
      <c r="I207" s="27"/>
      <c r="J207" s="27">
        <f t="shared" si="47"/>
        <v>0</v>
      </c>
      <c r="K207" s="27">
        <f t="shared" si="48"/>
        <v>0</v>
      </c>
      <c r="L207" s="27">
        <f t="shared" si="49"/>
        <v>0</v>
      </c>
    </row>
    <row r="208" spans="1:12" x14ac:dyDescent="0.3">
      <c r="A208" s="7"/>
      <c r="B208" s="25" t="s">
        <v>54</v>
      </c>
      <c r="C208" s="26"/>
      <c r="D208" s="26"/>
      <c r="E208" s="26"/>
      <c r="F208" s="26"/>
      <c r="G208" s="27">
        <f>'расчёт зарплаты'!K217</f>
        <v>0</v>
      </c>
      <c r="H208" s="27">
        <f>E208*G208*12+ ((D208-E208)*G208/2*12)</f>
        <v>0</v>
      </c>
      <c r="I208" s="27"/>
      <c r="J208" s="27">
        <f t="shared" si="47"/>
        <v>0</v>
      </c>
      <c r="K208" s="27">
        <f t="shared" si="48"/>
        <v>0</v>
      </c>
      <c r="L208" s="27">
        <f t="shared" si="49"/>
        <v>0</v>
      </c>
    </row>
    <row r="209" spans="1:12" ht="28.2" x14ac:dyDescent="0.3">
      <c r="A209" s="7"/>
      <c r="B209" s="9" t="s">
        <v>40</v>
      </c>
      <c r="C209" s="26">
        <v>3</v>
      </c>
      <c r="D209" s="26">
        <v>3</v>
      </c>
      <c r="E209" s="26">
        <v>2</v>
      </c>
      <c r="F209" s="26">
        <v>2</v>
      </c>
      <c r="G209" s="27">
        <f>'расчёт зарплаты'!K26</f>
        <v>32326.559999999998</v>
      </c>
      <c r="H209" s="27">
        <f>E209*G209*12+ ((D209-E209)*G209/2*12)</f>
        <v>969796.79999999993</v>
      </c>
      <c r="I209" s="27"/>
      <c r="J209" s="27">
        <f t="shared" si="47"/>
        <v>969796.79999999993</v>
      </c>
      <c r="K209" s="27">
        <f t="shared" si="48"/>
        <v>292878.63359999994</v>
      </c>
      <c r="L209" s="27">
        <f t="shared" si="49"/>
        <v>1262675.4335999999</v>
      </c>
    </row>
    <row r="210" spans="1:12" x14ac:dyDescent="0.3">
      <c r="A210" s="7"/>
      <c r="B210" s="9" t="s">
        <v>41</v>
      </c>
      <c r="C210" s="26">
        <v>4</v>
      </c>
      <c r="D210" s="26">
        <v>3</v>
      </c>
      <c r="E210" s="26">
        <v>3</v>
      </c>
      <c r="F210" s="26">
        <v>2</v>
      </c>
      <c r="G210" s="27">
        <f>'расчёт зарплаты'!K26</f>
        <v>32326.559999999998</v>
      </c>
      <c r="H210" s="27">
        <f>E210*G210*12+ ((D210-E210)*G210/2*12)</f>
        <v>1163756.1599999999</v>
      </c>
      <c r="I210" s="27"/>
      <c r="J210" s="27">
        <f t="shared" si="47"/>
        <v>1163756.1599999999</v>
      </c>
      <c r="K210" s="27">
        <f t="shared" si="48"/>
        <v>351454.36031999998</v>
      </c>
      <c r="L210" s="27">
        <f t="shared" si="49"/>
        <v>1515210.5203199999</v>
      </c>
    </row>
    <row r="211" spans="1:12" x14ac:dyDescent="0.3">
      <c r="A211" s="69" t="s">
        <v>43</v>
      </c>
      <c r="B211" s="69"/>
      <c r="C211" s="30">
        <f>C212+C213+C214+C215</f>
        <v>4.25</v>
      </c>
      <c r="D211" s="30">
        <f>D212+D213+D214+D215</f>
        <v>4.25</v>
      </c>
      <c r="E211" s="30">
        <f>E212+E213+E214+E215</f>
        <v>3</v>
      </c>
      <c r="F211" s="30">
        <f>F212+F213+F214+F215</f>
        <v>3</v>
      </c>
      <c r="G211" s="32"/>
      <c r="H211" s="32">
        <f>H212+H213+H214+H215</f>
        <v>1536864</v>
      </c>
      <c r="I211" s="32"/>
      <c r="J211" s="32">
        <f>H211</f>
        <v>1536864</v>
      </c>
      <c r="K211" s="32">
        <f>J211*30.2%</f>
        <v>464132.92800000001</v>
      </c>
      <c r="L211" s="32">
        <f>J211+K211</f>
        <v>2000996.9280000001</v>
      </c>
    </row>
    <row r="212" spans="1:12" x14ac:dyDescent="0.3">
      <c r="A212" s="7"/>
      <c r="B212" s="9" t="s">
        <v>44</v>
      </c>
      <c r="C212" s="26">
        <v>1.5</v>
      </c>
      <c r="D212" s="26">
        <v>1.5</v>
      </c>
      <c r="E212" s="26">
        <v>1</v>
      </c>
      <c r="F212" s="26">
        <v>1</v>
      </c>
      <c r="G212" s="27">
        <f>'расчёт зарплаты'!K35</f>
        <v>36256</v>
      </c>
      <c r="H212" s="27">
        <f>E212*G212*12+ ((D212-E212)*G212/2*12)</f>
        <v>543840</v>
      </c>
      <c r="I212" s="27"/>
      <c r="J212" s="27">
        <f t="shared" si="47"/>
        <v>543840</v>
      </c>
      <c r="K212" s="27">
        <f t="shared" si="48"/>
        <v>164239.67999999999</v>
      </c>
      <c r="L212" s="27">
        <f t="shared" si="49"/>
        <v>708079.67999999993</v>
      </c>
    </row>
    <row r="213" spans="1:12" x14ac:dyDescent="0.3">
      <c r="A213" s="7"/>
      <c r="B213" s="9" t="s">
        <v>46</v>
      </c>
      <c r="C213" s="26"/>
      <c r="D213" s="26"/>
      <c r="E213" s="26"/>
      <c r="F213" s="26"/>
      <c r="G213" s="27">
        <f>'расчёт зарплаты'!K219</f>
        <v>0</v>
      </c>
      <c r="H213" s="27">
        <f>E213*G213*12+ ((D213-E213)*G213/2*12)</f>
        <v>0</v>
      </c>
      <c r="I213" s="27"/>
      <c r="J213" s="27">
        <f t="shared" si="47"/>
        <v>0</v>
      </c>
      <c r="K213" s="27">
        <f t="shared" si="48"/>
        <v>0</v>
      </c>
      <c r="L213" s="27">
        <f t="shared" si="49"/>
        <v>0</v>
      </c>
    </row>
    <row r="214" spans="1:12" x14ac:dyDescent="0.3">
      <c r="A214" s="7"/>
      <c r="B214" s="9" t="s">
        <v>47</v>
      </c>
      <c r="C214" s="26">
        <v>2.25</v>
      </c>
      <c r="D214" s="26">
        <v>2.25</v>
      </c>
      <c r="E214" s="26">
        <v>1</v>
      </c>
      <c r="F214" s="26">
        <v>1</v>
      </c>
      <c r="G214" s="27">
        <f>'расчёт зарплаты'!K39</f>
        <v>33936</v>
      </c>
      <c r="H214" s="27">
        <f>E214*G214*12+ ((D214-E214)*G214/2*12)</f>
        <v>661752</v>
      </c>
      <c r="I214" s="27"/>
      <c r="J214" s="27">
        <f t="shared" si="47"/>
        <v>661752</v>
      </c>
      <c r="K214" s="27">
        <f t="shared" si="48"/>
        <v>199849.10399999999</v>
      </c>
      <c r="L214" s="27">
        <f t="shared" si="49"/>
        <v>861601.10400000005</v>
      </c>
    </row>
    <row r="215" spans="1:12" x14ac:dyDescent="0.3">
      <c r="A215" s="19"/>
      <c r="B215" s="29" t="s">
        <v>52</v>
      </c>
      <c r="C215" s="35">
        <v>0.5</v>
      </c>
      <c r="D215" s="35">
        <v>0.5</v>
      </c>
      <c r="E215" s="35">
        <v>1</v>
      </c>
      <c r="F215" s="35">
        <v>1</v>
      </c>
      <c r="G215" s="27">
        <f>'расчёт зарплаты'!K20</f>
        <v>36808</v>
      </c>
      <c r="H215" s="27">
        <f>E215*G215*12+ ((D215-E215)*G215/2*12)</f>
        <v>331272</v>
      </c>
      <c r="I215" s="35"/>
      <c r="J215" s="27">
        <f t="shared" si="47"/>
        <v>331272</v>
      </c>
      <c r="K215" s="27">
        <f t="shared" si="48"/>
        <v>100044.144</v>
      </c>
      <c r="L215" s="27">
        <f t="shared" si="49"/>
        <v>431316.14399999997</v>
      </c>
    </row>
    <row r="216" spans="1:12" x14ac:dyDescent="0.3">
      <c r="A216" s="28"/>
      <c r="B216" s="76" t="s">
        <v>80</v>
      </c>
      <c r="C216" s="77"/>
      <c r="D216" s="77"/>
      <c r="E216" s="77"/>
      <c r="F216" s="77"/>
      <c r="G216" s="77"/>
      <c r="H216" s="77"/>
      <c r="I216" s="77"/>
      <c r="J216" s="77"/>
      <c r="K216" s="77"/>
      <c r="L216" s="78"/>
    </row>
    <row r="217" spans="1:12" x14ac:dyDescent="0.3">
      <c r="A217" s="71" t="s">
        <v>68</v>
      </c>
      <c r="B217" s="72"/>
      <c r="C217" s="30">
        <f>C218+C234+C230</f>
        <v>77.75</v>
      </c>
      <c r="D217" s="30">
        <f>D218+D234+D230</f>
        <v>74.5</v>
      </c>
      <c r="E217" s="30">
        <f>E218+E234+E230</f>
        <v>68.5</v>
      </c>
      <c r="F217" s="30">
        <f>F218+F234+F230</f>
        <v>67</v>
      </c>
      <c r="G217" s="27"/>
      <c r="H217" s="27"/>
      <c r="I217" s="27"/>
      <c r="J217" s="27"/>
      <c r="K217" s="27"/>
      <c r="L217" s="27"/>
    </row>
    <row r="218" spans="1:12" x14ac:dyDescent="0.3">
      <c r="A218" s="71" t="s">
        <v>69</v>
      </c>
      <c r="B218" s="72"/>
      <c r="C218" s="30">
        <f>SUM(C219:C229)</f>
        <v>54.5</v>
      </c>
      <c r="D218" s="30">
        <f>SUM(D219:D229)</f>
        <v>53.75</v>
      </c>
      <c r="E218" s="30">
        <f>SUM(E219:E229)</f>
        <v>52</v>
      </c>
      <c r="F218" s="30">
        <f>SUM(F219:F229)</f>
        <v>50</v>
      </c>
      <c r="G218" s="30"/>
      <c r="H218" s="31">
        <f>SUM(H219:H229)</f>
        <v>21655575.359999999</v>
      </c>
      <c r="I218" s="32"/>
      <c r="J218" s="32">
        <f>H218-I218</f>
        <v>21655575.359999999</v>
      </c>
      <c r="K218" s="32">
        <f>J218*30.2%</f>
        <v>6539983.7587199993</v>
      </c>
      <c r="L218" s="32">
        <f>J218+K218</f>
        <v>28195559.118719999</v>
      </c>
    </row>
    <row r="219" spans="1:12" x14ac:dyDescent="0.3">
      <c r="A219" s="7"/>
      <c r="B219" s="9" t="s">
        <v>11</v>
      </c>
      <c r="C219" s="26">
        <v>31</v>
      </c>
      <c r="D219" s="26">
        <v>31</v>
      </c>
      <c r="E219" s="26">
        <v>30</v>
      </c>
      <c r="F219" s="26">
        <v>30</v>
      </c>
      <c r="G219" s="27">
        <f>'расчёт зарплаты'!K10</f>
        <v>33128</v>
      </c>
      <c r="H219" s="27">
        <f>E219*G219*12+ ((D219-E219)*G219/2*12)</f>
        <v>12124848</v>
      </c>
      <c r="I219" s="27"/>
      <c r="J219" s="27">
        <f t="shared" ref="J219:J233" si="50">H219</f>
        <v>12124848</v>
      </c>
      <c r="K219" s="27">
        <f t="shared" ref="K219:K233" si="51">J219*30.2%</f>
        <v>3661704.0959999999</v>
      </c>
      <c r="L219" s="27">
        <f t="shared" ref="L219:L233" si="52">J219+K219</f>
        <v>15786552.096000001</v>
      </c>
    </row>
    <row r="220" spans="1:12" x14ac:dyDescent="0.3">
      <c r="A220" s="7"/>
      <c r="B220" s="9" t="s">
        <v>13</v>
      </c>
      <c r="C220" s="26"/>
      <c r="D220" s="26"/>
      <c r="E220" s="26"/>
      <c r="F220" s="26"/>
      <c r="G220" s="27">
        <f>'расчёт зарплаты'!K230</f>
        <v>0</v>
      </c>
      <c r="H220" s="27">
        <f t="shared" ref="H220:H229" si="53">E220*G220*12+ ((D220-E220)*G220/2*12)</f>
        <v>0</v>
      </c>
      <c r="I220" s="27"/>
      <c r="J220" s="27">
        <f t="shared" si="50"/>
        <v>0</v>
      </c>
      <c r="K220" s="27">
        <f t="shared" si="51"/>
        <v>0</v>
      </c>
      <c r="L220" s="27">
        <f t="shared" si="52"/>
        <v>0</v>
      </c>
    </row>
    <row r="221" spans="1:12" x14ac:dyDescent="0.3">
      <c r="A221" s="7"/>
      <c r="B221" s="9" t="s">
        <v>17</v>
      </c>
      <c r="C221" s="26">
        <v>3</v>
      </c>
      <c r="D221" s="26">
        <v>3</v>
      </c>
      <c r="E221" s="26">
        <v>3</v>
      </c>
      <c r="F221" s="26">
        <v>2</v>
      </c>
      <c r="G221" s="27">
        <f>'расчёт зарплаты'!K39</f>
        <v>33936</v>
      </c>
      <c r="H221" s="27">
        <f t="shared" si="53"/>
        <v>1221696</v>
      </c>
      <c r="I221" s="27"/>
      <c r="J221" s="27">
        <f t="shared" si="50"/>
        <v>1221696</v>
      </c>
      <c r="K221" s="27">
        <f t="shared" si="51"/>
        <v>368952.19199999998</v>
      </c>
      <c r="L221" s="27">
        <f t="shared" si="52"/>
        <v>1590648.192</v>
      </c>
    </row>
    <row r="222" spans="1:12" ht="28.2" x14ac:dyDescent="0.3">
      <c r="A222" s="7"/>
      <c r="B222" s="9" t="s">
        <v>20</v>
      </c>
      <c r="C222" s="26"/>
      <c r="D222" s="26"/>
      <c r="E222" s="26"/>
      <c r="F222" s="26"/>
      <c r="G222" s="27"/>
      <c r="H222" s="27">
        <f t="shared" si="53"/>
        <v>0</v>
      </c>
      <c r="I222" s="27"/>
      <c r="J222" s="27">
        <f t="shared" si="50"/>
        <v>0</v>
      </c>
      <c r="K222" s="27">
        <f t="shared" si="51"/>
        <v>0</v>
      </c>
      <c r="L222" s="27">
        <f t="shared" si="52"/>
        <v>0</v>
      </c>
    </row>
    <row r="223" spans="1:12" x14ac:dyDescent="0.3">
      <c r="A223" s="7"/>
      <c r="B223" s="9" t="s">
        <v>21</v>
      </c>
      <c r="C223" s="26">
        <v>6</v>
      </c>
      <c r="D223" s="26">
        <v>6</v>
      </c>
      <c r="E223" s="26">
        <v>5</v>
      </c>
      <c r="F223" s="26">
        <v>5</v>
      </c>
      <c r="G223" s="27">
        <f>'расчёт зарплаты'!K35</f>
        <v>36256</v>
      </c>
      <c r="H223" s="27">
        <f t="shared" si="53"/>
        <v>2392896</v>
      </c>
      <c r="I223" s="27"/>
      <c r="J223" s="27">
        <f t="shared" si="50"/>
        <v>2392896</v>
      </c>
      <c r="K223" s="27">
        <f t="shared" si="51"/>
        <v>722654.59199999995</v>
      </c>
      <c r="L223" s="27">
        <f t="shared" si="52"/>
        <v>3115550.5920000002</v>
      </c>
    </row>
    <row r="224" spans="1:12" x14ac:dyDescent="0.3">
      <c r="A224" s="7"/>
      <c r="B224" s="9" t="s">
        <v>24</v>
      </c>
      <c r="C224" s="26">
        <v>9</v>
      </c>
      <c r="D224" s="26">
        <v>9</v>
      </c>
      <c r="E224" s="26">
        <v>9</v>
      </c>
      <c r="F224" s="26">
        <v>9</v>
      </c>
      <c r="G224" s="27">
        <f>'расчёт зарплаты'!K8</f>
        <v>33865.919999999998</v>
      </c>
      <c r="H224" s="27">
        <f t="shared" si="53"/>
        <v>3657519.3599999994</v>
      </c>
      <c r="I224" s="27"/>
      <c r="J224" s="27">
        <f t="shared" si="50"/>
        <v>3657519.3599999994</v>
      </c>
      <c r="K224" s="27">
        <f t="shared" si="51"/>
        <v>1104570.8467199998</v>
      </c>
      <c r="L224" s="27">
        <f t="shared" si="52"/>
        <v>4762090.2067199992</v>
      </c>
    </row>
    <row r="225" spans="1:12" ht="42" x14ac:dyDescent="0.3">
      <c r="A225" s="7"/>
      <c r="B225" s="9" t="s">
        <v>25</v>
      </c>
      <c r="C225" s="26">
        <v>2</v>
      </c>
      <c r="D225" s="26">
        <v>1.5</v>
      </c>
      <c r="E225" s="26">
        <v>2</v>
      </c>
      <c r="F225" s="26">
        <v>1</v>
      </c>
      <c r="G225" s="27">
        <f>'расчёт зарплаты'!K10</f>
        <v>33128</v>
      </c>
      <c r="H225" s="27">
        <f t="shared" si="53"/>
        <v>695688</v>
      </c>
      <c r="I225" s="27"/>
      <c r="J225" s="27">
        <f t="shared" si="50"/>
        <v>695688</v>
      </c>
      <c r="K225" s="27">
        <f t="shared" si="51"/>
        <v>210097.77599999998</v>
      </c>
      <c r="L225" s="27">
        <f t="shared" si="52"/>
        <v>905785.77599999995</v>
      </c>
    </row>
    <row r="226" spans="1:12" ht="28.2" x14ac:dyDescent="0.3">
      <c r="A226" s="7"/>
      <c r="B226" s="9" t="s">
        <v>26</v>
      </c>
      <c r="C226" s="26">
        <v>2</v>
      </c>
      <c r="D226" s="26">
        <v>2</v>
      </c>
      <c r="E226" s="26">
        <v>2</v>
      </c>
      <c r="F226" s="26">
        <v>2</v>
      </c>
      <c r="G226" s="27">
        <f>'расчёт зарплаты'!K20</f>
        <v>36808</v>
      </c>
      <c r="H226" s="27">
        <f t="shared" si="53"/>
        <v>883392</v>
      </c>
      <c r="I226" s="27"/>
      <c r="J226" s="27">
        <f t="shared" si="50"/>
        <v>883392</v>
      </c>
      <c r="K226" s="27">
        <f t="shared" si="51"/>
        <v>266784.38400000002</v>
      </c>
      <c r="L226" s="27">
        <f t="shared" si="52"/>
        <v>1150176.3840000001</v>
      </c>
    </row>
    <row r="227" spans="1:12" ht="42" x14ac:dyDescent="0.3">
      <c r="A227" s="7"/>
      <c r="B227" s="9" t="s">
        <v>70</v>
      </c>
      <c r="C227" s="26"/>
      <c r="D227" s="26"/>
      <c r="E227" s="26"/>
      <c r="F227" s="26"/>
      <c r="G227" s="27">
        <f>'расчёт зарплаты'!K220</f>
        <v>0</v>
      </c>
      <c r="H227" s="27">
        <f t="shared" si="53"/>
        <v>0</v>
      </c>
      <c r="I227" s="27"/>
      <c r="J227" s="27">
        <f t="shared" si="50"/>
        <v>0</v>
      </c>
      <c r="K227" s="27">
        <f t="shared" si="51"/>
        <v>0</v>
      </c>
      <c r="L227" s="27">
        <f t="shared" si="52"/>
        <v>0</v>
      </c>
    </row>
    <row r="228" spans="1:12" x14ac:dyDescent="0.3">
      <c r="A228" s="7"/>
      <c r="B228" s="9" t="s">
        <v>30</v>
      </c>
      <c r="C228" s="26"/>
      <c r="D228" s="26"/>
      <c r="E228" s="26"/>
      <c r="F228" s="26"/>
      <c r="G228" s="27">
        <f>'расчёт зарплаты'!K245</f>
        <v>0</v>
      </c>
      <c r="H228" s="27">
        <f t="shared" si="53"/>
        <v>0</v>
      </c>
      <c r="I228" s="27"/>
      <c r="J228" s="27">
        <f t="shared" si="50"/>
        <v>0</v>
      </c>
      <c r="K228" s="27">
        <f t="shared" si="51"/>
        <v>0</v>
      </c>
      <c r="L228" s="27">
        <f t="shared" si="52"/>
        <v>0</v>
      </c>
    </row>
    <row r="229" spans="1:12" ht="39.6" x14ac:dyDescent="0.3">
      <c r="A229" s="7"/>
      <c r="B229" s="22" t="s">
        <v>31</v>
      </c>
      <c r="C229" s="26">
        <v>1.5</v>
      </c>
      <c r="D229" s="26">
        <v>1.25</v>
      </c>
      <c r="E229" s="26">
        <v>1</v>
      </c>
      <c r="F229" s="26">
        <v>1</v>
      </c>
      <c r="G229" s="27">
        <f>'расчёт зарплаты'!K45</f>
        <v>50336</v>
      </c>
      <c r="H229" s="27">
        <f t="shared" si="53"/>
        <v>679536</v>
      </c>
      <c r="I229" s="27"/>
      <c r="J229" s="27">
        <f t="shared" si="50"/>
        <v>679536</v>
      </c>
      <c r="K229" s="27">
        <f t="shared" si="51"/>
        <v>205219.872</v>
      </c>
      <c r="L229" s="27">
        <f t="shared" si="52"/>
        <v>884755.87199999997</v>
      </c>
    </row>
    <row r="230" spans="1:12" x14ac:dyDescent="0.3">
      <c r="A230" s="23" t="s">
        <v>63</v>
      </c>
      <c r="B230" s="24"/>
      <c r="C230" s="33">
        <f>C231+C232+C233</f>
        <v>8.5</v>
      </c>
      <c r="D230" s="33">
        <f>D231+D232+D233</f>
        <v>8</v>
      </c>
      <c r="E230" s="33">
        <f>E231+E232+E233</f>
        <v>7</v>
      </c>
      <c r="F230" s="33">
        <f>F231+F232+F233</f>
        <v>7</v>
      </c>
      <c r="G230" s="33"/>
      <c r="H230" s="34">
        <f>H231+H232+H233</f>
        <v>2948762.88</v>
      </c>
      <c r="I230" s="34">
        <f>I231+I232+I233</f>
        <v>0</v>
      </c>
      <c r="J230" s="34">
        <f>J231+J232+J233</f>
        <v>2948762.88</v>
      </c>
      <c r="K230" s="34">
        <f>K231+K232+K233</f>
        <v>890526.38975999993</v>
      </c>
      <c r="L230" s="34">
        <f>L231+L232+L233</f>
        <v>3839289.2697599996</v>
      </c>
    </row>
    <row r="231" spans="1:12" x14ac:dyDescent="0.3">
      <c r="A231" s="7"/>
      <c r="B231" s="9" t="s">
        <v>14</v>
      </c>
      <c r="C231" s="26">
        <v>1.25</v>
      </c>
      <c r="D231" s="26">
        <v>1</v>
      </c>
      <c r="E231" s="26">
        <v>1</v>
      </c>
      <c r="F231" s="26">
        <v>1</v>
      </c>
      <c r="G231" s="27">
        <f>'расчёт зарплаты'!K26</f>
        <v>32326.559999999998</v>
      </c>
      <c r="H231" s="27">
        <f>E231*G231*12+ ((D231-E231)*G231/2*12)</f>
        <v>387918.72</v>
      </c>
      <c r="I231" s="27"/>
      <c r="J231" s="27">
        <f t="shared" si="50"/>
        <v>387918.72</v>
      </c>
      <c r="K231" s="27">
        <f t="shared" si="51"/>
        <v>117151.45343999998</v>
      </c>
      <c r="L231" s="27">
        <f t="shared" si="52"/>
        <v>505070.17343999993</v>
      </c>
    </row>
    <row r="232" spans="1:12" x14ac:dyDescent="0.3">
      <c r="A232" s="7"/>
      <c r="B232" s="9" t="s">
        <v>16</v>
      </c>
      <c r="C232" s="26">
        <v>3</v>
      </c>
      <c r="D232" s="26">
        <v>3</v>
      </c>
      <c r="E232" s="26">
        <v>3</v>
      </c>
      <c r="F232" s="26">
        <v>3</v>
      </c>
      <c r="G232" s="27">
        <f>'расчёт зарплаты'!K26</f>
        <v>32326.559999999998</v>
      </c>
      <c r="H232" s="27">
        <f>E232*G232*12+ ((D232-E232)*G232/2*12)</f>
        <v>1163756.1599999999</v>
      </c>
      <c r="I232" s="27"/>
      <c r="J232" s="27">
        <f t="shared" si="50"/>
        <v>1163756.1599999999</v>
      </c>
      <c r="K232" s="27">
        <f t="shared" si="51"/>
        <v>351454.36031999998</v>
      </c>
      <c r="L232" s="27">
        <f t="shared" si="52"/>
        <v>1515210.5203199999</v>
      </c>
    </row>
    <row r="233" spans="1:12" ht="28.2" x14ac:dyDescent="0.3">
      <c r="A233" s="7"/>
      <c r="B233" s="9" t="s">
        <v>71</v>
      </c>
      <c r="C233" s="26">
        <v>4.25</v>
      </c>
      <c r="D233" s="26">
        <v>4</v>
      </c>
      <c r="E233" s="26">
        <v>3</v>
      </c>
      <c r="F233" s="26">
        <v>3</v>
      </c>
      <c r="G233" s="27">
        <f>'расчёт зарплаты'!K41</f>
        <v>33264</v>
      </c>
      <c r="H233" s="27">
        <f>E233*G233*12+ ((D233-E233)*G233/2*12)</f>
        <v>1397088</v>
      </c>
      <c r="I233" s="27"/>
      <c r="J233" s="27">
        <f t="shared" si="50"/>
        <v>1397088</v>
      </c>
      <c r="K233" s="27">
        <f t="shared" si="51"/>
        <v>421920.576</v>
      </c>
      <c r="L233" s="27">
        <f t="shared" si="52"/>
        <v>1819008.5759999999</v>
      </c>
    </row>
    <row r="234" spans="1:12" x14ac:dyDescent="0.3">
      <c r="A234" s="69" t="s">
        <v>73</v>
      </c>
      <c r="B234" s="69"/>
      <c r="C234" s="30">
        <f>C235+C241</f>
        <v>14.75</v>
      </c>
      <c r="D234" s="30">
        <f>D235+D241</f>
        <v>12.75</v>
      </c>
      <c r="E234" s="30">
        <f>E235+E241</f>
        <v>9.5</v>
      </c>
      <c r="F234" s="30">
        <f>F235+F241</f>
        <v>10</v>
      </c>
      <c r="G234" s="27"/>
      <c r="H234" s="27">
        <f>E234*G234*12+ ((D234-E234)*G234/2*12)</f>
        <v>0</v>
      </c>
      <c r="I234" s="27"/>
      <c r="J234" s="32">
        <f>J235+J241</f>
        <v>4444643.04</v>
      </c>
      <c r="K234" s="32">
        <f>K235+K241</f>
        <v>1342282.19808</v>
      </c>
      <c r="L234" s="32">
        <f>L235+L241</f>
        <v>5786925.2380800005</v>
      </c>
    </row>
    <row r="235" spans="1:12" x14ac:dyDescent="0.3">
      <c r="A235" s="69" t="s">
        <v>35</v>
      </c>
      <c r="B235" s="69"/>
      <c r="C235" s="30">
        <f>C236+C237+C238+C239+C240</f>
        <v>10</v>
      </c>
      <c r="D235" s="30">
        <f>D236+D237+D238+D239+D240</f>
        <v>8</v>
      </c>
      <c r="E235" s="30">
        <f>E236+E237+E238+E239+E240</f>
        <v>6</v>
      </c>
      <c r="F235" s="30">
        <f>F236+F237+F238+F239+F240</f>
        <v>5</v>
      </c>
      <c r="G235" s="32"/>
      <c r="H235" s="32">
        <f>H236+H237+H239+H240+H238</f>
        <v>2715431.04</v>
      </c>
      <c r="I235" s="32"/>
      <c r="J235" s="32">
        <f>H235</f>
        <v>2715431.04</v>
      </c>
      <c r="K235" s="32">
        <f>J235*30.2%</f>
        <v>820060.17408000003</v>
      </c>
      <c r="L235" s="32">
        <f>J235+K235</f>
        <v>3535491.2140800003</v>
      </c>
    </row>
    <row r="236" spans="1:12" x14ac:dyDescent="0.3">
      <c r="A236" s="7"/>
      <c r="B236" s="9" t="s">
        <v>36</v>
      </c>
      <c r="C236" s="26"/>
      <c r="D236" s="26"/>
      <c r="E236" s="26"/>
      <c r="F236" s="26"/>
      <c r="G236" s="27">
        <f>'расчёт зарплаты'!K224</f>
        <v>0</v>
      </c>
      <c r="H236" s="27">
        <f>E236*G236*12+ ((D236-E236)*G236/2*12)</f>
        <v>0</v>
      </c>
      <c r="I236" s="27"/>
      <c r="J236" s="27">
        <f t="shared" ref="J236:J245" si="54">H236</f>
        <v>0</v>
      </c>
      <c r="K236" s="27">
        <f t="shared" ref="K236:K245" si="55">J236*30.2%</f>
        <v>0</v>
      </c>
      <c r="L236" s="27">
        <f t="shared" ref="L236:L245" si="56">J236+K236</f>
        <v>0</v>
      </c>
    </row>
    <row r="237" spans="1:12" x14ac:dyDescent="0.3">
      <c r="A237" s="7"/>
      <c r="B237" s="9" t="s">
        <v>23</v>
      </c>
      <c r="C237" s="26"/>
      <c r="D237" s="26"/>
      <c r="E237" s="26"/>
      <c r="F237" s="26"/>
      <c r="G237" s="27">
        <f>'расчёт зарплаты'!K228</f>
        <v>0</v>
      </c>
      <c r="H237" s="27">
        <f>E237*G237*12+ ((D237-E237)*G237/2*12)</f>
        <v>0</v>
      </c>
      <c r="I237" s="27"/>
      <c r="J237" s="27">
        <f t="shared" si="54"/>
        <v>0</v>
      </c>
      <c r="K237" s="27">
        <f t="shared" si="55"/>
        <v>0</v>
      </c>
      <c r="L237" s="27">
        <f t="shared" si="56"/>
        <v>0</v>
      </c>
    </row>
    <row r="238" spans="1:12" x14ac:dyDescent="0.3">
      <c r="A238" s="7"/>
      <c r="B238" s="25" t="s">
        <v>54</v>
      </c>
      <c r="C238" s="26"/>
      <c r="D238" s="26"/>
      <c r="E238" s="26"/>
      <c r="F238" s="26"/>
      <c r="G238" s="27">
        <f>'расчёт зарплаты'!K247</f>
        <v>0</v>
      </c>
      <c r="H238" s="27">
        <f>E238*G238*12+ ((D238-E238)*G238/2*12)</f>
        <v>0</v>
      </c>
      <c r="I238" s="27"/>
      <c r="J238" s="27">
        <f t="shared" si="54"/>
        <v>0</v>
      </c>
      <c r="K238" s="27">
        <f t="shared" si="55"/>
        <v>0</v>
      </c>
      <c r="L238" s="27">
        <f t="shared" si="56"/>
        <v>0</v>
      </c>
    </row>
    <row r="239" spans="1:12" ht="28.2" x14ac:dyDescent="0.3">
      <c r="A239" s="7"/>
      <c r="B239" s="9" t="s">
        <v>40</v>
      </c>
      <c r="C239" s="26">
        <v>3</v>
      </c>
      <c r="D239" s="26">
        <v>3</v>
      </c>
      <c r="E239" s="26">
        <v>1</v>
      </c>
      <c r="F239" s="26">
        <v>1</v>
      </c>
      <c r="G239" s="27">
        <f>'расчёт зарплаты'!K26</f>
        <v>32326.559999999998</v>
      </c>
      <c r="H239" s="27">
        <f>E239*G239*12+ ((D239-E239)*G239/2*12)</f>
        <v>775837.44</v>
      </c>
      <c r="I239" s="27"/>
      <c r="J239" s="27">
        <f t="shared" si="54"/>
        <v>775837.44</v>
      </c>
      <c r="K239" s="27">
        <f t="shared" si="55"/>
        <v>234302.90687999997</v>
      </c>
      <c r="L239" s="27">
        <f t="shared" si="56"/>
        <v>1010140.3468799999</v>
      </c>
    </row>
    <row r="240" spans="1:12" x14ac:dyDescent="0.3">
      <c r="A240" s="7"/>
      <c r="B240" s="9" t="s">
        <v>41</v>
      </c>
      <c r="C240" s="26">
        <v>7</v>
      </c>
      <c r="D240" s="26">
        <v>5</v>
      </c>
      <c r="E240" s="26">
        <v>5</v>
      </c>
      <c r="F240" s="26">
        <v>4</v>
      </c>
      <c r="G240" s="27">
        <f>'расчёт зарплаты'!K26</f>
        <v>32326.559999999998</v>
      </c>
      <c r="H240" s="27">
        <f>E240*G240*12+ ((D240-E240)*G240/2*12)</f>
        <v>1939593.5999999999</v>
      </c>
      <c r="I240" s="27"/>
      <c r="J240" s="27">
        <f t="shared" si="54"/>
        <v>1939593.5999999999</v>
      </c>
      <c r="K240" s="27">
        <f t="shared" si="55"/>
        <v>585757.26719999989</v>
      </c>
      <c r="L240" s="27">
        <f t="shared" si="56"/>
        <v>2525350.8671999997</v>
      </c>
    </row>
    <row r="241" spans="1:12" x14ac:dyDescent="0.3">
      <c r="A241" s="69" t="s">
        <v>43</v>
      </c>
      <c r="B241" s="69"/>
      <c r="C241" s="30">
        <f>C242+C243+C244+C245</f>
        <v>4.75</v>
      </c>
      <c r="D241" s="30">
        <f>D242+D243+D244+D245</f>
        <v>4.75</v>
      </c>
      <c r="E241" s="30">
        <f>E242+E243+E244+E245</f>
        <v>3.5</v>
      </c>
      <c r="F241" s="30">
        <f>F242+F243+F244+F245</f>
        <v>5</v>
      </c>
      <c r="G241" s="32"/>
      <c r="H241" s="32">
        <f>H242+H243+H244+H245</f>
        <v>1729212</v>
      </c>
      <c r="I241" s="32"/>
      <c r="J241" s="32">
        <f>H241</f>
        <v>1729212</v>
      </c>
      <c r="K241" s="32">
        <f>J241*30.2%</f>
        <v>522222.02399999998</v>
      </c>
      <c r="L241" s="32">
        <f>J241+K241</f>
        <v>2251434.0240000002</v>
      </c>
    </row>
    <row r="242" spans="1:12" x14ac:dyDescent="0.3">
      <c r="A242" s="7"/>
      <c r="B242" s="9" t="s">
        <v>44</v>
      </c>
      <c r="C242" s="26">
        <v>1</v>
      </c>
      <c r="D242" s="26">
        <v>1</v>
      </c>
      <c r="E242" s="26">
        <v>1</v>
      </c>
      <c r="F242" s="26">
        <v>1</v>
      </c>
      <c r="G242" s="27">
        <f>'расчёт зарплаты'!K35</f>
        <v>36256</v>
      </c>
      <c r="H242" s="27">
        <f>E242*G242*12+ ((D242-E242)*G242/2*12)</f>
        <v>435072</v>
      </c>
      <c r="I242" s="27"/>
      <c r="J242" s="27">
        <f t="shared" si="54"/>
        <v>435072</v>
      </c>
      <c r="K242" s="27">
        <f t="shared" si="55"/>
        <v>131391.74400000001</v>
      </c>
      <c r="L242" s="27">
        <f t="shared" si="56"/>
        <v>566463.74399999995</v>
      </c>
    </row>
    <row r="243" spans="1:12" x14ac:dyDescent="0.3">
      <c r="A243" s="7"/>
      <c r="B243" s="9" t="s">
        <v>46</v>
      </c>
      <c r="C243" s="26"/>
      <c r="D243" s="26"/>
      <c r="E243" s="26"/>
      <c r="F243" s="26"/>
      <c r="G243" s="27">
        <f>'расчёт зарплаты'!K249</f>
        <v>0</v>
      </c>
      <c r="H243" s="27">
        <f>E243*G243*12+ ((D243-E243)*G243/2*12)</f>
        <v>0</v>
      </c>
      <c r="I243" s="27"/>
      <c r="J243" s="27">
        <f t="shared" si="54"/>
        <v>0</v>
      </c>
      <c r="K243" s="27">
        <f t="shared" si="55"/>
        <v>0</v>
      </c>
      <c r="L243" s="27">
        <f t="shared" si="56"/>
        <v>0</v>
      </c>
    </row>
    <row r="244" spans="1:12" x14ac:dyDescent="0.3">
      <c r="A244" s="7"/>
      <c r="B244" s="9" t="s">
        <v>47</v>
      </c>
      <c r="C244" s="26">
        <v>3</v>
      </c>
      <c r="D244" s="26">
        <v>3</v>
      </c>
      <c r="E244" s="26">
        <v>2</v>
      </c>
      <c r="F244" s="26">
        <v>3</v>
      </c>
      <c r="G244" s="27">
        <f>'расчёт зарплаты'!K39</f>
        <v>33936</v>
      </c>
      <c r="H244" s="27">
        <f>E244*G244*12+ ((D244-E244)*G244/2*12)</f>
        <v>1018080</v>
      </c>
      <c r="I244" s="27"/>
      <c r="J244" s="27">
        <f t="shared" si="54"/>
        <v>1018080</v>
      </c>
      <c r="K244" s="27">
        <f t="shared" si="55"/>
        <v>307460.15999999997</v>
      </c>
      <c r="L244" s="27">
        <f t="shared" si="56"/>
        <v>1325540.1599999999</v>
      </c>
    </row>
    <row r="245" spans="1:12" x14ac:dyDescent="0.3">
      <c r="A245" s="19"/>
      <c r="B245" s="29" t="s">
        <v>52</v>
      </c>
      <c r="C245" s="35">
        <v>0.75</v>
      </c>
      <c r="D245" s="35">
        <v>0.75</v>
      </c>
      <c r="E245" s="35">
        <v>0.5</v>
      </c>
      <c r="F245" s="35">
        <v>1</v>
      </c>
      <c r="G245" s="27">
        <f>'расчёт зарплаты'!K20</f>
        <v>36808</v>
      </c>
      <c r="H245" s="27">
        <f>E245*G245*12+ ((D245-E245)*G245/2*12)</f>
        <v>276060</v>
      </c>
      <c r="I245" s="35"/>
      <c r="J245" s="27">
        <f t="shared" si="54"/>
        <v>276060</v>
      </c>
      <c r="K245" s="27">
        <f t="shared" si="55"/>
        <v>83370.12</v>
      </c>
      <c r="L245" s="27">
        <f t="shared" si="56"/>
        <v>359430.12</v>
      </c>
    </row>
    <row r="246" spans="1:12" x14ac:dyDescent="0.3">
      <c r="A246" s="28"/>
      <c r="B246" s="76" t="s">
        <v>81</v>
      </c>
      <c r="C246" s="77"/>
      <c r="D246" s="77"/>
      <c r="E246" s="77"/>
      <c r="F246" s="77"/>
      <c r="G246" s="77"/>
      <c r="H246" s="77"/>
      <c r="I246" s="77"/>
      <c r="J246" s="77"/>
      <c r="K246" s="77"/>
      <c r="L246" s="78"/>
    </row>
    <row r="247" spans="1:12" x14ac:dyDescent="0.3">
      <c r="A247" s="71" t="s">
        <v>68</v>
      </c>
      <c r="B247" s="72"/>
      <c r="C247" s="30">
        <f>C248+C264+C260</f>
        <v>41.25</v>
      </c>
      <c r="D247" s="30">
        <f>D248+D264+D260</f>
        <v>32</v>
      </c>
      <c r="E247" s="30">
        <f>E248+E264+E260</f>
        <v>25.5</v>
      </c>
      <c r="F247" s="30">
        <f>F248+F264+F260</f>
        <v>28</v>
      </c>
      <c r="G247" s="27"/>
      <c r="H247" s="27"/>
      <c r="I247" s="27"/>
      <c r="J247" s="27"/>
      <c r="K247" s="27"/>
      <c r="L247" s="27"/>
    </row>
    <row r="248" spans="1:12" x14ac:dyDescent="0.3">
      <c r="A248" s="71" t="s">
        <v>69</v>
      </c>
      <c r="B248" s="72"/>
      <c r="C248" s="30">
        <f>SUM(C249:C259)</f>
        <v>28.25</v>
      </c>
      <c r="D248" s="30">
        <f>SUM(D249:D259)</f>
        <v>22.75</v>
      </c>
      <c r="E248" s="30">
        <f>SUM(E249:E259)</f>
        <v>18.5</v>
      </c>
      <c r="F248" s="30">
        <f>SUM(F249:F259)</f>
        <v>19</v>
      </c>
      <c r="G248" s="30"/>
      <c r="H248" s="31">
        <f>SUM(H249:H259)</f>
        <v>8569653.120000001</v>
      </c>
      <c r="I248" s="32"/>
      <c r="J248" s="32">
        <f>H248-I248</f>
        <v>8569653.120000001</v>
      </c>
      <c r="K248" s="32">
        <f>J248*30.2%</f>
        <v>2588035.2422400001</v>
      </c>
      <c r="L248" s="32">
        <f>J248+K248</f>
        <v>11157688.362240002</v>
      </c>
    </row>
    <row r="249" spans="1:12" x14ac:dyDescent="0.3">
      <c r="A249" s="7"/>
      <c r="B249" s="9" t="s">
        <v>11</v>
      </c>
      <c r="C249" s="26">
        <v>14.5</v>
      </c>
      <c r="D249" s="26">
        <v>12</v>
      </c>
      <c r="E249" s="26">
        <v>10</v>
      </c>
      <c r="F249" s="26">
        <v>10</v>
      </c>
      <c r="G249" s="27">
        <f>'расчёт зарплаты'!K10</f>
        <v>33128</v>
      </c>
      <c r="H249" s="27">
        <f>E249*G249*12+ ((D249-E249)*G249/2*12)</f>
        <v>4372896</v>
      </c>
      <c r="I249" s="27"/>
      <c r="J249" s="27">
        <f t="shared" ref="J249:J263" si="57">H249</f>
        <v>4372896</v>
      </c>
      <c r="K249" s="27">
        <f t="shared" ref="K249:K263" si="58">J249*30.2%</f>
        <v>1320614.5919999999</v>
      </c>
      <c r="L249" s="27">
        <f t="shared" ref="L249:L263" si="59">J249+K249</f>
        <v>5693510.5920000002</v>
      </c>
    </row>
    <row r="250" spans="1:12" x14ac:dyDescent="0.3">
      <c r="A250" s="7"/>
      <c r="B250" s="9" t="s">
        <v>13</v>
      </c>
      <c r="C250" s="26">
        <v>1</v>
      </c>
      <c r="D250" s="26"/>
      <c r="E250" s="26"/>
      <c r="F250" s="26"/>
      <c r="G250" s="27">
        <f>'расчёт зарплаты'!K260</f>
        <v>0</v>
      </c>
      <c r="H250" s="27">
        <f t="shared" ref="H250:H259" si="60">E250*G250*12+ ((D250-E250)*G250/2*12)</f>
        <v>0</v>
      </c>
      <c r="I250" s="27"/>
      <c r="J250" s="27">
        <f t="shared" si="57"/>
        <v>0</v>
      </c>
      <c r="K250" s="27">
        <f t="shared" si="58"/>
        <v>0</v>
      </c>
      <c r="L250" s="27">
        <f t="shared" si="59"/>
        <v>0</v>
      </c>
    </row>
    <row r="251" spans="1:12" x14ac:dyDescent="0.3">
      <c r="A251" s="7"/>
      <c r="B251" s="9" t="s">
        <v>17</v>
      </c>
      <c r="C251" s="26">
        <v>2.5</v>
      </c>
      <c r="D251" s="26">
        <v>1.75</v>
      </c>
      <c r="E251" s="26">
        <v>2</v>
      </c>
      <c r="F251" s="26">
        <v>1</v>
      </c>
      <c r="G251" s="27">
        <f>'расчёт зарплаты'!K39</f>
        <v>33936</v>
      </c>
      <c r="H251" s="27">
        <f t="shared" si="60"/>
        <v>763560</v>
      </c>
      <c r="I251" s="27"/>
      <c r="J251" s="27">
        <f t="shared" si="57"/>
        <v>763560</v>
      </c>
      <c r="K251" s="27">
        <f t="shared" si="58"/>
        <v>230595.12</v>
      </c>
      <c r="L251" s="27">
        <f t="shared" si="59"/>
        <v>994155.12</v>
      </c>
    </row>
    <row r="252" spans="1:12" ht="28.2" x14ac:dyDescent="0.3">
      <c r="A252" s="7"/>
      <c r="B252" s="9" t="s">
        <v>20</v>
      </c>
      <c r="C252" s="26"/>
      <c r="D252" s="26"/>
      <c r="E252" s="26"/>
      <c r="F252" s="26"/>
      <c r="G252" s="27"/>
      <c r="H252" s="27">
        <f t="shared" si="60"/>
        <v>0</v>
      </c>
      <c r="I252" s="27"/>
      <c r="J252" s="27">
        <f t="shared" si="57"/>
        <v>0</v>
      </c>
      <c r="K252" s="27">
        <f t="shared" si="58"/>
        <v>0</v>
      </c>
      <c r="L252" s="27">
        <f t="shared" si="59"/>
        <v>0</v>
      </c>
    </row>
    <row r="253" spans="1:12" x14ac:dyDescent="0.3">
      <c r="A253" s="7"/>
      <c r="B253" s="9" t="s">
        <v>21</v>
      </c>
      <c r="C253" s="26">
        <v>4</v>
      </c>
      <c r="D253" s="26">
        <v>3</v>
      </c>
      <c r="E253" s="26">
        <v>1</v>
      </c>
      <c r="F253" s="26">
        <v>2</v>
      </c>
      <c r="G253" s="27">
        <f>'расчёт зарплаты'!K35</f>
        <v>36256</v>
      </c>
      <c r="H253" s="27">
        <f t="shared" si="60"/>
        <v>870144</v>
      </c>
      <c r="I253" s="27"/>
      <c r="J253" s="27">
        <f t="shared" si="57"/>
        <v>870144</v>
      </c>
      <c r="K253" s="27">
        <f t="shared" si="58"/>
        <v>262783.48800000001</v>
      </c>
      <c r="L253" s="27">
        <f t="shared" si="59"/>
        <v>1132927.4879999999</v>
      </c>
    </row>
    <row r="254" spans="1:12" x14ac:dyDescent="0.3">
      <c r="A254" s="7"/>
      <c r="B254" s="9" t="s">
        <v>24</v>
      </c>
      <c r="C254" s="26">
        <v>3</v>
      </c>
      <c r="D254" s="26">
        <v>3</v>
      </c>
      <c r="E254" s="26">
        <v>3</v>
      </c>
      <c r="F254" s="26">
        <v>3</v>
      </c>
      <c r="G254" s="27">
        <f>'расчёт зарплаты'!K8</f>
        <v>33865.919999999998</v>
      </c>
      <c r="H254" s="27">
        <f t="shared" si="60"/>
        <v>1219173.1199999999</v>
      </c>
      <c r="I254" s="27"/>
      <c r="J254" s="27">
        <f t="shared" si="57"/>
        <v>1219173.1199999999</v>
      </c>
      <c r="K254" s="27">
        <f t="shared" si="58"/>
        <v>368190.28223999997</v>
      </c>
      <c r="L254" s="27">
        <f t="shared" si="59"/>
        <v>1587363.4022399997</v>
      </c>
    </row>
    <row r="255" spans="1:12" ht="42" x14ac:dyDescent="0.3">
      <c r="A255" s="7"/>
      <c r="B255" s="9" t="s">
        <v>25</v>
      </c>
      <c r="C255" s="26">
        <v>1.25</v>
      </c>
      <c r="D255" s="26">
        <v>1</v>
      </c>
      <c r="E255" s="26">
        <v>0.5</v>
      </c>
      <c r="F255" s="26">
        <v>1</v>
      </c>
      <c r="G255" s="27">
        <f>'расчёт зарплаты'!K10</f>
        <v>33128</v>
      </c>
      <c r="H255" s="27">
        <f t="shared" si="60"/>
        <v>298152</v>
      </c>
      <c r="I255" s="27"/>
      <c r="J255" s="27">
        <f t="shared" si="57"/>
        <v>298152</v>
      </c>
      <c r="K255" s="27">
        <f t="shared" si="58"/>
        <v>90041.903999999995</v>
      </c>
      <c r="L255" s="27">
        <f t="shared" si="59"/>
        <v>388193.90399999998</v>
      </c>
    </row>
    <row r="256" spans="1:12" ht="28.2" x14ac:dyDescent="0.3">
      <c r="A256" s="7"/>
      <c r="B256" s="9" t="s">
        <v>26</v>
      </c>
      <c r="C256" s="26">
        <v>1</v>
      </c>
      <c r="D256" s="26">
        <v>1</v>
      </c>
      <c r="E256" s="26">
        <v>1</v>
      </c>
      <c r="F256" s="26">
        <v>1</v>
      </c>
      <c r="G256" s="27">
        <f>'расчёт зарплаты'!K20</f>
        <v>36808</v>
      </c>
      <c r="H256" s="27">
        <f t="shared" si="60"/>
        <v>441696</v>
      </c>
      <c r="I256" s="27"/>
      <c r="J256" s="27">
        <f t="shared" si="57"/>
        <v>441696</v>
      </c>
      <c r="K256" s="27">
        <f t="shared" si="58"/>
        <v>133392.19200000001</v>
      </c>
      <c r="L256" s="27">
        <f t="shared" si="59"/>
        <v>575088.19200000004</v>
      </c>
    </row>
    <row r="257" spans="1:12" ht="42" x14ac:dyDescent="0.3">
      <c r="A257" s="7"/>
      <c r="B257" s="9" t="s">
        <v>70</v>
      </c>
      <c r="C257" s="26"/>
      <c r="D257" s="26"/>
      <c r="E257" s="26"/>
      <c r="F257" s="26"/>
      <c r="G257" s="27">
        <f>'расчёт зарплаты'!K250</f>
        <v>0</v>
      </c>
      <c r="H257" s="27">
        <f t="shared" si="60"/>
        <v>0</v>
      </c>
      <c r="I257" s="27"/>
      <c r="J257" s="27">
        <f t="shared" si="57"/>
        <v>0</v>
      </c>
      <c r="K257" s="27">
        <f t="shared" si="58"/>
        <v>0</v>
      </c>
      <c r="L257" s="27">
        <f t="shared" si="59"/>
        <v>0</v>
      </c>
    </row>
    <row r="258" spans="1:12" x14ac:dyDescent="0.3">
      <c r="A258" s="7"/>
      <c r="B258" s="9" t="s">
        <v>30</v>
      </c>
      <c r="C258" s="26"/>
      <c r="D258" s="26"/>
      <c r="E258" s="26"/>
      <c r="F258" s="26"/>
      <c r="G258" s="27">
        <f>'расчёт зарплаты'!K275</f>
        <v>0</v>
      </c>
      <c r="H258" s="27">
        <f t="shared" si="60"/>
        <v>0</v>
      </c>
      <c r="I258" s="27"/>
      <c r="J258" s="27">
        <f t="shared" si="57"/>
        <v>0</v>
      </c>
      <c r="K258" s="27">
        <f t="shared" si="58"/>
        <v>0</v>
      </c>
      <c r="L258" s="27">
        <f t="shared" si="59"/>
        <v>0</v>
      </c>
    </row>
    <row r="259" spans="1:12" ht="39.6" x14ac:dyDescent="0.3">
      <c r="A259" s="7"/>
      <c r="B259" s="22" t="s">
        <v>31</v>
      </c>
      <c r="C259" s="26">
        <v>1</v>
      </c>
      <c r="D259" s="26">
        <v>1</v>
      </c>
      <c r="E259" s="26">
        <v>1</v>
      </c>
      <c r="F259" s="26">
        <v>1</v>
      </c>
      <c r="G259" s="27">
        <f>'расчёт зарплаты'!K45</f>
        <v>50336</v>
      </c>
      <c r="H259" s="27">
        <f t="shared" si="60"/>
        <v>604032</v>
      </c>
      <c r="I259" s="27"/>
      <c r="J259" s="27">
        <f t="shared" si="57"/>
        <v>604032</v>
      </c>
      <c r="K259" s="27">
        <f t="shared" si="58"/>
        <v>182417.66399999999</v>
      </c>
      <c r="L259" s="27">
        <f t="shared" si="59"/>
        <v>786449.66399999999</v>
      </c>
    </row>
    <row r="260" spans="1:12" x14ac:dyDescent="0.3">
      <c r="A260" s="23" t="s">
        <v>63</v>
      </c>
      <c r="B260" s="24"/>
      <c r="C260" s="33">
        <f>C261+C262+C263</f>
        <v>5.5</v>
      </c>
      <c r="D260" s="33">
        <f>D261+D262+D263</f>
        <v>4.25</v>
      </c>
      <c r="E260" s="33">
        <f>E261+E262+E263</f>
        <v>3</v>
      </c>
      <c r="F260" s="33">
        <f>F261+F262+F263</f>
        <v>3</v>
      </c>
      <c r="G260" s="33"/>
      <c r="H260" s="34">
        <f>H261+H262+H263</f>
        <v>1420266.96</v>
      </c>
      <c r="I260" s="34">
        <f>I261+I262+I263</f>
        <v>0</v>
      </c>
      <c r="J260" s="34">
        <f>J261+J262+J263</f>
        <v>1420266.96</v>
      </c>
      <c r="K260" s="34">
        <f>K261+K262+K263</f>
        <v>428920.62191999995</v>
      </c>
      <c r="L260" s="34">
        <f>L261+L262+L263</f>
        <v>1849187.5819199998</v>
      </c>
    </row>
    <row r="261" spans="1:12" x14ac:dyDescent="0.3">
      <c r="A261" s="7"/>
      <c r="B261" s="9" t="s">
        <v>14</v>
      </c>
      <c r="C261" s="26">
        <v>1</v>
      </c>
      <c r="D261" s="26">
        <v>1</v>
      </c>
      <c r="E261" s="26">
        <v>1</v>
      </c>
      <c r="F261" s="26">
        <v>1</v>
      </c>
      <c r="G261" s="27">
        <f>'расчёт зарплаты'!K26</f>
        <v>32326.559999999998</v>
      </c>
      <c r="H261" s="27">
        <f>E261*G261*12+ ((D261-E261)*G261/2*12)</f>
        <v>387918.72</v>
      </c>
      <c r="I261" s="27"/>
      <c r="J261" s="27">
        <f t="shared" si="57"/>
        <v>387918.72</v>
      </c>
      <c r="K261" s="27">
        <f t="shared" si="58"/>
        <v>117151.45343999998</v>
      </c>
      <c r="L261" s="27">
        <f t="shared" si="59"/>
        <v>505070.17343999993</v>
      </c>
    </row>
    <row r="262" spans="1:12" x14ac:dyDescent="0.3">
      <c r="A262" s="7"/>
      <c r="B262" s="9" t="s">
        <v>16</v>
      </c>
      <c r="C262" s="26">
        <v>2</v>
      </c>
      <c r="D262" s="26">
        <v>1.75</v>
      </c>
      <c r="E262" s="26">
        <v>1</v>
      </c>
      <c r="F262" s="26">
        <v>1</v>
      </c>
      <c r="G262" s="27">
        <f>'расчёт зарплаты'!K26</f>
        <v>32326.559999999998</v>
      </c>
      <c r="H262" s="27">
        <f>E262*G262*12+ ((D262-E262)*G262/2*12)</f>
        <v>533388.24</v>
      </c>
      <c r="I262" s="27"/>
      <c r="J262" s="27">
        <f t="shared" si="57"/>
        <v>533388.24</v>
      </c>
      <c r="K262" s="27">
        <f t="shared" si="58"/>
        <v>161083.24847999998</v>
      </c>
      <c r="L262" s="27">
        <f t="shared" si="59"/>
        <v>694471.48847999994</v>
      </c>
    </row>
    <row r="263" spans="1:12" ht="28.2" x14ac:dyDescent="0.3">
      <c r="A263" s="7"/>
      <c r="B263" s="9" t="s">
        <v>71</v>
      </c>
      <c r="C263" s="26">
        <v>2.5</v>
      </c>
      <c r="D263" s="26">
        <v>1.5</v>
      </c>
      <c r="E263" s="26">
        <v>1</v>
      </c>
      <c r="F263" s="26">
        <v>1</v>
      </c>
      <c r="G263" s="27">
        <f>'расчёт зарплаты'!K41</f>
        <v>33264</v>
      </c>
      <c r="H263" s="27">
        <f>E263*G263*12+ ((D263-E263)*G263/2*12)</f>
        <v>498960</v>
      </c>
      <c r="I263" s="27"/>
      <c r="J263" s="27">
        <f t="shared" si="57"/>
        <v>498960</v>
      </c>
      <c r="K263" s="27">
        <f t="shared" si="58"/>
        <v>150685.91999999998</v>
      </c>
      <c r="L263" s="27">
        <f t="shared" si="59"/>
        <v>649645.91999999993</v>
      </c>
    </row>
    <row r="264" spans="1:12" x14ac:dyDescent="0.3">
      <c r="A264" s="69" t="s">
        <v>73</v>
      </c>
      <c r="B264" s="69"/>
      <c r="C264" s="30">
        <f>C265+C271</f>
        <v>7.5</v>
      </c>
      <c r="D264" s="30">
        <f>D265+D271</f>
        <v>5</v>
      </c>
      <c r="E264" s="30">
        <f>E265+E271</f>
        <v>4</v>
      </c>
      <c r="F264" s="30">
        <f>F265+F271</f>
        <v>6</v>
      </c>
      <c r="G264" s="27"/>
      <c r="H264" s="27">
        <f>E264*G264*12+ ((D264-E264)*G264/2*12)</f>
        <v>0</v>
      </c>
      <c r="I264" s="27"/>
      <c r="J264" s="32">
        <f>J265+J271</f>
        <v>1764947.52</v>
      </c>
      <c r="K264" s="32">
        <f>K265+K271</f>
        <v>533014.15104000003</v>
      </c>
      <c r="L264" s="32">
        <f>L265+L271</f>
        <v>2297961.6710400004</v>
      </c>
    </row>
    <row r="265" spans="1:12" x14ac:dyDescent="0.3">
      <c r="A265" s="69" t="s">
        <v>35</v>
      </c>
      <c r="B265" s="69"/>
      <c r="C265" s="30">
        <f>C266+C267+C268+C269+C270</f>
        <v>5.5</v>
      </c>
      <c r="D265" s="30">
        <f>D266+D267+D268+D269+D270</f>
        <v>4</v>
      </c>
      <c r="E265" s="30">
        <f>E266+E267+E268+E269+E270</f>
        <v>3</v>
      </c>
      <c r="F265" s="30">
        <f>F266+F267+F268+F269+F270</f>
        <v>4</v>
      </c>
      <c r="G265" s="32"/>
      <c r="H265" s="32">
        <f>H266+H267+H269+H270+H268</f>
        <v>1357715.52</v>
      </c>
      <c r="I265" s="32"/>
      <c r="J265" s="32">
        <f>H265</f>
        <v>1357715.52</v>
      </c>
      <c r="K265" s="32">
        <f>J265*30.2%</f>
        <v>410030.08704000001</v>
      </c>
      <c r="L265" s="32">
        <f>J265+K265</f>
        <v>1767745.6070400001</v>
      </c>
    </row>
    <row r="266" spans="1:12" x14ac:dyDescent="0.3">
      <c r="A266" s="7"/>
      <c r="B266" s="9" t="s">
        <v>36</v>
      </c>
      <c r="C266" s="26"/>
      <c r="D266" s="26"/>
      <c r="E266" s="26"/>
      <c r="F266" s="26"/>
      <c r="G266" s="27">
        <f>'расчёт зарплаты'!K254</f>
        <v>0</v>
      </c>
      <c r="H266" s="27">
        <f>E266*G266*12+ ((D266-E266)*G266/2*12)</f>
        <v>0</v>
      </c>
      <c r="I266" s="27"/>
      <c r="J266" s="27">
        <f t="shared" ref="J266:J275" si="61">H266</f>
        <v>0</v>
      </c>
      <c r="K266" s="27">
        <f t="shared" ref="K266:K275" si="62">J266*30.2%</f>
        <v>0</v>
      </c>
      <c r="L266" s="27">
        <f t="shared" ref="L266:L275" si="63">J266+K266</f>
        <v>0</v>
      </c>
    </row>
    <row r="267" spans="1:12" x14ac:dyDescent="0.3">
      <c r="A267" s="7"/>
      <c r="B267" s="9" t="s">
        <v>23</v>
      </c>
      <c r="C267" s="26"/>
      <c r="D267" s="26"/>
      <c r="E267" s="26"/>
      <c r="F267" s="26"/>
      <c r="G267" s="27">
        <f>'расчёт зарплаты'!K258</f>
        <v>0</v>
      </c>
      <c r="H267" s="27">
        <f>E267*G267*12+ ((D267-E267)*G267/2*12)</f>
        <v>0</v>
      </c>
      <c r="I267" s="27"/>
      <c r="J267" s="27">
        <f t="shared" si="61"/>
        <v>0</v>
      </c>
      <c r="K267" s="27">
        <f t="shared" si="62"/>
        <v>0</v>
      </c>
      <c r="L267" s="27">
        <f t="shared" si="63"/>
        <v>0</v>
      </c>
    </row>
    <row r="268" spans="1:12" x14ac:dyDescent="0.3">
      <c r="A268" s="7"/>
      <c r="B268" s="25" t="s">
        <v>54</v>
      </c>
      <c r="C268" s="26"/>
      <c r="D268" s="26"/>
      <c r="E268" s="26"/>
      <c r="F268" s="26"/>
      <c r="G268" s="27">
        <f>'расчёт зарплаты'!K277</f>
        <v>0</v>
      </c>
      <c r="H268" s="27">
        <f>E268*G268*12+ ((D268-E268)*G268/2*12)</f>
        <v>0</v>
      </c>
      <c r="I268" s="27"/>
      <c r="J268" s="27">
        <f t="shared" si="61"/>
        <v>0</v>
      </c>
      <c r="K268" s="27">
        <f t="shared" si="62"/>
        <v>0</v>
      </c>
      <c r="L268" s="27">
        <f t="shared" si="63"/>
        <v>0</v>
      </c>
    </row>
    <row r="269" spans="1:12" ht="28.2" x14ac:dyDescent="0.3">
      <c r="A269" s="7"/>
      <c r="B269" s="9" t="s">
        <v>40</v>
      </c>
      <c r="C269" s="26">
        <v>2</v>
      </c>
      <c r="D269" s="26">
        <v>2</v>
      </c>
      <c r="E269" s="26">
        <v>2</v>
      </c>
      <c r="F269" s="26">
        <v>2</v>
      </c>
      <c r="G269" s="27">
        <f>'расчёт зарплаты'!K26</f>
        <v>32326.559999999998</v>
      </c>
      <c r="H269" s="27">
        <f>E269*G269*12+ ((D269-E269)*G269/2*12)</f>
        <v>775837.44</v>
      </c>
      <c r="I269" s="27"/>
      <c r="J269" s="27">
        <f t="shared" si="61"/>
        <v>775837.44</v>
      </c>
      <c r="K269" s="27">
        <f t="shared" si="62"/>
        <v>234302.90687999997</v>
      </c>
      <c r="L269" s="27">
        <f t="shared" si="63"/>
        <v>1010140.3468799999</v>
      </c>
    </row>
    <row r="270" spans="1:12" x14ac:dyDescent="0.3">
      <c r="A270" s="7"/>
      <c r="B270" s="9" t="s">
        <v>41</v>
      </c>
      <c r="C270" s="26">
        <v>3.5</v>
      </c>
      <c r="D270" s="26">
        <v>2</v>
      </c>
      <c r="E270" s="26">
        <v>1</v>
      </c>
      <c r="F270" s="26">
        <v>2</v>
      </c>
      <c r="G270" s="27">
        <f>'расчёт зарплаты'!K26</f>
        <v>32326.559999999998</v>
      </c>
      <c r="H270" s="27">
        <f>E270*G270*12+ ((D270-E270)*G270/2*12)</f>
        <v>581878.07999999996</v>
      </c>
      <c r="I270" s="27"/>
      <c r="J270" s="27">
        <f t="shared" si="61"/>
        <v>581878.07999999996</v>
      </c>
      <c r="K270" s="27">
        <f t="shared" si="62"/>
        <v>175727.18015999999</v>
      </c>
      <c r="L270" s="27">
        <f t="shared" si="63"/>
        <v>757605.26015999995</v>
      </c>
    </row>
    <row r="271" spans="1:12" x14ac:dyDescent="0.3">
      <c r="A271" s="69" t="s">
        <v>43</v>
      </c>
      <c r="B271" s="69"/>
      <c r="C271" s="30">
        <f>C272+C273+C274+C275</f>
        <v>2</v>
      </c>
      <c r="D271" s="30">
        <f>D272+D273+D274+D275</f>
        <v>1</v>
      </c>
      <c r="E271" s="30">
        <f>E272+E273+E274+E275</f>
        <v>1</v>
      </c>
      <c r="F271" s="30">
        <f>F272+F273+F274+F275</f>
        <v>2</v>
      </c>
      <c r="G271" s="32"/>
      <c r="H271" s="32">
        <f>H272+H273+H274+H275</f>
        <v>407232</v>
      </c>
      <c r="I271" s="32"/>
      <c r="J271" s="32">
        <f>H271</f>
        <v>407232</v>
      </c>
      <c r="K271" s="32">
        <f>J271*30.2%</f>
        <v>122984.064</v>
      </c>
      <c r="L271" s="32">
        <f>J271+K271</f>
        <v>530216.06400000001</v>
      </c>
    </row>
    <row r="272" spans="1:12" x14ac:dyDescent="0.3">
      <c r="A272" s="7"/>
      <c r="B272" s="9" t="s">
        <v>44</v>
      </c>
      <c r="C272" s="26"/>
      <c r="D272" s="26"/>
      <c r="E272" s="26"/>
      <c r="F272" s="26"/>
      <c r="G272" s="27">
        <f>'расчёт зарплаты'!K275</f>
        <v>0</v>
      </c>
      <c r="H272" s="27">
        <f>E272*G272*12+ ((D272-E272)*G272/2*12)</f>
        <v>0</v>
      </c>
      <c r="I272" s="27"/>
      <c r="J272" s="27">
        <f t="shared" si="61"/>
        <v>0</v>
      </c>
      <c r="K272" s="27">
        <f t="shared" si="62"/>
        <v>0</v>
      </c>
      <c r="L272" s="27">
        <f t="shared" si="63"/>
        <v>0</v>
      </c>
    </row>
    <row r="273" spans="1:12" x14ac:dyDescent="0.3">
      <c r="A273" s="7"/>
      <c r="B273" s="9" t="s">
        <v>46</v>
      </c>
      <c r="C273" s="26"/>
      <c r="D273" s="26"/>
      <c r="E273" s="26"/>
      <c r="F273" s="26"/>
      <c r="G273" s="27">
        <f>'расчёт зарплаты'!K279</f>
        <v>0</v>
      </c>
      <c r="H273" s="27">
        <f>E273*G273*12+ ((D273-E273)*G273/2*12)</f>
        <v>0</v>
      </c>
      <c r="I273" s="27"/>
      <c r="J273" s="27">
        <f t="shared" si="61"/>
        <v>0</v>
      </c>
      <c r="K273" s="27">
        <f t="shared" si="62"/>
        <v>0</v>
      </c>
      <c r="L273" s="27">
        <f t="shared" si="63"/>
        <v>0</v>
      </c>
    </row>
    <row r="274" spans="1:12" x14ac:dyDescent="0.3">
      <c r="A274" s="7"/>
      <c r="B274" s="9" t="s">
        <v>47</v>
      </c>
      <c r="C274" s="26">
        <v>2</v>
      </c>
      <c r="D274" s="26">
        <v>1</v>
      </c>
      <c r="E274" s="26">
        <v>1</v>
      </c>
      <c r="F274" s="26">
        <v>2</v>
      </c>
      <c r="G274" s="27">
        <f>'расчёт зарплаты'!K39</f>
        <v>33936</v>
      </c>
      <c r="H274" s="27">
        <f>E274*G274*12+ ((D274-E274)*G274/2*12)</f>
        <v>407232</v>
      </c>
      <c r="I274" s="27"/>
      <c r="J274" s="27">
        <f t="shared" si="61"/>
        <v>407232</v>
      </c>
      <c r="K274" s="27">
        <f t="shared" si="62"/>
        <v>122984.064</v>
      </c>
      <c r="L274" s="27">
        <f t="shared" si="63"/>
        <v>530216.06400000001</v>
      </c>
    </row>
    <row r="275" spans="1:12" x14ac:dyDescent="0.3">
      <c r="A275" s="19"/>
      <c r="B275" s="29" t="s">
        <v>52</v>
      </c>
      <c r="C275" s="35"/>
      <c r="D275" s="35"/>
      <c r="E275" s="35"/>
      <c r="F275" s="35"/>
      <c r="G275" s="27">
        <f>'расчёт зарплаты'!K260</f>
        <v>0</v>
      </c>
      <c r="H275" s="27">
        <f>E275*G275*12+ ((D275-E275)*G275/2*12)</f>
        <v>0</v>
      </c>
      <c r="I275" s="35"/>
      <c r="J275" s="27">
        <f t="shared" si="61"/>
        <v>0</v>
      </c>
      <c r="K275" s="27">
        <f t="shared" si="62"/>
        <v>0</v>
      </c>
      <c r="L275" s="27">
        <f t="shared" si="63"/>
        <v>0</v>
      </c>
    </row>
    <row r="276" spans="1:12" x14ac:dyDescent="0.3">
      <c r="A276" s="28"/>
      <c r="B276" s="76" t="s">
        <v>82</v>
      </c>
      <c r="C276" s="77"/>
      <c r="D276" s="77"/>
      <c r="E276" s="77"/>
      <c r="F276" s="77"/>
      <c r="G276" s="77"/>
      <c r="H276" s="77"/>
      <c r="I276" s="77"/>
      <c r="J276" s="77"/>
      <c r="K276" s="77"/>
      <c r="L276" s="78"/>
    </row>
    <row r="277" spans="1:12" x14ac:dyDescent="0.3">
      <c r="A277" s="71" t="s">
        <v>68</v>
      </c>
      <c r="B277" s="72"/>
      <c r="C277" s="30">
        <f>C278+C295+C291</f>
        <v>115.25</v>
      </c>
      <c r="D277" s="30">
        <f>D278+D295+D291</f>
        <v>109.75</v>
      </c>
      <c r="E277" s="30">
        <f>E278+E295+E291</f>
        <v>95.5</v>
      </c>
      <c r="F277" s="30">
        <f>F278+F295+F291</f>
        <v>94</v>
      </c>
      <c r="G277" s="27"/>
      <c r="H277" s="27"/>
      <c r="I277" s="27"/>
      <c r="J277" s="27"/>
      <c r="K277" s="27"/>
      <c r="L277" s="27"/>
    </row>
    <row r="278" spans="1:12" x14ac:dyDescent="0.3">
      <c r="A278" s="71" t="s">
        <v>69</v>
      </c>
      <c r="B278" s="72"/>
      <c r="C278" s="30">
        <f>SUM(C279:C290)</f>
        <v>77.75</v>
      </c>
      <c r="D278" s="30">
        <f>SUM(D279:D290)</f>
        <v>73.5</v>
      </c>
      <c r="E278" s="30">
        <f>SUM(E279:E290)</f>
        <v>66.5</v>
      </c>
      <c r="F278" s="30">
        <f>SUM(F279:F290)</f>
        <v>64</v>
      </c>
      <c r="G278" s="30"/>
      <c r="H278" s="31">
        <f>SUM(H279:H290)</f>
        <v>29366760.960000001</v>
      </c>
      <c r="I278" s="32"/>
      <c r="J278" s="32">
        <f>H278-I278</f>
        <v>29366760.960000001</v>
      </c>
      <c r="K278" s="32">
        <f>J278*30.2%</f>
        <v>8868761.8099199999</v>
      </c>
      <c r="L278" s="32">
        <f>J278+K278</f>
        <v>38235522.769919999</v>
      </c>
    </row>
    <row r="279" spans="1:12" x14ac:dyDescent="0.3">
      <c r="A279" s="7"/>
      <c r="B279" s="9" t="s">
        <v>11</v>
      </c>
      <c r="C279" s="26">
        <v>27.25</v>
      </c>
      <c r="D279" s="26">
        <v>26</v>
      </c>
      <c r="E279" s="26">
        <v>22</v>
      </c>
      <c r="F279" s="26">
        <v>23</v>
      </c>
      <c r="G279" s="27">
        <f>'расчёт зарплаты'!K10</f>
        <v>33128</v>
      </c>
      <c r="H279" s="27">
        <f>E279*G279*12+ ((D279-E279)*G279/2*12)</f>
        <v>9540864</v>
      </c>
      <c r="I279" s="27"/>
      <c r="J279" s="27">
        <f t="shared" ref="J279:J294" si="64">H279</f>
        <v>9540864</v>
      </c>
      <c r="K279" s="27">
        <f t="shared" ref="K279:K294" si="65">J279*30.2%</f>
        <v>2881340.9279999998</v>
      </c>
      <c r="L279" s="27">
        <f t="shared" ref="L279:L294" si="66">J279+K279</f>
        <v>12422204.927999999</v>
      </c>
    </row>
    <row r="280" spans="1:12" ht="28.2" x14ac:dyDescent="0.3">
      <c r="A280" s="7"/>
      <c r="B280" s="9" t="s">
        <v>94</v>
      </c>
      <c r="C280" s="26">
        <v>5.25</v>
      </c>
      <c r="D280" s="26">
        <v>7</v>
      </c>
      <c r="E280" s="26">
        <v>5</v>
      </c>
      <c r="F280" s="26">
        <v>6</v>
      </c>
      <c r="G280" s="27">
        <f>'расчёт зарплаты'!K12</f>
        <v>36360</v>
      </c>
      <c r="H280" s="27">
        <f>E280*G280*12+ ((D280-E280)*G280/2*12)</f>
        <v>2617920</v>
      </c>
      <c r="I280" s="27"/>
      <c r="J280" s="27">
        <f t="shared" si="64"/>
        <v>2617920</v>
      </c>
      <c r="K280" s="27">
        <f t="shared" si="65"/>
        <v>790611.84</v>
      </c>
      <c r="L280" s="27">
        <f t="shared" si="66"/>
        <v>3408531.84</v>
      </c>
    </row>
    <row r="281" spans="1:12" x14ac:dyDescent="0.3">
      <c r="A281" s="7"/>
      <c r="B281" s="9" t="s">
        <v>13</v>
      </c>
      <c r="C281" s="26">
        <v>6.25</v>
      </c>
      <c r="D281" s="26">
        <v>5</v>
      </c>
      <c r="E281" s="26">
        <v>6</v>
      </c>
      <c r="F281" s="26">
        <v>5</v>
      </c>
      <c r="G281" s="27">
        <f>'расчёт зарплаты'!K20</f>
        <v>36808</v>
      </c>
      <c r="H281" s="27">
        <f t="shared" ref="H281:H290" si="67">E281*G281*12+ ((D281-E281)*G281/2*12)</f>
        <v>2429328</v>
      </c>
      <c r="I281" s="27"/>
      <c r="J281" s="27">
        <f t="shared" si="64"/>
        <v>2429328</v>
      </c>
      <c r="K281" s="27">
        <f t="shared" si="65"/>
        <v>733657.05599999998</v>
      </c>
      <c r="L281" s="27">
        <f t="shared" si="66"/>
        <v>3162985.0559999999</v>
      </c>
    </row>
    <row r="282" spans="1:12" x14ac:dyDescent="0.3">
      <c r="A282" s="7"/>
      <c r="B282" s="9" t="s">
        <v>17</v>
      </c>
      <c r="C282" s="26">
        <v>5.5</v>
      </c>
      <c r="D282" s="26">
        <v>5.5</v>
      </c>
      <c r="E282" s="26">
        <v>5</v>
      </c>
      <c r="F282" s="26">
        <v>3</v>
      </c>
      <c r="G282" s="27">
        <f>'расчёт зарплаты'!K39</f>
        <v>33936</v>
      </c>
      <c r="H282" s="27">
        <f t="shared" si="67"/>
        <v>2137968</v>
      </c>
      <c r="I282" s="27"/>
      <c r="J282" s="27">
        <f t="shared" si="64"/>
        <v>2137968</v>
      </c>
      <c r="K282" s="27">
        <f t="shared" si="65"/>
        <v>645666.33600000001</v>
      </c>
      <c r="L282" s="27">
        <f t="shared" si="66"/>
        <v>2783634.3360000001</v>
      </c>
    </row>
    <row r="283" spans="1:12" ht="28.2" x14ac:dyDescent="0.3">
      <c r="A283" s="7"/>
      <c r="B283" s="9" t="s">
        <v>20</v>
      </c>
      <c r="C283" s="26"/>
      <c r="D283" s="26"/>
      <c r="E283" s="26"/>
      <c r="F283" s="26"/>
      <c r="G283" s="27"/>
      <c r="H283" s="27">
        <f t="shared" si="67"/>
        <v>0</v>
      </c>
      <c r="I283" s="27"/>
      <c r="J283" s="27">
        <f t="shared" si="64"/>
        <v>0</v>
      </c>
      <c r="K283" s="27">
        <f t="shared" si="65"/>
        <v>0</v>
      </c>
      <c r="L283" s="27">
        <f t="shared" si="66"/>
        <v>0</v>
      </c>
    </row>
    <row r="284" spans="1:12" x14ac:dyDescent="0.3">
      <c r="A284" s="7"/>
      <c r="B284" s="9" t="s">
        <v>21</v>
      </c>
      <c r="C284" s="26">
        <v>9</v>
      </c>
      <c r="D284" s="26">
        <v>9</v>
      </c>
      <c r="E284" s="26">
        <v>8</v>
      </c>
      <c r="F284" s="26">
        <v>9</v>
      </c>
      <c r="G284" s="27">
        <f>'расчёт зарплаты'!K35</f>
        <v>36256</v>
      </c>
      <c r="H284" s="27">
        <f t="shared" si="67"/>
        <v>3698112</v>
      </c>
      <c r="I284" s="27"/>
      <c r="J284" s="27">
        <f t="shared" si="64"/>
        <v>3698112</v>
      </c>
      <c r="K284" s="27">
        <f t="shared" si="65"/>
        <v>1116829.824</v>
      </c>
      <c r="L284" s="27">
        <f t="shared" si="66"/>
        <v>4814941.824</v>
      </c>
    </row>
    <row r="285" spans="1:12" x14ac:dyDescent="0.3">
      <c r="A285" s="7"/>
      <c r="B285" s="9" t="s">
        <v>24</v>
      </c>
      <c r="C285" s="26">
        <v>12</v>
      </c>
      <c r="D285" s="26">
        <v>12</v>
      </c>
      <c r="E285" s="26">
        <v>11</v>
      </c>
      <c r="F285" s="26">
        <v>12</v>
      </c>
      <c r="G285" s="27">
        <f>'расчёт зарплаты'!K8</f>
        <v>33865.919999999998</v>
      </c>
      <c r="H285" s="27">
        <f t="shared" si="67"/>
        <v>4673496.959999999</v>
      </c>
      <c r="I285" s="27"/>
      <c r="J285" s="27">
        <f t="shared" si="64"/>
        <v>4673496.959999999</v>
      </c>
      <c r="K285" s="27">
        <f t="shared" si="65"/>
        <v>1411396.0819199996</v>
      </c>
      <c r="L285" s="27">
        <f t="shared" si="66"/>
        <v>6084893.0419199988</v>
      </c>
    </row>
    <row r="286" spans="1:12" ht="42" x14ac:dyDescent="0.3">
      <c r="A286" s="7"/>
      <c r="B286" s="9" t="s">
        <v>25</v>
      </c>
      <c r="C286" s="26">
        <v>4</v>
      </c>
      <c r="D286" s="26">
        <v>4</v>
      </c>
      <c r="E286" s="26">
        <v>4</v>
      </c>
      <c r="F286" s="26">
        <v>3</v>
      </c>
      <c r="G286" s="27">
        <f>'расчёт зарплаты'!K10</f>
        <v>33128</v>
      </c>
      <c r="H286" s="27">
        <f t="shared" si="67"/>
        <v>1590144</v>
      </c>
      <c r="I286" s="27"/>
      <c r="J286" s="27">
        <f t="shared" si="64"/>
        <v>1590144</v>
      </c>
      <c r="K286" s="27">
        <f t="shared" si="65"/>
        <v>480223.48800000001</v>
      </c>
      <c r="L286" s="27">
        <f t="shared" si="66"/>
        <v>2070367.4879999999</v>
      </c>
    </row>
    <row r="287" spans="1:12" ht="28.2" x14ac:dyDescent="0.3">
      <c r="A287" s="7"/>
      <c r="B287" s="9" t="s">
        <v>26</v>
      </c>
      <c r="C287" s="26">
        <v>2</v>
      </c>
      <c r="D287" s="26">
        <v>1</v>
      </c>
      <c r="E287" s="26">
        <v>2</v>
      </c>
      <c r="F287" s="26">
        <v>1</v>
      </c>
      <c r="G287" s="27">
        <f>'расчёт зарплаты'!K20</f>
        <v>36808</v>
      </c>
      <c r="H287" s="27">
        <f t="shared" si="67"/>
        <v>662544</v>
      </c>
      <c r="I287" s="27"/>
      <c r="J287" s="27">
        <f t="shared" si="64"/>
        <v>662544</v>
      </c>
      <c r="K287" s="27">
        <f t="shared" si="65"/>
        <v>200088.288</v>
      </c>
      <c r="L287" s="27">
        <f t="shared" si="66"/>
        <v>862632.28799999994</v>
      </c>
    </row>
    <row r="288" spans="1:12" ht="42" x14ac:dyDescent="0.3">
      <c r="A288" s="7"/>
      <c r="B288" s="9" t="s">
        <v>70</v>
      </c>
      <c r="C288" s="26">
        <v>3</v>
      </c>
      <c r="D288" s="26">
        <v>1</v>
      </c>
      <c r="E288" s="26">
        <v>1</v>
      </c>
      <c r="F288" s="26"/>
      <c r="G288" s="27">
        <f>'расчёт зарплаты'!K10</f>
        <v>33128</v>
      </c>
      <c r="H288" s="27">
        <f t="shared" si="67"/>
        <v>397536</v>
      </c>
      <c r="I288" s="27"/>
      <c r="J288" s="27">
        <f t="shared" si="64"/>
        <v>397536</v>
      </c>
      <c r="K288" s="27">
        <f t="shared" si="65"/>
        <v>120055.872</v>
      </c>
      <c r="L288" s="27">
        <f t="shared" si="66"/>
        <v>517591.87199999997</v>
      </c>
    </row>
    <row r="289" spans="1:12" x14ac:dyDescent="0.3">
      <c r="A289" s="7"/>
      <c r="B289" s="9" t="s">
        <v>30</v>
      </c>
      <c r="C289" s="26">
        <v>0.5</v>
      </c>
      <c r="D289" s="26"/>
      <c r="E289" s="26">
        <v>0.5</v>
      </c>
      <c r="F289" s="26"/>
      <c r="G289" s="27">
        <f>'расчёт зарплаты'!K35</f>
        <v>36256</v>
      </c>
      <c r="H289" s="27">
        <f t="shared" si="67"/>
        <v>108768</v>
      </c>
      <c r="I289" s="27"/>
      <c r="J289" s="27">
        <f t="shared" si="64"/>
        <v>108768</v>
      </c>
      <c r="K289" s="27">
        <f t="shared" si="65"/>
        <v>32847.936000000002</v>
      </c>
      <c r="L289" s="27">
        <f t="shared" si="66"/>
        <v>141615.93599999999</v>
      </c>
    </row>
    <row r="290" spans="1:12" ht="39.6" x14ac:dyDescent="0.3">
      <c r="A290" s="7"/>
      <c r="B290" s="22" t="s">
        <v>31</v>
      </c>
      <c r="C290" s="26">
        <v>3</v>
      </c>
      <c r="D290" s="26">
        <v>3</v>
      </c>
      <c r="E290" s="26">
        <v>2</v>
      </c>
      <c r="F290" s="26">
        <v>2</v>
      </c>
      <c r="G290" s="27">
        <f>'расчёт зарплаты'!K45</f>
        <v>50336</v>
      </c>
      <c r="H290" s="27">
        <f t="shared" si="67"/>
        <v>1510080</v>
      </c>
      <c r="I290" s="27"/>
      <c r="J290" s="27">
        <f t="shared" si="64"/>
        <v>1510080</v>
      </c>
      <c r="K290" s="27">
        <f t="shared" si="65"/>
        <v>456044.16</v>
      </c>
      <c r="L290" s="27">
        <f t="shared" si="66"/>
        <v>1966124.16</v>
      </c>
    </row>
    <row r="291" spans="1:12" x14ac:dyDescent="0.3">
      <c r="A291" s="23" t="s">
        <v>63</v>
      </c>
      <c r="B291" s="24"/>
      <c r="C291" s="33">
        <f>C292+C293+C294</f>
        <v>12</v>
      </c>
      <c r="D291" s="33">
        <f>D292+D293+D294</f>
        <v>12</v>
      </c>
      <c r="E291" s="33">
        <f>E292+E293+E294</f>
        <v>10</v>
      </c>
      <c r="F291" s="33">
        <f>F292+F293+F294</f>
        <v>10</v>
      </c>
      <c r="G291" s="33"/>
      <c r="H291" s="34">
        <f>H292+H293+H294</f>
        <v>4323352.32</v>
      </c>
      <c r="I291" s="34">
        <f>I292+I293+I294</f>
        <v>0</v>
      </c>
      <c r="J291" s="34">
        <f>J292+J293+J294</f>
        <v>4323352.32</v>
      </c>
      <c r="K291" s="34">
        <f>K292+K293+K294</f>
        <v>1305652.4006399999</v>
      </c>
      <c r="L291" s="34">
        <f>L292+L293+L294</f>
        <v>5629004.72064</v>
      </c>
    </row>
    <row r="292" spans="1:12" x14ac:dyDescent="0.3">
      <c r="A292" s="7"/>
      <c r="B292" s="9" t="s">
        <v>14</v>
      </c>
      <c r="C292" s="26">
        <v>3</v>
      </c>
      <c r="D292" s="26">
        <v>3</v>
      </c>
      <c r="E292" s="26">
        <v>3</v>
      </c>
      <c r="F292" s="26">
        <v>3</v>
      </c>
      <c r="G292" s="27">
        <f>'расчёт зарплаты'!K26</f>
        <v>32326.559999999998</v>
      </c>
      <c r="H292" s="27">
        <f>E292*G292*12+ ((D292-E292)*G292/2*12)</f>
        <v>1163756.1599999999</v>
      </c>
      <c r="I292" s="27"/>
      <c r="J292" s="27">
        <f t="shared" si="64"/>
        <v>1163756.1599999999</v>
      </c>
      <c r="K292" s="27">
        <f t="shared" si="65"/>
        <v>351454.36031999998</v>
      </c>
      <c r="L292" s="27">
        <f t="shared" si="66"/>
        <v>1515210.5203199999</v>
      </c>
    </row>
    <row r="293" spans="1:12" x14ac:dyDescent="0.3">
      <c r="A293" s="7"/>
      <c r="B293" s="9" t="s">
        <v>16</v>
      </c>
      <c r="C293" s="26">
        <v>4</v>
      </c>
      <c r="D293" s="26">
        <v>4</v>
      </c>
      <c r="E293" s="26">
        <v>2</v>
      </c>
      <c r="F293" s="26">
        <v>2</v>
      </c>
      <c r="G293" s="27">
        <f>'расчёт зарплаты'!K26</f>
        <v>32326.559999999998</v>
      </c>
      <c r="H293" s="27">
        <f>E293*G293*12+ ((D293-E293)*G293/2*12)</f>
        <v>1163756.1599999999</v>
      </c>
      <c r="I293" s="27"/>
      <c r="J293" s="27">
        <f t="shared" si="64"/>
        <v>1163756.1599999999</v>
      </c>
      <c r="K293" s="27">
        <f t="shared" si="65"/>
        <v>351454.36031999998</v>
      </c>
      <c r="L293" s="27">
        <f t="shared" si="66"/>
        <v>1515210.5203199999</v>
      </c>
    </row>
    <row r="294" spans="1:12" ht="28.2" x14ac:dyDescent="0.3">
      <c r="A294" s="7"/>
      <c r="B294" s="9" t="s">
        <v>71</v>
      </c>
      <c r="C294" s="26">
        <v>5</v>
      </c>
      <c r="D294" s="26">
        <v>5</v>
      </c>
      <c r="E294" s="26">
        <v>5</v>
      </c>
      <c r="F294" s="26">
        <v>5</v>
      </c>
      <c r="G294" s="27">
        <f>'расчёт зарплаты'!K41</f>
        <v>33264</v>
      </c>
      <c r="H294" s="27">
        <f>E294*G294*12+ ((D294-E294)*G294/2*12)</f>
        <v>1995840</v>
      </c>
      <c r="I294" s="27"/>
      <c r="J294" s="27">
        <f t="shared" si="64"/>
        <v>1995840</v>
      </c>
      <c r="K294" s="27">
        <f t="shared" si="65"/>
        <v>602743.67999999993</v>
      </c>
      <c r="L294" s="27">
        <f t="shared" si="66"/>
        <v>2598583.6799999997</v>
      </c>
    </row>
    <row r="295" spans="1:12" x14ac:dyDescent="0.3">
      <c r="A295" s="69" t="s">
        <v>73</v>
      </c>
      <c r="B295" s="69"/>
      <c r="C295" s="30">
        <f>C296+C302</f>
        <v>25.5</v>
      </c>
      <c r="D295" s="30">
        <f>D296+D302</f>
        <v>24.25</v>
      </c>
      <c r="E295" s="30">
        <f>E296+E302</f>
        <v>19</v>
      </c>
      <c r="F295" s="30">
        <f>F296+F302</f>
        <v>20</v>
      </c>
      <c r="G295" s="27"/>
      <c r="H295" s="27">
        <f>E295*G295*12+ ((D295-E295)*G295/2*12)</f>
        <v>0</v>
      </c>
      <c r="I295" s="27"/>
      <c r="J295" s="32">
        <f>J296+J302</f>
        <v>8670889.1999999993</v>
      </c>
      <c r="K295" s="32">
        <f>K296+K302</f>
        <v>2618608.5384</v>
      </c>
      <c r="L295" s="32">
        <f>L296+L302</f>
        <v>11289497.738399999</v>
      </c>
    </row>
    <row r="296" spans="1:12" x14ac:dyDescent="0.3">
      <c r="A296" s="69" t="s">
        <v>35</v>
      </c>
      <c r="B296" s="69"/>
      <c r="C296" s="30">
        <f>C297+C298+C299+C300+C301</f>
        <v>16.5</v>
      </c>
      <c r="D296" s="30">
        <f>D297+D298+D299+D300+D301</f>
        <v>15.25</v>
      </c>
      <c r="E296" s="30">
        <f>E297+E298+E299+E300+E301</f>
        <v>11</v>
      </c>
      <c r="F296" s="30">
        <f>F297+F298+F299+F300+F301</f>
        <v>12</v>
      </c>
      <c r="G296" s="32"/>
      <c r="H296" s="32">
        <f>H297+H298+H300+H301+H299</f>
        <v>5091433.1999999993</v>
      </c>
      <c r="I296" s="32"/>
      <c r="J296" s="32">
        <f>H296</f>
        <v>5091433.1999999993</v>
      </c>
      <c r="K296" s="32">
        <f>J296*30.2%</f>
        <v>1537612.8263999997</v>
      </c>
      <c r="L296" s="32">
        <f>J296+K296</f>
        <v>6629046.0263999989</v>
      </c>
    </row>
    <row r="297" spans="1:12" x14ac:dyDescent="0.3">
      <c r="A297" s="7"/>
      <c r="B297" s="9" t="s">
        <v>36</v>
      </c>
      <c r="C297" s="26"/>
      <c r="D297" s="26"/>
      <c r="E297" s="26"/>
      <c r="F297" s="26"/>
      <c r="G297" s="27">
        <f>'расчёт зарплаты'!K284</f>
        <v>0</v>
      </c>
      <c r="H297" s="27">
        <f>E297*G297*12+ ((D297-E297)*G297/2*12)</f>
        <v>0</v>
      </c>
      <c r="I297" s="27"/>
      <c r="J297" s="27">
        <f t="shared" ref="J297:J306" si="68">H297</f>
        <v>0</v>
      </c>
      <c r="K297" s="27">
        <f t="shared" ref="K297:K306" si="69">J297*30.2%</f>
        <v>0</v>
      </c>
      <c r="L297" s="27">
        <f t="shared" ref="L297:L306" si="70">J297+K297</f>
        <v>0</v>
      </c>
    </row>
    <row r="298" spans="1:12" x14ac:dyDescent="0.3">
      <c r="A298" s="7"/>
      <c r="B298" s="9" t="s">
        <v>23</v>
      </c>
      <c r="C298" s="26"/>
      <c r="D298" s="26"/>
      <c r="E298" s="26"/>
      <c r="F298" s="26"/>
      <c r="G298" s="27">
        <f>'расчёт зарплаты'!K288</f>
        <v>0</v>
      </c>
      <c r="H298" s="27">
        <f>E298*G298*12+ ((D298-E298)*G298/2*12)</f>
        <v>0</v>
      </c>
      <c r="I298" s="27"/>
      <c r="J298" s="27">
        <f t="shared" si="68"/>
        <v>0</v>
      </c>
      <c r="K298" s="27">
        <f t="shared" si="69"/>
        <v>0</v>
      </c>
      <c r="L298" s="27">
        <f t="shared" si="70"/>
        <v>0</v>
      </c>
    </row>
    <row r="299" spans="1:12" x14ac:dyDescent="0.3">
      <c r="A299" s="7"/>
      <c r="B299" s="25" t="s">
        <v>54</v>
      </c>
      <c r="C299" s="26"/>
      <c r="D299" s="26"/>
      <c r="E299" s="26"/>
      <c r="F299" s="26"/>
      <c r="G299" s="27">
        <f>'расчёт зарплаты'!K307</f>
        <v>0</v>
      </c>
      <c r="H299" s="27">
        <f>E299*G299*12+ ((D299-E299)*G299/2*12)</f>
        <v>0</v>
      </c>
      <c r="I299" s="27"/>
      <c r="J299" s="27">
        <f t="shared" si="68"/>
        <v>0</v>
      </c>
      <c r="K299" s="27">
        <f t="shared" si="69"/>
        <v>0</v>
      </c>
      <c r="L299" s="27">
        <f t="shared" si="70"/>
        <v>0</v>
      </c>
    </row>
    <row r="300" spans="1:12" ht="28.2" x14ac:dyDescent="0.3">
      <c r="A300" s="7"/>
      <c r="B300" s="9" t="s">
        <v>40</v>
      </c>
      <c r="C300" s="26">
        <v>7.25</v>
      </c>
      <c r="D300" s="26">
        <v>7.25</v>
      </c>
      <c r="E300" s="26">
        <v>4</v>
      </c>
      <c r="F300" s="26">
        <v>5</v>
      </c>
      <c r="G300" s="27">
        <f>'расчёт зарплаты'!K26</f>
        <v>32326.559999999998</v>
      </c>
      <c r="H300" s="27">
        <f>E300*G300*12+ ((D300-E300)*G300/2*12)</f>
        <v>2182042.7999999998</v>
      </c>
      <c r="I300" s="27"/>
      <c r="J300" s="27">
        <f t="shared" si="68"/>
        <v>2182042.7999999998</v>
      </c>
      <c r="K300" s="27">
        <f t="shared" si="69"/>
        <v>658976.92559999996</v>
      </c>
      <c r="L300" s="27">
        <f t="shared" si="70"/>
        <v>2841019.7255999995</v>
      </c>
    </row>
    <row r="301" spans="1:12" x14ac:dyDescent="0.3">
      <c r="A301" s="7"/>
      <c r="B301" s="9" t="s">
        <v>41</v>
      </c>
      <c r="C301" s="26">
        <v>9.25</v>
      </c>
      <c r="D301" s="26">
        <v>8</v>
      </c>
      <c r="E301" s="26">
        <v>7</v>
      </c>
      <c r="F301" s="26">
        <v>7</v>
      </c>
      <c r="G301" s="27">
        <f>'расчёт зарплаты'!K26</f>
        <v>32326.559999999998</v>
      </c>
      <c r="H301" s="27">
        <f>E301*G301*12+ ((D301-E301)*G301/2*12)</f>
        <v>2909390.4</v>
      </c>
      <c r="I301" s="27"/>
      <c r="J301" s="27">
        <f t="shared" si="68"/>
        <v>2909390.4</v>
      </c>
      <c r="K301" s="27">
        <f t="shared" si="69"/>
        <v>878635.90079999994</v>
      </c>
      <c r="L301" s="27">
        <f t="shared" si="70"/>
        <v>3788026.3007999999</v>
      </c>
    </row>
    <row r="302" spans="1:12" x14ac:dyDescent="0.3">
      <c r="A302" s="69" t="s">
        <v>43</v>
      </c>
      <c r="B302" s="69"/>
      <c r="C302" s="30">
        <f>C303+C304+C305+C306</f>
        <v>9</v>
      </c>
      <c r="D302" s="30">
        <f>D303+D304+D305+D306</f>
        <v>9</v>
      </c>
      <c r="E302" s="30">
        <f>E303+E304+E305+E306</f>
        <v>8</v>
      </c>
      <c r="F302" s="30">
        <f>F303+F304+F305+F306</f>
        <v>8</v>
      </c>
      <c r="G302" s="32"/>
      <c r="H302" s="32">
        <f>H303+H304+H305+H306</f>
        <v>3579456</v>
      </c>
      <c r="I302" s="32"/>
      <c r="J302" s="32">
        <f>H302</f>
        <v>3579456</v>
      </c>
      <c r="K302" s="32">
        <f>J302*30.2%</f>
        <v>1080995.7120000001</v>
      </c>
      <c r="L302" s="32">
        <f>J302+K302</f>
        <v>4660451.7120000003</v>
      </c>
    </row>
    <row r="303" spans="1:12" x14ac:dyDescent="0.3">
      <c r="A303" s="7"/>
      <c r="B303" s="9" t="s">
        <v>44</v>
      </c>
      <c r="C303" s="26">
        <v>3</v>
      </c>
      <c r="D303" s="26">
        <v>3</v>
      </c>
      <c r="E303" s="26">
        <v>3</v>
      </c>
      <c r="F303" s="26">
        <v>3</v>
      </c>
      <c r="G303" s="27">
        <f>'расчёт зарплаты'!K35</f>
        <v>36256</v>
      </c>
      <c r="H303" s="27">
        <f>E303*G303*12+ ((D303-E303)*G303/2*12)</f>
        <v>1305216</v>
      </c>
      <c r="I303" s="27"/>
      <c r="J303" s="27">
        <f t="shared" si="68"/>
        <v>1305216</v>
      </c>
      <c r="K303" s="27">
        <f t="shared" si="69"/>
        <v>394175.23199999996</v>
      </c>
      <c r="L303" s="27">
        <f t="shared" si="70"/>
        <v>1699391.2319999998</v>
      </c>
    </row>
    <row r="304" spans="1:12" x14ac:dyDescent="0.3">
      <c r="A304" s="7"/>
      <c r="B304" s="9" t="s">
        <v>46</v>
      </c>
      <c r="C304" s="26">
        <v>1</v>
      </c>
      <c r="D304" s="26">
        <v>1</v>
      </c>
      <c r="E304" s="26">
        <v>1</v>
      </c>
      <c r="F304" s="26">
        <v>1</v>
      </c>
      <c r="G304" s="27">
        <f>'расчёт зарплаты'!K39</f>
        <v>33936</v>
      </c>
      <c r="H304" s="27">
        <f>E304*G304*12+ ((D304-E304)*G304/2*12)</f>
        <v>407232</v>
      </c>
      <c r="I304" s="27"/>
      <c r="J304" s="27">
        <f t="shared" si="68"/>
        <v>407232</v>
      </c>
      <c r="K304" s="27">
        <f t="shared" si="69"/>
        <v>122984.064</v>
      </c>
      <c r="L304" s="27">
        <f t="shared" si="70"/>
        <v>530216.06400000001</v>
      </c>
    </row>
    <row r="305" spans="1:12" x14ac:dyDescent="0.3">
      <c r="A305" s="7"/>
      <c r="B305" s="9" t="s">
        <v>47</v>
      </c>
      <c r="C305" s="26">
        <v>4</v>
      </c>
      <c r="D305" s="26">
        <v>4</v>
      </c>
      <c r="E305" s="26">
        <v>3</v>
      </c>
      <c r="F305" s="26">
        <v>3</v>
      </c>
      <c r="G305" s="27">
        <f>'расчёт зарплаты'!K39</f>
        <v>33936</v>
      </c>
      <c r="H305" s="27">
        <f>E305*G305*12+ ((D305-E305)*G305/2*12)</f>
        <v>1425312</v>
      </c>
      <c r="I305" s="27"/>
      <c r="J305" s="27">
        <f t="shared" si="68"/>
        <v>1425312</v>
      </c>
      <c r="K305" s="27">
        <f t="shared" si="69"/>
        <v>430444.22399999999</v>
      </c>
      <c r="L305" s="27">
        <f t="shared" si="70"/>
        <v>1855756.2239999999</v>
      </c>
    </row>
    <row r="306" spans="1:12" x14ac:dyDescent="0.3">
      <c r="A306" s="19"/>
      <c r="B306" s="29" t="s">
        <v>52</v>
      </c>
      <c r="C306" s="35">
        <v>1</v>
      </c>
      <c r="D306" s="35">
        <v>1</v>
      </c>
      <c r="E306" s="35">
        <v>1</v>
      </c>
      <c r="F306" s="35">
        <v>1</v>
      </c>
      <c r="G306" s="27">
        <f>'расчёт зарплаты'!K20</f>
        <v>36808</v>
      </c>
      <c r="H306" s="27">
        <f>E306*G306*12+ ((D306-E306)*G306/2*12)</f>
        <v>441696</v>
      </c>
      <c r="I306" s="35"/>
      <c r="J306" s="27">
        <f t="shared" si="68"/>
        <v>441696</v>
      </c>
      <c r="K306" s="27">
        <f t="shared" si="69"/>
        <v>133392.19200000001</v>
      </c>
      <c r="L306" s="27">
        <f t="shared" si="70"/>
        <v>575088.19200000004</v>
      </c>
    </row>
    <row r="307" spans="1:12" x14ac:dyDescent="0.3">
      <c r="A307" s="28"/>
      <c r="B307" s="76" t="s">
        <v>83</v>
      </c>
      <c r="C307" s="77"/>
      <c r="D307" s="77"/>
      <c r="E307" s="77"/>
      <c r="F307" s="77"/>
      <c r="G307" s="77"/>
      <c r="H307" s="77"/>
      <c r="I307" s="77"/>
      <c r="J307" s="77"/>
      <c r="K307" s="77"/>
      <c r="L307" s="78"/>
    </row>
    <row r="308" spans="1:12" x14ac:dyDescent="0.3">
      <c r="A308" s="71" t="s">
        <v>68</v>
      </c>
      <c r="B308" s="72"/>
      <c r="C308" s="30">
        <f>C309+C325+C321</f>
        <v>54.5</v>
      </c>
      <c r="D308" s="30">
        <f>D309+D325+D321</f>
        <v>49</v>
      </c>
      <c r="E308" s="30">
        <f>E309+E325+E321</f>
        <v>42.099999999999994</v>
      </c>
      <c r="F308" s="30">
        <f>F309+F325+F321</f>
        <v>42</v>
      </c>
      <c r="G308" s="27"/>
      <c r="H308" s="27"/>
      <c r="I308" s="27"/>
      <c r="J308" s="27"/>
      <c r="K308" s="27"/>
      <c r="L308" s="27"/>
    </row>
    <row r="309" spans="1:12" x14ac:dyDescent="0.3">
      <c r="A309" s="71" t="s">
        <v>69</v>
      </c>
      <c r="B309" s="72"/>
      <c r="C309" s="30">
        <f>SUM(C310:C320)</f>
        <v>37.5</v>
      </c>
      <c r="D309" s="30">
        <f>SUM(D310:D320)</f>
        <v>34.5</v>
      </c>
      <c r="E309" s="30">
        <f>SUM(E310:E320)</f>
        <v>30.099999999999998</v>
      </c>
      <c r="F309" s="30">
        <f>SUM(F310:F320)</f>
        <v>30</v>
      </c>
      <c r="G309" s="30"/>
      <c r="H309" s="31">
        <f>SUM(H310:H320)</f>
        <v>13334442.24</v>
      </c>
      <c r="I309" s="32"/>
      <c r="J309" s="32">
        <f>H309-I309</f>
        <v>13334442.24</v>
      </c>
      <c r="K309" s="32">
        <f>J309*30.2%</f>
        <v>4027001.5564799998</v>
      </c>
      <c r="L309" s="32">
        <f>J309+K309</f>
        <v>17361443.79648</v>
      </c>
    </row>
    <row r="310" spans="1:12" x14ac:dyDescent="0.3">
      <c r="A310" s="7"/>
      <c r="B310" s="9" t="s">
        <v>11</v>
      </c>
      <c r="C310" s="26">
        <v>19.5</v>
      </c>
      <c r="D310" s="26">
        <v>17</v>
      </c>
      <c r="E310" s="26">
        <v>15.7</v>
      </c>
      <c r="F310" s="26">
        <v>17</v>
      </c>
      <c r="G310" s="27">
        <f>'расчёт зарплаты'!K10</f>
        <v>33128</v>
      </c>
      <c r="H310" s="27">
        <f>E310*G310*12+ ((D310-E310)*G310/2*12)</f>
        <v>6499713.5999999996</v>
      </c>
      <c r="I310" s="27"/>
      <c r="J310" s="27">
        <f t="shared" ref="J310:J324" si="71">H310</f>
        <v>6499713.5999999996</v>
      </c>
      <c r="K310" s="27">
        <f t="shared" ref="K310:K324" si="72">J310*30.2%</f>
        <v>1962913.5071999999</v>
      </c>
      <c r="L310" s="27">
        <f t="shared" ref="L310:L324" si="73">J310+K310</f>
        <v>8462627.1072000004</v>
      </c>
    </row>
    <row r="311" spans="1:12" x14ac:dyDescent="0.3">
      <c r="A311" s="7"/>
      <c r="B311" s="9" t="s">
        <v>13</v>
      </c>
      <c r="C311" s="26"/>
      <c r="D311" s="26"/>
      <c r="E311" s="26"/>
      <c r="F311" s="26"/>
      <c r="G311" s="27">
        <f>'расчёт зарплаты'!K320</f>
        <v>0</v>
      </c>
      <c r="H311" s="27">
        <f t="shared" ref="H311:H320" si="74">E311*G311*12+ ((D311-E311)*G311/2*12)</f>
        <v>0</v>
      </c>
      <c r="I311" s="27"/>
      <c r="J311" s="27">
        <f t="shared" si="71"/>
        <v>0</v>
      </c>
      <c r="K311" s="27">
        <f t="shared" si="72"/>
        <v>0</v>
      </c>
      <c r="L311" s="27">
        <f t="shared" si="73"/>
        <v>0</v>
      </c>
    </row>
    <row r="312" spans="1:12" x14ac:dyDescent="0.3">
      <c r="A312" s="7"/>
      <c r="B312" s="9" t="s">
        <v>17</v>
      </c>
      <c r="C312" s="26">
        <v>3.5</v>
      </c>
      <c r="D312" s="26">
        <v>3</v>
      </c>
      <c r="E312" s="26">
        <v>1.4</v>
      </c>
      <c r="F312" s="26">
        <v>1</v>
      </c>
      <c r="G312" s="27">
        <f>'расчёт зарплаты'!K39</f>
        <v>33936</v>
      </c>
      <c r="H312" s="27">
        <f t="shared" si="74"/>
        <v>895910.39999999991</v>
      </c>
      <c r="I312" s="27"/>
      <c r="J312" s="27">
        <f t="shared" si="71"/>
        <v>895910.39999999991</v>
      </c>
      <c r="K312" s="27">
        <f t="shared" si="72"/>
        <v>270564.94079999998</v>
      </c>
      <c r="L312" s="27">
        <f t="shared" si="73"/>
        <v>1166475.3407999999</v>
      </c>
    </row>
    <row r="313" spans="1:12" ht="28.2" x14ac:dyDescent="0.3">
      <c r="A313" s="7"/>
      <c r="B313" s="9" t="s">
        <v>20</v>
      </c>
      <c r="C313" s="26"/>
      <c r="D313" s="26"/>
      <c r="E313" s="26"/>
      <c r="F313" s="26"/>
      <c r="G313" s="27"/>
      <c r="H313" s="27">
        <f t="shared" si="74"/>
        <v>0</v>
      </c>
      <c r="I313" s="27"/>
      <c r="J313" s="27">
        <f t="shared" si="71"/>
        <v>0</v>
      </c>
      <c r="K313" s="27">
        <f t="shared" si="72"/>
        <v>0</v>
      </c>
      <c r="L313" s="27">
        <f t="shared" si="73"/>
        <v>0</v>
      </c>
    </row>
    <row r="314" spans="1:12" x14ac:dyDescent="0.3">
      <c r="A314" s="7"/>
      <c r="B314" s="9" t="s">
        <v>21</v>
      </c>
      <c r="C314" s="26">
        <v>5</v>
      </c>
      <c r="D314" s="26">
        <v>5</v>
      </c>
      <c r="E314" s="26">
        <v>4</v>
      </c>
      <c r="F314" s="26">
        <v>4</v>
      </c>
      <c r="G314" s="27">
        <f>'расчёт зарплаты'!K35</f>
        <v>36256</v>
      </c>
      <c r="H314" s="27">
        <f t="shared" si="74"/>
        <v>1957824</v>
      </c>
      <c r="I314" s="27"/>
      <c r="J314" s="27">
        <f t="shared" si="71"/>
        <v>1957824</v>
      </c>
      <c r="K314" s="27">
        <f t="shared" si="72"/>
        <v>591262.848</v>
      </c>
      <c r="L314" s="27">
        <f t="shared" si="73"/>
        <v>2549086.8480000002</v>
      </c>
    </row>
    <row r="315" spans="1:12" x14ac:dyDescent="0.3">
      <c r="A315" s="7"/>
      <c r="B315" s="9" t="s">
        <v>24</v>
      </c>
      <c r="C315" s="26">
        <v>6</v>
      </c>
      <c r="D315" s="26">
        <v>6</v>
      </c>
      <c r="E315" s="26">
        <v>6</v>
      </c>
      <c r="F315" s="26">
        <v>6</v>
      </c>
      <c r="G315" s="27">
        <f>'расчёт зарплаты'!K8</f>
        <v>33865.919999999998</v>
      </c>
      <c r="H315" s="27">
        <f t="shared" si="74"/>
        <v>2438346.2399999998</v>
      </c>
      <c r="I315" s="27"/>
      <c r="J315" s="27">
        <f t="shared" si="71"/>
        <v>2438346.2399999998</v>
      </c>
      <c r="K315" s="27">
        <f t="shared" si="72"/>
        <v>736380.56447999994</v>
      </c>
      <c r="L315" s="27">
        <f t="shared" si="73"/>
        <v>3174726.8044799995</v>
      </c>
    </row>
    <row r="316" spans="1:12" ht="42" x14ac:dyDescent="0.3">
      <c r="A316" s="7"/>
      <c r="B316" s="9" t="s">
        <v>25</v>
      </c>
      <c r="C316" s="26">
        <v>1.5</v>
      </c>
      <c r="D316" s="26">
        <v>1.5</v>
      </c>
      <c r="E316" s="26">
        <v>1</v>
      </c>
      <c r="F316" s="26"/>
      <c r="G316" s="27">
        <f>'расчёт зарплаты'!K10</f>
        <v>33128</v>
      </c>
      <c r="H316" s="27">
        <f t="shared" si="74"/>
        <v>496920</v>
      </c>
      <c r="I316" s="27"/>
      <c r="J316" s="27">
        <f t="shared" si="71"/>
        <v>496920</v>
      </c>
      <c r="K316" s="27">
        <f t="shared" si="72"/>
        <v>150069.84</v>
      </c>
      <c r="L316" s="27">
        <f t="shared" si="73"/>
        <v>646989.84</v>
      </c>
    </row>
    <row r="317" spans="1:12" ht="28.2" x14ac:dyDescent="0.3">
      <c r="A317" s="7"/>
      <c r="B317" s="9" t="s">
        <v>26</v>
      </c>
      <c r="C317" s="26">
        <v>1</v>
      </c>
      <c r="D317" s="26">
        <v>1</v>
      </c>
      <c r="E317" s="26">
        <v>1</v>
      </c>
      <c r="F317" s="26">
        <v>1</v>
      </c>
      <c r="G317" s="27">
        <f>'расчёт зарплаты'!K20</f>
        <v>36808</v>
      </c>
      <c r="H317" s="27">
        <f t="shared" si="74"/>
        <v>441696</v>
      </c>
      <c r="I317" s="27"/>
      <c r="J317" s="27">
        <f t="shared" si="71"/>
        <v>441696</v>
      </c>
      <c r="K317" s="27">
        <f t="shared" si="72"/>
        <v>133392.19200000001</v>
      </c>
      <c r="L317" s="27">
        <f t="shared" si="73"/>
        <v>575088.19200000004</v>
      </c>
    </row>
    <row r="318" spans="1:12" ht="42" x14ac:dyDescent="0.3">
      <c r="A318" s="7"/>
      <c r="B318" s="9" t="s">
        <v>70</v>
      </c>
      <c r="C318" s="26"/>
      <c r="D318" s="26"/>
      <c r="E318" s="26"/>
      <c r="F318" s="26"/>
      <c r="G318" s="27">
        <f>'расчёт зарплаты'!K310</f>
        <v>0</v>
      </c>
      <c r="H318" s="27">
        <f t="shared" si="74"/>
        <v>0</v>
      </c>
      <c r="I318" s="27"/>
      <c r="J318" s="27">
        <f t="shared" si="71"/>
        <v>0</v>
      </c>
      <c r="K318" s="27">
        <f t="shared" si="72"/>
        <v>0</v>
      </c>
      <c r="L318" s="27">
        <f t="shared" si="73"/>
        <v>0</v>
      </c>
    </row>
    <row r="319" spans="1:12" x14ac:dyDescent="0.3">
      <c r="A319" s="7"/>
      <c r="B319" s="9" t="s">
        <v>30</v>
      </c>
      <c r="C319" s="26"/>
      <c r="D319" s="26"/>
      <c r="E319" s="26"/>
      <c r="F319" s="26"/>
      <c r="G319" s="27">
        <f>'расчёт зарплаты'!K335</f>
        <v>0</v>
      </c>
      <c r="H319" s="27">
        <f t="shared" si="74"/>
        <v>0</v>
      </c>
      <c r="I319" s="27"/>
      <c r="J319" s="27">
        <f t="shared" si="71"/>
        <v>0</v>
      </c>
      <c r="K319" s="27">
        <f t="shared" si="72"/>
        <v>0</v>
      </c>
      <c r="L319" s="27">
        <f t="shared" si="73"/>
        <v>0</v>
      </c>
    </row>
    <row r="320" spans="1:12" ht="39.6" x14ac:dyDescent="0.3">
      <c r="A320" s="7"/>
      <c r="B320" s="22" t="s">
        <v>31</v>
      </c>
      <c r="C320" s="26">
        <v>1</v>
      </c>
      <c r="D320" s="26">
        <v>1</v>
      </c>
      <c r="E320" s="26">
        <v>1</v>
      </c>
      <c r="F320" s="26">
        <v>1</v>
      </c>
      <c r="G320" s="27">
        <f>'расчёт зарплаты'!K45</f>
        <v>50336</v>
      </c>
      <c r="H320" s="27">
        <f t="shared" si="74"/>
        <v>604032</v>
      </c>
      <c r="I320" s="27"/>
      <c r="J320" s="27">
        <f t="shared" si="71"/>
        <v>604032</v>
      </c>
      <c r="K320" s="27">
        <f t="shared" si="72"/>
        <v>182417.66399999999</v>
      </c>
      <c r="L320" s="27">
        <f t="shared" si="73"/>
        <v>786449.66399999999</v>
      </c>
    </row>
    <row r="321" spans="1:12" x14ac:dyDescent="0.3">
      <c r="A321" s="23" t="s">
        <v>63</v>
      </c>
      <c r="B321" s="24"/>
      <c r="C321" s="33">
        <f>C322+C323+C324</f>
        <v>8</v>
      </c>
      <c r="D321" s="33">
        <f>D322+D323+D324</f>
        <v>5.5</v>
      </c>
      <c r="E321" s="33">
        <f>E322+E323+E324</f>
        <v>4</v>
      </c>
      <c r="F321" s="33">
        <f>F322+F323+F324</f>
        <v>4</v>
      </c>
      <c r="G321" s="33"/>
      <c r="H321" s="34">
        <f>H322+H323+H324</f>
        <v>1867924.7999999998</v>
      </c>
      <c r="I321" s="34">
        <f>I322+I323+I324</f>
        <v>0</v>
      </c>
      <c r="J321" s="34">
        <f>J322+J323+J324</f>
        <v>1867924.7999999998</v>
      </c>
      <c r="K321" s="34">
        <f>K322+K323+K324</f>
        <v>564113.28960000002</v>
      </c>
      <c r="L321" s="34">
        <f>L322+L323+L324</f>
        <v>2432038.0895999996</v>
      </c>
    </row>
    <row r="322" spans="1:12" x14ac:dyDescent="0.3">
      <c r="A322" s="7"/>
      <c r="B322" s="9" t="s">
        <v>14</v>
      </c>
      <c r="C322" s="26">
        <v>1.5</v>
      </c>
      <c r="D322" s="26">
        <v>1.5</v>
      </c>
      <c r="E322" s="26">
        <v>1</v>
      </c>
      <c r="F322" s="26">
        <v>1</v>
      </c>
      <c r="G322" s="27">
        <f>'расчёт зарплаты'!K26</f>
        <v>32326.559999999998</v>
      </c>
      <c r="H322" s="27">
        <f>E322*G322*12+ ((D322-E322)*G322/2*12)</f>
        <v>484898.39999999997</v>
      </c>
      <c r="I322" s="27"/>
      <c r="J322" s="27">
        <f t="shared" si="71"/>
        <v>484898.39999999997</v>
      </c>
      <c r="K322" s="27">
        <f t="shared" si="72"/>
        <v>146439.31679999997</v>
      </c>
      <c r="L322" s="27">
        <f t="shared" si="73"/>
        <v>631337.71679999994</v>
      </c>
    </row>
    <row r="323" spans="1:12" x14ac:dyDescent="0.3">
      <c r="A323" s="7"/>
      <c r="B323" s="9" t="s">
        <v>16</v>
      </c>
      <c r="C323" s="26">
        <v>1.5</v>
      </c>
      <c r="D323" s="26">
        <v>1.5</v>
      </c>
      <c r="E323" s="26">
        <v>1</v>
      </c>
      <c r="F323" s="26">
        <v>1</v>
      </c>
      <c r="G323" s="27">
        <f>'расчёт зарплаты'!K26</f>
        <v>32326.559999999998</v>
      </c>
      <c r="H323" s="27">
        <f>E323*G323*12+ ((D323-E323)*G323/2*12)</f>
        <v>484898.39999999997</v>
      </c>
      <c r="I323" s="27"/>
      <c r="J323" s="27">
        <f t="shared" si="71"/>
        <v>484898.39999999997</v>
      </c>
      <c r="K323" s="27">
        <f t="shared" si="72"/>
        <v>146439.31679999997</v>
      </c>
      <c r="L323" s="27">
        <f t="shared" si="73"/>
        <v>631337.71679999994</v>
      </c>
    </row>
    <row r="324" spans="1:12" ht="28.2" x14ac:dyDescent="0.3">
      <c r="A324" s="7"/>
      <c r="B324" s="9" t="s">
        <v>71</v>
      </c>
      <c r="C324" s="26">
        <v>5</v>
      </c>
      <c r="D324" s="26">
        <v>2.5</v>
      </c>
      <c r="E324" s="26">
        <v>2</v>
      </c>
      <c r="F324" s="26">
        <v>2</v>
      </c>
      <c r="G324" s="27">
        <f>'расчёт зарплаты'!K41</f>
        <v>33264</v>
      </c>
      <c r="H324" s="27">
        <f>E324*G324*12+ ((D324-E324)*G324/2*12)</f>
        <v>898128</v>
      </c>
      <c r="I324" s="27"/>
      <c r="J324" s="27">
        <f t="shared" si="71"/>
        <v>898128</v>
      </c>
      <c r="K324" s="27">
        <f t="shared" si="72"/>
        <v>271234.65600000002</v>
      </c>
      <c r="L324" s="27">
        <f t="shared" si="73"/>
        <v>1169362.656</v>
      </c>
    </row>
    <row r="325" spans="1:12" x14ac:dyDescent="0.3">
      <c r="A325" s="69" t="s">
        <v>73</v>
      </c>
      <c r="B325" s="69"/>
      <c r="C325" s="30">
        <f>C326+C332</f>
        <v>9</v>
      </c>
      <c r="D325" s="30">
        <f>D326+D332</f>
        <v>9</v>
      </c>
      <c r="E325" s="30">
        <f>E326+E332</f>
        <v>8</v>
      </c>
      <c r="F325" s="30">
        <f>F326+F332</f>
        <v>8</v>
      </c>
      <c r="G325" s="27"/>
      <c r="H325" s="27">
        <f>E325*G325*12+ ((D325-E325)*G325/2*12)</f>
        <v>0</v>
      </c>
      <c r="I325" s="27"/>
      <c r="J325" s="32">
        <f>J326+J332</f>
        <v>3430242.2399999998</v>
      </c>
      <c r="K325" s="32">
        <f>K326+K332</f>
        <v>1035933.1564799999</v>
      </c>
      <c r="L325" s="32">
        <f>L326+L332</f>
        <v>4466175.3964799996</v>
      </c>
    </row>
    <row r="326" spans="1:12" x14ac:dyDescent="0.3">
      <c r="A326" s="69" t="s">
        <v>35</v>
      </c>
      <c r="B326" s="69"/>
      <c r="C326" s="30">
        <f>C327+C328+C329+C330+C331</f>
        <v>5</v>
      </c>
      <c r="D326" s="30">
        <f>D327+D328+D329+D330+D331</f>
        <v>5</v>
      </c>
      <c r="E326" s="30">
        <f>E327+E328+E329+E330+E331</f>
        <v>4</v>
      </c>
      <c r="F326" s="30">
        <f>F327+F328+F329+F330+F331</f>
        <v>4</v>
      </c>
      <c r="G326" s="32"/>
      <c r="H326" s="32">
        <f>H327+H328+H330+H331+H329</f>
        <v>1745634.2399999998</v>
      </c>
      <c r="I326" s="32"/>
      <c r="J326" s="32">
        <f>H326</f>
        <v>1745634.2399999998</v>
      </c>
      <c r="K326" s="32">
        <f>J326*30.2%</f>
        <v>527181.54047999997</v>
      </c>
      <c r="L326" s="32">
        <f>J326+K326</f>
        <v>2272815.7804799997</v>
      </c>
    </row>
    <row r="327" spans="1:12" x14ac:dyDescent="0.3">
      <c r="A327" s="7"/>
      <c r="B327" s="9" t="s">
        <v>36</v>
      </c>
      <c r="C327" s="26"/>
      <c r="D327" s="26"/>
      <c r="E327" s="26"/>
      <c r="F327" s="26"/>
      <c r="G327" s="27">
        <f>'расчёт зарплаты'!K314</f>
        <v>0</v>
      </c>
      <c r="H327" s="27">
        <f>E327*G327*12+ ((D327-E327)*G327/2*12)</f>
        <v>0</v>
      </c>
      <c r="I327" s="27"/>
      <c r="J327" s="27">
        <f t="shared" ref="J327:J336" si="75">H327</f>
        <v>0</v>
      </c>
      <c r="K327" s="27">
        <f t="shared" ref="K327:K336" si="76">J327*30.2%</f>
        <v>0</v>
      </c>
      <c r="L327" s="27">
        <f t="shared" ref="L327:L336" si="77">J327+K327</f>
        <v>0</v>
      </c>
    </row>
    <row r="328" spans="1:12" x14ac:dyDescent="0.3">
      <c r="A328" s="7"/>
      <c r="B328" s="9" t="s">
        <v>23</v>
      </c>
      <c r="C328" s="26"/>
      <c r="D328" s="26"/>
      <c r="E328" s="26"/>
      <c r="F328" s="26"/>
      <c r="G328" s="27">
        <f>'расчёт зарплаты'!K318</f>
        <v>0</v>
      </c>
      <c r="H328" s="27">
        <f>E328*G328*12+ ((D328-E328)*G328/2*12)</f>
        <v>0</v>
      </c>
      <c r="I328" s="27"/>
      <c r="J328" s="27">
        <f t="shared" si="75"/>
        <v>0</v>
      </c>
      <c r="K328" s="27">
        <f t="shared" si="76"/>
        <v>0</v>
      </c>
      <c r="L328" s="27">
        <f t="shared" si="77"/>
        <v>0</v>
      </c>
    </row>
    <row r="329" spans="1:12" x14ac:dyDescent="0.3">
      <c r="A329" s="7"/>
      <c r="B329" s="25" t="s">
        <v>54</v>
      </c>
      <c r="C329" s="26"/>
      <c r="D329" s="26"/>
      <c r="E329" s="26"/>
      <c r="F329" s="26"/>
      <c r="G329" s="27">
        <f>'расчёт зарплаты'!K337</f>
        <v>0</v>
      </c>
      <c r="H329" s="27">
        <f>E329*G329*12+ ((D329-E329)*G329/2*12)</f>
        <v>0</v>
      </c>
      <c r="I329" s="27"/>
      <c r="J329" s="27">
        <f t="shared" si="75"/>
        <v>0</v>
      </c>
      <c r="K329" s="27">
        <f t="shared" si="76"/>
        <v>0</v>
      </c>
      <c r="L329" s="27">
        <f t="shared" si="77"/>
        <v>0</v>
      </c>
    </row>
    <row r="330" spans="1:12" ht="28.2" x14ac:dyDescent="0.3">
      <c r="A330" s="7"/>
      <c r="B330" s="9" t="s">
        <v>40</v>
      </c>
      <c r="C330" s="26">
        <v>2</v>
      </c>
      <c r="D330" s="26">
        <v>2</v>
      </c>
      <c r="E330" s="26">
        <v>2</v>
      </c>
      <c r="F330" s="26">
        <v>2</v>
      </c>
      <c r="G330" s="27">
        <f>'расчёт зарплаты'!K26</f>
        <v>32326.559999999998</v>
      </c>
      <c r="H330" s="27">
        <f>E330*G330*12+ ((D330-E330)*G330/2*12)</f>
        <v>775837.44</v>
      </c>
      <c r="I330" s="27"/>
      <c r="J330" s="27">
        <f t="shared" si="75"/>
        <v>775837.44</v>
      </c>
      <c r="K330" s="27">
        <f t="shared" si="76"/>
        <v>234302.90687999997</v>
      </c>
      <c r="L330" s="27">
        <f t="shared" si="77"/>
        <v>1010140.3468799999</v>
      </c>
    </row>
    <row r="331" spans="1:12" x14ac:dyDescent="0.3">
      <c r="A331" s="7"/>
      <c r="B331" s="9" t="s">
        <v>41</v>
      </c>
      <c r="C331" s="26">
        <v>3</v>
      </c>
      <c r="D331" s="26">
        <v>3</v>
      </c>
      <c r="E331" s="26">
        <v>2</v>
      </c>
      <c r="F331" s="26">
        <v>2</v>
      </c>
      <c r="G331" s="27">
        <f>'расчёт зарплаты'!K26</f>
        <v>32326.559999999998</v>
      </c>
      <c r="H331" s="27">
        <f>E331*G331*12+ ((D331-E331)*G331/2*12)</f>
        <v>969796.79999999993</v>
      </c>
      <c r="I331" s="27"/>
      <c r="J331" s="27">
        <f t="shared" si="75"/>
        <v>969796.79999999993</v>
      </c>
      <c r="K331" s="27">
        <f t="shared" si="76"/>
        <v>292878.63359999994</v>
      </c>
      <c r="L331" s="27">
        <f t="shared" si="77"/>
        <v>1262675.4335999999</v>
      </c>
    </row>
    <row r="332" spans="1:12" x14ac:dyDescent="0.3">
      <c r="A332" s="69" t="s">
        <v>43</v>
      </c>
      <c r="B332" s="69"/>
      <c r="C332" s="30">
        <f>C333+C334+C335+C336</f>
        <v>4</v>
      </c>
      <c r="D332" s="30">
        <f>D333+D334+D335+D336</f>
        <v>4</v>
      </c>
      <c r="E332" s="30">
        <f>E333+E334+E335+E336</f>
        <v>4</v>
      </c>
      <c r="F332" s="30">
        <f>F333+F334+F335+F336</f>
        <v>4</v>
      </c>
      <c r="G332" s="32"/>
      <c r="H332" s="32">
        <f>H333+H334+H335+H336</f>
        <v>1684608</v>
      </c>
      <c r="I332" s="32"/>
      <c r="J332" s="32">
        <f>H332</f>
        <v>1684608</v>
      </c>
      <c r="K332" s="32">
        <f>J332*30.2%</f>
        <v>508751.61599999998</v>
      </c>
      <c r="L332" s="32">
        <f>J332+K332</f>
        <v>2193359.6159999999</v>
      </c>
    </row>
    <row r="333" spans="1:12" x14ac:dyDescent="0.3">
      <c r="A333" s="7"/>
      <c r="B333" s="9" t="s">
        <v>44</v>
      </c>
      <c r="C333" s="26">
        <v>2</v>
      </c>
      <c r="D333" s="26">
        <v>2</v>
      </c>
      <c r="E333" s="26">
        <v>2</v>
      </c>
      <c r="F333" s="26">
        <v>2</v>
      </c>
      <c r="G333" s="27">
        <f>'расчёт зарплаты'!K35</f>
        <v>36256</v>
      </c>
      <c r="H333" s="27">
        <f>E333*G333*12+ ((D333-E333)*G333/2*12)</f>
        <v>870144</v>
      </c>
      <c r="I333" s="27"/>
      <c r="J333" s="27">
        <f t="shared" si="75"/>
        <v>870144</v>
      </c>
      <c r="K333" s="27">
        <f t="shared" si="76"/>
        <v>262783.48800000001</v>
      </c>
      <c r="L333" s="27">
        <f t="shared" si="77"/>
        <v>1132927.4879999999</v>
      </c>
    </row>
    <row r="334" spans="1:12" x14ac:dyDescent="0.3">
      <c r="A334" s="7"/>
      <c r="B334" s="9" t="s">
        <v>46</v>
      </c>
      <c r="C334" s="26"/>
      <c r="D334" s="26"/>
      <c r="E334" s="26"/>
      <c r="F334" s="26"/>
      <c r="G334" s="27">
        <f>'расчёт зарплаты'!K339</f>
        <v>0</v>
      </c>
      <c r="H334" s="27">
        <f>E334*G334*12+ ((D334-E334)*G334/2*12)</f>
        <v>0</v>
      </c>
      <c r="I334" s="27"/>
      <c r="J334" s="27">
        <f t="shared" si="75"/>
        <v>0</v>
      </c>
      <c r="K334" s="27">
        <f t="shared" si="76"/>
        <v>0</v>
      </c>
      <c r="L334" s="27">
        <f t="shared" si="77"/>
        <v>0</v>
      </c>
    </row>
    <row r="335" spans="1:12" x14ac:dyDescent="0.3">
      <c r="A335" s="7"/>
      <c r="B335" s="9" t="s">
        <v>47</v>
      </c>
      <c r="C335" s="26">
        <v>2</v>
      </c>
      <c r="D335" s="26">
        <v>2</v>
      </c>
      <c r="E335" s="26">
        <v>2</v>
      </c>
      <c r="F335" s="26">
        <v>2</v>
      </c>
      <c r="G335" s="27">
        <f>'расчёт зарплаты'!K39</f>
        <v>33936</v>
      </c>
      <c r="H335" s="27">
        <f>E335*G335*12+ ((D335-E335)*G335/2*12)</f>
        <v>814464</v>
      </c>
      <c r="I335" s="27"/>
      <c r="J335" s="27">
        <f t="shared" si="75"/>
        <v>814464</v>
      </c>
      <c r="K335" s="27">
        <f t="shared" si="76"/>
        <v>245968.128</v>
      </c>
      <c r="L335" s="27">
        <f t="shared" si="77"/>
        <v>1060432.128</v>
      </c>
    </row>
    <row r="336" spans="1:12" x14ac:dyDescent="0.3">
      <c r="A336" s="19"/>
      <c r="B336" s="29" t="s">
        <v>52</v>
      </c>
      <c r="C336" s="35"/>
      <c r="D336" s="35"/>
      <c r="E336" s="35"/>
      <c r="F336" s="35"/>
      <c r="G336" s="27">
        <f>'расчёт зарплаты'!K320</f>
        <v>0</v>
      </c>
      <c r="H336" s="27">
        <f>E336*G336*12+ ((D336-E336)*G336/2*12)</f>
        <v>0</v>
      </c>
      <c r="I336" s="35"/>
      <c r="J336" s="27">
        <f t="shared" si="75"/>
        <v>0</v>
      </c>
      <c r="K336" s="27">
        <f t="shared" si="76"/>
        <v>0</v>
      </c>
      <c r="L336" s="27">
        <f t="shared" si="77"/>
        <v>0</v>
      </c>
    </row>
    <row r="337" spans="1:12" x14ac:dyDescent="0.3">
      <c r="A337" s="28"/>
      <c r="B337" s="76" t="s">
        <v>84</v>
      </c>
      <c r="C337" s="77"/>
      <c r="D337" s="77"/>
      <c r="E337" s="77"/>
      <c r="F337" s="77"/>
      <c r="G337" s="77"/>
      <c r="H337" s="77"/>
      <c r="I337" s="77"/>
      <c r="J337" s="77"/>
      <c r="K337" s="77"/>
      <c r="L337" s="78"/>
    </row>
    <row r="338" spans="1:12" x14ac:dyDescent="0.3">
      <c r="A338" s="71" t="s">
        <v>68</v>
      </c>
      <c r="B338" s="72"/>
      <c r="C338" s="30">
        <f>C339+C355+C351</f>
        <v>31.5</v>
      </c>
      <c r="D338" s="30">
        <f>D339+D355+D351</f>
        <v>27.5</v>
      </c>
      <c r="E338" s="30">
        <f>E339+E355+E351</f>
        <v>23.299999999999997</v>
      </c>
      <c r="F338" s="30">
        <f>F339+F355+F351</f>
        <v>24</v>
      </c>
      <c r="G338" s="27"/>
      <c r="H338" s="27"/>
      <c r="I338" s="27"/>
      <c r="J338" s="27"/>
      <c r="K338" s="27"/>
      <c r="L338" s="27"/>
    </row>
    <row r="339" spans="1:12" x14ac:dyDescent="0.3">
      <c r="A339" s="71" t="s">
        <v>69</v>
      </c>
      <c r="B339" s="72"/>
      <c r="C339" s="30">
        <f>SUM(C340:C350)</f>
        <v>22</v>
      </c>
      <c r="D339" s="30">
        <f>SUM(D340:D350)</f>
        <v>20</v>
      </c>
      <c r="E339" s="30">
        <f>SUM(E340:E350)</f>
        <v>18.299999999999997</v>
      </c>
      <c r="F339" s="30">
        <f>SUM(F340:F350)</f>
        <v>18</v>
      </c>
      <c r="G339" s="30"/>
      <c r="H339" s="31">
        <f>SUM(H340:H350)</f>
        <v>7751416.3199999994</v>
      </c>
      <c r="I339" s="32"/>
      <c r="J339" s="32">
        <f>H339-I339</f>
        <v>7751416.3199999994</v>
      </c>
      <c r="K339" s="32">
        <f>J339*30.2%</f>
        <v>2340927.7286399999</v>
      </c>
      <c r="L339" s="32">
        <f>J339+K339</f>
        <v>10092344.04864</v>
      </c>
    </row>
    <row r="340" spans="1:12" x14ac:dyDescent="0.3">
      <c r="A340" s="7"/>
      <c r="B340" s="9" t="s">
        <v>11</v>
      </c>
      <c r="C340" s="26">
        <v>12</v>
      </c>
      <c r="D340" s="26">
        <v>12</v>
      </c>
      <c r="E340" s="26">
        <v>11.2</v>
      </c>
      <c r="F340" s="26">
        <v>11</v>
      </c>
      <c r="G340" s="27">
        <f>'расчёт зарплаты'!K10</f>
        <v>33128</v>
      </c>
      <c r="H340" s="27">
        <f>E340*G340*12+ ((D340-E340)*G340/2*12)</f>
        <v>4611417.5999999996</v>
      </c>
      <c r="I340" s="27"/>
      <c r="J340" s="27">
        <f t="shared" ref="J340:J354" si="78">H340</f>
        <v>4611417.5999999996</v>
      </c>
      <c r="K340" s="27">
        <f t="shared" ref="K340:K354" si="79">J340*30.2%</f>
        <v>1392648.1151999999</v>
      </c>
      <c r="L340" s="27">
        <f t="shared" ref="L340:L354" si="80">J340+K340</f>
        <v>6004065.7151999995</v>
      </c>
    </row>
    <row r="341" spans="1:12" x14ac:dyDescent="0.3">
      <c r="A341" s="7"/>
      <c r="B341" s="9" t="s">
        <v>13</v>
      </c>
      <c r="C341" s="26"/>
      <c r="D341" s="26"/>
      <c r="E341" s="26"/>
      <c r="F341" s="26"/>
      <c r="G341" s="27">
        <f>'расчёт зарплаты'!K350</f>
        <v>0</v>
      </c>
      <c r="H341" s="27">
        <f t="shared" ref="H341:H350" si="81">E341*G341*12+ ((D341-E341)*G341/2*12)</f>
        <v>0</v>
      </c>
      <c r="I341" s="27"/>
      <c r="J341" s="27">
        <f t="shared" si="78"/>
        <v>0</v>
      </c>
      <c r="K341" s="27">
        <f t="shared" si="79"/>
        <v>0</v>
      </c>
      <c r="L341" s="27">
        <f t="shared" si="80"/>
        <v>0</v>
      </c>
    </row>
    <row r="342" spans="1:12" x14ac:dyDescent="0.3">
      <c r="A342" s="7"/>
      <c r="B342" s="9" t="s">
        <v>17</v>
      </c>
      <c r="C342" s="26">
        <v>2</v>
      </c>
      <c r="D342" s="26">
        <v>1</v>
      </c>
      <c r="E342" s="26">
        <v>1</v>
      </c>
      <c r="F342" s="26">
        <v>1</v>
      </c>
      <c r="G342" s="27">
        <f>'расчёт зарплаты'!K39</f>
        <v>33936</v>
      </c>
      <c r="H342" s="27">
        <f t="shared" si="81"/>
        <v>407232</v>
      </c>
      <c r="I342" s="27"/>
      <c r="J342" s="27">
        <f t="shared" si="78"/>
        <v>407232</v>
      </c>
      <c r="K342" s="27">
        <f t="shared" si="79"/>
        <v>122984.064</v>
      </c>
      <c r="L342" s="27">
        <f t="shared" si="80"/>
        <v>530216.06400000001</v>
      </c>
    </row>
    <row r="343" spans="1:12" ht="28.2" x14ac:dyDescent="0.3">
      <c r="A343" s="7"/>
      <c r="B343" s="9" t="s">
        <v>20</v>
      </c>
      <c r="C343" s="26"/>
      <c r="D343" s="26"/>
      <c r="E343" s="26"/>
      <c r="F343" s="26"/>
      <c r="G343" s="27"/>
      <c r="H343" s="27">
        <f t="shared" si="81"/>
        <v>0</v>
      </c>
      <c r="I343" s="27"/>
      <c r="J343" s="27">
        <f t="shared" si="78"/>
        <v>0</v>
      </c>
      <c r="K343" s="27">
        <f t="shared" si="79"/>
        <v>0</v>
      </c>
      <c r="L343" s="27">
        <f t="shared" si="80"/>
        <v>0</v>
      </c>
    </row>
    <row r="344" spans="1:12" x14ac:dyDescent="0.3">
      <c r="A344" s="7"/>
      <c r="B344" s="9" t="s">
        <v>21</v>
      </c>
      <c r="C344" s="26">
        <v>3</v>
      </c>
      <c r="D344" s="26">
        <v>2</v>
      </c>
      <c r="E344" s="26">
        <v>1.1000000000000001</v>
      </c>
      <c r="F344" s="26">
        <v>1</v>
      </c>
      <c r="G344" s="27">
        <f>'расчёт зарплаты'!K35</f>
        <v>36256</v>
      </c>
      <c r="H344" s="27">
        <f t="shared" si="81"/>
        <v>674361.60000000009</v>
      </c>
      <c r="I344" s="27"/>
      <c r="J344" s="27">
        <f t="shared" si="78"/>
        <v>674361.60000000009</v>
      </c>
      <c r="K344" s="27">
        <f t="shared" si="79"/>
        <v>203657.20320000002</v>
      </c>
      <c r="L344" s="27">
        <f t="shared" si="80"/>
        <v>878018.80320000008</v>
      </c>
    </row>
    <row r="345" spans="1:12" x14ac:dyDescent="0.3">
      <c r="A345" s="7"/>
      <c r="B345" s="9" t="s">
        <v>24</v>
      </c>
      <c r="C345" s="26">
        <v>3</v>
      </c>
      <c r="D345" s="26">
        <v>3</v>
      </c>
      <c r="E345" s="26">
        <v>3</v>
      </c>
      <c r="F345" s="26">
        <v>3</v>
      </c>
      <c r="G345" s="27">
        <f>'расчёт зарплаты'!K8</f>
        <v>33865.919999999998</v>
      </c>
      <c r="H345" s="27">
        <f t="shared" si="81"/>
        <v>1219173.1199999999</v>
      </c>
      <c r="I345" s="27"/>
      <c r="J345" s="27">
        <f t="shared" si="78"/>
        <v>1219173.1199999999</v>
      </c>
      <c r="K345" s="27">
        <f t="shared" si="79"/>
        <v>368190.28223999997</v>
      </c>
      <c r="L345" s="27">
        <f t="shared" si="80"/>
        <v>1587363.4022399997</v>
      </c>
    </row>
    <row r="346" spans="1:12" ht="42" x14ac:dyDescent="0.3">
      <c r="A346" s="7"/>
      <c r="B346" s="9" t="s">
        <v>25</v>
      </c>
      <c r="C346" s="26">
        <v>1</v>
      </c>
      <c r="D346" s="26">
        <v>1</v>
      </c>
      <c r="E346" s="26">
        <v>1</v>
      </c>
      <c r="F346" s="26">
        <v>1</v>
      </c>
      <c r="G346" s="27">
        <f>'расчёт зарплаты'!K10</f>
        <v>33128</v>
      </c>
      <c r="H346" s="27">
        <f t="shared" si="81"/>
        <v>397536</v>
      </c>
      <c r="I346" s="27"/>
      <c r="J346" s="27">
        <f t="shared" si="78"/>
        <v>397536</v>
      </c>
      <c r="K346" s="27">
        <f t="shared" si="79"/>
        <v>120055.872</v>
      </c>
      <c r="L346" s="27">
        <f t="shared" si="80"/>
        <v>517591.87199999997</v>
      </c>
    </row>
    <row r="347" spans="1:12" ht="28.2" x14ac:dyDescent="0.3">
      <c r="A347" s="7"/>
      <c r="B347" s="9" t="s">
        <v>26</v>
      </c>
      <c r="C347" s="26">
        <v>1</v>
      </c>
      <c r="D347" s="26">
        <v>1</v>
      </c>
      <c r="E347" s="26">
        <v>1</v>
      </c>
      <c r="F347" s="26">
        <v>1</v>
      </c>
      <c r="G347" s="27">
        <f>'расчёт зарплаты'!K20</f>
        <v>36808</v>
      </c>
      <c r="H347" s="27">
        <f t="shared" si="81"/>
        <v>441696</v>
      </c>
      <c r="I347" s="27"/>
      <c r="J347" s="27">
        <f t="shared" si="78"/>
        <v>441696</v>
      </c>
      <c r="K347" s="27">
        <f t="shared" si="79"/>
        <v>133392.19200000001</v>
      </c>
      <c r="L347" s="27">
        <f t="shared" si="80"/>
        <v>575088.19200000004</v>
      </c>
    </row>
    <row r="348" spans="1:12" ht="42" x14ac:dyDescent="0.3">
      <c r="A348" s="7"/>
      <c r="B348" s="9" t="s">
        <v>70</v>
      </c>
      <c r="C348" s="26"/>
      <c r="D348" s="26"/>
      <c r="E348" s="26"/>
      <c r="F348" s="26"/>
      <c r="G348" s="27">
        <f>'расчёт зарплаты'!K340</f>
        <v>0</v>
      </c>
      <c r="H348" s="27">
        <f t="shared" si="81"/>
        <v>0</v>
      </c>
      <c r="I348" s="27"/>
      <c r="J348" s="27">
        <f t="shared" si="78"/>
        <v>0</v>
      </c>
      <c r="K348" s="27">
        <f t="shared" si="79"/>
        <v>0</v>
      </c>
      <c r="L348" s="27">
        <f t="shared" si="80"/>
        <v>0</v>
      </c>
    </row>
    <row r="349" spans="1:12" x14ac:dyDescent="0.3">
      <c r="A349" s="7"/>
      <c r="B349" s="9" t="s">
        <v>30</v>
      </c>
      <c r="C349" s="26"/>
      <c r="D349" s="26"/>
      <c r="E349" s="26"/>
      <c r="F349" s="26"/>
      <c r="G349" s="27">
        <f>'расчёт зарплаты'!K365</f>
        <v>0</v>
      </c>
      <c r="H349" s="27">
        <f t="shared" si="81"/>
        <v>0</v>
      </c>
      <c r="I349" s="27"/>
      <c r="J349" s="27">
        <f t="shared" si="78"/>
        <v>0</v>
      </c>
      <c r="K349" s="27">
        <f t="shared" si="79"/>
        <v>0</v>
      </c>
      <c r="L349" s="27">
        <f t="shared" si="80"/>
        <v>0</v>
      </c>
    </row>
    <row r="350" spans="1:12" ht="39.6" x14ac:dyDescent="0.3">
      <c r="A350" s="7"/>
      <c r="B350" s="22" t="s">
        <v>31</v>
      </c>
      <c r="C350" s="26"/>
      <c r="D350" s="26"/>
      <c r="E350" s="26"/>
      <c r="F350" s="26"/>
      <c r="G350" s="27">
        <f>'расчёт зарплаты'!K375</f>
        <v>0</v>
      </c>
      <c r="H350" s="27">
        <f t="shared" si="81"/>
        <v>0</v>
      </c>
      <c r="I350" s="27"/>
      <c r="J350" s="27">
        <f t="shared" si="78"/>
        <v>0</v>
      </c>
      <c r="K350" s="27">
        <f t="shared" si="79"/>
        <v>0</v>
      </c>
      <c r="L350" s="27">
        <f t="shared" si="80"/>
        <v>0</v>
      </c>
    </row>
    <row r="351" spans="1:12" x14ac:dyDescent="0.3">
      <c r="A351" s="23" t="s">
        <v>63</v>
      </c>
      <c r="B351" s="24"/>
      <c r="C351" s="33">
        <f>C352+C353+C354</f>
        <v>4</v>
      </c>
      <c r="D351" s="33">
        <f>D352+D353+D354</f>
        <v>3</v>
      </c>
      <c r="E351" s="33">
        <f>E352+E353+E354</f>
        <v>2</v>
      </c>
      <c r="F351" s="33">
        <f>F352+F353+F354</f>
        <v>2</v>
      </c>
      <c r="G351" s="33"/>
      <c r="H351" s="34">
        <f>H352+H353+H354</f>
        <v>981046.08</v>
      </c>
      <c r="I351" s="34">
        <f>I352+I353+I354</f>
        <v>0</v>
      </c>
      <c r="J351" s="34">
        <f>J352+J353+J354</f>
        <v>981046.08</v>
      </c>
      <c r="K351" s="34">
        <f>K352+K353+K354</f>
        <v>296275.91615999996</v>
      </c>
      <c r="L351" s="34">
        <f>L352+L353+L354</f>
        <v>1277321.9961599999</v>
      </c>
    </row>
    <row r="352" spans="1:12" x14ac:dyDescent="0.3">
      <c r="A352" s="7"/>
      <c r="B352" s="9" t="s">
        <v>14</v>
      </c>
      <c r="C352" s="26">
        <v>1</v>
      </c>
      <c r="D352" s="26">
        <v>1</v>
      </c>
      <c r="E352" s="26">
        <v>0</v>
      </c>
      <c r="F352" s="26">
        <v>0</v>
      </c>
      <c r="G352" s="27">
        <f>'расчёт зарплаты'!K26</f>
        <v>32326.559999999998</v>
      </c>
      <c r="H352" s="27">
        <f>E352*G352*12+ ((D352-E352)*G352/2*12)</f>
        <v>193959.36</v>
      </c>
      <c r="I352" s="27"/>
      <c r="J352" s="27">
        <f t="shared" si="78"/>
        <v>193959.36</v>
      </c>
      <c r="K352" s="27">
        <f t="shared" si="79"/>
        <v>58575.726719999991</v>
      </c>
      <c r="L352" s="27">
        <f t="shared" si="80"/>
        <v>252535.08671999996</v>
      </c>
    </row>
    <row r="353" spans="1:12" x14ac:dyDescent="0.3">
      <c r="A353" s="7"/>
      <c r="B353" s="9" t="s">
        <v>16</v>
      </c>
      <c r="C353" s="26">
        <v>1</v>
      </c>
      <c r="D353" s="26">
        <v>1</v>
      </c>
      <c r="E353" s="26">
        <v>1</v>
      </c>
      <c r="F353" s="26">
        <v>1</v>
      </c>
      <c r="G353" s="27">
        <f>'расчёт зарплаты'!K26</f>
        <v>32326.559999999998</v>
      </c>
      <c r="H353" s="27">
        <f>E353*G353*12+ ((D353-E353)*G353/2*12)</f>
        <v>387918.72</v>
      </c>
      <c r="I353" s="27"/>
      <c r="J353" s="27">
        <f t="shared" si="78"/>
        <v>387918.72</v>
      </c>
      <c r="K353" s="27">
        <f t="shared" si="79"/>
        <v>117151.45343999998</v>
      </c>
      <c r="L353" s="27">
        <f t="shared" si="80"/>
        <v>505070.17343999993</v>
      </c>
    </row>
    <row r="354" spans="1:12" ht="28.2" x14ac:dyDescent="0.3">
      <c r="A354" s="7"/>
      <c r="B354" s="9" t="s">
        <v>71</v>
      </c>
      <c r="C354" s="26">
        <v>2</v>
      </c>
      <c r="D354" s="26">
        <v>1</v>
      </c>
      <c r="E354" s="26">
        <v>1</v>
      </c>
      <c r="F354" s="26">
        <v>1</v>
      </c>
      <c r="G354" s="27">
        <f>'расчёт зарплаты'!K41</f>
        <v>33264</v>
      </c>
      <c r="H354" s="27">
        <f>E354*G354*12+ ((D354-E354)*G354/2*12)</f>
        <v>399168</v>
      </c>
      <c r="I354" s="27"/>
      <c r="J354" s="27">
        <f t="shared" si="78"/>
        <v>399168</v>
      </c>
      <c r="K354" s="27">
        <f t="shared" si="79"/>
        <v>120548.73599999999</v>
      </c>
      <c r="L354" s="27">
        <f t="shared" si="80"/>
        <v>519716.73599999998</v>
      </c>
    </row>
    <row r="355" spans="1:12" x14ac:dyDescent="0.3">
      <c r="A355" s="69" t="s">
        <v>73</v>
      </c>
      <c r="B355" s="69"/>
      <c r="C355" s="30">
        <f>C356+C362</f>
        <v>5.5</v>
      </c>
      <c r="D355" s="30">
        <f>D356+D362</f>
        <v>4.5</v>
      </c>
      <c r="E355" s="30">
        <f>E356+E362</f>
        <v>3</v>
      </c>
      <c r="F355" s="30">
        <f>F356+F362</f>
        <v>4</v>
      </c>
      <c r="G355" s="27"/>
      <c r="H355" s="32">
        <f>J355</f>
        <v>1474008.48</v>
      </c>
      <c r="I355" s="27"/>
      <c r="J355" s="32">
        <f>J356+J362</f>
        <v>1474008.48</v>
      </c>
      <c r="K355" s="32">
        <f>K356+K362</f>
        <v>445150.56095999997</v>
      </c>
      <c r="L355" s="32">
        <f>L356+L362</f>
        <v>1919159.0409599999</v>
      </c>
    </row>
    <row r="356" spans="1:12" x14ac:dyDescent="0.3">
      <c r="A356" s="69" t="s">
        <v>35</v>
      </c>
      <c r="B356" s="69"/>
      <c r="C356" s="30">
        <f>C357+C358+C359+C360+C361</f>
        <v>4</v>
      </c>
      <c r="D356" s="30">
        <f>D357+D358+D359+D360+D361</f>
        <v>3.5</v>
      </c>
      <c r="E356" s="30">
        <f>E357+E358+E359+E360+E361</f>
        <v>2</v>
      </c>
      <c r="F356" s="30">
        <f>F357+F358+F359+F360+F361</f>
        <v>3</v>
      </c>
      <c r="G356" s="32"/>
      <c r="H356" s="32">
        <f>H357+H358+H360+H361+H359</f>
        <v>1066776.48</v>
      </c>
      <c r="I356" s="32"/>
      <c r="J356" s="32">
        <f>H356</f>
        <v>1066776.48</v>
      </c>
      <c r="K356" s="32">
        <f>J356*30.2%</f>
        <v>322166.49695999996</v>
      </c>
      <c r="L356" s="32">
        <f>J356+K356</f>
        <v>1388942.9769599999</v>
      </c>
    </row>
    <row r="357" spans="1:12" x14ac:dyDescent="0.3">
      <c r="A357" s="7"/>
      <c r="B357" s="9" t="s">
        <v>36</v>
      </c>
      <c r="C357" s="26"/>
      <c r="D357" s="26"/>
      <c r="E357" s="26"/>
      <c r="F357" s="26"/>
      <c r="G357" s="27">
        <f>'расчёт зарплаты'!K344</f>
        <v>0</v>
      </c>
      <c r="H357" s="27">
        <f>E357*G357*12+ ((D357-E357)*G357/2*12)</f>
        <v>0</v>
      </c>
      <c r="I357" s="27"/>
      <c r="J357" s="27">
        <f t="shared" ref="J357:J366" si="82">H357</f>
        <v>0</v>
      </c>
      <c r="K357" s="27">
        <f t="shared" ref="K357:K366" si="83">J357*30.2%</f>
        <v>0</v>
      </c>
      <c r="L357" s="27">
        <f t="shared" ref="L357:L366" si="84">J357+K357</f>
        <v>0</v>
      </c>
    </row>
    <row r="358" spans="1:12" x14ac:dyDescent="0.3">
      <c r="A358" s="7"/>
      <c r="B358" s="9" t="s">
        <v>23</v>
      </c>
      <c r="C358" s="26"/>
      <c r="D358" s="26"/>
      <c r="E358" s="26"/>
      <c r="F358" s="26"/>
      <c r="G358" s="27">
        <f>'расчёт зарплаты'!K348</f>
        <v>0</v>
      </c>
      <c r="H358" s="27">
        <f>E358*G358*12+ ((D358-E358)*G358/2*12)</f>
        <v>0</v>
      </c>
      <c r="I358" s="27"/>
      <c r="J358" s="27">
        <f t="shared" si="82"/>
        <v>0</v>
      </c>
      <c r="K358" s="27">
        <f t="shared" si="83"/>
        <v>0</v>
      </c>
      <c r="L358" s="27">
        <f t="shared" si="84"/>
        <v>0</v>
      </c>
    </row>
    <row r="359" spans="1:12" x14ac:dyDescent="0.3">
      <c r="A359" s="7"/>
      <c r="B359" s="25" t="s">
        <v>54</v>
      </c>
      <c r="C359" s="26"/>
      <c r="D359" s="26"/>
      <c r="E359" s="26"/>
      <c r="F359" s="26"/>
      <c r="G359" s="27">
        <f>'расчёт зарплаты'!K367</f>
        <v>0</v>
      </c>
      <c r="H359" s="27">
        <f>E359*G359*12+ ((D359-E359)*G359/2*12)</f>
        <v>0</v>
      </c>
      <c r="I359" s="27"/>
      <c r="J359" s="27">
        <f t="shared" si="82"/>
        <v>0</v>
      </c>
      <c r="K359" s="27">
        <f t="shared" si="83"/>
        <v>0</v>
      </c>
      <c r="L359" s="27">
        <f t="shared" si="84"/>
        <v>0</v>
      </c>
    </row>
    <row r="360" spans="1:12" ht="28.2" x14ac:dyDescent="0.3">
      <c r="A360" s="7"/>
      <c r="B360" s="9" t="s">
        <v>40</v>
      </c>
      <c r="C360" s="26">
        <v>2</v>
      </c>
      <c r="D360" s="26">
        <v>2</v>
      </c>
      <c r="E360" s="26">
        <v>1</v>
      </c>
      <c r="F360" s="26">
        <v>1</v>
      </c>
      <c r="G360" s="27">
        <f>'расчёт зарплаты'!K26</f>
        <v>32326.559999999998</v>
      </c>
      <c r="H360" s="27">
        <f>E360*G360*12+ ((D360-E360)*G360/2*12)</f>
        <v>581878.07999999996</v>
      </c>
      <c r="I360" s="27"/>
      <c r="J360" s="27">
        <f t="shared" si="82"/>
        <v>581878.07999999996</v>
      </c>
      <c r="K360" s="27">
        <f t="shared" si="83"/>
        <v>175727.18015999999</v>
      </c>
      <c r="L360" s="27">
        <f t="shared" si="84"/>
        <v>757605.26015999995</v>
      </c>
    </row>
    <row r="361" spans="1:12" x14ac:dyDescent="0.3">
      <c r="A361" s="7"/>
      <c r="B361" s="9" t="s">
        <v>41</v>
      </c>
      <c r="C361" s="26">
        <v>2</v>
      </c>
      <c r="D361" s="26">
        <v>1.5</v>
      </c>
      <c r="E361" s="26">
        <v>1</v>
      </c>
      <c r="F361" s="26">
        <v>2</v>
      </c>
      <c r="G361" s="27">
        <f>'расчёт зарплаты'!K26</f>
        <v>32326.559999999998</v>
      </c>
      <c r="H361" s="27">
        <f>E361*G361*12+ ((D361-E361)*G361/2*12)</f>
        <v>484898.39999999997</v>
      </c>
      <c r="I361" s="27"/>
      <c r="J361" s="27">
        <f t="shared" si="82"/>
        <v>484898.39999999997</v>
      </c>
      <c r="K361" s="27">
        <f t="shared" si="83"/>
        <v>146439.31679999997</v>
      </c>
      <c r="L361" s="27">
        <f t="shared" si="84"/>
        <v>631337.71679999994</v>
      </c>
    </row>
    <row r="362" spans="1:12" x14ac:dyDescent="0.3">
      <c r="A362" s="69" t="s">
        <v>43</v>
      </c>
      <c r="B362" s="69"/>
      <c r="C362" s="30">
        <f>C363+C364+C365+C366</f>
        <v>1.5</v>
      </c>
      <c r="D362" s="30">
        <f>D363+D364+D365+D366</f>
        <v>1</v>
      </c>
      <c r="E362" s="30">
        <f>E363+E364+E365+E366</f>
        <v>1</v>
      </c>
      <c r="F362" s="30">
        <f>F363+F364+F365+F366</f>
        <v>1</v>
      </c>
      <c r="G362" s="32"/>
      <c r="H362" s="32">
        <f>H363+H364+H365+H366</f>
        <v>407232</v>
      </c>
      <c r="I362" s="32"/>
      <c r="J362" s="32">
        <f>H362</f>
        <v>407232</v>
      </c>
      <c r="K362" s="32">
        <f>J362*30.2%</f>
        <v>122984.064</v>
      </c>
      <c r="L362" s="32">
        <f>J362+K362</f>
        <v>530216.06400000001</v>
      </c>
    </row>
    <row r="363" spans="1:12" x14ac:dyDescent="0.3">
      <c r="A363" s="7"/>
      <c r="B363" s="9" t="s">
        <v>44</v>
      </c>
      <c r="C363" s="26"/>
      <c r="D363" s="26"/>
      <c r="E363" s="26"/>
      <c r="F363" s="26"/>
      <c r="G363" s="27">
        <f>'расчёт зарплаты'!K365</f>
        <v>0</v>
      </c>
      <c r="H363" s="27">
        <f>E363*G363*12+ ((D363-E363)*G363/2*12)</f>
        <v>0</v>
      </c>
      <c r="I363" s="27"/>
      <c r="J363" s="27">
        <f t="shared" si="82"/>
        <v>0</v>
      </c>
      <c r="K363" s="27">
        <f t="shared" si="83"/>
        <v>0</v>
      </c>
      <c r="L363" s="27">
        <f t="shared" si="84"/>
        <v>0</v>
      </c>
    </row>
    <row r="364" spans="1:12" x14ac:dyDescent="0.3">
      <c r="A364" s="7"/>
      <c r="B364" s="9" t="s">
        <v>46</v>
      </c>
      <c r="C364" s="26"/>
      <c r="D364" s="26"/>
      <c r="E364" s="26"/>
      <c r="F364" s="26"/>
      <c r="G364" s="27">
        <f>'расчёт зарплаты'!K369</f>
        <v>0</v>
      </c>
      <c r="H364" s="27">
        <f>E364*G364*12+ ((D364-E364)*G364/2*12)</f>
        <v>0</v>
      </c>
      <c r="I364" s="27"/>
      <c r="J364" s="27">
        <f t="shared" si="82"/>
        <v>0</v>
      </c>
      <c r="K364" s="27">
        <f t="shared" si="83"/>
        <v>0</v>
      </c>
      <c r="L364" s="27">
        <f t="shared" si="84"/>
        <v>0</v>
      </c>
    </row>
    <row r="365" spans="1:12" x14ac:dyDescent="0.3">
      <c r="A365" s="7"/>
      <c r="B365" s="9" t="s">
        <v>47</v>
      </c>
      <c r="C365" s="26">
        <v>1.5</v>
      </c>
      <c r="D365" s="26">
        <v>1</v>
      </c>
      <c r="E365" s="26">
        <v>1</v>
      </c>
      <c r="F365" s="26">
        <v>1</v>
      </c>
      <c r="G365" s="27">
        <f>'расчёт зарплаты'!K39</f>
        <v>33936</v>
      </c>
      <c r="H365" s="27">
        <f>E365*G365*12+ ((D365-E365)*G365/2*12)</f>
        <v>407232</v>
      </c>
      <c r="I365" s="27"/>
      <c r="J365" s="27">
        <f t="shared" si="82"/>
        <v>407232</v>
      </c>
      <c r="K365" s="27">
        <f t="shared" si="83"/>
        <v>122984.064</v>
      </c>
      <c r="L365" s="27">
        <f t="shared" si="84"/>
        <v>530216.06400000001</v>
      </c>
    </row>
    <row r="366" spans="1:12" x14ac:dyDescent="0.3">
      <c r="A366" s="19"/>
      <c r="B366" s="29" t="s">
        <v>52</v>
      </c>
      <c r="C366" s="35"/>
      <c r="D366" s="35"/>
      <c r="E366" s="35"/>
      <c r="F366" s="35"/>
      <c r="G366" s="27">
        <f>'расчёт зарплаты'!K350</f>
        <v>0</v>
      </c>
      <c r="H366" s="27">
        <f>E366*G366*12+ ((D366-E366)*G366/2*12)</f>
        <v>0</v>
      </c>
      <c r="I366" s="35"/>
      <c r="J366" s="27">
        <f t="shared" si="82"/>
        <v>0</v>
      </c>
      <c r="K366" s="27">
        <f t="shared" si="83"/>
        <v>0</v>
      </c>
      <c r="L366" s="27">
        <f t="shared" si="84"/>
        <v>0</v>
      </c>
    </row>
    <row r="367" spans="1:12" x14ac:dyDescent="0.3">
      <c r="A367" s="28"/>
      <c r="B367" s="76" t="s">
        <v>85</v>
      </c>
      <c r="C367" s="77"/>
      <c r="D367" s="77"/>
      <c r="E367" s="77"/>
      <c r="F367" s="77"/>
      <c r="G367" s="77"/>
      <c r="H367" s="77"/>
      <c r="I367" s="77"/>
      <c r="J367" s="77"/>
      <c r="K367" s="77"/>
      <c r="L367" s="78"/>
    </row>
    <row r="368" spans="1:12" x14ac:dyDescent="0.3">
      <c r="A368" s="71" t="s">
        <v>68</v>
      </c>
      <c r="B368" s="72"/>
      <c r="C368" s="30">
        <f>C369+C385+C381</f>
        <v>16.75</v>
      </c>
      <c r="D368" s="30">
        <f>D369+D385+D381</f>
        <v>16.75</v>
      </c>
      <c r="E368" s="30">
        <f>E369+E385+E381</f>
        <v>16.5</v>
      </c>
      <c r="F368" s="30">
        <f>F369+F385+F381</f>
        <v>17</v>
      </c>
      <c r="G368" s="27"/>
      <c r="H368" s="27"/>
      <c r="I368" s="27"/>
      <c r="J368" s="27"/>
      <c r="K368" s="27"/>
      <c r="L368" s="27"/>
    </row>
    <row r="369" spans="1:12" x14ac:dyDescent="0.3">
      <c r="A369" s="71" t="s">
        <v>69</v>
      </c>
      <c r="B369" s="72"/>
      <c r="C369" s="30">
        <f>SUM(C370:C380)</f>
        <v>10.75</v>
      </c>
      <c r="D369" s="30">
        <f>SUM(D370:D380)</f>
        <v>10.75</v>
      </c>
      <c r="E369" s="30">
        <f>SUM(E370:E380)</f>
        <v>10.5</v>
      </c>
      <c r="F369" s="30">
        <f>SUM(F370:F380)</f>
        <v>11</v>
      </c>
      <c r="G369" s="30"/>
      <c r="H369" s="31">
        <f>SUM(H370:H380)</f>
        <v>4332971.5200000005</v>
      </c>
      <c r="I369" s="32"/>
      <c r="J369" s="32">
        <f>H369-I369</f>
        <v>4332971.5200000005</v>
      </c>
      <c r="K369" s="32">
        <f>J369*30.2%</f>
        <v>1308557.39904</v>
      </c>
      <c r="L369" s="32">
        <f>J369+K369</f>
        <v>5641528.9190400001</v>
      </c>
    </row>
    <row r="370" spans="1:12" x14ac:dyDescent="0.3">
      <c r="A370" s="7"/>
      <c r="B370" s="9" t="s">
        <v>11</v>
      </c>
      <c r="C370" s="26">
        <v>5</v>
      </c>
      <c r="D370" s="26">
        <v>5</v>
      </c>
      <c r="E370" s="26">
        <v>4.7</v>
      </c>
      <c r="F370" s="26">
        <v>5</v>
      </c>
      <c r="G370" s="27">
        <f>'расчёт зарплаты'!K10</f>
        <v>33128</v>
      </c>
      <c r="H370" s="27">
        <f>E370*G370*12+ ((D370-E370)*G370/2*12)</f>
        <v>1928049.6</v>
      </c>
      <c r="I370" s="27"/>
      <c r="J370" s="27">
        <f t="shared" ref="J370:J384" si="85">H370</f>
        <v>1928049.6</v>
      </c>
      <c r="K370" s="27">
        <f t="shared" ref="K370:K384" si="86">J370*30.2%</f>
        <v>582270.97920000006</v>
      </c>
      <c r="L370" s="27">
        <f t="shared" ref="L370:L384" si="87">J370+K370</f>
        <v>2510320.5792</v>
      </c>
    </row>
    <row r="371" spans="1:12" x14ac:dyDescent="0.3">
      <c r="A371" s="7"/>
      <c r="B371" s="9" t="s">
        <v>13</v>
      </c>
      <c r="C371" s="26"/>
      <c r="D371" s="26"/>
      <c r="E371" s="26"/>
      <c r="F371" s="26"/>
      <c r="G371" s="27">
        <f>'расчёт зарплаты'!K380</f>
        <v>0</v>
      </c>
      <c r="H371" s="27">
        <f t="shared" ref="H371:H380" si="88">E371*G371*12+ ((D371-E371)*G371/2*12)</f>
        <v>0</v>
      </c>
      <c r="I371" s="27"/>
      <c r="J371" s="27">
        <f t="shared" si="85"/>
        <v>0</v>
      </c>
      <c r="K371" s="27">
        <f t="shared" si="86"/>
        <v>0</v>
      </c>
      <c r="L371" s="27">
        <f t="shared" si="87"/>
        <v>0</v>
      </c>
    </row>
    <row r="372" spans="1:12" x14ac:dyDescent="0.3">
      <c r="A372" s="7"/>
      <c r="B372" s="9" t="s">
        <v>17</v>
      </c>
      <c r="C372" s="26">
        <v>0.75</v>
      </c>
      <c r="D372" s="26">
        <v>0.75</v>
      </c>
      <c r="E372" s="26">
        <v>0.8</v>
      </c>
      <c r="F372" s="26">
        <v>1</v>
      </c>
      <c r="G372" s="27">
        <f>'расчёт зарплаты'!K39</f>
        <v>33936</v>
      </c>
      <c r="H372" s="27">
        <f t="shared" si="88"/>
        <v>315604.80000000005</v>
      </c>
      <c r="I372" s="27"/>
      <c r="J372" s="27">
        <f t="shared" si="85"/>
        <v>315604.80000000005</v>
      </c>
      <c r="K372" s="27">
        <f t="shared" si="86"/>
        <v>95312.649600000004</v>
      </c>
      <c r="L372" s="27">
        <f t="shared" si="87"/>
        <v>410917.44960000005</v>
      </c>
    </row>
    <row r="373" spans="1:12" ht="28.2" x14ac:dyDescent="0.3">
      <c r="A373" s="7"/>
      <c r="B373" s="9" t="s">
        <v>20</v>
      </c>
      <c r="C373" s="26"/>
      <c r="D373" s="26"/>
      <c r="E373" s="26"/>
      <c r="F373" s="26"/>
      <c r="G373" s="27"/>
      <c r="H373" s="27">
        <f t="shared" si="88"/>
        <v>0</v>
      </c>
      <c r="I373" s="27"/>
      <c r="J373" s="27">
        <f t="shared" si="85"/>
        <v>0</v>
      </c>
      <c r="K373" s="27">
        <f t="shared" si="86"/>
        <v>0</v>
      </c>
      <c r="L373" s="27">
        <f t="shared" si="87"/>
        <v>0</v>
      </c>
    </row>
    <row r="374" spans="1:12" x14ac:dyDescent="0.3">
      <c r="A374" s="7"/>
      <c r="B374" s="9" t="s">
        <v>21</v>
      </c>
      <c r="C374" s="26">
        <v>2</v>
      </c>
      <c r="D374" s="26">
        <v>2</v>
      </c>
      <c r="E374" s="26">
        <v>2</v>
      </c>
      <c r="F374" s="26">
        <v>2</v>
      </c>
      <c r="G374" s="27">
        <f>'расчёт зарплаты'!K35</f>
        <v>36256</v>
      </c>
      <c r="H374" s="27">
        <f t="shared" si="88"/>
        <v>870144</v>
      </c>
      <c r="I374" s="27"/>
      <c r="J374" s="27">
        <f t="shared" si="85"/>
        <v>870144</v>
      </c>
      <c r="K374" s="27">
        <f t="shared" si="86"/>
        <v>262783.48800000001</v>
      </c>
      <c r="L374" s="27">
        <f t="shared" si="87"/>
        <v>1132927.4879999999</v>
      </c>
    </row>
    <row r="375" spans="1:12" x14ac:dyDescent="0.3">
      <c r="A375" s="7"/>
      <c r="B375" s="9" t="s">
        <v>24</v>
      </c>
      <c r="C375" s="26">
        <v>3</v>
      </c>
      <c r="D375" s="26">
        <v>3</v>
      </c>
      <c r="E375" s="26">
        <v>3</v>
      </c>
      <c r="F375" s="26">
        <v>3</v>
      </c>
      <c r="G375" s="27">
        <f>'расчёт зарплаты'!K8</f>
        <v>33865.919999999998</v>
      </c>
      <c r="H375" s="27">
        <f t="shared" si="88"/>
        <v>1219173.1199999999</v>
      </c>
      <c r="I375" s="27"/>
      <c r="J375" s="27">
        <f t="shared" si="85"/>
        <v>1219173.1199999999</v>
      </c>
      <c r="K375" s="27">
        <f t="shared" si="86"/>
        <v>368190.28223999997</v>
      </c>
      <c r="L375" s="27">
        <f t="shared" si="87"/>
        <v>1587363.4022399997</v>
      </c>
    </row>
    <row r="376" spans="1:12" ht="42" x14ac:dyDescent="0.3">
      <c r="A376" s="7"/>
      <c r="B376" s="9" t="s">
        <v>25</v>
      </c>
      <c r="C376" s="26"/>
      <c r="D376" s="26"/>
      <c r="E376" s="26"/>
      <c r="F376" s="26"/>
      <c r="G376" s="27">
        <f>'расчёт зарплаты'!K370</f>
        <v>0</v>
      </c>
      <c r="H376" s="27">
        <f t="shared" si="88"/>
        <v>0</v>
      </c>
      <c r="I376" s="27"/>
      <c r="J376" s="27">
        <f t="shared" si="85"/>
        <v>0</v>
      </c>
      <c r="K376" s="27">
        <f t="shared" si="86"/>
        <v>0</v>
      </c>
      <c r="L376" s="27">
        <f t="shared" si="87"/>
        <v>0</v>
      </c>
    </row>
    <row r="377" spans="1:12" ht="28.2" x14ac:dyDescent="0.3">
      <c r="A377" s="7"/>
      <c r="B377" s="9" t="s">
        <v>26</v>
      </c>
      <c r="C377" s="26"/>
      <c r="D377" s="26"/>
      <c r="E377" s="26"/>
      <c r="F377" s="26"/>
      <c r="G377" s="27">
        <f>'расчёт зарплаты'!K380</f>
        <v>0</v>
      </c>
      <c r="H377" s="27">
        <f t="shared" si="88"/>
        <v>0</v>
      </c>
      <c r="I377" s="27"/>
      <c r="J377" s="27">
        <f t="shared" si="85"/>
        <v>0</v>
      </c>
      <c r="K377" s="27">
        <f t="shared" si="86"/>
        <v>0</v>
      </c>
      <c r="L377" s="27">
        <f t="shared" si="87"/>
        <v>0</v>
      </c>
    </row>
    <row r="378" spans="1:12" ht="42" x14ac:dyDescent="0.3">
      <c r="A378" s="7"/>
      <c r="B378" s="9" t="s">
        <v>70</v>
      </c>
      <c r="C378" s="26"/>
      <c r="D378" s="26"/>
      <c r="E378" s="26"/>
      <c r="F378" s="26"/>
      <c r="G378" s="27">
        <f>'расчёт зарплаты'!K370</f>
        <v>0</v>
      </c>
      <c r="H378" s="27">
        <f t="shared" si="88"/>
        <v>0</v>
      </c>
      <c r="I378" s="27"/>
      <c r="J378" s="27">
        <f t="shared" si="85"/>
        <v>0</v>
      </c>
      <c r="K378" s="27">
        <f t="shared" si="86"/>
        <v>0</v>
      </c>
      <c r="L378" s="27">
        <f t="shared" si="87"/>
        <v>0</v>
      </c>
    </row>
    <row r="379" spans="1:12" x14ac:dyDescent="0.3">
      <c r="A379" s="7"/>
      <c r="B379" s="9" t="s">
        <v>30</v>
      </c>
      <c r="C379" s="26"/>
      <c r="D379" s="26"/>
      <c r="E379" s="26"/>
      <c r="F379" s="26"/>
      <c r="G379" s="27">
        <f>'расчёт зарплаты'!K395</f>
        <v>0</v>
      </c>
      <c r="H379" s="27">
        <f t="shared" si="88"/>
        <v>0</v>
      </c>
      <c r="I379" s="27"/>
      <c r="J379" s="27">
        <f t="shared" si="85"/>
        <v>0</v>
      </c>
      <c r="K379" s="27">
        <f t="shared" si="86"/>
        <v>0</v>
      </c>
      <c r="L379" s="27">
        <f t="shared" si="87"/>
        <v>0</v>
      </c>
    </row>
    <row r="380" spans="1:12" ht="39.6" x14ac:dyDescent="0.3">
      <c r="A380" s="7"/>
      <c r="B380" s="22" t="s">
        <v>31</v>
      </c>
      <c r="C380" s="26"/>
      <c r="D380" s="26"/>
      <c r="E380" s="26"/>
      <c r="F380" s="26"/>
      <c r="G380" s="27">
        <f>'расчёт зарплаты'!K405</f>
        <v>0</v>
      </c>
      <c r="H380" s="27">
        <f t="shared" si="88"/>
        <v>0</v>
      </c>
      <c r="I380" s="27"/>
      <c r="J380" s="27">
        <f t="shared" si="85"/>
        <v>0</v>
      </c>
      <c r="K380" s="27">
        <f t="shared" si="86"/>
        <v>0</v>
      </c>
      <c r="L380" s="27">
        <f t="shared" si="87"/>
        <v>0</v>
      </c>
    </row>
    <row r="381" spans="1:12" x14ac:dyDescent="0.3">
      <c r="A381" s="23" t="s">
        <v>63</v>
      </c>
      <c r="B381" s="24"/>
      <c r="C381" s="33">
        <f>C382+C383+C384</f>
        <v>2</v>
      </c>
      <c r="D381" s="33">
        <f>D382+D383+D384</f>
        <v>2</v>
      </c>
      <c r="E381" s="33">
        <f>E382+E383+E384</f>
        <v>2</v>
      </c>
      <c r="F381" s="33">
        <f>F382+F383+F384</f>
        <v>2</v>
      </c>
      <c r="G381" s="33"/>
      <c r="H381" s="34">
        <f>H382+H383+H384</f>
        <v>787086.72</v>
      </c>
      <c r="I381" s="34">
        <f>I382+I383+I384</f>
        <v>0</v>
      </c>
      <c r="J381" s="34">
        <f>J382+J383+J384</f>
        <v>787086.72</v>
      </c>
      <c r="K381" s="34">
        <f>K382+K383+K384</f>
        <v>237700.18943999999</v>
      </c>
      <c r="L381" s="34">
        <f>L382+L383+L384</f>
        <v>1024786.9094399998</v>
      </c>
    </row>
    <row r="382" spans="1:12" x14ac:dyDescent="0.3">
      <c r="A382" s="7"/>
      <c r="B382" s="9" t="s">
        <v>14</v>
      </c>
      <c r="C382" s="26"/>
      <c r="D382" s="26"/>
      <c r="E382" s="26"/>
      <c r="F382" s="26"/>
      <c r="G382" s="27">
        <f>'расчёт зарплаты'!K386</f>
        <v>0</v>
      </c>
      <c r="H382" s="27">
        <f>E382*G382*12+ ((D382-E382)*G382/2*12)</f>
        <v>0</v>
      </c>
      <c r="I382" s="27"/>
      <c r="J382" s="27">
        <f t="shared" si="85"/>
        <v>0</v>
      </c>
      <c r="K382" s="27">
        <f t="shared" si="86"/>
        <v>0</v>
      </c>
      <c r="L382" s="27">
        <f t="shared" si="87"/>
        <v>0</v>
      </c>
    </row>
    <row r="383" spans="1:12" x14ac:dyDescent="0.3">
      <c r="A383" s="7"/>
      <c r="B383" s="9" t="s">
        <v>16</v>
      </c>
      <c r="C383" s="26">
        <v>1</v>
      </c>
      <c r="D383" s="26">
        <v>1</v>
      </c>
      <c r="E383" s="26">
        <v>1</v>
      </c>
      <c r="F383" s="26">
        <v>1</v>
      </c>
      <c r="G383" s="27">
        <f>'расчёт зарплаты'!K26</f>
        <v>32326.559999999998</v>
      </c>
      <c r="H383" s="27">
        <f>E383*G383*12+ ((D383-E383)*G383/2*12)</f>
        <v>387918.72</v>
      </c>
      <c r="I383" s="27"/>
      <c r="J383" s="27">
        <f t="shared" si="85"/>
        <v>387918.72</v>
      </c>
      <c r="K383" s="27">
        <f t="shared" si="86"/>
        <v>117151.45343999998</v>
      </c>
      <c r="L383" s="27">
        <f t="shared" si="87"/>
        <v>505070.17343999993</v>
      </c>
    </row>
    <row r="384" spans="1:12" ht="28.2" x14ac:dyDescent="0.3">
      <c r="A384" s="7"/>
      <c r="B384" s="9" t="s">
        <v>71</v>
      </c>
      <c r="C384" s="26">
        <v>1</v>
      </c>
      <c r="D384" s="26">
        <v>1</v>
      </c>
      <c r="E384" s="26">
        <v>1</v>
      </c>
      <c r="F384" s="26">
        <v>1</v>
      </c>
      <c r="G384" s="27">
        <f>'расчёт зарплаты'!K41</f>
        <v>33264</v>
      </c>
      <c r="H384" s="27">
        <f>E384*G384*12+ ((D384-E384)*G384/2*12)</f>
        <v>399168</v>
      </c>
      <c r="I384" s="27"/>
      <c r="J384" s="27">
        <f t="shared" si="85"/>
        <v>399168</v>
      </c>
      <c r="K384" s="27">
        <f t="shared" si="86"/>
        <v>120548.73599999999</v>
      </c>
      <c r="L384" s="27">
        <f t="shared" si="87"/>
        <v>519716.73599999998</v>
      </c>
    </row>
    <row r="385" spans="1:12" x14ac:dyDescent="0.3">
      <c r="A385" s="69" t="s">
        <v>73</v>
      </c>
      <c r="B385" s="69"/>
      <c r="C385" s="30">
        <f>C386+C392</f>
        <v>4</v>
      </c>
      <c r="D385" s="30">
        <f>D386+D392</f>
        <v>4</v>
      </c>
      <c r="E385" s="30">
        <f>E386+E392</f>
        <v>4</v>
      </c>
      <c r="F385" s="30">
        <f>F386+F392</f>
        <v>4</v>
      </c>
      <c r="G385" s="27"/>
      <c r="H385" s="32">
        <f>J385</f>
        <v>1618141.44</v>
      </c>
      <c r="I385" s="27"/>
      <c r="J385" s="32">
        <f>J386+J392</f>
        <v>1618141.44</v>
      </c>
      <c r="K385" s="32">
        <f>K386+K392</f>
        <v>488678.71487999998</v>
      </c>
      <c r="L385" s="32">
        <f>L386+L392</f>
        <v>2106820.1548799998</v>
      </c>
    </row>
    <row r="386" spans="1:12" x14ac:dyDescent="0.3">
      <c r="A386" s="69" t="s">
        <v>35</v>
      </c>
      <c r="B386" s="69"/>
      <c r="C386" s="30">
        <f>C387+C388+C389+C390+C391</f>
        <v>2</v>
      </c>
      <c r="D386" s="30">
        <f>D387+D388+D389+D390+D391</f>
        <v>2</v>
      </c>
      <c r="E386" s="30">
        <f>E387+E388+E389+E390+E391</f>
        <v>2</v>
      </c>
      <c r="F386" s="30">
        <f>F387+F388+F389+F390+F391</f>
        <v>2</v>
      </c>
      <c r="G386" s="32"/>
      <c r="H386" s="32">
        <f>H387+H388+H390+H391+H389</f>
        <v>775837.44</v>
      </c>
      <c r="I386" s="32"/>
      <c r="J386" s="32">
        <f>H386</f>
        <v>775837.44</v>
      </c>
      <c r="K386" s="32">
        <f>J386*30.2%</f>
        <v>234302.90687999997</v>
      </c>
      <c r="L386" s="32">
        <f>J386+K386</f>
        <v>1010140.3468799999</v>
      </c>
    </row>
    <row r="387" spans="1:12" x14ac:dyDescent="0.3">
      <c r="A387" s="7"/>
      <c r="B387" s="9" t="s">
        <v>36</v>
      </c>
      <c r="C387" s="26"/>
      <c r="D387" s="26"/>
      <c r="E387" s="26"/>
      <c r="F387" s="26"/>
      <c r="G387" s="27">
        <f>'расчёт зарплаты'!K374</f>
        <v>0</v>
      </c>
      <c r="H387" s="27">
        <f>E387*G387*12+ ((D387-E387)*G387/2*12)</f>
        <v>0</v>
      </c>
      <c r="I387" s="27"/>
      <c r="J387" s="27">
        <f t="shared" ref="J387:J396" si="89">H387</f>
        <v>0</v>
      </c>
      <c r="K387" s="27">
        <f t="shared" ref="K387:K396" si="90">J387*30.2%</f>
        <v>0</v>
      </c>
      <c r="L387" s="27">
        <f t="shared" ref="L387:L396" si="91">J387+K387</f>
        <v>0</v>
      </c>
    </row>
    <row r="388" spans="1:12" x14ac:dyDescent="0.3">
      <c r="A388" s="7"/>
      <c r="B388" s="9" t="s">
        <v>23</v>
      </c>
      <c r="C388" s="26"/>
      <c r="D388" s="26"/>
      <c r="E388" s="26"/>
      <c r="F388" s="26"/>
      <c r="G388" s="27">
        <f>'расчёт зарплаты'!K378</f>
        <v>0</v>
      </c>
      <c r="H388" s="27">
        <f>E388*G388*12+ ((D388-E388)*G388/2*12)</f>
        <v>0</v>
      </c>
      <c r="I388" s="27"/>
      <c r="J388" s="27">
        <f t="shared" si="89"/>
        <v>0</v>
      </c>
      <c r="K388" s="27">
        <f t="shared" si="90"/>
        <v>0</v>
      </c>
      <c r="L388" s="27">
        <f t="shared" si="91"/>
        <v>0</v>
      </c>
    </row>
    <row r="389" spans="1:12" x14ac:dyDescent="0.3">
      <c r="A389" s="7"/>
      <c r="B389" s="25" t="s">
        <v>54</v>
      </c>
      <c r="C389" s="26"/>
      <c r="D389" s="26"/>
      <c r="E389" s="26"/>
      <c r="F389" s="26"/>
      <c r="G389" s="27">
        <f>'расчёт зарплаты'!K397</f>
        <v>0</v>
      </c>
      <c r="H389" s="27">
        <f>E389*G389*12+ ((D389-E389)*G389/2*12)</f>
        <v>0</v>
      </c>
      <c r="I389" s="27"/>
      <c r="J389" s="27">
        <f t="shared" si="89"/>
        <v>0</v>
      </c>
      <c r="K389" s="27">
        <f t="shared" si="90"/>
        <v>0</v>
      </c>
      <c r="L389" s="27">
        <f t="shared" si="91"/>
        <v>0</v>
      </c>
    </row>
    <row r="390" spans="1:12" ht="28.2" x14ac:dyDescent="0.3">
      <c r="A390" s="7"/>
      <c r="B390" s="9" t="s">
        <v>40</v>
      </c>
      <c r="C390" s="26">
        <v>1</v>
      </c>
      <c r="D390" s="26">
        <v>1</v>
      </c>
      <c r="E390" s="26">
        <v>1</v>
      </c>
      <c r="F390" s="26">
        <v>1</v>
      </c>
      <c r="G390" s="27">
        <f>'расчёт зарплаты'!K26</f>
        <v>32326.559999999998</v>
      </c>
      <c r="H390" s="27">
        <f>E390*G390*12+ ((D390-E390)*G390/2*12)</f>
        <v>387918.72</v>
      </c>
      <c r="I390" s="27"/>
      <c r="J390" s="27">
        <f t="shared" si="89"/>
        <v>387918.72</v>
      </c>
      <c r="K390" s="27">
        <f t="shared" si="90"/>
        <v>117151.45343999998</v>
      </c>
      <c r="L390" s="27">
        <f t="shared" si="91"/>
        <v>505070.17343999993</v>
      </c>
    </row>
    <row r="391" spans="1:12" x14ac:dyDescent="0.3">
      <c r="A391" s="7"/>
      <c r="B391" s="9" t="s">
        <v>41</v>
      </c>
      <c r="C391" s="26">
        <v>1</v>
      </c>
      <c r="D391" s="26">
        <v>1</v>
      </c>
      <c r="E391" s="26">
        <v>1</v>
      </c>
      <c r="F391" s="26">
        <v>1</v>
      </c>
      <c r="G391" s="27">
        <f>'расчёт зарплаты'!K26</f>
        <v>32326.559999999998</v>
      </c>
      <c r="H391" s="27">
        <f>E391*G391*12+ ((D391-E391)*G391/2*12)</f>
        <v>387918.72</v>
      </c>
      <c r="I391" s="27"/>
      <c r="J391" s="27">
        <f t="shared" si="89"/>
        <v>387918.72</v>
      </c>
      <c r="K391" s="27">
        <f t="shared" si="90"/>
        <v>117151.45343999998</v>
      </c>
      <c r="L391" s="27">
        <f t="shared" si="91"/>
        <v>505070.17343999993</v>
      </c>
    </row>
    <row r="392" spans="1:12" x14ac:dyDescent="0.3">
      <c r="A392" s="69" t="s">
        <v>43</v>
      </c>
      <c r="B392" s="69"/>
      <c r="C392" s="30">
        <f>C393+C394+C395+C396</f>
        <v>2</v>
      </c>
      <c r="D392" s="30">
        <f>D393+D394+D395+D396</f>
        <v>2</v>
      </c>
      <c r="E392" s="30">
        <f>E393+E394+E395+E396</f>
        <v>2</v>
      </c>
      <c r="F392" s="30">
        <f>F393+F394+F395+F396</f>
        <v>2</v>
      </c>
      <c r="G392" s="32"/>
      <c r="H392" s="32">
        <f>H393+H394+H395+H396</f>
        <v>842304</v>
      </c>
      <c r="I392" s="32"/>
      <c r="J392" s="32">
        <f>H392</f>
        <v>842304</v>
      </c>
      <c r="K392" s="32">
        <f>J392*30.2%</f>
        <v>254375.80799999999</v>
      </c>
      <c r="L392" s="32">
        <f>J392+K392</f>
        <v>1096679.808</v>
      </c>
    </row>
    <row r="393" spans="1:12" x14ac:dyDescent="0.3">
      <c r="A393" s="7"/>
      <c r="B393" s="9" t="s">
        <v>44</v>
      </c>
      <c r="C393" s="26">
        <v>1</v>
      </c>
      <c r="D393" s="26">
        <v>1</v>
      </c>
      <c r="E393" s="26">
        <v>1</v>
      </c>
      <c r="F393" s="26">
        <v>1</v>
      </c>
      <c r="G393" s="27">
        <f>'расчёт зарплаты'!K35</f>
        <v>36256</v>
      </c>
      <c r="H393" s="27">
        <f>E393*G393*12+ ((D393-E393)*G393/2*12)</f>
        <v>435072</v>
      </c>
      <c r="I393" s="27"/>
      <c r="J393" s="27">
        <f t="shared" si="89"/>
        <v>435072</v>
      </c>
      <c r="K393" s="27">
        <f t="shared" si="90"/>
        <v>131391.74400000001</v>
      </c>
      <c r="L393" s="27">
        <f t="shared" si="91"/>
        <v>566463.74399999995</v>
      </c>
    </row>
    <row r="394" spans="1:12" x14ac:dyDescent="0.3">
      <c r="A394" s="7"/>
      <c r="B394" s="9" t="s">
        <v>46</v>
      </c>
      <c r="C394" s="26"/>
      <c r="D394" s="26"/>
      <c r="E394" s="26"/>
      <c r="F394" s="26"/>
      <c r="G394" s="27">
        <f>'расчёт зарплаты'!K399</f>
        <v>0</v>
      </c>
      <c r="H394" s="27">
        <f>E394*G394*12+ ((D394-E394)*G394/2*12)</f>
        <v>0</v>
      </c>
      <c r="I394" s="27"/>
      <c r="J394" s="27">
        <f t="shared" si="89"/>
        <v>0</v>
      </c>
      <c r="K394" s="27">
        <f t="shared" si="90"/>
        <v>0</v>
      </c>
      <c r="L394" s="27">
        <f t="shared" si="91"/>
        <v>0</v>
      </c>
    </row>
    <row r="395" spans="1:12" x14ac:dyDescent="0.3">
      <c r="A395" s="7"/>
      <c r="B395" s="9" t="s">
        <v>47</v>
      </c>
      <c r="C395" s="26">
        <v>1</v>
      </c>
      <c r="D395" s="26">
        <v>1</v>
      </c>
      <c r="E395" s="26">
        <v>1</v>
      </c>
      <c r="F395" s="26">
        <v>1</v>
      </c>
      <c r="G395" s="27">
        <f>'расчёт зарплаты'!K39</f>
        <v>33936</v>
      </c>
      <c r="H395" s="27">
        <f>E395*G395*12+ ((D395-E395)*G395/2*12)</f>
        <v>407232</v>
      </c>
      <c r="I395" s="27"/>
      <c r="J395" s="27">
        <f t="shared" si="89"/>
        <v>407232</v>
      </c>
      <c r="K395" s="27">
        <f t="shared" si="90"/>
        <v>122984.064</v>
      </c>
      <c r="L395" s="27">
        <f t="shared" si="91"/>
        <v>530216.06400000001</v>
      </c>
    </row>
    <row r="396" spans="1:12" x14ac:dyDescent="0.3">
      <c r="A396" s="19"/>
      <c r="B396" s="29" t="s">
        <v>52</v>
      </c>
      <c r="C396" s="35"/>
      <c r="D396" s="35"/>
      <c r="E396" s="35"/>
      <c r="F396" s="35"/>
      <c r="G396" s="27">
        <f>'расчёт зарплаты'!K380</f>
        <v>0</v>
      </c>
      <c r="H396" s="27">
        <f>E396*G396*12+ ((D396-E396)*G396/2*12)</f>
        <v>0</v>
      </c>
      <c r="I396" s="35"/>
      <c r="J396" s="27">
        <f t="shared" si="89"/>
        <v>0</v>
      </c>
      <c r="K396" s="27">
        <f t="shared" si="90"/>
        <v>0</v>
      </c>
      <c r="L396" s="27">
        <f t="shared" si="91"/>
        <v>0</v>
      </c>
    </row>
    <row r="397" spans="1:12" x14ac:dyDescent="0.3">
      <c r="A397" s="28"/>
      <c r="B397" s="76" t="s">
        <v>86</v>
      </c>
      <c r="C397" s="77"/>
      <c r="D397" s="77"/>
      <c r="E397" s="77"/>
      <c r="F397" s="77"/>
      <c r="G397" s="77"/>
      <c r="H397" s="77"/>
      <c r="I397" s="77"/>
      <c r="J397" s="77"/>
      <c r="K397" s="77"/>
      <c r="L397" s="78"/>
    </row>
    <row r="398" spans="1:12" x14ac:dyDescent="0.3">
      <c r="A398" s="71" t="s">
        <v>68</v>
      </c>
      <c r="B398" s="72"/>
      <c r="C398" s="30">
        <f>C399+C415+C411</f>
        <v>56.75</v>
      </c>
      <c r="D398" s="30">
        <f>D399+D415+D411</f>
        <v>49.25</v>
      </c>
      <c r="E398" s="30">
        <f>E399+E415+E411</f>
        <v>43</v>
      </c>
      <c r="F398" s="30">
        <f>F399+F415+F411</f>
        <v>40</v>
      </c>
      <c r="G398" s="27"/>
      <c r="H398" s="27"/>
      <c r="I398" s="27"/>
      <c r="J398" s="27"/>
      <c r="K398" s="27"/>
      <c r="L398" s="27"/>
    </row>
    <row r="399" spans="1:12" x14ac:dyDescent="0.3">
      <c r="A399" s="71" t="s">
        <v>69</v>
      </c>
      <c r="B399" s="72"/>
      <c r="C399" s="30">
        <f>SUM(C400:C410)</f>
        <v>40</v>
      </c>
      <c r="D399" s="30">
        <f>SUM(D400:D410)</f>
        <v>34</v>
      </c>
      <c r="E399" s="30">
        <f>SUM(E400:E410)</f>
        <v>31.5</v>
      </c>
      <c r="F399" s="30">
        <f>SUM(F400:F410)</f>
        <v>29</v>
      </c>
      <c r="G399" s="30"/>
      <c r="H399" s="31">
        <f>SUM(H400:H410)</f>
        <v>13305210.24</v>
      </c>
      <c r="I399" s="32"/>
      <c r="J399" s="32">
        <f>H399-I399</f>
        <v>13305210.24</v>
      </c>
      <c r="K399" s="32">
        <f>J399*30.2%</f>
        <v>4018173.49248</v>
      </c>
      <c r="L399" s="32">
        <f>J399+K399</f>
        <v>17323383.732480001</v>
      </c>
    </row>
    <row r="400" spans="1:12" x14ac:dyDescent="0.3">
      <c r="A400" s="7"/>
      <c r="B400" s="9" t="s">
        <v>11</v>
      </c>
      <c r="C400" s="26">
        <v>23</v>
      </c>
      <c r="D400" s="26">
        <v>18</v>
      </c>
      <c r="E400" s="26">
        <v>17</v>
      </c>
      <c r="F400" s="26">
        <v>16</v>
      </c>
      <c r="G400" s="27">
        <f>'расчёт зарплаты'!K10</f>
        <v>33128</v>
      </c>
      <c r="H400" s="27">
        <f>E400*G400*12+ ((D400-E400)*G400/2*12)</f>
        <v>6956880</v>
      </c>
      <c r="I400" s="27"/>
      <c r="J400" s="27">
        <f t="shared" ref="J400:J414" si="92">H400</f>
        <v>6956880</v>
      </c>
      <c r="K400" s="27">
        <f t="shared" ref="K400:K414" si="93">J400*30.2%</f>
        <v>2100977.7599999998</v>
      </c>
      <c r="L400" s="27">
        <f t="shared" ref="L400:L414" si="94">J400+K400</f>
        <v>9057857.7599999998</v>
      </c>
    </row>
    <row r="401" spans="1:12" x14ac:dyDescent="0.3">
      <c r="A401" s="7"/>
      <c r="B401" s="9" t="s">
        <v>13</v>
      </c>
      <c r="C401" s="26"/>
      <c r="D401" s="26"/>
      <c r="E401" s="26"/>
      <c r="F401" s="26"/>
      <c r="G401" s="27">
        <f>'расчёт зарплаты'!K410</f>
        <v>0</v>
      </c>
      <c r="H401" s="27">
        <f t="shared" ref="H401:H410" si="95">E401*G401*12+ ((D401-E401)*G401/2*12)</f>
        <v>0</v>
      </c>
      <c r="I401" s="27"/>
      <c r="J401" s="27">
        <f t="shared" si="92"/>
        <v>0</v>
      </c>
      <c r="K401" s="27">
        <f t="shared" si="93"/>
        <v>0</v>
      </c>
      <c r="L401" s="27">
        <f t="shared" si="94"/>
        <v>0</v>
      </c>
    </row>
    <row r="402" spans="1:12" x14ac:dyDescent="0.3">
      <c r="A402" s="7"/>
      <c r="B402" s="9" t="s">
        <v>17</v>
      </c>
      <c r="C402" s="26">
        <v>4</v>
      </c>
      <c r="D402" s="26">
        <v>4</v>
      </c>
      <c r="E402" s="26">
        <v>2</v>
      </c>
      <c r="F402" s="26">
        <v>2</v>
      </c>
      <c r="G402" s="27">
        <f>'расчёт зарплаты'!K39</f>
        <v>33936</v>
      </c>
      <c r="H402" s="27">
        <f t="shared" si="95"/>
        <v>1221696</v>
      </c>
      <c r="I402" s="27"/>
      <c r="J402" s="27">
        <f t="shared" si="92"/>
        <v>1221696</v>
      </c>
      <c r="K402" s="27">
        <f t="shared" si="93"/>
        <v>368952.19199999998</v>
      </c>
      <c r="L402" s="27">
        <f t="shared" si="94"/>
        <v>1590648.192</v>
      </c>
    </row>
    <row r="403" spans="1:12" ht="28.2" x14ac:dyDescent="0.3">
      <c r="A403" s="7"/>
      <c r="B403" s="9" t="s">
        <v>20</v>
      </c>
      <c r="C403" s="26"/>
      <c r="D403" s="26"/>
      <c r="E403" s="26"/>
      <c r="F403" s="26"/>
      <c r="G403" s="27"/>
      <c r="H403" s="27">
        <f t="shared" si="95"/>
        <v>0</v>
      </c>
      <c r="I403" s="27"/>
      <c r="J403" s="27">
        <f t="shared" si="92"/>
        <v>0</v>
      </c>
      <c r="K403" s="27">
        <f t="shared" si="93"/>
        <v>0</v>
      </c>
      <c r="L403" s="27">
        <f t="shared" si="94"/>
        <v>0</v>
      </c>
    </row>
    <row r="404" spans="1:12" x14ac:dyDescent="0.3">
      <c r="A404" s="7"/>
      <c r="B404" s="9" t="s">
        <v>21</v>
      </c>
      <c r="C404" s="26">
        <v>5</v>
      </c>
      <c r="D404" s="26">
        <v>4</v>
      </c>
      <c r="E404" s="26">
        <v>4.5</v>
      </c>
      <c r="F404" s="26">
        <v>4</v>
      </c>
      <c r="G404" s="27">
        <f>'расчёт зарплаты'!K35</f>
        <v>36256</v>
      </c>
      <c r="H404" s="27">
        <f t="shared" si="95"/>
        <v>1849056</v>
      </c>
      <c r="I404" s="27"/>
      <c r="J404" s="27">
        <f t="shared" si="92"/>
        <v>1849056</v>
      </c>
      <c r="K404" s="27">
        <f t="shared" si="93"/>
        <v>558414.91200000001</v>
      </c>
      <c r="L404" s="27">
        <f t="shared" si="94"/>
        <v>2407470.912</v>
      </c>
    </row>
    <row r="405" spans="1:12" x14ac:dyDescent="0.3">
      <c r="A405" s="7"/>
      <c r="B405" s="9" t="s">
        <v>24</v>
      </c>
      <c r="C405" s="26">
        <v>6</v>
      </c>
      <c r="D405" s="26">
        <v>6</v>
      </c>
      <c r="E405" s="26">
        <v>6</v>
      </c>
      <c r="F405" s="26">
        <v>6</v>
      </c>
      <c r="G405" s="27">
        <f>'расчёт зарплаты'!K8</f>
        <v>33865.919999999998</v>
      </c>
      <c r="H405" s="27">
        <f t="shared" si="95"/>
        <v>2438346.2399999998</v>
      </c>
      <c r="I405" s="27"/>
      <c r="J405" s="27">
        <f t="shared" si="92"/>
        <v>2438346.2399999998</v>
      </c>
      <c r="K405" s="27">
        <f t="shared" si="93"/>
        <v>736380.56447999994</v>
      </c>
      <c r="L405" s="27">
        <f t="shared" si="94"/>
        <v>3174726.8044799995</v>
      </c>
    </row>
    <row r="406" spans="1:12" ht="42" x14ac:dyDescent="0.3">
      <c r="A406" s="7"/>
      <c r="B406" s="9" t="s">
        <v>25</v>
      </c>
      <c r="C406" s="26">
        <v>1</v>
      </c>
      <c r="D406" s="26">
        <v>1</v>
      </c>
      <c r="E406" s="26">
        <v>1</v>
      </c>
      <c r="F406" s="26">
        <v>0</v>
      </c>
      <c r="G406" s="27">
        <f>'расчёт зарплаты'!K10</f>
        <v>33128</v>
      </c>
      <c r="H406" s="27">
        <f t="shared" si="95"/>
        <v>397536</v>
      </c>
      <c r="I406" s="27"/>
      <c r="J406" s="27">
        <f t="shared" si="92"/>
        <v>397536</v>
      </c>
      <c r="K406" s="27">
        <f t="shared" si="93"/>
        <v>120055.872</v>
      </c>
      <c r="L406" s="27">
        <f t="shared" si="94"/>
        <v>517591.87199999997</v>
      </c>
    </row>
    <row r="407" spans="1:12" ht="28.2" x14ac:dyDescent="0.3">
      <c r="A407" s="7"/>
      <c r="B407" s="9" t="s">
        <v>26</v>
      </c>
      <c r="C407" s="26">
        <v>1</v>
      </c>
      <c r="D407" s="26">
        <v>1</v>
      </c>
      <c r="E407" s="26">
        <v>1</v>
      </c>
      <c r="F407" s="26">
        <v>1</v>
      </c>
      <c r="G407" s="27">
        <f>'расчёт зарплаты'!K20</f>
        <v>36808</v>
      </c>
      <c r="H407" s="27">
        <f t="shared" si="95"/>
        <v>441696</v>
      </c>
      <c r="I407" s="27"/>
      <c r="J407" s="27">
        <f t="shared" si="92"/>
        <v>441696</v>
      </c>
      <c r="K407" s="27">
        <f t="shared" si="93"/>
        <v>133392.19200000001</v>
      </c>
      <c r="L407" s="27">
        <f t="shared" si="94"/>
        <v>575088.19200000004</v>
      </c>
    </row>
    <row r="408" spans="1:12" ht="42" x14ac:dyDescent="0.3">
      <c r="A408" s="7"/>
      <c r="B408" s="9" t="s">
        <v>70</v>
      </c>
      <c r="C408" s="26"/>
      <c r="D408" s="26"/>
      <c r="E408" s="26"/>
      <c r="F408" s="26"/>
      <c r="G408" s="27">
        <f>'расчёт зарплаты'!K400</f>
        <v>0</v>
      </c>
      <c r="H408" s="27">
        <f t="shared" si="95"/>
        <v>0</v>
      </c>
      <c r="I408" s="27"/>
      <c r="J408" s="27">
        <f t="shared" si="92"/>
        <v>0</v>
      </c>
      <c r="K408" s="27">
        <f t="shared" si="93"/>
        <v>0</v>
      </c>
      <c r="L408" s="27">
        <f t="shared" si="94"/>
        <v>0</v>
      </c>
    </row>
    <row r="409" spans="1:12" x14ac:dyDescent="0.3">
      <c r="A409" s="7"/>
      <c r="B409" s="9" t="s">
        <v>30</v>
      </c>
      <c r="C409" s="26"/>
      <c r="D409" s="26"/>
      <c r="E409" s="26"/>
      <c r="F409" s="26"/>
      <c r="G409" s="27">
        <f>'расчёт зарплаты'!K425</f>
        <v>0</v>
      </c>
      <c r="H409" s="27">
        <f t="shared" si="95"/>
        <v>0</v>
      </c>
      <c r="I409" s="27"/>
      <c r="J409" s="27">
        <f t="shared" si="92"/>
        <v>0</v>
      </c>
      <c r="K409" s="27">
        <f t="shared" si="93"/>
        <v>0</v>
      </c>
      <c r="L409" s="27">
        <f t="shared" si="94"/>
        <v>0</v>
      </c>
    </row>
    <row r="410" spans="1:12" ht="39.6" x14ac:dyDescent="0.3">
      <c r="A410" s="7"/>
      <c r="B410" s="22" t="s">
        <v>31</v>
      </c>
      <c r="C410" s="26"/>
      <c r="D410" s="26"/>
      <c r="E410" s="26"/>
      <c r="F410" s="26"/>
      <c r="G410" s="27">
        <f>'расчёт зарплаты'!K435</f>
        <v>0</v>
      </c>
      <c r="H410" s="27">
        <f t="shared" si="95"/>
        <v>0</v>
      </c>
      <c r="I410" s="27"/>
      <c r="J410" s="27">
        <f t="shared" si="92"/>
        <v>0</v>
      </c>
      <c r="K410" s="27">
        <f t="shared" si="93"/>
        <v>0</v>
      </c>
      <c r="L410" s="27">
        <f t="shared" si="94"/>
        <v>0</v>
      </c>
    </row>
    <row r="411" spans="1:12" x14ac:dyDescent="0.3">
      <c r="A411" s="23" t="s">
        <v>63</v>
      </c>
      <c r="B411" s="24"/>
      <c r="C411" s="33">
        <f>C412+C413+C414</f>
        <v>7</v>
      </c>
      <c r="D411" s="33">
        <f>D412+D413+D414</f>
        <v>7</v>
      </c>
      <c r="E411" s="33">
        <f>E412+E413+E414</f>
        <v>4</v>
      </c>
      <c r="F411" s="33">
        <f>F412+F413+F414</f>
        <v>4</v>
      </c>
      <c r="G411" s="33"/>
      <c r="H411" s="34">
        <f>H412+H413+H414</f>
        <v>2158863.84</v>
      </c>
      <c r="I411" s="34">
        <f>I412+I413+I414</f>
        <v>0</v>
      </c>
      <c r="J411" s="34">
        <f>J412+J413+J414</f>
        <v>2158863.84</v>
      </c>
      <c r="K411" s="34">
        <f>K412+K413+K414</f>
        <v>651976.87968000001</v>
      </c>
      <c r="L411" s="34">
        <f>L412+L413+L414</f>
        <v>2810840.7196799996</v>
      </c>
    </row>
    <row r="412" spans="1:12" x14ac:dyDescent="0.3">
      <c r="A412" s="7"/>
      <c r="B412" s="9" t="s">
        <v>14</v>
      </c>
      <c r="C412" s="26">
        <v>2.5</v>
      </c>
      <c r="D412" s="26">
        <v>1.5</v>
      </c>
      <c r="E412" s="26">
        <v>1</v>
      </c>
      <c r="F412" s="26">
        <v>1</v>
      </c>
      <c r="G412" s="27">
        <f>'расчёт зарплаты'!K26</f>
        <v>32326.559999999998</v>
      </c>
      <c r="H412" s="27">
        <f>E412*G412*12+ ((D412-E412)*G412/2*12)</f>
        <v>484898.39999999997</v>
      </c>
      <c r="I412" s="27"/>
      <c r="J412" s="27">
        <f t="shared" si="92"/>
        <v>484898.39999999997</v>
      </c>
      <c r="K412" s="27">
        <f t="shared" si="93"/>
        <v>146439.31679999997</v>
      </c>
      <c r="L412" s="27">
        <f t="shared" si="94"/>
        <v>631337.71679999994</v>
      </c>
    </row>
    <row r="413" spans="1:12" x14ac:dyDescent="0.3">
      <c r="A413" s="7"/>
      <c r="B413" s="9" t="s">
        <v>16</v>
      </c>
      <c r="C413" s="26">
        <v>2</v>
      </c>
      <c r="D413" s="26">
        <v>2</v>
      </c>
      <c r="E413" s="26">
        <v>2</v>
      </c>
      <c r="F413" s="26">
        <v>2</v>
      </c>
      <c r="G413" s="27">
        <f>'расчёт зарплаты'!K26</f>
        <v>32326.559999999998</v>
      </c>
      <c r="H413" s="27">
        <f>E413*G413*12+ ((D413-E413)*G413/2*12)</f>
        <v>775837.44</v>
      </c>
      <c r="I413" s="27"/>
      <c r="J413" s="27">
        <f t="shared" si="92"/>
        <v>775837.44</v>
      </c>
      <c r="K413" s="27">
        <f t="shared" si="93"/>
        <v>234302.90687999997</v>
      </c>
      <c r="L413" s="27">
        <f t="shared" si="94"/>
        <v>1010140.3468799999</v>
      </c>
    </row>
    <row r="414" spans="1:12" ht="28.2" x14ac:dyDescent="0.3">
      <c r="A414" s="7"/>
      <c r="B414" s="9" t="s">
        <v>71</v>
      </c>
      <c r="C414" s="26">
        <v>2.5</v>
      </c>
      <c r="D414" s="26">
        <v>3.5</v>
      </c>
      <c r="E414" s="26">
        <v>1</v>
      </c>
      <c r="F414" s="26">
        <v>1</v>
      </c>
      <c r="G414" s="27">
        <f>'расчёт зарплаты'!K41</f>
        <v>33264</v>
      </c>
      <c r="H414" s="27">
        <f>E414*G414*12+ ((D414-E414)*G414/2*12)</f>
        <v>898128</v>
      </c>
      <c r="I414" s="27"/>
      <c r="J414" s="27">
        <f t="shared" si="92"/>
        <v>898128</v>
      </c>
      <c r="K414" s="27">
        <f t="shared" si="93"/>
        <v>271234.65600000002</v>
      </c>
      <c r="L414" s="27">
        <f t="shared" si="94"/>
        <v>1169362.656</v>
      </c>
    </row>
    <row r="415" spans="1:12" x14ac:dyDescent="0.3">
      <c r="A415" s="69" t="s">
        <v>73</v>
      </c>
      <c r="B415" s="69"/>
      <c r="C415" s="30">
        <f>C416+C422</f>
        <v>9.75</v>
      </c>
      <c r="D415" s="30">
        <f>D416+D422</f>
        <v>8.25</v>
      </c>
      <c r="E415" s="30">
        <f>E416+E422</f>
        <v>7.5</v>
      </c>
      <c r="F415" s="30">
        <f>F416+F422</f>
        <v>7</v>
      </c>
      <c r="G415" s="27"/>
      <c r="H415" s="32">
        <f>J415</f>
        <v>3157871.76</v>
      </c>
      <c r="I415" s="27"/>
      <c r="J415" s="32">
        <f>J416+J422</f>
        <v>3157871.76</v>
      </c>
      <c r="K415" s="32">
        <f>K416+K422</f>
        <v>953677.27151999995</v>
      </c>
      <c r="L415" s="32">
        <f>L416+L422</f>
        <v>4111549.0315199997</v>
      </c>
    </row>
    <row r="416" spans="1:12" x14ac:dyDescent="0.3">
      <c r="A416" s="69" t="s">
        <v>35</v>
      </c>
      <c r="B416" s="69"/>
      <c r="C416" s="30">
        <f>C417+C418+C419+C420+C421</f>
        <v>5.75</v>
      </c>
      <c r="D416" s="30">
        <f>D417+D418+D419+D420+D421</f>
        <v>4.75</v>
      </c>
      <c r="E416" s="30">
        <f>E417+E418+E419+E420+E421</f>
        <v>5</v>
      </c>
      <c r="F416" s="30">
        <f>F417+F418+F419+F420+F421</f>
        <v>4</v>
      </c>
      <c r="G416" s="32"/>
      <c r="H416" s="32">
        <f>H417+H418+H420+H421+H419</f>
        <v>1891103.7599999998</v>
      </c>
      <c r="I416" s="32"/>
      <c r="J416" s="32">
        <f>H416</f>
        <v>1891103.7599999998</v>
      </c>
      <c r="K416" s="32">
        <f>J416*30.2%</f>
        <v>571113.33551999996</v>
      </c>
      <c r="L416" s="32">
        <f>J416+K416</f>
        <v>2462217.09552</v>
      </c>
    </row>
    <row r="417" spans="1:12" x14ac:dyDescent="0.3">
      <c r="A417" s="7"/>
      <c r="B417" s="9" t="s">
        <v>36</v>
      </c>
      <c r="C417" s="26"/>
      <c r="D417" s="26"/>
      <c r="E417" s="26"/>
      <c r="F417" s="26"/>
      <c r="G417" s="27">
        <f>'расчёт зарплаты'!K404</f>
        <v>0</v>
      </c>
      <c r="H417" s="27">
        <f>E417*G417*12+ ((D417-E417)*G417/2*12)</f>
        <v>0</v>
      </c>
      <c r="I417" s="27"/>
      <c r="J417" s="27">
        <f t="shared" ref="J417:J426" si="96">H417</f>
        <v>0</v>
      </c>
      <c r="K417" s="27">
        <f t="shared" ref="K417:K426" si="97">J417*30.2%</f>
        <v>0</v>
      </c>
      <c r="L417" s="27">
        <f t="shared" ref="L417:L426" si="98">J417+K417</f>
        <v>0</v>
      </c>
    </row>
    <row r="418" spans="1:12" x14ac:dyDescent="0.3">
      <c r="A418" s="7"/>
      <c r="B418" s="9" t="s">
        <v>23</v>
      </c>
      <c r="C418" s="26"/>
      <c r="D418" s="26"/>
      <c r="E418" s="26"/>
      <c r="F418" s="26"/>
      <c r="G418" s="27">
        <f>'расчёт зарплаты'!K408</f>
        <v>0</v>
      </c>
      <c r="H418" s="27">
        <f>E418*G418*12+ ((D418-E418)*G418/2*12)</f>
        <v>0</v>
      </c>
      <c r="I418" s="27"/>
      <c r="J418" s="27">
        <f t="shared" si="96"/>
        <v>0</v>
      </c>
      <c r="K418" s="27">
        <f t="shared" si="97"/>
        <v>0</v>
      </c>
      <c r="L418" s="27">
        <f t="shared" si="98"/>
        <v>0</v>
      </c>
    </row>
    <row r="419" spans="1:12" x14ac:dyDescent="0.3">
      <c r="A419" s="7"/>
      <c r="B419" s="25" t="s">
        <v>54</v>
      </c>
      <c r="C419" s="26"/>
      <c r="D419" s="26"/>
      <c r="E419" s="26"/>
      <c r="F419" s="26"/>
      <c r="G419" s="27">
        <f>'расчёт зарплаты'!K427</f>
        <v>0</v>
      </c>
      <c r="H419" s="27">
        <f>E419*G419*12+ ((D419-E419)*G419/2*12)</f>
        <v>0</v>
      </c>
      <c r="I419" s="27"/>
      <c r="J419" s="27">
        <f t="shared" si="96"/>
        <v>0</v>
      </c>
      <c r="K419" s="27">
        <f t="shared" si="97"/>
        <v>0</v>
      </c>
      <c r="L419" s="27">
        <f t="shared" si="98"/>
        <v>0</v>
      </c>
    </row>
    <row r="420" spans="1:12" ht="28.2" x14ac:dyDescent="0.3">
      <c r="A420" s="7"/>
      <c r="B420" s="9" t="s">
        <v>40</v>
      </c>
      <c r="C420" s="26">
        <v>2.5</v>
      </c>
      <c r="D420" s="26">
        <v>2</v>
      </c>
      <c r="E420" s="26">
        <v>2</v>
      </c>
      <c r="F420" s="26">
        <v>1</v>
      </c>
      <c r="G420" s="27">
        <f>'расчёт зарплаты'!K26</f>
        <v>32326.559999999998</v>
      </c>
      <c r="H420" s="27">
        <f>E420*G420*12+ ((D420-E420)*G420/2*12)</f>
        <v>775837.44</v>
      </c>
      <c r="I420" s="27"/>
      <c r="J420" s="27">
        <f t="shared" si="96"/>
        <v>775837.44</v>
      </c>
      <c r="K420" s="27">
        <f t="shared" si="97"/>
        <v>234302.90687999997</v>
      </c>
      <c r="L420" s="27">
        <f t="shared" si="98"/>
        <v>1010140.3468799999</v>
      </c>
    </row>
    <row r="421" spans="1:12" x14ac:dyDescent="0.3">
      <c r="A421" s="7"/>
      <c r="B421" s="9" t="s">
        <v>41</v>
      </c>
      <c r="C421" s="26">
        <v>3.25</v>
      </c>
      <c r="D421" s="26">
        <v>2.75</v>
      </c>
      <c r="E421" s="26">
        <v>3</v>
      </c>
      <c r="F421" s="26">
        <v>3</v>
      </c>
      <c r="G421" s="27">
        <f>'расчёт зарплаты'!K26</f>
        <v>32326.559999999998</v>
      </c>
      <c r="H421" s="27">
        <f>E421*G421*12+ ((D421-E421)*G421/2*12)</f>
        <v>1115266.3199999998</v>
      </c>
      <c r="I421" s="27"/>
      <c r="J421" s="27">
        <f t="shared" si="96"/>
        <v>1115266.3199999998</v>
      </c>
      <c r="K421" s="27">
        <f t="shared" si="97"/>
        <v>336810.42863999994</v>
      </c>
      <c r="L421" s="27">
        <f t="shared" si="98"/>
        <v>1452076.7486399999</v>
      </c>
    </row>
    <row r="422" spans="1:12" x14ac:dyDescent="0.3">
      <c r="A422" s="69" t="s">
        <v>43</v>
      </c>
      <c r="B422" s="69"/>
      <c r="C422" s="30">
        <f>C423+C424+C425+C426</f>
        <v>4</v>
      </c>
      <c r="D422" s="30">
        <f>D423+D424+D425+D426</f>
        <v>3.5</v>
      </c>
      <c r="E422" s="30">
        <f>E423+E424+E425+E426</f>
        <v>2.5</v>
      </c>
      <c r="F422" s="30">
        <f>F423+F424+F425+F426</f>
        <v>3</v>
      </c>
      <c r="G422" s="32"/>
      <c r="H422" s="32">
        <f>H423+H424+H425+H426</f>
        <v>1266768</v>
      </c>
      <c r="I422" s="32"/>
      <c r="J422" s="32">
        <f>H422</f>
        <v>1266768</v>
      </c>
      <c r="K422" s="32">
        <f>J422*30.2%</f>
        <v>382563.93599999999</v>
      </c>
      <c r="L422" s="32">
        <f>J422+K422</f>
        <v>1649331.936</v>
      </c>
    </row>
    <row r="423" spans="1:12" x14ac:dyDescent="0.3">
      <c r="A423" s="7"/>
      <c r="B423" s="9" t="s">
        <v>44</v>
      </c>
      <c r="C423" s="26">
        <v>1</v>
      </c>
      <c r="D423" s="26">
        <v>1</v>
      </c>
      <c r="E423" s="26">
        <v>1</v>
      </c>
      <c r="F423" s="26">
        <v>1</v>
      </c>
      <c r="G423" s="27">
        <f>'расчёт зарплаты'!K35</f>
        <v>36256</v>
      </c>
      <c r="H423" s="27">
        <f>E423*G423*12+ ((D423-E423)*G423/2*12)</f>
        <v>435072</v>
      </c>
      <c r="I423" s="27"/>
      <c r="J423" s="27">
        <f t="shared" si="96"/>
        <v>435072</v>
      </c>
      <c r="K423" s="27">
        <f t="shared" si="97"/>
        <v>131391.74400000001</v>
      </c>
      <c r="L423" s="27">
        <f t="shared" si="98"/>
        <v>566463.74399999995</v>
      </c>
    </row>
    <row r="424" spans="1:12" x14ac:dyDescent="0.3">
      <c r="A424" s="7"/>
      <c r="B424" s="9" t="s">
        <v>46</v>
      </c>
      <c r="C424" s="26"/>
      <c r="D424" s="26"/>
      <c r="E424" s="26"/>
      <c r="F424" s="26"/>
      <c r="G424" s="27">
        <f>'расчёт зарплаты'!K429</f>
        <v>0</v>
      </c>
      <c r="H424" s="27">
        <f>E424*G424*12+ ((D424-E424)*G424/2*12)</f>
        <v>0</v>
      </c>
      <c r="I424" s="27"/>
      <c r="J424" s="27">
        <f t="shared" si="96"/>
        <v>0</v>
      </c>
      <c r="K424" s="27">
        <f t="shared" si="97"/>
        <v>0</v>
      </c>
      <c r="L424" s="27">
        <f t="shared" si="98"/>
        <v>0</v>
      </c>
    </row>
    <row r="425" spans="1:12" x14ac:dyDescent="0.3">
      <c r="A425" s="7"/>
      <c r="B425" s="9" t="s">
        <v>47</v>
      </c>
      <c r="C425" s="26">
        <v>2.5</v>
      </c>
      <c r="D425" s="26">
        <v>2</v>
      </c>
      <c r="E425" s="26">
        <v>1</v>
      </c>
      <c r="F425" s="26">
        <v>1</v>
      </c>
      <c r="G425" s="27">
        <f>'расчёт зарплаты'!K39</f>
        <v>33936</v>
      </c>
      <c r="H425" s="27">
        <f>E425*G425*12+ ((D425-E425)*G425/2*12)</f>
        <v>610848</v>
      </c>
      <c r="I425" s="27"/>
      <c r="J425" s="27">
        <f t="shared" si="96"/>
        <v>610848</v>
      </c>
      <c r="K425" s="27">
        <f t="shared" si="97"/>
        <v>184476.09599999999</v>
      </c>
      <c r="L425" s="27">
        <f t="shared" si="98"/>
        <v>795324.09600000002</v>
      </c>
    </row>
    <row r="426" spans="1:12" x14ac:dyDescent="0.3">
      <c r="A426" s="19"/>
      <c r="B426" s="29" t="s">
        <v>52</v>
      </c>
      <c r="C426" s="35">
        <v>0.5</v>
      </c>
      <c r="D426" s="35">
        <v>0.5</v>
      </c>
      <c r="E426" s="35">
        <v>0.5</v>
      </c>
      <c r="F426" s="35">
        <v>1</v>
      </c>
      <c r="G426" s="27">
        <f>'расчёт зарплаты'!K20</f>
        <v>36808</v>
      </c>
      <c r="H426" s="27">
        <f>E426*G426*12+ ((D426-E426)*G426/2*12)</f>
        <v>220848</v>
      </c>
      <c r="I426" s="35"/>
      <c r="J426" s="27">
        <f t="shared" si="96"/>
        <v>220848</v>
      </c>
      <c r="K426" s="27">
        <f t="shared" si="97"/>
        <v>66696.096000000005</v>
      </c>
      <c r="L426" s="27">
        <f t="shared" si="98"/>
        <v>287544.09600000002</v>
      </c>
    </row>
    <row r="427" spans="1:12" x14ac:dyDescent="0.3">
      <c r="A427" s="28"/>
      <c r="B427" s="76" t="s">
        <v>87</v>
      </c>
      <c r="C427" s="77"/>
      <c r="D427" s="77"/>
      <c r="E427" s="77"/>
      <c r="F427" s="77"/>
      <c r="G427" s="77"/>
      <c r="H427" s="77"/>
      <c r="I427" s="77"/>
      <c r="J427" s="77"/>
      <c r="K427" s="77"/>
      <c r="L427" s="78"/>
    </row>
    <row r="428" spans="1:12" x14ac:dyDescent="0.3">
      <c r="A428" s="71" t="s">
        <v>68</v>
      </c>
      <c r="B428" s="72"/>
      <c r="C428" s="30">
        <f>C429+C445+C441</f>
        <v>44</v>
      </c>
      <c r="D428" s="30">
        <f>D429+D445+D441</f>
        <v>43</v>
      </c>
      <c r="E428" s="30">
        <f>E429+E445+E441</f>
        <v>41.4</v>
      </c>
      <c r="F428" s="30">
        <f>F429+F445+F441</f>
        <v>38</v>
      </c>
      <c r="G428" s="27"/>
      <c r="H428" s="27"/>
      <c r="I428" s="27"/>
      <c r="J428" s="27"/>
      <c r="K428" s="27"/>
      <c r="L428" s="27"/>
    </row>
    <row r="429" spans="1:12" x14ac:dyDescent="0.3">
      <c r="A429" s="71" t="s">
        <v>69</v>
      </c>
      <c r="B429" s="72"/>
      <c r="C429" s="30">
        <f>SUM(C430:C440)</f>
        <v>30.5</v>
      </c>
      <c r="D429" s="30">
        <f>SUM(D430:D440)</f>
        <v>30</v>
      </c>
      <c r="E429" s="30">
        <f>SUM(E430:E440)</f>
        <v>30.4</v>
      </c>
      <c r="F429" s="30">
        <f>SUM(F430:F440)</f>
        <v>28</v>
      </c>
      <c r="G429" s="30"/>
      <c r="H429" s="31">
        <f>SUM(H430:H440)</f>
        <v>12282109.439999999</v>
      </c>
      <c r="I429" s="32"/>
      <c r="J429" s="32">
        <f>H429-I429</f>
        <v>12282109.439999999</v>
      </c>
      <c r="K429" s="32">
        <f>J429*30.2%</f>
        <v>3709197.0508799995</v>
      </c>
      <c r="L429" s="32">
        <f>J429+K429</f>
        <v>15991306.490879999</v>
      </c>
    </row>
    <row r="430" spans="1:12" x14ac:dyDescent="0.3">
      <c r="A430" s="7"/>
      <c r="B430" s="9" t="s">
        <v>11</v>
      </c>
      <c r="C430" s="26">
        <v>15</v>
      </c>
      <c r="D430" s="26">
        <v>15</v>
      </c>
      <c r="E430" s="26">
        <v>15.4</v>
      </c>
      <c r="F430" s="26">
        <v>13</v>
      </c>
      <c r="G430" s="27">
        <f>'расчёт зарплаты'!K10</f>
        <v>33128</v>
      </c>
      <c r="H430" s="27">
        <f>E430*G430*12+ ((D430-E430)*G430/2*12)</f>
        <v>6042547.2000000002</v>
      </c>
      <c r="I430" s="27"/>
      <c r="J430" s="27">
        <f t="shared" ref="J430:J444" si="99">H430</f>
        <v>6042547.2000000002</v>
      </c>
      <c r="K430" s="27">
        <f t="shared" ref="K430:K444" si="100">J430*30.2%</f>
        <v>1824849.2544</v>
      </c>
      <c r="L430" s="27">
        <f t="shared" ref="L430:L444" si="101">J430+K430</f>
        <v>7867396.4544000002</v>
      </c>
    </row>
    <row r="431" spans="1:12" x14ac:dyDescent="0.3">
      <c r="A431" s="7"/>
      <c r="B431" s="9" t="s">
        <v>13</v>
      </c>
      <c r="C431" s="26"/>
      <c r="D431" s="26"/>
      <c r="E431" s="26"/>
      <c r="F431" s="26"/>
      <c r="G431" s="27">
        <f>'расчёт зарплаты'!K440</f>
        <v>0</v>
      </c>
      <c r="H431" s="27">
        <f t="shared" ref="H431:H440" si="102">E431*G431*12+ ((D431-E431)*G431/2*12)</f>
        <v>0</v>
      </c>
      <c r="I431" s="27"/>
      <c r="J431" s="27">
        <f t="shared" si="99"/>
        <v>0</v>
      </c>
      <c r="K431" s="27">
        <f t="shared" si="100"/>
        <v>0</v>
      </c>
      <c r="L431" s="27">
        <f t="shared" si="101"/>
        <v>0</v>
      </c>
    </row>
    <row r="432" spans="1:12" x14ac:dyDescent="0.3">
      <c r="A432" s="7"/>
      <c r="B432" s="9" t="s">
        <v>17</v>
      </c>
      <c r="C432" s="26">
        <v>3</v>
      </c>
      <c r="D432" s="26">
        <v>3</v>
      </c>
      <c r="E432" s="26">
        <v>3</v>
      </c>
      <c r="F432" s="26">
        <v>3</v>
      </c>
      <c r="G432" s="27">
        <f>'расчёт зарплаты'!K39</f>
        <v>33936</v>
      </c>
      <c r="H432" s="27">
        <f t="shared" si="102"/>
        <v>1221696</v>
      </c>
      <c r="I432" s="27"/>
      <c r="J432" s="27">
        <f t="shared" si="99"/>
        <v>1221696</v>
      </c>
      <c r="K432" s="27">
        <f t="shared" si="100"/>
        <v>368952.19199999998</v>
      </c>
      <c r="L432" s="27">
        <f t="shared" si="101"/>
        <v>1590648.192</v>
      </c>
    </row>
    <row r="433" spans="1:12" ht="28.2" x14ac:dyDescent="0.3">
      <c r="A433" s="7"/>
      <c r="B433" s="9" t="s">
        <v>20</v>
      </c>
      <c r="C433" s="26"/>
      <c r="D433" s="26"/>
      <c r="E433" s="26"/>
      <c r="F433" s="26"/>
      <c r="G433" s="27"/>
      <c r="H433" s="27">
        <f t="shared" si="102"/>
        <v>0</v>
      </c>
      <c r="I433" s="27"/>
      <c r="J433" s="27">
        <f t="shared" si="99"/>
        <v>0</v>
      </c>
      <c r="K433" s="27">
        <f t="shared" si="100"/>
        <v>0</v>
      </c>
      <c r="L433" s="27">
        <f t="shared" si="101"/>
        <v>0</v>
      </c>
    </row>
    <row r="434" spans="1:12" x14ac:dyDescent="0.3">
      <c r="A434" s="7"/>
      <c r="B434" s="9" t="s">
        <v>21</v>
      </c>
      <c r="C434" s="26">
        <v>4.5</v>
      </c>
      <c r="D434" s="26">
        <v>4</v>
      </c>
      <c r="E434" s="26">
        <v>4</v>
      </c>
      <c r="F434" s="26">
        <v>4</v>
      </c>
      <c r="G434" s="27">
        <f>'расчёт зарплаты'!K35</f>
        <v>36256</v>
      </c>
      <c r="H434" s="27">
        <f t="shared" si="102"/>
        <v>1740288</v>
      </c>
      <c r="I434" s="27"/>
      <c r="J434" s="27">
        <f t="shared" si="99"/>
        <v>1740288</v>
      </c>
      <c r="K434" s="27">
        <f t="shared" si="100"/>
        <v>525566.97600000002</v>
      </c>
      <c r="L434" s="27">
        <f t="shared" si="101"/>
        <v>2265854.9759999998</v>
      </c>
    </row>
    <row r="435" spans="1:12" x14ac:dyDescent="0.3">
      <c r="A435" s="7"/>
      <c r="B435" s="9" t="s">
        <v>24</v>
      </c>
      <c r="C435" s="26">
        <v>6</v>
      </c>
      <c r="D435" s="26">
        <v>6</v>
      </c>
      <c r="E435" s="26">
        <v>6</v>
      </c>
      <c r="F435" s="26">
        <v>6</v>
      </c>
      <c r="G435" s="27">
        <f>'расчёт зарплаты'!K8</f>
        <v>33865.919999999998</v>
      </c>
      <c r="H435" s="27">
        <f t="shared" si="102"/>
        <v>2438346.2399999998</v>
      </c>
      <c r="I435" s="27"/>
      <c r="J435" s="27">
        <f t="shared" si="99"/>
        <v>2438346.2399999998</v>
      </c>
      <c r="K435" s="27">
        <f t="shared" si="100"/>
        <v>736380.56447999994</v>
      </c>
      <c r="L435" s="27">
        <f t="shared" si="101"/>
        <v>3174726.8044799995</v>
      </c>
    </row>
    <row r="436" spans="1:12" ht="42" x14ac:dyDescent="0.3">
      <c r="A436" s="7"/>
      <c r="B436" s="9" t="s">
        <v>25</v>
      </c>
      <c r="C436" s="26">
        <v>1</v>
      </c>
      <c r="D436" s="26">
        <v>1</v>
      </c>
      <c r="E436" s="26">
        <v>1</v>
      </c>
      <c r="F436" s="26">
        <v>1</v>
      </c>
      <c r="G436" s="27">
        <f>'расчёт зарплаты'!K10</f>
        <v>33128</v>
      </c>
      <c r="H436" s="27">
        <f t="shared" si="102"/>
        <v>397536</v>
      </c>
      <c r="I436" s="27"/>
      <c r="J436" s="27">
        <f t="shared" si="99"/>
        <v>397536</v>
      </c>
      <c r="K436" s="27">
        <f t="shared" si="100"/>
        <v>120055.872</v>
      </c>
      <c r="L436" s="27">
        <f t="shared" si="101"/>
        <v>517591.87199999997</v>
      </c>
    </row>
    <row r="437" spans="1:12" ht="28.2" x14ac:dyDescent="0.3">
      <c r="A437" s="7"/>
      <c r="B437" s="9" t="s">
        <v>26</v>
      </c>
      <c r="C437" s="26">
        <v>1</v>
      </c>
      <c r="D437" s="26">
        <v>1</v>
      </c>
      <c r="E437" s="26">
        <v>1</v>
      </c>
      <c r="F437" s="26">
        <v>1</v>
      </c>
      <c r="G437" s="27">
        <f>'расчёт зарплаты'!K20</f>
        <v>36808</v>
      </c>
      <c r="H437" s="27">
        <f t="shared" si="102"/>
        <v>441696</v>
      </c>
      <c r="I437" s="27"/>
      <c r="J437" s="27">
        <f t="shared" si="99"/>
        <v>441696</v>
      </c>
      <c r="K437" s="27">
        <f t="shared" si="100"/>
        <v>133392.19200000001</v>
      </c>
      <c r="L437" s="27">
        <f t="shared" si="101"/>
        <v>575088.19200000004</v>
      </c>
    </row>
    <row r="438" spans="1:12" ht="42" x14ac:dyDescent="0.3">
      <c r="A438" s="7"/>
      <c r="B438" s="9" t="s">
        <v>70</v>
      </c>
      <c r="C438" s="26"/>
      <c r="D438" s="26"/>
      <c r="E438" s="26"/>
      <c r="F438" s="26"/>
      <c r="G438" s="27">
        <f>'расчёт зарплаты'!K430</f>
        <v>0</v>
      </c>
      <c r="H438" s="27">
        <f t="shared" si="102"/>
        <v>0</v>
      </c>
      <c r="I438" s="27"/>
      <c r="J438" s="27">
        <f t="shared" si="99"/>
        <v>0</v>
      </c>
      <c r="K438" s="27">
        <f t="shared" si="100"/>
        <v>0</v>
      </c>
      <c r="L438" s="27">
        <f t="shared" si="101"/>
        <v>0</v>
      </c>
    </row>
    <row r="439" spans="1:12" x14ac:dyDescent="0.3">
      <c r="A439" s="7"/>
      <c r="B439" s="9" t="s">
        <v>30</v>
      </c>
      <c r="C439" s="26"/>
      <c r="D439" s="26"/>
      <c r="E439" s="26"/>
      <c r="F439" s="26"/>
      <c r="G439" s="27">
        <f>'расчёт зарплаты'!K455</f>
        <v>0</v>
      </c>
      <c r="H439" s="27">
        <f t="shared" si="102"/>
        <v>0</v>
      </c>
      <c r="I439" s="27"/>
      <c r="J439" s="27">
        <f t="shared" si="99"/>
        <v>0</v>
      </c>
      <c r="K439" s="27">
        <f t="shared" si="100"/>
        <v>0</v>
      </c>
      <c r="L439" s="27">
        <f t="shared" si="101"/>
        <v>0</v>
      </c>
    </row>
    <row r="440" spans="1:12" ht="39.6" x14ac:dyDescent="0.3">
      <c r="A440" s="7"/>
      <c r="B440" s="22" t="s">
        <v>31</v>
      </c>
      <c r="C440" s="26"/>
      <c r="D440" s="26"/>
      <c r="E440" s="26"/>
      <c r="F440" s="26"/>
      <c r="G440" s="27">
        <f>'расчёт зарплаты'!K465</f>
        <v>0</v>
      </c>
      <c r="H440" s="27">
        <f t="shared" si="102"/>
        <v>0</v>
      </c>
      <c r="I440" s="27"/>
      <c r="J440" s="27">
        <f t="shared" si="99"/>
        <v>0</v>
      </c>
      <c r="K440" s="27">
        <f t="shared" si="100"/>
        <v>0</v>
      </c>
      <c r="L440" s="27">
        <f t="shared" si="101"/>
        <v>0</v>
      </c>
    </row>
    <row r="441" spans="1:12" x14ac:dyDescent="0.3">
      <c r="A441" s="23" t="s">
        <v>63</v>
      </c>
      <c r="B441" s="24"/>
      <c r="C441" s="33">
        <f>C442+C443+C444</f>
        <v>6.75</v>
      </c>
      <c r="D441" s="33">
        <f>D442+D443+D444</f>
        <v>6.25</v>
      </c>
      <c r="E441" s="33">
        <f>E442+E443+E444</f>
        <v>5</v>
      </c>
      <c r="F441" s="33">
        <f>F442+F443+F444</f>
        <v>4</v>
      </c>
      <c r="G441" s="33"/>
      <c r="H441" s="34">
        <f>H442+H443+H444</f>
        <v>2211572.16</v>
      </c>
      <c r="I441" s="34">
        <f>I442+I443+I444</f>
        <v>0</v>
      </c>
      <c r="J441" s="34">
        <f>J442+J443+J444</f>
        <v>2211572.16</v>
      </c>
      <c r="K441" s="34">
        <f>K442+K443+K444</f>
        <v>667894.79232000001</v>
      </c>
      <c r="L441" s="34">
        <f>L442+L443+L444</f>
        <v>2879466.9523199997</v>
      </c>
    </row>
    <row r="442" spans="1:12" x14ac:dyDescent="0.3">
      <c r="A442" s="7"/>
      <c r="B442" s="9" t="s">
        <v>14</v>
      </c>
      <c r="C442" s="26">
        <v>1.5</v>
      </c>
      <c r="D442" s="26">
        <v>1</v>
      </c>
      <c r="E442" s="26">
        <v>1</v>
      </c>
      <c r="F442" s="26">
        <v>0</v>
      </c>
      <c r="G442" s="27">
        <f>'расчёт зарплаты'!K26</f>
        <v>32326.559999999998</v>
      </c>
      <c r="H442" s="27">
        <f>E442*G442*12+ ((D442-E442)*G442/2*12)</f>
        <v>387918.72</v>
      </c>
      <c r="I442" s="27"/>
      <c r="J442" s="27">
        <f t="shared" si="99"/>
        <v>387918.72</v>
      </c>
      <c r="K442" s="27">
        <f t="shared" si="100"/>
        <v>117151.45343999998</v>
      </c>
      <c r="L442" s="27">
        <f t="shared" si="101"/>
        <v>505070.17343999993</v>
      </c>
    </row>
    <row r="443" spans="1:12" x14ac:dyDescent="0.3">
      <c r="A443" s="7"/>
      <c r="B443" s="9" t="s">
        <v>16</v>
      </c>
      <c r="C443" s="26">
        <v>2</v>
      </c>
      <c r="D443" s="26">
        <v>2</v>
      </c>
      <c r="E443" s="26">
        <v>2</v>
      </c>
      <c r="F443" s="26">
        <v>2</v>
      </c>
      <c r="G443" s="27">
        <f>'расчёт зарплаты'!K26</f>
        <v>32326.559999999998</v>
      </c>
      <c r="H443" s="27">
        <f>E443*G443*12+ ((D443-E443)*G443/2*12)</f>
        <v>775837.44</v>
      </c>
      <c r="I443" s="27"/>
      <c r="J443" s="27">
        <f t="shared" si="99"/>
        <v>775837.44</v>
      </c>
      <c r="K443" s="27">
        <f t="shared" si="100"/>
        <v>234302.90687999997</v>
      </c>
      <c r="L443" s="27">
        <f t="shared" si="101"/>
        <v>1010140.3468799999</v>
      </c>
    </row>
    <row r="444" spans="1:12" ht="28.2" x14ac:dyDescent="0.3">
      <c r="A444" s="7"/>
      <c r="B444" s="9" t="s">
        <v>71</v>
      </c>
      <c r="C444" s="26">
        <v>3.25</v>
      </c>
      <c r="D444" s="26">
        <v>3.25</v>
      </c>
      <c r="E444" s="26">
        <v>2</v>
      </c>
      <c r="F444" s="26">
        <v>2</v>
      </c>
      <c r="G444" s="27">
        <f>'расчёт зарплаты'!K41</f>
        <v>33264</v>
      </c>
      <c r="H444" s="27">
        <f>E444*G444*12+ ((D444-E444)*G444/2*12)</f>
        <v>1047816</v>
      </c>
      <c r="I444" s="27"/>
      <c r="J444" s="27">
        <f t="shared" si="99"/>
        <v>1047816</v>
      </c>
      <c r="K444" s="27">
        <f t="shared" si="100"/>
        <v>316440.43199999997</v>
      </c>
      <c r="L444" s="27">
        <f t="shared" si="101"/>
        <v>1364256.432</v>
      </c>
    </row>
    <row r="445" spans="1:12" x14ac:dyDescent="0.3">
      <c r="A445" s="69" t="s">
        <v>73</v>
      </c>
      <c r="B445" s="69"/>
      <c r="C445" s="30">
        <f>C446+C452</f>
        <v>6.75</v>
      </c>
      <c r="D445" s="30">
        <f>D446+D452</f>
        <v>6.75</v>
      </c>
      <c r="E445" s="30">
        <f>E446+E452</f>
        <v>6</v>
      </c>
      <c r="F445" s="30">
        <f>F446+F452</f>
        <v>6</v>
      </c>
      <c r="G445" s="27"/>
      <c r="H445" s="32">
        <f>J445</f>
        <v>2510805.5999999996</v>
      </c>
      <c r="I445" s="27"/>
      <c r="J445" s="32">
        <f>J446+J452</f>
        <v>2510805.5999999996</v>
      </c>
      <c r="K445" s="32">
        <f>K446+K452</f>
        <v>758263.29119999986</v>
      </c>
      <c r="L445" s="32">
        <f>L446+L452</f>
        <v>3269068.8911999995</v>
      </c>
    </row>
    <row r="446" spans="1:12" x14ac:dyDescent="0.3">
      <c r="A446" s="69" t="s">
        <v>35</v>
      </c>
      <c r="B446" s="69"/>
      <c r="C446" s="30">
        <f>C447+C448+C449+C450+C451</f>
        <v>5</v>
      </c>
      <c r="D446" s="30">
        <f>D447+D448+D449+D450+D451</f>
        <v>5</v>
      </c>
      <c r="E446" s="30">
        <f>E447+E448+E449+E450+E451</f>
        <v>5</v>
      </c>
      <c r="F446" s="30">
        <f>F447+F448+F449+F450+F451</f>
        <v>5</v>
      </c>
      <c r="G446" s="32"/>
      <c r="H446" s="32">
        <f>H447+H448+H450+H451+H449</f>
        <v>1939593.5999999999</v>
      </c>
      <c r="I446" s="32"/>
      <c r="J446" s="32">
        <f>H446</f>
        <v>1939593.5999999999</v>
      </c>
      <c r="K446" s="32">
        <f>J446*30.2%</f>
        <v>585757.26719999989</v>
      </c>
      <c r="L446" s="32">
        <f>J446+K446</f>
        <v>2525350.8671999997</v>
      </c>
    </row>
    <row r="447" spans="1:12" x14ac:dyDescent="0.3">
      <c r="A447" s="7"/>
      <c r="B447" s="9" t="s">
        <v>36</v>
      </c>
      <c r="C447" s="26"/>
      <c r="D447" s="26"/>
      <c r="E447" s="26"/>
      <c r="F447" s="26"/>
      <c r="G447" s="27">
        <f>'расчёт зарплаты'!K434</f>
        <v>0</v>
      </c>
      <c r="H447" s="27">
        <f>E447*G447*12+ ((D447-E447)*G447/2*12)</f>
        <v>0</v>
      </c>
      <c r="I447" s="27"/>
      <c r="J447" s="27">
        <f t="shared" ref="J447:J456" si="103">H447</f>
        <v>0</v>
      </c>
      <c r="K447" s="27">
        <f t="shared" ref="K447:K456" si="104">J447*30.2%</f>
        <v>0</v>
      </c>
      <c r="L447" s="27">
        <f t="shared" ref="L447:L456" si="105">J447+K447</f>
        <v>0</v>
      </c>
    </row>
    <row r="448" spans="1:12" x14ac:dyDescent="0.3">
      <c r="A448" s="7"/>
      <c r="B448" s="9" t="s">
        <v>23</v>
      </c>
      <c r="C448" s="26"/>
      <c r="D448" s="26"/>
      <c r="E448" s="26"/>
      <c r="F448" s="26"/>
      <c r="G448" s="27">
        <f>'расчёт зарплаты'!K438</f>
        <v>0</v>
      </c>
      <c r="H448" s="27">
        <f>E448*G448*12+ ((D448-E448)*G448/2*12)</f>
        <v>0</v>
      </c>
      <c r="I448" s="27"/>
      <c r="J448" s="27">
        <f t="shared" si="103"/>
        <v>0</v>
      </c>
      <c r="K448" s="27">
        <f t="shared" si="104"/>
        <v>0</v>
      </c>
      <c r="L448" s="27">
        <f t="shared" si="105"/>
        <v>0</v>
      </c>
    </row>
    <row r="449" spans="1:12" x14ac:dyDescent="0.3">
      <c r="A449" s="7"/>
      <c r="B449" s="25" t="s">
        <v>54</v>
      </c>
      <c r="C449" s="26"/>
      <c r="D449" s="26"/>
      <c r="E449" s="26"/>
      <c r="F449" s="26"/>
      <c r="G449" s="27">
        <f>'расчёт зарплаты'!K457</f>
        <v>0</v>
      </c>
      <c r="H449" s="27">
        <f>E449*G449*12+ ((D449-E449)*G449/2*12)</f>
        <v>0</v>
      </c>
      <c r="I449" s="27"/>
      <c r="J449" s="27">
        <f t="shared" si="103"/>
        <v>0</v>
      </c>
      <c r="K449" s="27">
        <f t="shared" si="104"/>
        <v>0</v>
      </c>
      <c r="L449" s="27">
        <f t="shared" si="105"/>
        <v>0</v>
      </c>
    </row>
    <row r="450" spans="1:12" ht="28.2" x14ac:dyDescent="0.3">
      <c r="A450" s="7"/>
      <c r="B450" s="9" t="s">
        <v>40</v>
      </c>
      <c r="C450" s="26">
        <v>3</v>
      </c>
      <c r="D450" s="26">
        <v>3</v>
      </c>
      <c r="E450" s="26">
        <v>3</v>
      </c>
      <c r="F450" s="26">
        <v>3</v>
      </c>
      <c r="G450" s="27">
        <f>'расчёт зарплаты'!K26</f>
        <v>32326.559999999998</v>
      </c>
      <c r="H450" s="27">
        <f>E450*G450*12+ ((D450-E450)*G450/2*12)</f>
        <v>1163756.1599999999</v>
      </c>
      <c r="I450" s="27"/>
      <c r="J450" s="27">
        <f t="shared" si="103"/>
        <v>1163756.1599999999</v>
      </c>
      <c r="K450" s="27">
        <f t="shared" si="104"/>
        <v>351454.36031999998</v>
      </c>
      <c r="L450" s="27">
        <f t="shared" si="105"/>
        <v>1515210.5203199999</v>
      </c>
    </row>
    <row r="451" spans="1:12" x14ac:dyDescent="0.3">
      <c r="A451" s="7"/>
      <c r="B451" s="9" t="s">
        <v>41</v>
      </c>
      <c r="C451" s="26">
        <v>2</v>
      </c>
      <c r="D451" s="26">
        <v>2</v>
      </c>
      <c r="E451" s="26">
        <v>2</v>
      </c>
      <c r="F451" s="26">
        <v>2</v>
      </c>
      <c r="G451" s="27">
        <f>'расчёт зарплаты'!K26</f>
        <v>32326.559999999998</v>
      </c>
      <c r="H451" s="27">
        <f>E451*G451*12+ ((D451-E451)*G451/2*12)</f>
        <v>775837.44</v>
      </c>
      <c r="I451" s="27"/>
      <c r="J451" s="27">
        <f t="shared" si="103"/>
        <v>775837.44</v>
      </c>
      <c r="K451" s="27">
        <f t="shared" si="104"/>
        <v>234302.90687999997</v>
      </c>
      <c r="L451" s="27">
        <f t="shared" si="105"/>
        <v>1010140.3468799999</v>
      </c>
    </row>
    <row r="452" spans="1:12" x14ac:dyDescent="0.3">
      <c r="A452" s="69" t="s">
        <v>43</v>
      </c>
      <c r="B452" s="69"/>
      <c r="C452" s="30">
        <f>C453+C454+C455+C456</f>
        <v>1.75</v>
      </c>
      <c r="D452" s="30">
        <f>D453+D454+D455+D456</f>
        <v>1.75</v>
      </c>
      <c r="E452" s="30">
        <f>E453+E454+E455+E456</f>
        <v>1</v>
      </c>
      <c r="F452" s="30">
        <f>F453+F454+F455+F456</f>
        <v>1</v>
      </c>
      <c r="G452" s="32"/>
      <c r="H452" s="32">
        <f>H453+H454+H455+H456</f>
        <v>571212</v>
      </c>
      <c r="I452" s="32"/>
      <c r="J452" s="32">
        <f>H452</f>
        <v>571212</v>
      </c>
      <c r="K452" s="32">
        <f>J452*30.2%</f>
        <v>172506.024</v>
      </c>
      <c r="L452" s="32">
        <f>J452+K452</f>
        <v>743718.02399999998</v>
      </c>
    </row>
    <row r="453" spans="1:12" x14ac:dyDescent="0.3">
      <c r="A453" s="7"/>
      <c r="B453" s="9" t="s">
        <v>44</v>
      </c>
      <c r="C453" s="26">
        <v>0.5</v>
      </c>
      <c r="D453" s="26">
        <v>0.5</v>
      </c>
      <c r="E453" s="26">
        <v>0</v>
      </c>
      <c r="F453" s="26">
        <v>0</v>
      </c>
      <c r="G453" s="27">
        <f>'расчёт зарплаты'!K35</f>
        <v>36256</v>
      </c>
      <c r="H453" s="27">
        <f>E453*G453*12+ ((D453-E453)*G453/2*12)</f>
        <v>108768</v>
      </c>
      <c r="I453" s="27"/>
      <c r="J453" s="27">
        <f t="shared" si="103"/>
        <v>108768</v>
      </c>
      <c r="K453" s="27">
        <f t="shared" si="104"/>
        <v>32847.936000000002</v>
      </c>
      <c r="L453" s="27">
        <f t="shared" si="105"/>
        <v>141615.93599999999</v>
      </c>
    </row>
    <row r="454" spans="1:12" x14ac:dyDescent="0.3">
      <c r="A454" s="7"/>
      <c r="B454" s="9" t="s">
        <v>46</v>
      </c>
      <c r="C454" s="26"/>
      <c r="D454" s="26"/>
      <c r="E454" s="26"/>
      <c r="F454" s="26"/>
      <c r="G454" s="27">
        <f>'расчёт зарплаты'!K459</f>
        <v>0</v>
      </c>
      <c r="H454" s="27">
        <f>E454*G454*12+ ((D454-E454)*G454/2*12)</f>
        <v>0</v>
      </c>
      <c r="I454" s="27"/>
      <c r="J454" s="27">
        <f t="shared" si="103"/>
        <v>0</v>
      </c>
      <c r="K454" s="27">
        <f t="shared" si="104"/>
        <v>0</v>
      </c>
      <c r="L454" s="27">
        <f t="shared" si="105"/>
        <v>0</v>
      </c>
    </row>
    <row r="455" spans="1:12" x14ac:dyDescent="0.3">
      <c r="A455" s="7"/>
      <c r="B455" s="9" t="s">
        <v>47</v>
      </c>
      <c r="C455" s="26">
        <v>1</v>
      </c>
      <c r="D455" s="26">
        <v>1</v>
      </c>
      <c r="E455" s="26">
        <v>1</v>
      </c>
      <c r="F455" s="26">
        <v>1</v>
      </c>
      <c r="G455" s="27">
        <f>'расчёт зарплаты'!K39</f>
        <v>33936</v>
      </c>
      <c r="H455" s="27">
        <f>E455*G455*12+ ((D455-E455)*G455/2*12)</f>
        <v>407232</v>
      </c>
      <c r="I455" s="27"/>
      <c r="J455" s="27">
        <f t="shared" si="103"/>
        <v>407232</v>
      </c>
      <c r="K455" s="27">
        <f t="shared" si="104"/>
        <v>122984.064</v>
      </c>
      <c r="L455" s="27">
        <f t="shared" si="105"/>
        <v>530216.06400000001</v>
      </c>
    </row>
    <row r="456" spans="1:12" x14ac:dyDescent="0.3">
      <c r="A456" s="19"/>
      <c r="B456" s="29" t="s">
        <v>52</v>
      </c>
      <c r="C456" s="35">
        <v>0.25</v>
      </c>
      <c r="D456" s="35">
        <v>0.25</v>
      </c>
      <c r="E456" s="35">
        <v>0</v>
      </c>
      <c r="F456" s="35">
        <v>0</v>
      </c>
      <c r="G456" s="27">
        <f>'расчёт зарплаты'!K20</f>
        <v>36808</v>
      </c>
      <c r="H456" s="27">
        <f>E456*G456*12+ ((D456-E456)*G456/2*12)</f>
        <v>55212</v>
      </c>
      <c r="I456" s="35"/>
      <c r="J456" s="27">
        <f t="shared" si="103"/>
        <v>55212</v>
      </c>
      <c r="K456" s="27">
        <f t="shared" si="104"/>
        <v>16674.024000000001</v>
      </c>
      <c r="L456" s="27">
        <f t="shared" si="105"/>
        <v>71886.024000000005</v>
      </c>
    </row>
    <row r="457" spans="1:12" x14ac:dyDescent="0.3">
      <c r="A457" s="28"/>
      <c r="B457" s="76" t="s">
        <v>88</v>
      </c>
      <c r="C457" s="77"/>
      <c r="D457" s="77"/>
      <c r="E457" s="77"/>
      <c r="F457" s="77"/>
      <c r="G457" s="77"/>
      <c r="H457" s="77"/>
      <c r="I457" s="77"/>
      <c r="J457" s="77"/>
      <c r="K457" s="77"/>
      <c r="L457" s="78"/>
    </row>
    <row r="458" spans="1:12" x14ac:dyDescent="0.3">
      <c r="A458" s="71" t="s">
        <v>68</v>
      </c>
      <c r="B458" s="72"/>
      <c r="C458" s="30">
        <f>C459+C477+C473</f>
        <v>79.25</v>
      </c>
      <c r="D458" s="30">
        <f>D459+D477+D473</f>
        <v>74.75</v>
      </c>
      <c r="E458" s="30">
        <f>E459+E477+E473</f>
        <v>60.5</v>
      </c>
      <c r="F458" s="30">
        <f>F459+F477+F473</f>
        <v>59</v>
      </c>
      <c r="G458" s="27"/>
      <c r="H458" s="27"/>
      <c r="I458" s="27"/>
      <c r="J458" s="27"/>
      <c r="K458" s="27"/>
      <c r="L458" s="27"/>
    </row>
    <row r="459" spans="1:12" x14ac:dyDescent="0.3">
      <c r="A459" s="71" t="s">
        <v>69</v>
      </c>
      <c r="B459" s="72"/>
      <c r="C459" s="30">
        <f>SUM(C460:C472)</f>
        <v>55</v>
      </c>
      <c r="D459" s="30">
        <f>SUM(D460:D472)</f>
        <v>50.5</v>
      </c>
      <c r="E459" s="30">
        <f>SUM(E460:E472)</f>
        <v>45.5</v>
      </c>
      <c r="F459" s="30">
        <f>SUM(F460:F472)</f>
        <v>43</v>
      </c>
      <c r="G459" s="30"/>
      <c r="H459" s="31">
        <f>SUM(H460:H472)</f>
        <v>20025258.239999998</v>
      </c>
      <c r="I459" s="32"/>
      <c r="J459" s="32">
        <f>H459-I459</f>
        <v>20025258.239999998</v>
      </c>
      <c r="K459" s="32">
        <f>J459*30.2%</f>
        <v>6047627.9884799989</v>
      </c>
      <c r="L459" s="32">
        <f>J459+K459</f>
        <v>26072886.228479996</v>
      </c>
    </row>
    <row r="460" spans="1:12" x14ac:dyDescent="0.3">
      <c r="A460" s="7"/>
      <c r="B460" s="9" t="s">
        <v>11</v>
      </c>
      <c r="C460" s="26">
        <v>20</v>
      </c>
      <c r="D460" s="26">
        <v>19</v>
      </c>
      <c r="E460" s="26">
        <v>17.600000000000001</v>
      </c>
      <c r="F460" s="26">
        <v>15</v>
      </c>
      <c r="G460" s="27">
        <f>'расчёт зарплаты'!K10</f>
        <v>33128</v>
      </c>
      <c r="H460" s="27">
        <f>E460*G460*12+ ((D460-E460)*G460/2*12)</f>
        <v>7274908.8000000007</v>
      </c>
      <c r="I460" s="27"/>
      <c r="J460" s="27">
        <f t="shared" ref="J460:J476" si="106">H460</f>
        <v>7274908.8000000007</v>
      </c>
      <c r="K460" s="27">
        <f t="shared" ref="K460:K476" si="107">J460*30.2%</f>
        <v>2197022.4576000003</v>
      </c>
      <c r="L460" s="27">
        <f t="shared" ref="L460:L476" si="108">J460+K460</f>
        <v>9471931.257600002</v>
      </c>
    </row>
    <row r="461" spans="1:12" ht="28.2" x14ac:dyDescent="0.3">
      <c r="A461" s="7"/>
      <c r="B461" s="9" t="s">
        <v>94</v>
      </c>
      <c r="C461" s="26">
        <v>9</v>
      </c>
      <c r="D461" s="26">
        <v>10</v>
      </c>
      <c r="E461" s="26">
        <v>9</v>
      </c>
      <c r="F461" s="26">
        <v>10</v>
      </c>
      <c r="G461" s="27">
        <f>'расчёт зарплаты'!K12</f>
        <v>36360</v>
      </c>
      <c r="H461" s="27">
        <f>E461*G461*12+ ((D461-E461)*G461/2*12)</f>
        <v>4145040</v>
      </c>
      <c r="I461" s="27"/>
      <c r="J461" s="27">
        <f t="shared" si="106"/>
        <v>4145040</v>
      </c>
      <c r="K461" s="27">
        <f t="shared" si="107"/>
        <v>1251802.08</v>
      </c>
      <c r="L461" s="27">
        <f t="shared" si="108"/>
        <v>5396842.0800000001</v>
      </c>
    </row>
    <row r="462" spans="1:12" x14ac:dyDescent="0.3">
      <c r="A462" s="7"/>
      <c r="B462" s="9" t="s">
        <v>13</v>
      </c>
      <c r="C462" s="26"/>
      <c r="D462" s="26"/>
      <c r="E462" s="26"/>
      <c r="F462" s="26"/>
      <c r="G462" s="27">
        <f>'расчёт зарплаты'!K470</f>
        <v>0</v>
      </c>
      <c r="H462" s="27">
        <f t="shared" ref="H462:H472" si="109">E462*G462*12+ ((D462-E462)*G462/2*12)</f>
        <v>0</v>
      </c>
      <c r="I462" s="27"/>
      <c r="J462" s="27">
        <f t="shared" si="106"/>
        <v>0</v>
      </c>
      <c r="K462" s="27">
        <f t="shared" si="107"/>
        <v>0</v>
      </c>
      <c r="L462" s="27">
        <f t="shared" si="108"/>
        <v>0</v>
      </c>
    </row>
    <row r="463" spans="1:12" ht="28.2" x14ac:dyDescent="0.3">
      <c r="A463" s="7"/>
      <c r="B463" s="9" t="s">
        <v>95</v>
      </c>
      <c r="C463" s="26">
        <v>1</v>
      </c>
      <c r="D463" s="26"/>
      <c r="E463" s="26"/>
      <c r="F463" s="26"/>
      <c r="G463" s="27">
        <f>'расчёт зарплаты'!K22</f>
        <v>37664</v>
      </c>
      <c r="H463" s="27">
        <f t="shared" si="109"/>
        <v>0</v>
      </c>
      <c r="I463" s="27"/>
      <c r="J463" s="27">
        <f t="shared" si="106"/>
        <v>0</v>
      </c>
      <c r="K463" s="27">
        <f t="shared" si="107"/>
        <v>0</v>
      </c>
      <c r="L463" s="27">
        <f t="shared" si="108"/>
        <v>0</v>
      </c>
    </row>
    <row r="464" spans="1:12" x14ac:dyDescent="0.3">
      <c r="A464" s="7"/>
      <c r="B464" s="9" t="s">
        <v>17</v>
      </c>
      <c r="C464" s="26">
        <v>5</v>
      </c>
      <c r="D464" s="26">
        <v>4</v>
      </c>
      <c r="E464" s="26">
        <v>3</v>
      </c>
      <c r="F464" s="26">
        <v>2</v>
      </c>
      <c r="G464" s="27">
        <f>'расчёт зарплаты'!K39</f>
        <v>33936</v>
      </c>
      <c r="H464" s="27">
        <f t="shared" si="109"/>
        <v>1425312</v>
      </c>
      <c r="I464" s="27"/>
      <c r="J464" s="27">
        <f t="shared" si="106"/>
        <v>1425312</v>
      </c>
      <c r="K464" s="27">
        <f t="shared" si="107"/>
        <v>430444.22399999999</v>
      </c>
      <c r="L464" s="27">
        <f t="shared" si="108"/>
        <v>1855756.2239999999</v>
      </c>
    </row>
    <row r="465" spans="1:12" ht="28.2" x14ac:dyDescent="0.3">
      <c r="A465" s="7"/>
      <c r="B465" s="9" t="s">
        <v>20</v>
      </c>
      <c r="C465" s="26"/>
      <c r="D465" s="26"/>
      <c r="E465" s="26"/>
      <c r="F465" s="26"/>
      <c r="G465" s="27"/>
      <c r="H465" s="27">
        <f t="shared" si="109"/>
        <v>0</v>
      </c>
      <c r="I465" s="27"/>
      <c r="J465" s="27">
        <f t="shared" si="106"/>
        <v>0</v>
      </c>
      <c r="K465" s="27">
        <f t="shared" si="107"/>
        <v>0</v>
      </c>
      <c r="L465" s="27">
        <f t="shared" si="108"/>
        <v>0</v>
      </c>
    </row>
    <row r="466" spans="1:12" x14ac:dyDescent="0.3">
      <c r="A466" s="7"/>
      <c r="B466" s="9" t="s">
        <v>21</v>
      </c>
      <c r="C466" s="26">
        <v>6</v>
      </c>
      <c r="D466" s="26">
        <v>6</v>
      </c>
      <c r="E466" s="26">
        <v>5</v>
      </c>
      <c r="F466" s="26">
        <v>6</v>
      </c>
      <c r="G466" s="27">
        <f>'расчёт зарплаты'!K35</f>
        <v>36256</v>
      </c>
      <c r="H466" s="27">
        <f t="shared" si="109"/>
        <v>2392896</v>
      </c>
      <c r="I466" s="27"/>
      <c r="J466" s="27">
        <f t="shared" si="106"/>
        <v>2392896</v>
      </c>
      <c r="K466" s="27">
        <f t="shared" si="107"/>
        <v>722654.59199999995</v>
      </c>
      <c r="L466" s="27">
        <f t="shared" si="108"/>
        <v>3115550.5920000002</v>
      </c>
    </row>
    <row r="467" spans="1:12" x14ac:dyDescent="0.3">
      <c r="A467" s="7"/>
      <c r="B467" s="9" t="s">
        <v>24</v>
      </c>
      <c r="C467" s="26">
        <v>6</v>
      </c>
      <c r="D467" s="26">
        <v>6</v>
      </c>
      <c r="E467" s="26">
        <v>6</v>
      </c>
      <c r="F467" s="26">
        <v>6</v>
      </c>
      <c r="G467" s="27">
        <f>'расчёт зарплаты'!K8</f>
        <v>33865.919999999998</v>
      </c>
      <c r="H467" s="27">
        <f t="shared" si="109"/>
        <v>2438346.2399999998</v>
      </c>
      <c r="I467" s="27"/>
      <c r="J467" s="27">
        <f t="shared" si="106"/>
        <v>2438346.2399999998</v>
      </c>
      <c r="K467" s="27">
        <f t="shared" si="107"/>
        <v>736380.56447999994</v>
      </c>
      <c r="L467" s="27">
        <f t="shared" si="108"/>
        <v>3174726.8044799995</v>
      </c>
    </row>
    <row r="468" spans="1:12" ht="42" x14ac:dyDescent="0.3">
      <c r="A468" s="7"/>
      <c r="B468" s="9" t="s">
        <v>25</v>
      </c>
      <c r="C468" s="26">
        <v>2</v>
      </c>
      <c r="D468" s="26">
        <v>1.5</v>
      </c>
      <c r="E468" s="26">
        <v>0.9</v>
      </c>
      <c r="F468" s="26"/>
      <c r="G468" s="27">
        <f>'расчёт зарплаты'!K10</f>
        <v>33128</v>
      </c>
      <c r="H468" s="27">
        <f t="shared" si="109"/>
        <v>477043.20000000001</v>
      </c>
      <c r="I468" s="27"/>
      <c r="J468" s="27">
        <f t="shared" si="106"/>
        <v>477043.20000000001</v>
      </c>
      <c r="K468" s="27">
        <f t="shared" si="107"/>
        <v>144067.04639999999</v>
      </c>
      <c r="L468" s="27">
        <f t="shared" si="108"/>
        <v>621110.24640000006</v>
      </c>
    </row>
    <row r="469" spans="1:12" ht="28.2" x14ac:dyDescent="0.3">
      <c r="A469" s="7"/>
      <c r="B469" s="9" t="s">
        <v>26</v>
      </c>
      <c r="C469" s="26">
        <v>2</v>
      </c>
      <c r="D469" s="26">
        <v>2</v>
      </c>
      <c r="E469" s="26">
        <v>2</v>
      </c>
      <c r="F469" s="26">
        <v>2</v>
      </c>
      <c r="G469" s="27">
        <f>'расчёт зарплаты'!K35</f>
        <v>36256</v>
      </c>
      <c r="H469" s="27">
        <f t="shared" si="109"/>
        <v>870144</v>
      </c>
      <c r="I469" s="27"/>
      <c r="J469" s="27">
        <f t="shared" si="106"/>
        <v>870144</v>
      </c>
      <c r="K469" s="27">
        <f t="shared" si="107"/>
        <v>262783.48800000001</v>
      </c>
      <c r="L469" s="27">
        <f t="shared" si="108"/>
        <v>1132927.4879999999</v>
      </c>
    </row>
    <row r="470" spans="1:12" ht="42" x14ac:dyDescent="0.3">
      <c r="A470" s="7"/>
      <c r="B470" s="9" t="s">
        <v>70</v>
      </c>
      <c r="C470" s="26">
        <v>3</v>
      </c>
      <c r="D470" s="26">
        <v>1</v>
      </c>
      <c r="E470" s="26">
        <v>1</v>
      </c>
      <c r="F470" s="26">
        <v>1</v>
      </c>
      <c r="G470" s="27">
        <f>'расчёт зарплаты'!K10</f>
        <v>33128</v>
      </c>
      <c r="H470" s="27">
        <f t="shared" si="109"/>
        <v>397536</v>
      </c>
      <c r="I470" s="27"/>
      <c r="J470" s="27">
        <f t="shared" si="106"/>
        <v>397536</v>
      </c>
      <c r="K470" s="27">
        <f t="shared" si="107"/>
        <v>120055.872</v>
      </c>
      <c r="L470" s="27">
        <f t="shared" si="108"/>
        <v>517591.87199999997</v>
      </c>
    </row>
    <row r="471" spans="1:12" x14ac:dyDescent="0.3">
      <c r="A471" s="7"/>
      <c r="B471" s="9" t="s">
        <v>30</v>
      </c>
      <c r="C471" s="26"/>
      <c r="D471" s="26"/>
      <c r="E471" s="26"/>
      <c r="F471" s="26"/>
      <c r="G471" s="27">
        <f>'расчёт зарплаты'!K485</f>
        <v>0</v>
      </c>
      <c r="H471" s="27">
        <f t="shared" si="109"/>
        <v>0</v>
      </c>
      <c r="I471" s="27"/>
      <c r="J471" s="27">
        <f t="shared" si="106"/>
        <v>0</v>
      </c>
      <c r="K471" s="27">
        <f t="shared" si="107"/>
        <v>0</v>
      </c>
      <c r="L471" s="27">
        <f t="shared" si="108"/>
        <v>0</v>
      </c>
    </row>
    <row r="472" spans="1:12" ht="39.6" x14ac:dyDescent="0.3">
      <c r="A472" s="7"/>
      <c r="B472" s="22" t="s">
        <v>31</v>
      </c>
      <c r="C472" s="26">
        <v>1</v>
      </c>
      <c r="D472" s="26">
        <v>1</v>
      </c>
      <c r="E472" s="26">
        <v>1</v>
      </c>
      <c r="F472" s="26">
        <v>1</v>
      </c>
      <c r="G472" s="27">
        <f>'расчёт зарплаты'!K45</f>
        <v>50336</v>
      </c>
      <c r="H472" s="27">
        <f t="shared" si="109"/>
        <v>604032</v>
      </c>
      <c r="I472" s="27"/>
      <c r="J472" s="27">
        <f t="shared" si="106"/>
        <v>604032</v>
      </c>
      <c r="K472" s="27">
        <f t="shared" si="107"/>
        <v>182417.66399999999</v>
      </c>
      <c r="L472" s="27">
        <f t="shared" si="108"/>
        <v>786449.66399999999</v>
      </c>
    </row>
    <row r="473" spans="1:12" x14ac:dyDescent="0.3">
      <c r="A473" s="23" t="s">
        <v>63</v>
      </c>
      <c r="B473" s="24"/>
      <c r="C473" s="33">
        <f>C474+C475+C476</f>
        <v>9</v>
      </c>
      <c r="D473" s="33">
        <f>D474+D475+D476</f>
        <v>9</v>
      </c>
      <c r="E473" s="33">
        <f>E474+E475+E476</f>
        <v>6</v>
      </c>
      <c r="F473" s="33">
        <f>F474+F475+F476</f>
        <v>7</v>
      </c>
      <c r="G473" s="33"/>
      <c r="H473" s="34">
        <f>H474+H475+H476</f>
        <v>2931888.96</v>
      </c>
      <c r="I473" s="34">
        <f>I474+I475+I476</f>
        <v>0</v>
      </c>
      <c r="J473" s="34">
        <f>J474+J475+J476</f>
        <v>2931888.96</v>
      </c>
      <c r="K473" s="34">
        <f>K474+K475+K476</f>
        <v>885430.46591999987</v>
      </c>
      <c r="L473" s="34">
        <f>L474+L475+L476</f>
        <v>3817319.4259199998</v>
      </c>
    </row>
    <row r="474" spans="1:12" x14ac:dyDescent="0.3">
      <c r="A474" s="7"/>
      <c r="B474" s="9" t="s">
        <v>14</v>
      </c>
      <c r="C474" s="26">
        <v>3</v>
      </c>
      <c r="D474" s="26">
        <v>3</v>
      </c>
      <c r="E474" s="26">
        <v>2</v>
      </c>
      <c r="F474" s="26">
        <v>3</v>
      </c>
      <c r="G474" s="27">
        <f>'расчёт зарплаты'!K26</f>
        <v>32326.559999999998</v>
      </c>
      <c r="H474" s="27">
        <f>E474*G474*12+ ((D474-E474)*G474/2*12)</f>
        <v>969796.79999999993</v>
      </c>
      <c r="I474" s="27"/>
      <c r="J474" s="27">
        <f t="shared" si="106"/>
        <v>969796.79999999993</v>
      </c>
      <c r="K474" s="27">
        <f t="shared" si="107"/>
        <v>292878.63359999994</v>
      </c>
      <c r="L474" s="27">
        <f t="shared" si="108"/>
        <v>1262675.4335999999</v>
      </c>
    </row>
    <row r="475" spans="1:12" x14ac:dyDescent="0.3">
      <c r="A475" s="7"/>
      <c r="B475" s="9" t="s">
        <v>16</v>
      </c>
      <c r="C475" s="26">
        <v>3</v>
      </c>
      <c r="D475" s="26">
        <v>3</v>
      </c>
      <c r="E475" s="26">
        <v>3</v>
      </c>
      <c r="F475" s="26">
        <v>3</v>
      </c>
      <c r="G475" s="27">
        <f>'расчёт зарплаты'!K26</f>
        <v>32326.559999999998</v>
      </c>
      <c r="H475" s="27">
        <f>E475*G475*12+ ((D475-E475)*G475/2*12)</f>
        <v>1163756.1599999999</v>
      </c>
      <c r="I475" s="27"/>
      <c r="J475" s="27">
        <f t="shared" si="106"/>
        <v>1163756.1599999999</v>
      </c>
      <c r="K475" s="27">
        <f t="shared" si="107"/>
        <v>351454.36031999998</v>
      </c>
      <c r="L475" s="27">
        <f t="shared" si="108"/>
        <v>1515210.5203199999</v>
      </c>
    </row>
    <row r="476" spans="1:12" ht="28.2" x14ac:dyDescent="0.3">
      <c r="A476" s="7"/>
      <c r="B476" s="9" t="s">
        <v>71</v>
      </c>
      <c r="C476" s="26">
        <v>3</v>
      </c>
      <c r="D476" s="26">
        <v>3</v>
      </c>
      <c r="E476" s="26">
        <v>1</v>
      </c>
      <c r="F476" s="26">
        <v>1</v>
      </c>
      <c r="G476" s="27">
        <f>'расчёт зарплаты'!K41</f>
        <v>33264</v>
      </c>
      <c r="H476" s="27">
        <f>E476*G476*12+ ((D476-E476)*G476/2*12)</f>
        <v>798336</v>
      </c>
      <c r="I476" s="27"/>
      <c r="J476" s="27">
        <f t="shared" si="106"/>
        <v>798336</v>
      </c>
      <c r="K476" s="27">
        <f t="shared" si="107"/>
        <v>241097.47199999998</v>
      </c>
      <c r="L476" s="27">
        <f t="shared" si="108"/>
        <v>1039433.472</v>
      </c>
    </row>
    <row r="477" spans="1:12" x14ac:dyDescent="0.3">
      <c r="A477" s="69" t="s">
        <v>73</v>
      </c>
      <c r="B477" s="69"/>
      <c r="C477" s="30">
        <f>C478+C484</f>
        <v>15.25</v>
      </c>
      <c r="D477" s="30">
        <f>D478+D484</f>
        <v>15.25</v>
      </c>
      <c r="E477" s="30">
        <f>E478+E484</f>
        <v>9</v>
      </c>
      <c r="F477" s="30">
        <f>F478+F484</f>
        <v>9</v>
      </c>
      <c r="G477" s="27"/>
      <c r="H477" s="32">
        <f>H478+H484</f>
        <v>4662654.72</v>
      </c>
      <c r="I477" s="27"/>
      <c r="J477" s="32">
        <f>J478+J484</f>
        <v>4662654.72</v>
      </c>
      <c r="K477" s="32">
        <f>K478+K484</f>
        <v>1408121.7254399997</v>
      </c>
      <c r="L477" s="32">
        <f>L478+L484</f>
        <v>6070776.4454399999</v>
      </c>
    </row>
    <row r="478" spans="1:12" x14ac:dyDescent="0.3">
      <c r="A478" s="69" t="s">
        <v>35</v>
      </c>
      <c r="B478" s="69"/>
      <c r="C478" s="30">
        <f>C479+C480+C481+C482+C483</f>
        <v>8.5</v>
      </c>
      <c r="D478" s="30">
        <f>D479+D480+D481+D482+D483</f>
        <v>8.5</v>
      </c>
      <c r="E478" s="30">
        <f>E479+E480+E481+E482+E483</f>
        <v>6</v>
      </c>
      <c r="F478" s="30">
        <f>F479+F480+F481+F482+F483</f>
        <v>6</v>
      </c>
      <c r="G478" s="32"/>
      <c r="H478" s="32">
        <f>H479+H480+H482+H483+H481</f>
        <v>2812410.7199999997</v>
      </c>
      <c r="I478" s="32"/>
      <c r="J478" s="32">
        <f>H478</f>
        <v>2812410.7199999997</v>
      </c>
      <c r="K478" s="32">
        <f>J478*30.2%</f>
        <v>849348.03743999987</v>
      </c>
      <c r="L478" s="32">
        <f>J478+K478</f>
        <v>3661758.7574399998</v>
      </c>
    </row>
    <row r="479" spans="1:12" x14ac:dyDescent="0.3">
      <c r="A479" s="7"/>
      <c r="B479" s="9" t="s">
        <v>36</v>
      </c>
      <c r="C479" s="26"/>
      <c r="D479" s="26"/>
      <c r="E479" s="26"/>
      <c r="F479" s="26"/>
      <c r="G479" s="27">
        <f>'расчёт зарплаты'!K464</f>
        <v>0</v>
      </c>
      <c r="H479" s="27">
        <f>E479*G479*12+ ((D479-E479)*G479/2*12)</f>
        <v>0</v>
      </c>
      <c r="I479" s="27"/>
      <c r="J479" s="27">
        <f t="shared" ref="J479:J488" si="110">H479</f>
        <v>0</v>
      </c>
      <c r="K479" s="27">
        <f t="shared" ref="K479:K488" si="111">J479*30.2%</f>
        <v>0</v>
      </c>
      <c r="L479" s="27">
        <f t="shared" ref="L479:L488" si="112">J479+K479</f>
        <v>0</v>
      </c>
    </row>
    <row r="480" spans="1:12" x14ac:dyDescent="0.3">
      <c r="A480" s="7"/>
      <c r="B480" s="9" t="s">
        <v>23</v>
      </c>
      <c r="C480" s="26"/>
      <c r="D480" s="26"/>
      <c r="E480" s="26"/>
      <c r="F480" s="26"/>
      <c r="G480" s="27">
        <f>'расчёт зарплаты'!K468</f>
        <v>0</v>
      </c>
      <c r="H480" s="27">
        <f>E480*G480*12+ ((D480-E480)*G480/2*12)</f>
        <v>0</v>
      </c>
      <c r="I480" s="27"/>
      <c r="J480" s="27">
        <f t="shared" si="110"/>
        <v>0</v>
      </c>
      <c r="K480" s="27">
        <f t="shared" si="111"/>
        <v>0</v>
      </c>
      <c r="L480" s="27">
        <f t="shared" si="112"/>
        <v>0</v>
      </c>
    </row>
    <row r="481" spans="1:12" x14ac:dyDescent="0.3">
      <c r="A481" s="7"/>
      <c r="B481" s="25" t="s">
        <v>54</v>
      </c>
      <c r="C481" s="26"/>
      <c r="D481" s="26"/>
      <c r="E481" s="26"/>
      <c r="F481" s="26"/>
      <c r="G481" s="27">
        <f>'расчёт зарплаты'!K487</f>
        <v>0</v>
      </c>
      <c r="H481" s="27">
        <f>E481*G481*12+ ((D481-E481)*G481/2*12)</f>
        <v>0</v>
      </c>
      <c r="I481" s="27"/>
      <c r="J481" s="27">
        <f t="shared" si="110"/>
        <v>0</v>
      </c>
      <c r="K481" s="27">
        <f t="shared" si="111"/>
        <v>0</v>
      </c>
      <c r="L481" s="27">
        <f t="shared" si="112"/>
        <v>0</v>
      </c>
    </row>
    <row r="482" spans="1:12" ht="28.2" x14ac:dyDescent="0.3">
      <c r="A482" s="7"/>
      <c r="B482" s="9" t="s">
        <v>40</v>
      </c>
      <c r="C482" s="26">
        <v>3.5</v>
      </c>
      <c r="D482" s="26">
        <v>3.5</v>
      </c>
      <c r="E482" s="26">
        <v>3</v>
      </c>
      <c r="F482" s="26">
        <v>3</v>
      </c>
      <c r="G482" s="27">
        <f>'расчёт зарплаты'!K26</f>
        <v>32326.559999999998</v>
      </c>
      <c r="H482" s="27">
        <f>E482*G482*12+ ((D482-E482)*G482/2*12)</f>
        <v>1260735.8399999999</v>
      </c>
      <c r="I482" s="27"/>
      <c r="J482" s="27">
        <f t="shared" si="110"/>
        <v>1260735.8399999999</v>
      </c>
      <c r="K482" s="27">
        <f t="shared" si="111"/>
        <v>380742.22367999994</v>
      </c>
      <c r="L482" s="27">
        <f t="shared" si="112"/>
        <v>1641478.0636799997</v>
      </c>
    </row>
    <row r="483" spans="1:12" x14ac:dyDescent="0.3">
      <c r="A483" s="7"/>
      <c r="B483" s="9" t="s">
        <v>41</v>
      </c>
      <c r="C483" s="26">
        <v>5</v>
      </c>
      <c r="D483" s="26">
        <v>5</v>
      </c>
      <c r="E483" s="26">
        <v>3</v>
      </c>
      <c r="F483" s="26">
        <v>3</v>
      </c>
      <c r="G483" s="27">
        <f>'расчёт зарплаты'!K26</f>
        <v>32326.559999999998</v>
      </c>
      <c r="H483" s="27">
        <f>E483*G483*12+ ((D483-E483)*G483/2*12)</f>
        <v>1551674.88</v>
      </c>
      <c r="I483" s="27"/>
      <c r="J483" s="27">
        <f t="shared" si="110"/>
        <v>1551674.88</v>
      </c>
      <c r="K483" s="27">
        <f t="shared" si="111"/>
        <v>468605.81375999993</v>
      </c>
      <c r="L483" s="27">
        <f t="shared" si="112"/>
        <v>2020280.6937599997</v>
      </c>
    </row>
    <row r="484" spans="1:12" x14ac:dyDescent="0.3">
      <c r="A484" s="69" t="s">
        <v>43</v>
      </c>
      <c r="B484" s="69"/>
      <c r="C484" s="30">
        <f>C485+C486+C487+C488</f>
        <v>6.75</v>
      </c>
      <c r="D484" s="30">
        <f>D485+D486+D487+D488</f>
        <v>6.75</v>
      </c>
      <c r="E484" s="30">
        <f>E485+E486+E487+E488</f>
        <v>3</v>
      </c>
      <c r="F484" s="30">
        <f>F485+F486+F487+F488</f>
        <v>3</v>
      </c>
      <c r="G484" s="32"/>
      <c r="H484" s="32">
        <f>H485+H486+H487+H488</f>
        <v>1850244</v>
      </c>
      <c r="I484" s="32"/>
      <c r="J484" s="32">
        <f>H484</f>
        <v>1850244</v>
      </c>
      <c r="K484" s="32">
        <f>J484*30.2%</f>
        <v>558773.68799999997</v>
      </c>
      <c r="L484" s="32">
        <f>J484+K484</f>
        <v>2409017.6880000001</v>
      </c>
    </row>
    <row r="485" spans="1:12" x14ac:dyDescent="0.3">
      <c r="A485" s="7"/>
      <c r="B485" s="9" t="s">
        <v>44</v>
      </c>
      <c r="C485" s="26">
        <v>2</v>
      </c>
      <c r="D485" s="26">
        <v>2</v>
      </c>
      <c r="E485" s="26">
        <v>2</v>
      </c>
      <c r="F485" s="26">
        <v>2</v>
      </c>
      <c r="G485" s="27">
        <f>'расчёт зарплаты'!K35</f>
        <v>36256</v>
      </c>
      <c r="H485" s="27">
        <f>E485*G485*12+ ((D485-E485)*G485/2*12)</f>
        <v>870144</v>
      </c>
      <c r="I485" s="27"/>
      <c r="J485" s="27">
        <f t="shared" si="110"/>
        <v>870144</v>
      </c>
      <c r="K485" s="27">
        <f t="shared" si="111"/>
        <v>262783.48800000001</v>
      </c>
      <c r="L485" s="27">
        <f t="shared" si="112"/>
        <v>1132927.4879999999</v>
      </c>
    </row>
    <row r="486" spans="1:12" x14ac:dyDescent="0.3">
      <c r="A486" s="7"/>
      <c r="B486" s="9" t="s">
        <v>46</v>
      </c>
      <c r="C486" s="26">
        <v>1</v>
      </c>
      <c r="D486" s="26">
        <v>1</v>
      </c>
      <c r="E486" s="26">
        <v>0</v>
      </c>
      <c r="F486" s="26">
        <v>0</v>
      </c>
      <c r="G486" s="27">
        <f>'расчёт зарплаты'!K489</f>
        <v>0</v>
      </c>
      <c r="H486" s="27">
        <f>E486*G486*12+ ((D486-E486)*G486/2*12)</f>
        <v>0</v>
      </c>
      <c r="I486" s="27"/>
      <c r="J486" s="27">
        <f t="shared" si="110"/>
        <v>0</v>
      </c>
      <c r="K486" s="27">
        <f t="shared" si="111"/>
        <v>0</v>
      </c>
      <c r="L486" s="27">
        <f t="shared" si="112"/>
        <v>0</v>
      </c>
    </row>
    <row r="487" spans="1:12" x14ac:dyDescent="0.3">
      <c r="A487" s="7"/>
      <c r="B487" s="9" t="s">
        <v>47</v>
      </c>
      <c r="C487" s="26">
        <v>3</v>
      </c>
      <c r="D487" s="26">
        <v>3</v>
      </c>
      <c r="E487" s="26">
        <v>1</v>
      </c>
      <c r="F487" s="26">
        <v>1</v>
      </c>
      <c r="G487" s="27">
        <f>'расчёт зарплаты'!K39</f>
        <v>33936</v>
      </c>
      <c r="H487" s="27">
        <f>E487*G487*12+ ((D487-E487)*G487/2*12)</f>
        <v>814464</v>
      </c>
      <c r="I487" s="27"/>
      <c r="J487" s="27">
        <f t="shared" si="110"/>
        <v>814464</v>
      </c>
      <c r="K487" s="27">
        <f t="shared" si="111"/>
        <v>245968.128</v>
      </c>
      <c r="L487" s="27">
        <f t="shared" si="112"/>
        <v>1060432.128</v>
      </c>
    </row>
    <row r="488" spans="1:12" x14ac:dyDescent="0.3">
      <c r="A488" s="19"/>
      <c r="B488" s="29" t="s">
        <v>52</v>
      </c>
      <c r="C488" s="35">
        <v>0.75</v>
      </c>
      <c r="D488" s="35">
        <v>0.75</v>
      </c>
      <c r="E488" s="35">
        <v>0</v>
      </c>
      <c r="F488" s="35">
        <v>0</v>
      </c>
      <c r="G488" s="27">
        <f>'расчёт зарплаты'!K20</f>
        <v>36808</v>
      </c>
      <c r="H488" s="27">
        <f>E488*G488*12+ ((D488-E488)*G488/2*12)</f>
        <v>165636</v>
      </c>
      <c r="I488" s="35"/>
      <c r="J488" s="27">
        <f t="shared" si="110"/>
        <v>165636</v>
      </c>
      <c r="K488" s="27">
        <f t="shared" si="111"/>
        <v>50022.072</v>
      </c>
      <c r="L488" s="27">
        <f t="shared" si="112"/>
        <v>215658.07199999999</v>
      </c>
    </row>
    <row r="489" spans="1:12" x14ac:dyDescent="0.3">
      <c r="A489" s="28"/>
      <c r="B489" s="76" t="s">
        <v>89</v>
      </c>
      <c r="C489" s="77"/>
      <c r="D489" s="77"/>
      <c r="E489" s="77"/>
      <c r="F489" s="77"/>
      <c r="G489" s="77"/>
      <c r="H489" s="77"/>
      <c r="I489" s="77"/>
      <c r="J489" s="77"/>
      <c r="K489" s="77"/>
      <c r="L489" s="78"/>
    </row>
    <row r="490" spans="1:12" x14ac:dyDescent="0.3">
      <c r="A490" s="71" t="s">
        <v>68</v>
      </c>
      <c r="B490" s="72"/>
      <c r="C490" s="30">
        <f>C491+C508+C504</f>
        <v>59</v>
      </c>
      <c r="D490" s="30">
        <f>D491+D508+D504</f>
        <v>57</v>
      </c>
      <c r="E490" s="30">
        <f>E491+E508+E504</f>
        <v>47.7</v>
      </c>
      <c r="F490" s="30">
        <f>F491+F508+F504</f>
        <v>49</v>
      </c>
      <c r="G490" s="27"/>
      <c r="H490" s="27"/>
      <c r="I490" s="27"/>
      <c r="J490" s="27"/>
      <c r="K490" s="27"/>
      <c r="L490" s="27"/>
    </row>
    <row r="491" spans="1:12" x14ac:dyDescent="0.3">
      <c r="A491" s="71" t="s">
        <v>69</v>
      </c>
      <c r="B491" s="72"/>
      <c r="C491" s="30">
        <f>SUM(C492:C503)</f>
        <v>41</v>
      </c>
      <c r="D491" s="30">
        <f>SUM(D492:D503)</f>
        <v>40.5</v>
      </c>
      <c r="E491" s="30">
        <f>SUM(E492:E503)</f>
        <v>38.200000000000003</v>
      </c>
      <c r="F491" s="30">
        <f>SUM(F492:F503)</f>
        <v>37</v>
      </c>
      <c r="G491" s="30"/>
      <c r="H491" s="31">
        <f>SUM(H492:H503)</f>
        <v>16375083.84</v>
      </c>
      <c r="I491" s="32"/>
      <c r="J491" s="32">
        <f>H491-I491</f>
        <v>16375083.84</v>
      </c>
      <c r="K491" s="32">
        <f>J491*30.2%</f>
        <v>4945275.3196799997</v>
      </c>
      <c r="L491" s="32">
        <f>J491+K491</f>
        <v>21320359.159680001</v>
      </c>
    </row>
    <row r="492" spans="1:12" x14ac:dyDescent="0.3">
      <c r="A492" s="7"/>
      <c r="B492" s="9" t="s">
        <v>11</v>
      </c>
      <c r="C492" s="26">
        <v>16</v>
      </c>
      <c r="D492" s="26">
        <v>16</v>
      </c>
      <c r="E492" s="26">
        <f>20.7-6</f>
        <v>14.7</v>
      </c>
      <c r="F492" s="26">
        <v>15</v>
      </c>
      <c r="G492" s="27">
        <f>'расчёт зарплаты'!K10</f>
        <v>33128</v>
      </c>
      <c r="H492" s="27">
        <f>E492*G492*12+ ((D492-E492)*G492/2*12)</f>
        <v>6102177.5999999996</v>
      </c>
      <c r="I492" s="27"/>
      <c r="J492" s="27">
        <f t="shared" ref="J492:J507" si="113">H492</f>
        <v>6102177.5999999996</v>
      </c>
      <c r="K492" s="27">
        <f t="shared" ref="K492:K507" si="114">J492*30.2%</f>
        <v>1842857.6351999999</v>
      </c>
      <c r="L492" s="27">
        <f t="shared" ref="L492:L507" si="115">J492+K492</f>
        <v>7945035.2351999991</v>
      </c>
    </row>
    <row r="493" spans="1:12" ht="28.2" x14ac:dyDescent="0.3">
      <c r="A493" s="7"/>
      <c r="B493" s="9" t="s">
        <v>94</v>
      </c>
      <c r="C493" s="26">
        <v>6</v>
      </c>
      <c r="D493" s="26">
        <v>6</v>
      </c>
      <c r="E493" s="26">
        <v>6</v>
      </c>
      <c r="F493" s="26">
        <v>4</v>
      </c>
      <c r="G493" s="27">
        <f>'расчёт зарплаты'!K12</f>
        <v>36360</v>
      </c>
      <c r="H493" s="27">
        <f>E493*G493*12+ ((D493-E493)*G493/2*12)</f>
        <v>2617920</v>
      </c>
      <c r="I493" s="27"/>
      <c r="J493" s="27">
        <f t="shared" si="113"/>
        <v>2617920</v>
      </c>
      <c r="K493" s="27">
        <f t="shared" si="114"/>
        <v>790611.84</v>
      </c>
      <c r="L493" s="27">
        <f t="shared" si="115"/>
        <v>3408531.84</v>
      </c>
    </row>
    <row r="494" spans="1:12" x14ac:dyDescent="0.3">
      <c r="A494" s="7"/>
      <c r="B494" s="9" t="s">
        <v>13</v>
      </c>
      <c r="C494" s="26"/>
      <c r="D494" s="26"/>
      <c r="E494" s="26"/>
      <c r="F494" s="26"/>
      <c r="G494" s="27">
        <f>'расчёт зарплаты'!K500</f>
        <v>0</v>
      </c>
      <c r="H494" s="27">
        <f t="shared" ref="H494:H503" si="116">E494*G494*12+ ((D494-E494)*G494/2*12)</f>
        <v>0</v>
      </c>
      <c r="I494" s="27"/>
      <c r="J494" s="27">
        <f t="shared" si="113"/>
        <v>0</v>
      </c>
      <c r="K494" s="27">
        <f t="shared" si="114"/>
        <v>0</v>
      </c>
      <c r="L494" s="27">
        <f t="shared" si="115"/>
        <v>0</v>
      </c>
    </row>
    <row r="495" spans="1:12" x14ac:dyDescent="0.3">
      <c r="A495" s="7"/>
      <c r="B495" s="9" t="s">
        <v>17</v>
      </c>
      <c r="C495" s="26">
        <v>4</v>
      </c>
      <c r="D495" s="26">
        <v>4</v>
      </c>
      <c r="E495" s="26">
        <v>4</v>
      </c>
      <c r="F495" s="26">
        <v>4</v>
      </c>
      <c r="G495" s="27">
        <f>'расчёт зарплаты'!K39</f>
        <v>33936</v>
      </c>
      <c r="H495" s="27">
        <f t="shared" si="116"/>
        <v>1628928</v>
      </c>
      <c r="I495" s="27"/>
      <c r="J495" s="27">
        <f t="shared" si="113"/>
        <v>1628928</v>
      </c>
      <c r="K495" s="27">
        <f t="shared" si="114"/>
        <v>491936.25599999999</v>
      </c>
      <c r="L495" s="27">
        <f t="shared" si="115"/>
        <v>2120864.2560000001</v>
      </c>
    </row>
    <row r="496" spans="1:12" ht="28.2" x14ac:dyDescent="0.3">
      <c r="A496" s="7"/>
      <c r="B496" s="9" t="s">
        <v>20</v>
      </c>
      <c r="C496" s="26"/>
      <c r="D496" s="26"/>
      <c r="E496" s="26"/>
      <c r="F496" s="26"/>
      <c r="G496" s="27"/>
      <c r="H496" s="27">
        <f t="shared" si="116"/>
        <v>0</v>
      </c>
      <c r="I496" s="27"/>
      <c r="J496" s="27">
        <f t="shared" si="113"/>
        <v>0</v>
      </c>
      <c r="K496" s="27">
        <f t="shared" si="114"/>
        <v>0</v>
      </c>
      <c r="L496" s="27">
        <f t="shared" si="115"/>
        <v>0</v>
      </c>
    </row>
    <row r="497" spans="1:12" x14ac:dyDescent="0.3">
      <c r="A497" s="7"/>
      <c r="B497" s="9" t="s">
        <v>21</v>
      </c>
      <c r="C497" s="26">
        <v>4</v>
      </c>
      <c r="D497" s="26">
        <v>3.5</v>
      </c>
      <c r="E497" s="26">
        <v>2.5</v>
      </c>
      <c r="F497" s="26">
        <v>3</v>
      </c>
      <c r="G497" s="27">
        <f>'расчёт зарплаты'!K35</f>
        <v>36256</v>
      </c>
      <c r="H497" s="27">
        <f t="shared" si="116"/>
        <v>1305216</v>
      </c>
      <c r="I497" s="27"/>
      <c r="J497" s="27">
        <f t="shared" si="113"/>
        <v>1305216</v>
      </c>
      <c r="K497" s="27">
        <f t="shared" si="114"/>
        <v>394175.23199999996</v>
      </c>
      <c r="L497" s="27">
        <f t="shared" si="115"/>
        <v>1699391.2319999998</v>
      </c>
    </row>
    <row r="498" spans="1:12" x14ac:dyDescent="0.3">
      <c r="A498" s="7"/>
      <c r="B498" s="9" t="s">
        <v>24</v>
      </c>
      <c r="C498" s="41">
        <v>6</v>
      </c>
      <c r="D498" s="41">
        <v>6</v>
      </c>
      <c r="E498" s="41">
        <v>6</v>
      </c>
      <c r="F498" s="41">
        <v>6</v>
      </c>
      <c r="G498" s="27">
        <f>'расчёт зарплаты'!K8</f>
        <v>33865.919999999998</v>
      </c>
      <c r="H498" s="27">
        <f t="shared" si="116"/>
        <v>2438346.2399999998</v>
      </c>
      <c r="I498" s="27"/>
      <c r="J498" s="27">
        <f t="shared" si="113"/>
        <v>2438346.2399999998</v>
      </c>
      <c r="K498" s="27">
        <f t="shared" si="114"/>
        <v>736380.56447999994</v>
      </c>
      <c r="L498" s="27">
        <f t="shared" si="115"/>
        <v>3174726.8044799995</v>
      </c>
    </row>
    <row r="499" spans="1:12" ht="42" x14ac:dyDescent="0.3">
      <c r="A499" s="7"/>
      <c r="B499" s="9" t="s">
        <v>25</v>
      </c>
      <c r="C499" s="26">
        <v>2</v>
      </c>
      <c r="D499" s="26">
        <v>2</v>
      </c>
      <c r="E499" s="26">
        <v>2</v>
      </c>
      <c r="F499" s="26">
        <v>2</v>
      </c>
      <c r="G499" s="27">
        <f>'расчёт зарплаты'!K10</f>
        <v>33128</v>
      </c>
      <c r="H499" s="27">
        <f t="shared" si="116"/>
        <v>795072</v>
      </c>
      <c r="I499" s="27"/>
      <c r="J499" s="27">
        <f t="shared" si="113"/>
        <v>795072</v>
      </c>
      <c r="K499" s="27">
        <f t="shared" si="114"/>
        <v>240111.74400000001</v>
      </c>
      <c r="L499" s="27">
        <f t="shared" si="115"/>
        <v>1035183.7439999999</v>
      </c>
    </row>
    <row r="500" spans="1:12" ht="28.2" x14ac:dyDescent="0.3">
      <c r="A500" s="7"/>
      <c r="B500" s="9" t="s">
        <v>26</v>
      </c>
      <c r="C500" s="26">
        <v>2</v>
      </c>
      <c r="D500" s="26">
        <v>2</v>
      </c>
      <c r="E500" s="26">
        <v>2</v>
      </c>
      <c r="F500" s="26">
        <v>2</v>
      </c>
      <c r="G500" s="27">
        <f>'расчёт зарплаты'!K20</f>
        <v>36808</v>
      </c>
      <c r="H500" s="27">
        <f t="shared" si="116"/>
        <v>883392</v>
      </c>
      <c r="I500" s="27"/>
      <c r="J500" s="27">
        <f t="shared" si="113"/>
        <v>883392</v>
      </c>
      <c r="K500" s="27">
        <f t="shared" si="114"/>
        <v>266784.38400000002</v>
      </c>
      <c r="L500" s="27">
        <f t="shared" si="115"/>
        <v>1150176.3840000001</v>
      </c>
    </row>
    <row r="501" spans="1:12" ht="42" x14ac:dyDescent="0.3">
      <c r="A501" s="7"/>
      <c r="B501" s="9" t="s">
        <v>70</v>
      </c>
      <c r="C501" s="26"/>
      <c r="D501" s="26"/>
      <c r="E501" s="26"/>
      <c r="F501" s="26"/>
      <c r="G501" s="27">
        <f>'расчёт зарплаты'!K490</f>
        <v>0</v>
      </c>
      <c r="H501" s="27">
        <f t="shared" si="116"/>
        <v>0</v>
      </c>
      <c r="I501" s="27"/>
      <c r="J501" s="27">
        <f t="shared" si="113"/>
        <v>0</v>
      </c>
      <c r="K501" s="27">
        <f t="shared" si="114"/>
        <v>0</v>
      </c>
      <c r="L501" s="27">
        <f t="shared" si="115"/>
        <v>0</v>
      </c>
    </row>
    <row r="502" spans="1:12" x14ac:dyDescent="0.3">
      <c r="A502" s="7"/>
      <c r="B502" s="9" t="s">
        <v>30</v>
      </c>
      <c r="C502" s="26"/>
      <c r="D502" s="26"/>
      <c r="E502" s="26"/>
      <c r="F502" s="26"/>
      <c r="G502" s="27">
        <f>'расчёт зарплаты'!K515</f>
        <v>0</v>
      </c>
      <c r="H502" s="27">
        <f t="shared" si="116"/>
        <v>0</v>
      </c>
      <c r="I502" s="27"/>
      <c r="J502" s="27">
        <f t="shared" si="113"/>
        <v>0</v>
      </c>
      <c r="K502" s="27">
        <f t="shared" si="114"/>
        <v>0</v>
      </c>
      <c r="L502" s="27">
        <f t="shared" si="115"/>
        <v>0</v>
      </c>
    </row>
    <row r="503" spans="1:12" ht="39.6" x14ac:dyDescent="0.3">
      <c r="A503" s="7"/>
      <c r="B503" s="22" t="s">
        <v>31</v>
      </c>
      <c r="C503" s="26">
        <v>1</v>
      </c>
      <c r="D503" s="26">
        <v>1</v>
      </c>
      <c r="E503" s="26">
        <v>1</v>
      </c>
      <c r="F503" s="26">
        <v>1</v>
      </c>
      <c r="G503" s="27">
        <f>'расчёт зарплаты'!K45</f>
        <v>50336</v>
      </c>
      <c r="H503" s="27">
        <f t="shared" si="116"/>
        <v>604032</v>
      </c>
      <c r="I503" s="27"/>
      <c r="J503" s="27">
        <f t="shared" si="113"/>
        <v>604032</v>
      </c>
      <c r="K503" s="27">
        <f t="shared" si="114"/>
        <v>182417.66399999999</v>
      </c>
      <c r="L503" s="27">
        <f t="shared" si="115"/>
        <v>786449.66399999999</v>
      </c>
    </row>
    <row r="504" spans="1:12" x14ac:dyDescent="0.3">
      <c r="A504" s="23" t="s">
        <v>63</v>
      </c>
      <c r="B504" s="24"/>
      <c r="C504" s="33">
        <f>C505+C506+C507</f>
        <v>8.5</v>
      </c>
      <c r="D504" s="33">
        <f>D505+D506+D507</f>
        <v>7</v>
      </c>
      <c r="E504" s="33">
        <f>E505+E506+E507</f>
        <v>4</v>
      </c>
      <c r="F504" s="33">
        <f>F505+F506+F507</f>
        <v>6</v>
      </c>
      <c r="G504" s="33"/>
      <c r="H504" s="34">
        <f>H505+H506+H507</f>
        <v>2161676.16</v>
      </c>
      <c r="I504" s="34">
        <f>I505+I506+I507</f>
        <v>0</v>
      </c>
      <c r="J504" s="34">
        <f>J505+J506+J507</f>
        <v>2161676.16</v>
      </c>
      <c r="K504" s="34">
        <f>K505+K506+K507</f>
        <v>652826.20031999995</v>
      </c>
      <c r="L504" s="34">
        <f>L505+L506+L507</f>
        <v>2814502.36032</v>
      </c>
    </row>
    <row r="505" spans="1:12" x14ac:dyDescent="0.3">
      <c r="A505" s="7"/>
      <c r="B505" s="9" t="s">
        <v>14</v>
      </c>
      <c r="C505" s="26">
        <v>2</v>
      </c>
      <c r="D505" s="26">
        <v>2</v>
      </c>
      <c r="E505" s="26">
        <v>1</v>
      </c>
      <c r="F505" s="26">
        <v>2</v>
      </c>
      <c r="G505" s="27">
        <f>'расчёт зарплаты'!K26</f>
        <v>32326.559999999998</v>
      </c>
      <c r="H505" s="27">
        <f>E505*G505*12+ ((D505-E505)*G505/2*12)</f>
        <v>581878.07999999996</v>
      </c>
      <c r="I505" s="27"/>
      <c r="J505" s="27">
        <f t="shared" si="113"/>
        <v>581878.07999999996</v>
      </c>
      <c r="K505" s="27">
        <f t="shared" si="114"/>
        <v>175727.18015999999</v>
      </c>
      <c r="L505" s="27">
        <f t="shared" si="115"/>
        <v>757605.26015999995</v>
      </c>
    </row>
    <row r="506" spans="1:12" x14ac:dyDescent="0.3">
      <c r="A506" s="7"/>
      <c r="B506" s="9" t="s">
        <v>16</v>
      </c>
      <c r="C506" s="26">
        <v>2</v>
      </c>
      <c r="D506" s="26">
        <v>2</v>
      </c>
      <c r="E506" s="26">
        <v>1</v>
      </c>
      <c r="F506" s="26">
        <v>2</v>
      </c>
      <c r="G506" s="27">
        <f>'расчёт зарплаты'!K26</f>
        <v>32326.559999999998</v>
      </c>
      <c r="H506" s="27">
        <f>E506*G506*12+ ((D506-E506)*G506/2*12)</f>
        <v>581878.07999999996</v>
      </c>
      <c r="I506" s="27"/>
      <c r="J506" s="27">
        <f t="shared" si="113"/>
        <v>581878.07999999996</v>
      </c>
      <c r="K506" s="27">
        <f t="shared" si="114"/>
        <v>175727.18015999999</v>
      </c>
      <c r="L506" s="27">
        <f t="shared" si="115"/>
        <v>757605.26015999995</v>
      </c>
    </row>
    <row r="507" spans="1:12" ht="28.2" x14ac:dyDescent="0.3">
      <c r="A507" s="7"/>
      <c r="B507" s="9" t="s">
        <v>71</v>
      </c>
      <c r="C507" s="26">
        <v>4.5</v>
      </c>
      <c r="D507" s="26">
        <v>3</v>
      </c>
      <c r="E507" s="26">
        <v>2</v>
      </c>
      <c r="F507" s="26">
        <v>2</v>
      </c>
      <c r="G507" s="27">
        <f>'расчёт зарплаты'!K41</f>
        <v>33264</v>
      </c>
      <c r="H507" s="27">
        <f>E507*G507*12+ ((D507-E507)*G507/2*12)</f>
        <v>997920</v>
      </c>
      <c r="I507" s="27"/>
      <c r="J507" s="27">
        <f t="shared" si="113"/>
        <v>997920</v>
      </c>
      <c r="K507" s="27">
        <f t="shared" si="114"/>
        <v>301371.83999999997</v>
      </c>
      <c r="L507" s="27">
        <f t="shared" si="115"/>
        <v>1299291.8399999999</v>
      </c>
    </row>
    <row r="508" spans="1:12" x14ac:dyDescent="0.3">
      <c r="A508" s="69" t="s">
        <v>73</v>
      </c>
      <c r="B508" s="69"/>
      <c r="C508" s="30">
        <f>C509+C515</f>
        <v>9.5</v>
      </c>
      <c r="D508" s="30">
        <f>D509+D515</f>
        <v>9.5</v>
      </c>
      <c r="E508" s="30">
        <f>E509+E515</f>
        <v>5.5</v>
      </c>
      <c r="F508" s="30">
        <f>F509+F515</f>
        <v>6</v>
      </c>
      <c r="G508" s="27"/>
      <c r="H508" s="32">
        <f>H509+H515</f>
        <v>2998957.92</v>
      </c>
      <c r="I508" s="27"/>
      <c r="J508" s="32">
        <f>J509+J515</f>
        <v>2998957.92</v>
      </c>
      <c r="K508" s="32">
        <f>K509+K515</f>
        <v>905685.29183999985</v>
      </c>
      <c r="L508" s="32">
        <f>L509+L515</f>
        <v>3904643.21184</v>
      </c>
    </row>
    <row r="509" spans="1:12" x14ac:dyDescent="0.3">
      <c r="A509" s="69" t="s">
        <v>35</v>
      </c>
      <c r="B509" s="69"/>
      <c r="C509" s="30">
        <f>C510+C511+C512+C513+C514</f>
        <v>6</v>
      </c>
      <c r="D509" s="30">
        <f>D510+D511+D512+D513+D514</f>
        <v>6</v>
      </c>
      <c r="E509" s="30">
        <f>E510+E511+E512+E513+E514</f>
        <v>3.5</v>
      </c>
      <c r="F509" s="30">
        <f>F510+F511+F512+F513+F514</f>
        <v>4</v>
      </c>
      <c r="G509" s="32"/>
      <c r="H509" s="32">
        <f>H510+H511+H513+H514+H512</f>
        <v>1842613.92</v>
      </c>
      <c r="I509" s="32"/>
      <c r="J509" s="32">
        <f>H509</f>
        <v>1842613.92</v>
      </c>
      <c r="K509" s="32">
        <f>J509*30.2%</f>
        <v>556469.40383999993</v>
      </c>
      <c r="L509" s="32">
        <f>J509+K509</f>
        <v>2399083.3238399997</v>
      </c>
    </row>
    <row r="510" spans="1:12" x14ac:dyDescent="0.3">
      <c r="A510" s="7"/>
      <c r="B510" s="9" t="s">
        <v>36</v>
      </c>
      <c r="C510" s="26"/>
      <c r="D510" s="26"/>
      <c r="E510" s="26"/>
      <c r="F510" s="26"/>
      <c r="G510" s="27">
        <f>'расчёт зарплаты'!K494</f>
        <v>0</v>
      </c>
      <c r="H510" s="27">
        <f>E510*G510*12+ ((D510-E510)*G510/2*12)</f>
        <v>0</v>
      </c>
      <c r="I510" s="27"/>
      <c r="J510" s="27">
        <f t="shared" ref="J510:J519" si="117">H510</f>
        <v>0</v>
      </c>
      <c r="K510" s="27">
        <f t="shared" ref="K510:K519" si="118">J510*30.2%</f>
        <v>0</v>
      </c>
      <c r="L510" s="27">
        <f t="shared" ref="L510:L519" si="119">J510+K510</f>
        <v>0</v>
      </c>
    </row>
    <row r="511" spans="1:12" x14ac:dyDescent="0.3">
      <c r="A511" s="7"/>
      <c r="B511" s="9" t="s">
        <v>23</v>
      </c>
      <c r="C511" s="26"/>
      <c r="D511" s="26"/>
      <c r="E511" s="26"/>
      <c r="F511" s="26"/>
      <c r="G511" s="27">
        <f>'расчёт зарплаты'!K498</f>
        <v>0</v>
      </c>
      <c r="H511" s="27">
        <f>E511*G511*12+ ((D511-E511)*G511/2*12)</f>
        <v>0</v>
      </c>
      <c r="I511" s="27"/>
      <c r="J511" s="27">
        <f t="shared" si="117"/>
        <v>0</v>
      </c>
      <c r="K511" s="27">
        <f t="shared" si="118"/>
        <v>0</v>
      </c>
      <c r="L511" s="27">
        <f t="shared" si="119"/>
        <v>0</v>
      </c>
    </row>
    <row r="512" spans="1:12" x14ac:dyDescent="0.3">
      <c r="A512" s="7"/>
      <c r="B512" s="25" t="s">
        <v>54</v>
      </c>
      <c r="C512" s="26"/>
      <c r="D512" s="26"/>
      <c r="E512" s="26"/>
      <c r="F512" s="26"/>
      <c r="G512" s="27">
        <f>'расчёт зарплаты'!K517</f>
        <v>0</v>
      </c>
      <c r="H512" s="27">
        <f>E512*G512*12+ ((D512-E512)*G512/2*12)</f>
        <v>0</v>
      </c>
      <c r="I512" s="27"/>
      <c r="J512" s="27">
        <f t="shared" si="117"/>
        <v>0</v>
      </c>
      <c r="K512" s="27">
        <f t="shared" si="118"/>
        <v>0</v>
      </c>
      <c r="L512" s="27">
        <f t="shared" si="119"/>
        <v>0</v>
      </c>
    </row>
    <row r="513" spans="1:12" ht="28.2" x14ac:dyDescent="0.3">
      <c r="A513" s="7"/>
      <c r="B513" s="9" t="s">
        <v>40</v>
      </c>
      <c r="C513" s="26">
        <v>2.5</v>
      </c>
      <c r="D513" s="26">
        <v>2.5</v>
      </c>
      <c r="E513" s="26">
        <v>2</v>
      </c>
      <c r="F513" s="26">
        <v>2</v>
      </c>
      <c r="G513" s="27">
        <f>'расчёт зарплаты'!K26</f>
        <v>32326.559999999998</v>
      </c>
      <c r="H513" s="27">
        <f>E513*G513*12+ ((D513-E513)*G513/2*12)</f>
        <v>872817.11999999988</v>
      </c>
      <c r="I513" s="27"/>
      <c r="J513" s="27">
        <f t="shared" si="117"/>
        <v>872817.11999999988</v>
      </c>
      <c r="K513" s="27">
        <f t="shared" si="118"/>
        <v>263590.77023999998</v>
      </c>
      <c r="L513" s="27">
        <f t="shared" si="119"/>
        <v>1136407.8902399999</v>
      </c>
    </row>
    <row r="514" spans="1:12" x14ac:dyDescent="0.3">
      <c r="A514" s="7"/>
      <c r="B514" s="9" t="s">
        <v>41</v>
      </c>
      <c r="C514" s="26">
        <v>3.5</v>
      </c>
      <c r="D514" s="26">
        <v>3.5</v>
      </c>
      <c r="E514" s="26">
        <v>1.5</v>
      </c>
      <c r="F514" s="26">
        <v>2</v>
      </c>
      <c r="G514" s="27">
        <f>'расчёт зарплаты'!K26</f>
        <v>32326.559999999998</v>
      </c>
      <c r="H514" s="27">
        <f>E514*G514*12+ ((D514-E514)*G514/2*12)</f>
        <v>969796.79999999993</v>
      </c>
      <c r="I514" s="27"/>
      <c r="J514" s="27">
        <f t="shared" si="117"/>
        <v>969796.79999999993</v>
      </c>
      <c r="K514" s="27">
        <f t="shared" si="118"/>
        <v>292878.63359999994</v>
      </c>
      <c r="L514" s="27">
        <f t="shared" si="119"/>
        <v>1262675.4335999999</v>
      </c>
    </row>
    <row r="515" spans="1:12" x14ac:dyDescent="0.3">
      <c r="A515" s="69" t="s">
        <v>43</v>
      </c>
      <c r="B515" s="69"/>
      <c r="C515" s="30">
        <f>C516+C517+C518+C519</f>
        <v>3.5</v>
      </c>
      <c r="D515" s="30">
        <f>D516+D517+D518+D519</f>
        <v>3.5</v>
      </c>
      <c r="E515" s="30">
        <f>E516+E517+E518+E519</f>
        <v>2</v>
      </c>
      <c r="F515" s="30">
        <f>F516+F517+F518+F519</f>
        <v>2</v>
      </c>
      <c r="G515" s="32"/>
      <c r="H515" s="32">
        <f>H516+H517+H518+H519</f>
        <v>1156344</v>
      </c>
      <c r="I515" s="32"/>
      <c r="J515" s="32">
        <f>H515</f>
        <v>1156344</v>
      </c>
      <c r="K515" s="32">
        <f>J515*30.2%</f>
        <v>349215.88799999998</v>
      </c>
      <c r="L515" s="32">
        <f>J515+K515</f>
        <v>1505559.888</v>
      </c>
    </row>
    <row r="516" spans="1:12" x14ac:dyDescent="0.3">
      <c r="A516" s="7"/>
      <c r="B516" s="9" t="s">
        <v>44</v>
      </c>
      <c r="C516" s="26">
        <v>1</v>
      </c>
      <c r="D516" s="26">
        <v>1</v>
      </c>
      <c r="E516" s="26">
        <v>1</v>
      </c>
      <c r="F516" s="26">
        <v>1</v>
      </c>
      <c r="G516" s="27">
        <f>'расчёт зарплаты'!K35</f>
        <v>36256</v>
      </c>
      <c r="H516" s="27">
        <f>E516*G516*12+ ((D516-E516)*G516/2*12)</f>
        <v>435072</v>
      </c>
      <c r="I516" s="27"/>
      <c r="J516" s="27">
        <f t="shared" si="117"/>
        <v>435072</v>
      </c>
      <c r="K516" s="27">
        <f t="shared" si="118"/>
        <v>131391.74400000001</v>
      </c>
      <c r="L516" s="27">
        <f t="shared" si="119"/>
        <v>566463.74399999995</v>
      </c>
    </row>
    <row r="517" spans="1:12" x14ac:dyDescent="0.3">
      <c r="A517" s="7"/>
      <c r="B517" s="9" t="s">
        <v>46</v>
      </c>
      <c r="C517" s="26"/>
      <c r="D517" s="26"/>
      <c r="E517" s="26"/>
      <c r="F517" s="26"/>
      <c r="G517" s="27">
        <f>'расчёт зарплаты'!K519</f>
        <v>0</v>
      </c>
      <c r="H517" s="27">
        <f>E517*G517*12+ ((D517-E517)*G517/2*12)</f>
        <v>0</v>
      </c>
      <c r="I517" s="27"/>
      <c r="J517" s="27">
        <f t="shared" si="117"/>
        <v>0</v>
      </c>
      <c r="K517" s="27">
        <f t="shared" si="118"/>
        <v>0</v>
      </c>
      <c r="L517" s="27">
        <f t="shared" si="119"/>
        <v>0</v>
      </c>
    </row>
    <row r="518" spans="1:12" x14ac:dyDescent="0.3">
      <c r="A518" s="7"/>
      <c r="B518" s="9" t="s">
        <v>47</v>
      </c>
      <c r="C518" s="26">
        <v>2</v>
      </c>
      <c r="D518" s="26">
        <v>2</v>
      </c>
      <c r="E518" s="26">
        <v>1</v>
      </c>
      <c r="F518" s="26">
        <v>1</v>
      </c>
      <c r="G518" s="27">
        <f>'расчёт зарплаты'!K39</f>
        <v>33936</v>
      </c>
      <c r="H518" s="27">
        <f>E518*G518*12+ ((D518-E518)*G518/2*12)</f>
        <v>610848</v>
      </c>
      <c r="I518" s="27"/>
      <c r="J518" s="27">
        <f t="shared" si="117"/>
        <v>610848</v>
      </c>
      <c r="K518" s="27">
        <f t="shared" si="118"/>
        <v>184476.09599999999</v>
      </c>
      <c r="L518" s="27">
        <f t="shared" si="119"/>
        <v>795324.09600000002</v>
      </c>
    </row>
    <row r="519" spans="1:12" x14ac:dyDescent="0.3">
      <c r="A519" s="19"/>
      <c r="B519" s="29" t="s">
        <v>52</v>
      </c>
      <c r="C519" s="35">
        <v>0.5</v>
      </c>
      <c r="D519" s="35">
        <v>0.5</v>
      </c>
      <c r="E519" s="35">
        <v>0</v>
      </c>
      <c r="F519" s="35">
        <v>0</v>
      </c>
      <c r="G519" s="27">
        <f>'расчёт зарплаты'!K20</f>
        <v>36808</v>
      </c>
      <c r="H519" s="27">
        <f>E519*G519*12+ ((D519-E519)*G519/2*12)</f>
        <v>110424</v>
      </c>
      <c r="I519" s="35"/>
      <c r="J519" s="27">
        <f t="shared" si="117"/>
        <v>110424</v>
      </c>
      <c r="K519" s="27">
        <f t="shared" si="118"/>
        <v>33348.048000000003</v>
      </c>
      <c r="L519" s="27">
        <f t="shared" si="119"/>
        <v>143772.04800000001</v>
      </c>
    </row>
    <row r="520" spans="1:12" x14ac:dyDescent="0.3">
      <c r="A520" s="28"/>
      <c r="B520" s="76" t="s">
        <v>90</v>
      </c>
      <c r="C520" s="77"/>
      <c r="D520" s="77"/>
      <c r="E520" s="77"/>
      <c r="F520" s="77"/>
      <c r="G520" s="77"/>
      <c r="H520" s="77"/>
      <c r="I520" s="77"/>
      <c r="J520" s="77"/>
      <c r="K520" s="77"/>
      <c r="L520" s="78"/>
    </row>
    <row r="521" spans="1:12" x14ac:dyDescent="0.3">
      <c r="A521" s="71" t="s">
        <v>68</v>
      </c>
      <c r="B521" s="72"/>
      <c r="C521" s="30">
        <f>C522+C539+C535</f>
        <v>183.25</v>
      </c>
      <c r="D521" s="30">
        <f>D522+D539+D535</f>
        <v>154.25</v>
      </c>
      <c r="E521" s="30">
        <f>E522+E539+E535</f>
        <v>123.3</v>
      </c>
      <c r="F521" s="30">
        <f>F522+F539+F535</f>
        <v>124</v>
      </c>
      <c r="G521" s="27"/>
      <c r="H521" s="27"/>
      <c r="I521" s="27"/>
      <c r="J521" s="27"/>
      <c r="K521" s="27"/>
      <c r="L521" s="27"/>
    </row>
    <row r="522" spans="1:12" x14ac:dyDescent="0.3">
      <c r="A522" s="71" t="s">
        <v>69</v>
      </c>
      <c r="B522" s="72"/>
      <c r="C522" s="30">
        <f>SUM(C523:C534)</f>
        <v>134</v>
      </c>
      <c r="D522" s="30">
        <f>SUM(D523:D534)</f>
        <v>110</v>
      </c>
      <c r="E522" s="30">
        <f>SUM(E523:E534)</f>
        <v>96</v>
      </c>
      <c r="F522" s="30">
        <f>SUM(F523:F534)</f>
        <v>95</v>
      </c>
      <c r="G522" s="30"/>
      <c r="H522" s="31">
        <f>SUM(H523:H534)</f>
        <v>41976468.479999997</v>
      </c>
      <c r="I522" s="32"/>
      <c r="J522" s="32">
        <f>H522-I522</f>
        <v>41976468.479999997</v>
      </c>
      <c r="K522" s="32">
        <f>J522*30.2%</f>
        <v>12676893.480959998</v>
      </c>
      <c r="L522" s="32">
        <f>J522+K522</f>
        <v>54653361.960959993</v>
      </c>
    </row>
    <row r="523" spans="1:12" x14ac:dyDescent="0.3">
      <c r="A523" s="7"/>
      <c r="B523" s="9" t="s">
        <v>11</v>
      </c>
      <c r="C523" s="26">
        <v>81.75</v>
      </c>
      <c r="D523" s="26">
        <v>67</v>
      </c>
      <c r="E523" s="26">
        <v>59</v>
      </c>
      <c r="F523" s="26">
        <v>59</v>
      </c>
      <c r="G523" s="27">
        <f>'расчёт зарплаты'!K10</f>
        <v>33128</v>
      </c>
      <c r="H523" s="27">
        <f>E523*G523*12+ ((D523-E523)*G523/2*12)</f>
        <v>25044768</v>
      </c>
      <c r="I523" s="27"/>
      <c r="J523" s="27">
        <f t="shared" ref="J523:J538" si="120">H523</f>
        <v>25044768</v>
      </c>
      <c r="K523" s="27">
        <f t="shared" ref="K523:K538" si="121">J523*30.2%</f>
        <v>7563519.9359999998</v>
      </c>
      <c r="L523" s="27">
        <f t="shared" ref="L523:L538" si="122">J523+K523</f>
        <v>32608287.936000001</v>
      </c>
    </row>
    <row r="524" spans="1:12" ht="28.2" x14ac:dyDescent="0.3">
      <c r="A524" s="7"/>
      <c r="B524" s="9" t="s">
        <v>94</v>
      </c>
      <c r="C524" s="26">
        <v>2.5</v>
      </c>
      <c r="D524" s="26">
        <v>2</v>
      </c>
      <c r="E524" s="26">
        <v>2</v>
      </c>
      <c r="F524" s="26">
        <v>2</v>
      </c>
      <c r="G524" s="27">
        <f>'расчёт зарплаты'!K12</f>
        <v>36360</v>
      </c>
      <c r="H524" s="27">
        <f>E524*G524*12+ ((D524-E524)*G524/2*12)</f>
        <v>872640</v>
      </c>
      <c r="I524" s="27"/>
      <c r="J524" s="27">
        <f t="shared" si="120"/>
        <v>872640</v>
      </c>
      <c r="K524" s="27">
        <f t="shared" si="121"/>
        <v>263537.27999999997</v>
      </c>
      <c r="L524" s="27">
        <f t="shared" si="122"/>
        <v>1136177.28</v>
      </c>
    </row>
    <row r="525" spans="1:12" x14ac:dyDescent="0.3">
      <c r="A525" s="7"/>
      <c r="B525" s="9" t="s">
        <v>13</v>
      </c>
      <c r="C525" s="26"/>
      <c r="D525" s="26"/>
      <c r="E525" s="26"/>
      <c r="F525" s="26"/>
      <c r="G525" s="27">
        <f>'расчёт зарплаты'!K530</f>
        <v>0</v>
      </c>
      <c r="H525" s="27">
        <f t="shared" ref="H525:H534" si="123">E525*G525*12+ ((D525-E525)*G525/2*12)</f>
        <v>0</v>
      </c>
      <c r="I525" s="27"/>
      <c r="J525" s="27">
        <f t="shared" si="120"/>
        <v>0</v>
      </c>
      <c r="K525" s="27">
        <f t="shared" si="121"/>
        <v>0</v>
      </c>
      <c r="L525" s="27">
        <f t="shared" si="122"/>
        <v>0</v>
      </c>
    </row>
    <row r="526" spans="1:12" x14ac:dyDescent="0.3">
      <c r="A526" s="7"/>
      <c r="B526" s="9" t="s">
        <v>17</v>
      </c>
      <c r="C526" s="26">
        <v>13</v>
      </c>
      <c r="D526" s="26">
        <v>10</v>
      </c>
      <c r="E526" s="26">
        <v>7</v>
      </c>
      <c r="F526" s="26">
        <v>7</v>
      </c>
      <c r="G526" s="27">
        <f>'расчёт зарплаты'!K39</f>
        <v>33936</v>
      </c>
      <c r="H526" s="27">
        <f t="shared" si="123"/>
        <v>3461472</v>
      </c>
      <c r="I526" s="27"/>
      <c r="J526" s="27">
        <f t="shared" si="120"/>
        <v>3461472</v>
      </c>
      <c r="K526" s="27">
        <f t="shared" si="121"/>
        <v>1045364.544</v>
      </c>
      <c r="L526" s="27">
        <f t="shared" si="122"/>
        <v>4506836.5439999998</v>
      </c>
    </row>
    <row r="527" spans="1:12" ht="28.2" x14ac:dyDescent="0.3">
      <c r="A527" s="7"/>
      <c r="B527" s="9" t="s">
        <v>20</v>
      </c>
      <c r="C527" s="26"/>
      <c r="D527" s="26"/>
      <c r="E527" s="26"/>
      <c r="F527" s="26"/>
      <c r="G527" s="27"/>
      <c r="H527" s="27">
        <f t="shared" si="123"/>
        <v>0</v>
      </c>
      <c r="I527" s="27"/>
      <c r="J527" s="27">
        <f t="shared" si="120"/>
        <v>0</v>
      </c>
      <c r="K527" s="27">
        <f t="shared" si="121"/>
        <v>0</v>
      </c>
      <c r="L527" s="27">
        <f t="shared" si="122"/>
        <v>0</v>
      </c>
    </row>
    <row r="528" spans="1:12" x14ac:dyDescent="0.3">
      <c r="A528" s="7"/>
      <c r="B528" s="9" t="s">
        <v>21</v>
      </c>
      <c r="C528" s="26">
        <v>17.5</v>
      </c>
      <c r="D528" s="26">
        <v>14</v>
      </c>
      <c r="E528" s="26">
        <v>11</v>
      </c>
      <c r="F528" s="26">
        <v>11</v>
      </c>
      <c r="G528" s="27">
        <f>'расчёт зарплаты'!K35</f>
        <v>36256</v>
      </c>
      <c r="H528" s="27">
        <f t="shared" si="123"/>
        <v>5438400</v>
      </c>
      <c r="I528" s="27"/>
      <c r="J528" s="27">
        <f t="shared" si="120"/>
        <v>5438400</v>
      </c>
      <c r="K528" s="27">
        <f t="shared" si="121"/>
        <v>1642396.8</v>
      </c>
      <c r="L528" s="27">
        <f t="shared" si="122"/>
        <v>7080796.7999999998</v>
      </c>
    </row>
    <row r="529" spans="1:12" x14ac:dyDescent="0.3">
      <c r="A529" s="7"/>
      <c r="B529" s="9" t="s">
        <v>24</v>
      </c>
      <c r="C529" s="26">
        <v>12</v>
      </c>
      <c r="D529" s="26">
        <v>12</v>
      </c>
      <c r="E529" s="26">
        <v>12</v>
      </c>
      <c r="F529" s="26">
        <v>12</v>
      </c>
      <c r="G529" s="27">
        <f>'расчёт зарплаты'!K8</f>
        <v>33865.919999999998</v>
      </c>
      <c r="H529" s="27">
        <f t="shared" si="123"/>
        <v>4876692.4799999995</v>
      </c>
      <c r="I529" s="27"/>
      <c r="J529" s="27">
        <f t="shared" si="120"/>
        <v>4876692.4799999995</v>
      </c>
      <c r="K529" s="27">
        <f t="shared" si="121"/>
        <v>1472761.1289599999</v>
      </c>
      <c r="L529" s="27">
        <f t="shared" si="122"/>
        <v>6349453.6089599989</v>
      </c>
    </row>
    <row r="530" spans="1:12" ht="42" x14ac:dyDescent="0.3">
      <c r="A530" s="7"/>
      <c r="B530" s="9" t="s">
        <v>25</v>
      </c>
      <c r="C530" s="26">
        <v>4</v>
      </c>
      <c r="D530" s="26">
        <v>2</v>
      </c>
      <c r="E530" s="26">
        <v>2</v>
      </c>
      <c r="F530" s="26">
        <v>2</v>
      </c>
      <c r="G530" s="27">
        <f>'расчёт зарплаты'!K10</f>
        <v>33128</v>
      </c>
      <c r="H530" s="27">
        <f t="shared" si="123"/>
        <v>795072</v>
      </c>
      <c r="I530" s="27"/>
      <c r="J530" s="27">
        <f t="shared" si="120"/>
        <v>795072</v>
      </c>
      <c r="K530" s="27">
        <f t="shared" si="121"/>
        <v>240111.74400000001</v>
      </c>
      <c r="L530" s="27">
        <f t="shared" si="122"/>
        <v>1035183.7439999999</v>
      </c>
    </row>
    <row r="531" spans="1:12" ht="28.2" x14ac:dyDescent="0.3">
      <c r="A531" s="7"/>
      <c r="B531" s="9" t="s">
        <v>26</v>
      </c>
      <c r="C531" s="26">
        <v>2.25</v>
      </c>
      <c r="D531" s="26">
        <v>2</v>
      </c>
      <c r="E531" s="26">
        <v>2</v>
      </c>
      <c r="F531" s="26">
        <v>1</v>
      </c>
      <c r="G531" s="27">
        <f>'расчёт зарплаты'!K20</f>
        <v>36808</v>
      </c>
      <c r="H531" s="27">
        <f t="shared" si="123"/>
        <v>883392</v>
      </c>
      <c r="I531" s="27"/>
      <c r="J531" s="27">
        <f t="shared" si="120"/>
        <v>883392</v>
      </c>
      <c r="K531" s="27">
        <f t="shared" si="121"/>
        <v>266784.38400000002</v>
      </c>
      <c r="L531" s="27">
        <f t="shared" si="122"/>
        <v>1150176.3840000001</v>
      </c>
    </row>
    <row r="532" spans="1:12" ht="42" x14ac:dyDescent="0.3">
      <c r="A532" s="7"/>
      <c r="B532" s="9" t="s">
        <v>70</v>
      </c>
      <c r="C532" s="26"/>
      <c r="D532" s="26"/>
      <c r="E532" s="26"/>
      <c r="F532" s="26"/>
      <c r="G532" s="27">
        <f>'расчёт зарплаты'!K520</f>
        <v>0</v>
      </c>
      <c r="H532" s="27">
        <f t="shared" si="123"/>
        <v>0</v>
      </c>
      <c r="I532" s="27"/>
      <c r="J532" s="27">
        <f t="shared" si="120"/>
        <v>0</v>
      </c>
      <c r="K532" s="27">
        <f t="shared" si="121"/>
        <v>0</v>
      </c>
      <c r="L532" s="27">
        <f t="shared" si="122"/>
        <v>0</v>
      </c>
    </row>
    <row r="533" spans="1:12" x14ac:dyDescent="0.3">
      <c r="A533" s="7"/>
      <c r="B533" s="9" t="s">
        <v>30</v>
      </c>
      <c r="C533" s="26"/>
      <c r="D533" s="26"/>
      <c r="E533" s="26"/>
      <c r="F533" s="26"/>
      <c r="G533" s="27">
        <f>'расчёт зарплаты'!K545</f>
        <v>0</v>
      </c>
      <c r="H533" s="27">
        <f t="shared" si="123"/>
        <v>0</v>
      </c>
      <c r="I533" s="27"/>
      <c r="J533" s="27">
        <f t="shared" si="120"/>
        <v>0</v>
      </c>
      <c r="K533" s="27">
        <f t="shared" si="121"/>
        <v>0</v>
      </c>
      <c r="L533" s="27">
        <f t="shared" si="122"/>
        <v>0</v>
      </c>
    </row>
    <row r="534" spans="1:12" ht="39.6" x14ac:dyDescent="0.3">
      <c r="A534" s="7"/>
      <c r="B534" s="22" t="s">
        <v>31</v>
      </c>
      <c r="C534" s="26">
        <v>1</v>
      </c>
      <c r="D534" s="26">
        <v>1</v>
      </c>
      <c r="E534" s="26">
        <v>1</v>
      </c>
      <c r="F534" s="26">
        <v>1</v>
      </c>
      <c r="G534" s="27">
        <f>'расчёт зарплаты'!K45</f>
        <v>50336</v>
      </c>
      <c r="H534" s="27">
        <f t="shared" si="123"/>
        <v>604032</v>
      </c>
      <c r="I534" s="27"/>
      <c r="J534" s="27">
        <f t="shared" si="120"/>
        <v>604032</v>
      </c>
      <c r="K534" s="27">
        <f t="shared" si="121"/>
        <v>182417.66399999999</v>
      </c>
      <c r="L534" s="27">
        <f t="shared" si="122"/>
        <v>786449.66399999999</v>
      </c>
    </row>
    <row r="535" spans="1:12" x14ac:dyDescent="0.3">
      <c r="A535" s="23" t="s">
        <v>63</v>
      </c>
      <c r="B535" s="24"/>
      <c r="C535" s="33">
        <f>C536+C537+C538</f>
        <v>22</v>
      </c>
      <c r="D535" s="33">
        <f>D536+D537+D538</f>
        <v>17.75</v>
      </c>
      <c r="E535" s="33">
        <f>E536+E537+E538</f>
        <v>10</v>
      </c>
      <c r="F535" s="33">
        <f>F536+F537+F538</f>
        <v>11</v>
      </c>
      <c r="G535" s="33"/>
      <c r="H535" s="34">
        <f>H536+H537+H538</f>
        <v>5465335.6799999997</v>
      </c>
      <c r="I535" s="34">
        <f>I536+I537+I538</f>
        <v>0</v>
      </c>
      <c r="J535" s="34">
        <f>J536+J537+J538</f>
        <v>5465335.6799999997</v>
      </c>
      <c r="K535" s="34">
        <f>K536+K537+K538</f>
        <v>1650531.3753599999</v>
      </c>
      <c r="L535" s="34">
        <f>L536+L537+L538</f>
        <v>7115867.0553599987</v>
      </c>
    </row>
    <row r="536" spans="1:12" x14ac:dyDescent="0.3">
      <c r="A536" s="7"/>
      <c r="B536" s="9" t="s">
        <v>14</v>
      </c>
      <c r="C536" s="26">
        <v>4.5</v>
      </c>
      <c r="D536" s="26">
        <v>4</v>
      </c>
      <c r="E536" s="26">
        <v>0</v>
      </c>
      <c r="F536" s="26">
        <v>0</v>
      </c>
      <c r="G536" s="27">
        <f>'расчёт зарплаты'!K26</f>
        <v>32326.559999999998</v>
      </c>
      <c r="H536" s="27">
        <f>E536*G536*12+ ((D536-E536)*G536/2*12)</f>
        <v>775837.44</v>
      </c>
      <c r="I536" s="27"/>
      <c r="J536" s="27">
        <f t="shared" si="120"/>
        <v>775837.44</v>
      </c>
      <c r="K536" s="27">
        <f t="shared" si="121"/>
        <v>234302.90687999997</v>
      </c>
      <c r="L536" s="27">
        <f t="shared" si="122"/>
        <v>1010140.3468799999</v>
      </c>
    </row>
    <row r="537" spans="1:12" x14ac:dyDescent="0.3">
      <c r="A537" s="7"/>
      <c r="B537" s="9" t="s">
        <v>16</v>
      </c>
      <c r="C537" s="26">
        <v>5</v>
      </c>
      <c r="D537" s="26">
        <v>5</v>
      </c>
      <c r="E537" s="26">
        <v>4</v>
      </c>
      <c r="F537" s="26">
        <v>5</v>
      </c>
      <c r="G537" s="27">
        <f>'расчёт зарплаты'!K26</f>
        <v>32326.559999999998</v>
      </c>
      <c r="H537" s="27">
        <f>E537*G537*12+ ((D537-E537)*G537/2*12)</f>
        <v>1745634.2399999998</v>
      </c>
      <c r="I537" s="27"/>
      <c r="J537" s="27">
        <f t="shared" si="120"/>
        <v>1745634.2399999998</v>
      </c>
      <c r="K537" s="27">
        <f t="shared" si="121"/>
        <v>527181.54047999997</v>
      </c>
      <c r="L537" s="27">
        <f t="shared" si="122"/>
        <v>2272815.7804799997</v>
      </c>
    </row>
    <row r="538" spans="1:12" ht="28.2" x14ac:dyDescent="0.3">
      <c r="A538" s="7"/>
      <c r="B538" s="9" t="s">
        <v>71</v>
      </c>
      <c r="C538" s="26">
        <v>12.5</v>
      </c>
      <c r="D538" s="26">
        <v>8.75</v>
      </c>
      <c r="E538" s="26">
        <v>6</v>
      </c>
      <c r="F538" s="26">
        <v>6</v>
      </c>
      <c r="G538" s="27">
        <f>'расчёт зарплаты'!K41</f>
        <v>33264</v>
      </c>
      <c r="H538" s="27">
        <f>E538*G538*12+ ((D538-E538)*G538/2*12)</f>
        <v>2943864</v>
      </c>
      <c r="I538" s="27"/>
      <c r="J538" s="27">
        <f t="shared" si="120"/>
        <v>2943864</v>
      </c>
      <c r="K538" s="27">
        <f t="shared" si="121"/>
        <v>889046.92799999996</v>
      </c>
      <c r="L538" s="27">
        <f t="shared" si="122"/>
        <v>3832910.9279999998</v>
      </c>
    </row>
    <row r="539" spans="1:12" x14ac:dyDescent="0.3">
      <c r="A539" s="69" t="s">
        <v>73</v>
      </c>
      <c r="B539" s="69"/>
      <c r="C539" s="30">
        <f>C540+C546</f>
        <v>27.25</v>
      </c>
      <c r="D539" s="30">
        <f>D540+D546</f>
        <v>26.5</v>
      </c>
      <c r="E539" s="30">
        <f>E540+E546</f>
        <v>17.3</v>
      </c>
      <c r="F539" s="30">
        <f>F540+F546</f>
        <v>18</v>
      </c>
      <c r="G539" s="27"/>
      <c r="H539" s="27">
        <f>E539*G539*12+ ((D539-E539)*G539/2*12)</f>
        <v>0</v>
      </c>
      <c r="I539" s="27"/>
      <c r="J539" s="32">
        <f>J540+J546</f>
        <v>8766304.6079999991</v>
      </c>
      <c r="K539" s="32">
        <f>K540+K546</f>
        <v>2647423.9916159995</v>
      </c>
      <c r="L539" s="32">
        <f>L540+L546</f>
        <v>11413728.599615999</v>
      </c>
    </row>
    <row r="540" spans="1:12" x14ac:dyDescent="0.3">
      <c r="A540" s="69" t="s">
        <v>35</v>
      </c>
      <c r="B540" s="69"/>
      <c r="C540" s="30">
        <f>C541+C542+C543+C544+C545</f>
        <v>18.75</v>
      </c>
      <c r="D540" s="30">
        <f>D541+D542+D543+D544+D545</f>
        <v>18</v>
      </c>
      <c r="E540" s="30">
        <f>E541+E542+E543+E544+E545</f>
        <v>12.3</v>
      </c>
      <c r="F540" s="30">
        <f>F541+F542+F543+F544+F545</f>
        <v>12</v>
      </c>
      <c r="G540" s="32"/>
      <c r="H540" s="32">
        <f>H541+H542+H544+H545+H543</f>
        <v>5876968.6079999991</v>
      </c>
      <c r="I540" s="32"/>
      <c r="J540" s="32">
        <f>H540</f>
        <v>5876968.6079999991</v>
      </c>
      <c r="K540" s="32">
        <f>J540*30.2%</f>
        <v>1774844.5196159997</v>
      </c>
      <c r="L540" s="32">
        <f>J540+K540</f>
        <v>7651813.1276159985</v>
      </c>
    </row>
    <row r="541" spans="1:12" x14ac:dyDescent="0.3">
      <c r="A541" s="7"/>
      <c r="B541" s="9" t="s">
        <v>36</v>
      </c>
      <c r="C541" s="26"/>
      <c r="D541" s="26"/>
      <c r="E541" s="26"/>
      <c r="F541" s="26"/>
      <c r="G541" s="27">
        <f>'расчёт зарплаты'!K524</f>
        <v>0</v>
      </c>
      <c r="H541" s="27">
        <f>E541*G541*12+ ((D541-E541)*G541/2*12)</f>
        <v>0</v>
      </c>
      <c r="I541" s="27"/>
      <c r="J541" s="27">
        <f t="shared" ref="J541:J550" si="124">H541</f>
        <v>0</v>
      </c>
      <c r="K541" s="27">
        <f t="shared" ref="K541:K550" si="125">J541*30.2%</f>
        <v>0</v>
      </c>
      <c r="L541" s="27">
        <f t="shared" ref="L541:L550" si="126">J541+K541</f>
        <v>0</v>
      </c>
    </row>
    <row r="542" spans="1:12" x14ac:dyDescent="0.3">
      <c r="A542" s="7"/>
      <c r="B542" s="9" t="s">
        <v>23</v>
      </c>
      <c r="C542" s="26"/>
      <c r="D542" s="26"/>
      <c r="E542" s="26"/>
      <c r="F542" s="26"/>
      <c r="G542" s="27">
        <f>'расчёт зарплаты'!K528</f>
        <v>0</v>
      </c>
      <c r="H542" s="27">
        <f>E542*G542*12+ ((D542-E542)*G542/2*12)</f>
        <v>0</v>
      </c>
      <c r="I542" s="27"/>
      <c r="J542" s="27">
        <f t="shared" si="124"/>
        <v>0</v>
      </c>
      <c r="K542" s="27">
        <f t="shared" si="125"/>
        <v>0</v>
      </c>
      <c r="L542" s="27">
        <f t="shared" si="126"/>
        <v>0</v>
      </c>
    </row>
    <row r="543" spans="1:12" x14ac:dyDescent="0.3">
      <c r="A543" s="7"/>
      <c r="B543" s="25" t="s">
        <v>54</v>
      </c>
      <c r="C543" s="26"/>
      <c r="D543" s="26"/>
      <c r="E543" s="26"/>
      <c r="F543" s="26"/>
      <c r="G543" s="27">
        <f>'расчёт зарплаты'!K547</f>
        <v>0</v>
      </c>
      <c r="H543" s="27">
        <f>E543*G543*12+ ((D543-E543)*G543/2*12)</f>
        <v>0</v>
      </c>
      <c r="I543" s="27"/>
      <c r="J543" s="27">
        <f t="shared" si="124"/>
        <v>0</v>
      </c>
      <c r="K543" s="27">
        <f t="shared" si="125"/>
        <v>0</v>
      </c>
      <c r="L543" s="27">
        <f t="shared" si="126"/>
        <v>0</v>
      </c>
    </row>
    <row r="544" spans="1:12" ht="28.2" x14ac:dyDescent="0.3">
      <c r="A544" s="7"/>
      <c r="B544" s="9" t="s">
        <v>40</v>
      </c>
      <c r="C544" s="26">
        <v>7.75</v>
      </c>
      <c r="D544" s="26">
        <v>7.75</v>
      </c>
      <c r="E544" s="26">
        <v>4.3</v>
      </c>
      <c r="F544" s="26">
        <v>5</v>
      </c>
      <c r="G544" s="27">
        <f>'расчёт зарплаты'!K26</f>
        <v>32326.559999999998</v>
      </c>
      <c r="H544" s="27">
        <f>E544*G544*12+ ((D544-E544)*G544/2*12)</f>
        <v>2337210.2879999997</v>
      </c>
      <c r="I544" s="27"/>
      <c r="J544" s="27">
        <f t="shared" si="124"/>
        <v>2337210.2879999997</v>
      </c>
      <c r="K544" s="27">
        <f t="shared" si="125"/>
        <v>705837.50697599992</v>
      </c>
      <c r="L544" s="27">
        <f t="shared" si="126"/>
        <v>3043047.7949759997</v>
      </c>
    </row>
    <row r="545" spans="1:12" x14ac:dyDescent="0.3">
      <c r="A545" s="7"/>
      <c r="B545" s="9" t="s">
        <v>41</v>
      </c>
      <c r="C545" s="26">
        <v>11</v>
      </c>
      <c r="D545" s="26">
        <v>10.25</v>
      </c>
      <c r="E545" s="26">
        <v>8</v>
      </c>
      <c r="F545" s="26">
        <v>7</v>
      </c>
      <c r="G545" s="27">
        <f>'расчёт зарплаты'!K26</f>
        <v>32326.559999999998</v>
      </c>
      <c r="H545" s="27">
        <f>E545*G545*12+ ((D545-E545)*G545/2*12)</f>
        <v>3539758.32</v>
      </c>
      <c r="I545" s="27"/>
      <c r="J545" s="27">
        <f t="shared" si="124"/>
        <v>3539758.32</v>
      </c>
      <c r="K545" s="27">
        <f t="shared" si="125"/>
        <v>1069007.0126399999</v>
      </c>
      <c r="L545" s="27">
        <f t="shared" si="126"/>
        <v>4608765.3326399997</v>
      </c>
    </row>
    <row r="546" spans="1:12" x14ac:dyDescent="0.3">
      <c r="A546" s="69" t="s">
        <v>43</v>
      </c>
      <c r="B546" s="69"/>
      <c r="C546" s="30">
        <f>C547+C548+C549+C550</f>
        <v>8.5</v>
      </c>
      <c r="D546" s="30">
        <f>D547+D548+D549+D550</f>
        <v>8.5</v>
      </c>
      <c r="E546" s="30">
        <f>E547+E548+E549+E550</f>
        <v>5</v>
      </c>
      <c r="F546" s="30">
        <f>F547+F548+F549+F550</f>
        <v>6</v>
      </c>
      <c r="G546" s="32"/>
      <c r="H546" s="32">
        <f>H547+H548+H549+H550</f>
        <v>2889336</v>
      </c>
      <c r="I546" s="32"/>
      <c r="J546" s="32">
        <f>H546</f>
        <v>2889336</v>
      </c>
      <c r="K546" s="32">
        <f>J546*30.2%</f>
        <v>872579.47199999995</v>
      </c>
      <c r="L546" s="32">
        <f>J546+K546</f>
        <v>3761915.4720000001</v>
      </c>
    </row>
    <row r="547" spans="1:12" x14ac:dyDescent="0.3">
      <c r="A547" s="7"/>
      <c r="B547" s="9" t="s">
        <v>44</v>
      </c>
      <c r="C547" s="26">
        <v>4</v>
      </c>
      <c r="D547" s="26">
        <v>4</v>
      </c>
      <c r="E547" s="26">
        <v>3</v>
      </c>
      <c r="F547" s="26">
        <v>4</v>
      </c>
      <c r="G547" s="27">
        <f>'расчёт зарплаты'!K35</f>
        <v>36256</v>
      </c>
      <c r="H547" s="27">
        <f>E547*G547*12+ ((D547-E547)*G547/2*12)</f>
        <v>1522752</v>
      </c>
      <c r="I547" s="27"/>
      <c r="J547" s="27">
        <f t="shared" si="124"/>
        <v>1522752</v>
      </c>
      <c r="K547" s="27">
        <f t="shared" si="125"/>
        <v>459871.10399999999</v>
      </c>
      <c r="L547" s="27">
        <f t="shared" si="126"/>
        <v>1982623.1040000001</v>
      </c>
    </row>
    <row r="548" spans="1:12" x14ac:dyDescent="0.3">
      <c r="A548" s="7"/>
      <c r="B548" s="9" t="s">
        <v>46</v>
      </c>
      <c r="C548" s="26"/>
      <c r="D548" s="26"/>
      <c r="E548" s="26"/>
      <c r="F548" s="26"/>
      <c r="G548" s="27">
        <f>'расчёт зарплаты'!K549</f>
        <v>0</v>
      </c>
      <c r="H548" s="27">
        <f>E548*G548*12+ ((D548-E548)*G548/2*12)</f>
        <v>0</v>
      </c>
      <c r="I548" s="27"/>
      <c r="J548" s="27">
        <f t="shared" si="124"/>
        <v>0</v>
      </c>
      <c r="K548" s="27">
        <f t="shared" si="125"/>
        <v>0</v>
      </c>
      <c r="L548" s="27">
        <f t="shared" si="126"/>
        <v>0</v>
      </c>
    </row>
    <row r="549" spans="1:12" x14ac:dyDescent="0.3">
      <c r="A549" s="7"/>
      <c r="B549" s="9" t="s">
        <v>47</v>
      </c>
      <c r="C549" s="26">
        <v>3</v>
      </c>
      <c r="D549" s="26">
        <v>3</v>
      </c>
      <c r="E549" s="26">
        <v>1</v>
      </c>
      <c r="F549" s="26">
        <v>1</v>
      </c>
      <c r="G549" s="27">
        <f>'расчёт зарплаты'!K39</f>
        <v>33936</v>
      </c>
      <c r="H549" s="27">
        <f>E549*G549*12+ ((D549-E549)*G549/2*12)</f>
        <v>814464</v>
      </c>
      <c r="I549" s="27"/>
      <c r="J549" s="27">
        <f t="shared" si="124"/>
        <v>814464</v>
      </c>
      <c r="K549" s="27">
        <f t="shared" si="125"/>
        <v>245968.128</v>
      </c>
      <c r="L549" s="27">
        <f t="shared" si="126"/>
        <v>1060432.128</v>
      </c>
    </row>
    <row r="550" spans="1:12" x14ac:dyDescent="0.3">
      <c r="A550" s="19"/>
      <c r="B550" s="29" t="s">
        <v>52</v>
      </c>
      <c r="C550" s="35">
        <v>1.5</v>
      </c>
      <c r="D550" s="35">
        <v>1.5</v>
      </c>
      <c r="E550" s="35">
        <v>1</v>
      </c>
      <c r="F550" s="35">
        <v>1</v>
      </c>
      <c r="G550" s="27">
        <f>'расчёт зарплаты'!K20</f>
        <v>36808</v>
      </c>
      <c r="H550" s="27">
        <f>E550*G550*12+ ((D550-E550)*G550/2*12)</f>
        <v>552120</v>
      </c>
      <c r="I550" s="35"/>
      <c r="J550" s="27">
        <f t="shared" si="124"/>
        <v>552120</v>
      </c>
      <c r="K550" s="27">
        <f t="shared" si="125"/>
        <v>166740.24</v>
      </c>
      <c r="L550" s="27">
        <f t="shared" si="126"/>
        <v>718860.24</v>
      </c>
    </row>
    <row r="551" spans="1:12" x14ac:dyDescent="0.3">
      <c r="A551" s="28"/>
      <c r="B551" s="76" t="s">
        <v>91</v>
      </c>
      <c r="C551" s="77"/>
      <c r="D551" s="77"/>
      <c r="E551" s="77"/>
      <c r="F551" s="77"/>
      <c r="G551" s="77"/>
      <c r="H551" s="77"/>
      <c r="I551" s="77"/>
      <c r="J551" s="77"/>
      <c r="K551" s="77"/>
      <c r="L551" s="78"/>
    </row>
    <row r="552" spans="1:12" x14ac:dyDescent="0.3">
      <c r="A552" s="71" t="s">
        <v>68</v>
      </c>
      <c r="B552" s="72"/>
      <c r="C552" s="30">
        <f>C553+C569+C565</f>
        <v>42.5</v>
      </c>
      <c r="D552" s="30">
        <f>D553+D569+D565</f>
        <v>39.5</v>
      </c>
      <c r="E552" s="30">
        <f>E553+E569+E565</f>
        <v>36.299999999999997</v>
      </c>
      <c r="F552" s="30">
        <f>F553+F569+F565</f>
        <v>33</v>
      </c>
      <c r="G552" s="27"/>
      <c r="H552" s="27"/>
      <c r="I552" s="27"/>
      <c r="J552" s="27"/>
      <c r="K552" s="27"/>
      <c r="L552" s="27"/>
    </row>
    <row r="553" spans="1:12" x14ac:dyDescent="0.3">
      <c r="A553" s="71" t="s">
        <v>69</v>
      </c>
      <c r="B553" s="72"/>
      <c r="C553" s="30">
        <f>SUM(C554:C564)</f>
        <v>30</v>
      </c>
      <c r="D553" s="30">
        <f>SUM(D554:D564)</f>
        <v>28</v>
      </c>
      <c r="E553" s="30">
        <f>SUM(E554:E564)</f>
        <v>28</v>
      </c>
      <c r="F553" s="30">
        <f>SUM(F554:F564)</f>
        <v>25</v>
      </c>
      <c r="G553" s="30"/>
      <c r="H553" s="31">
        <f>SUM(H554:H564)</f>
        <v>11391210.24</v>
      </c>
      <c r="I553" s="32"/>
      <c r="J553" s="32">
        <f>H553-I553</f>
        <v>11391210.24</v>
      </c>
      <c r="K553" s="32">
        <f>J553*30.2%</f>
        <v>3440145.49248</v>
      </c>
      <c r="L553" s="32">
        <f>J553+K553</f>
        <v>14831355.732480001</v>
      </c>
    </row>
    <row r="554" spans="1:12" x14ac:dyDescent="0.3">
      <c r="A554" s="7"/>
      <c r="B554" s="9" t="s">
        <v>11</v>
      </c>
      <c r="C554" s="26">
        <v>16</v>
      </c>
      <c r="D554" s="26">
        <v>14</v>
      </c>
      <c r="E554" s="26">
        <v>14</v>
      </c>
      <c r="F554" s="26">
        <v>12</v>
      </c>
      <c r="G554" s="27">
        <f>'расчёт зарплаты'!K10</f>
        <v>33128</v>
      </c>
      <c r="H554" s="27">
        <f>E554*G554*12+ ((D554-E554)*G554/2*12)</f>
        <v>5565504</v>
      </c>
      <c r="I554" s="27"/>
      <c r="J554" s="27">
        <f t="shared" ref="J554:J568" si="127">H554</f>
        <v>5565504</v>
      </c>
      <c r="K554" s="27">
        <f t="shared" ref="K554:K568" si="128">J554*30.2%</f>
        <v>1680782.2079999999</v>
      </c>
      <c r="L554" s="27">
        <f t="shared" ref="L554:L568" si="129">J554+K554</f>
        <v>7246286.2079999996</v>
      </c>
    </row>
    <row r="555" spans="1:12" x14ac:dyDescent="0.3">
      <c r="A555" s="7"/>
      <c r="B555" s="9" t="s">
        <v>13</v>
      </c>
      <c r="C555" s="26"/>
      <c r="D555" s="26"/>
      <c r="E555" s="26"/>
      <c r="F555" s="26"/>
      <c r="G555" s="27">
        <f>'расчёт зарплаты'!K560</f>
        <v>0</v>
      </c>
      <c r="H555" s="27">
        <f t="shared" ref="H555:H564" si="130">E555*G555*12+ ((D555-E555)*G555/2*12)</f>
        <v>0</v>
      </c>
      <c r="I555" s="27"/>
      <c r="J555" s="27">
        <f t="shared" si="127"/>
        <v>0</v>
      </c>
      <c r="K555" s="27">
        <f t="shared" si="128"/>
        <v>0</v>
      </c>
      <c r="L555" s="27">
        <f t="shared" si="129"/>
        <v>0</v>
      </c>
    </row>
    <row r="556" spans="1:12" x14ac:dyDescent="0.3">
      <c r="A556" s="7"/>
      <c r="B556" s="9" t="s">
        <v>17</v>
      </c>
      <c r="C556" s="26">
        <v>2</v>
      </c>
      <c r="D556" s="26">
        <v>2</v>
      </c>
      <c r="E556" s="26">
        <v>2</v>
      </c>
      <c r="F556" s="26">
        <v>1</v>
      </c>
      <c r="G556" s="27">
        <f>'расчёт зарплаты'!K39</f>
        <v>33936</v>
      </c>
      <c r="H556" s="27">
        <f t="shared" si="130"/>
        <v>814464</v>
      </c>
      <c r="I556" s="27"/>
      <c r="J556" s="27">
        <f t="shared" si="127"/>
        <v>814464</v>
      </c>
      <c r="K556" s="27">
        <f t="shared" si="128"/>
        <v>245968.128</v>
      </c>
      <c r="L556" s="27">
        <f t="shared" si="129"/>
        <v>1060432.128</v>
      </c>
    </row>
    <row r="557" spans="1:12" ht="28.2" x14ac:dyDescent="0.3">
      <c r="A557" s="7"/>
      <c r="B557" s="9" t="s">
        <v>20</v>
      </c>
      <c r="C557" s="26"/>
      <c r="D557" s="26"/>
      <c r="E557" s="26"/>
      <c r="F557" s="26"/>
      <c r="G557" s="27"/>
      <c r="H557" s="27">
        <f t="shared" si="130"/>
        <v>0</v>
      </c>
      <c r="I557" s="27"/>
      <c r="J557" s="27">
        <f t="shared" si="127"/>
        <v>0</v>
      </c>
      <c r="K557" s="27">
        <f t="shared" si="128"/>
        <v>0</v>
      </c>
      <c r="L557" s="27">
        <f t="shared" si="129"/>
        <v>0</v>
      </c>
    </row>
    <row r="558" spans="1:12" x14ac:dyDescent="0.3">
      <c r="A558" s="7"/>
      <c r="B558" s="9" t="s">
        <v>21</v>
      </c>
      <c r="C558" s="26">
        <v>5</v>
      </c>
      <c r="D558" s="26">
        <v>5</v>
      </c>
      <c r="E558" s="26">
        <v>5</v>
      </c>
      <c r="F558" s="26">
        <v>5</v>
      </c>
      <c r="G558" s="27">
        <f>'расчёт зарплаты'!K35</f>
        <v>36256</v>
      </c>
      <c r="H558" s="27">
        <f t="shared" si="130"/>
        <v>2175360</v>
      </c>
      <c r="I558" s="27"/>
      <c r="J558" s="27">
        <f t="shared" si="127"/>
        <v>2175360</v>
      </c>
      <c r="K558" s="27">
        <f t="shared" si="128"/>
        <v>656958.71999999997</v>
      </c>
      <c r="L558" s="27">
        <f t="shared" si="129"/>
        <v>2832318.7199999997</v>
      </c>
    </row>
    <row r="559" spans="1:12" x14ac:dyDescent="0.3">
      <c r="A559" s="7"/>
      <c r="B559" s="9" t="s">
        <v>24</v>
      </c>
      <c r="C559" s="26">
        <v>6</v>
      </c>
      <c r="D559" s="26">
        <v>6</v>
      </c>
      <c r="E559" s="26">
        <v>6</v>
      </c>
      <c r="F559" s="26">
        <v>6</v>
      </c>
      <c r="G559" s="27">
        <f>'расчёт зарплаты'!K8</f>
        <v>33865.919999999998</v>
      </c>
      <c r="H559" s="27">
        <f t="shared" si="130"/>
        <v>2438346.2399999998</v>
      </c>
      <c r="I559" s="27"/>
      <c r="J559" s="27">
        <f t="shared" si="127"/>
        <v>2438346.2399999998</v>
      </c>
      <c r="K559" s="27">
        <f t="shared" si="128"/>
        <v>736380.56447999994</v>
      </c>
      <c r="L559" s="27">
        <f t="shared" si="129"/>
        <v>3174726.8044799995</v>
      </c>
    </row>
    <row r="560" spans="1:12" ht="42" x14ac:dyDescent="0.3">
      <c r="A560" s="7"/>
      <c r="B560" s="9" t="s">
        <v>25</v>
      </c>
      <c r="C560" s="26">
        <v>1</v>
      </c>
      <c r="D560" s="26">
        <v>1</v>
      </c>
      <c r="E560" s="26">
        <v>1</v>
      </c>
      <c r="F560" s="26">
        <v>1</v>
      </c>
      <c r="G560" s="27">
        <f>'расчёт зарплаты'!K10</f>
        <v>33128</v>
      </c>
      <c r="H560" s="27">
        <f t="shared" si="130"/>
        <v>397536</v>
      </c>
      <c r="I560" s="27"/>
      <c r="J560" s="27">
        <f t="shared" si="127"/>
        <v>397536</v>
      </c>
      <c r="K560" s="27">
        <f t="shared" si="128"/>
        <v>120055.872</v>
      </c>
      <c r="L560" s="27">
        <f t="shared" si="129"/>
        <v>517591.87199999997</v>
      </c>
    </row>
    <row r="561" spans="1:12" ht="28.2" x14ac:dyDescent="0.3">
      <c r="A561" s="7"/>
      <c r="B561" s="9" t="s">
        <v>26</v>
      </c>
      <c r="C561" s="26"/>
      <c r="D561" s="26"/>
      <c r="E561" s="26"/>
      <c r="F561" s="26"/>
      <c r="G561" s="27">
        <f>'расчёт зарплаты'!K560</f>
        <v>0</v>
      </c>
      <c r="H561" s="27">
        <f t="shared" si="130"/>
        <v>0</v>
      </c>
      <c r="I561" s="27"/>
      <c r="J561" s="27">
        <f t="shared" si="127"/>
        <v>0</v>
      </c>
      <c r="K561" s="27">
        <f t="shared" si="128"/>
        <v>0</v>
      </c>
      <c r="L561" s="27">
        <f t="shared" si="129"/>
        <v>0</v>
      </c>
    </row>
    <row r="562" spans="1:12" ht="42" x14ac:dyDescent="0.3">
      <c r="A562" s="7"/>
      <c r="B562" s="9" t="s">
        <v>70</v>
      </c>
      <c r="C562" s="26"/>
      <c r="D562" s="26"/>
      <c r="E562" s="26"/>
      <c r="F562" s="26"/>
      <c r="G562" s="27">
        <f>'расчёт зарплаты'!K550</f>
        <v>0</v>
      </c>
      <c r="H562" s="27">
        <f t="shared" si="130"/>
        <v>0</v>
      </c>
      <c r="I562" s="27"/>
      <c r="J562" s="27">
        <f t="shared" si="127"/>
        <v>0</v>
      </c>
      <c r="K562" s="27">
        <f t="shared" si="128"/>
        <v>0</v>
      </c>
      <c r="L562" s="27">
        <f t="shared" si="129"/>
        <v>0</v>
      </c>
    </row>
    <row r="563" spans="1:12" x14ac:dyDescent="0.3">
      <c r="A563" s="7"/>
      <c r="B563" s="9" t="s">
        <v>30</v>
      </c>
      <c r="C563" s="26"/>
      <c r="D563" s="26"/>
      <c r="E563" s="26"/>
      <c r="F563" s="26"/>
      <c r="G563" s="27">
        <f>'расчёт зарплаты'!K575</f>
        <v>0</v>
      </c>
      <c r="H563" s="27">
        <f t="shared" si="130"/>
        <v>0</v>
      </c>
      <c r="I563" s="27"/>
      <c r="J563" s="27">
        <f t="shared" si="127"/>
        <v>0</v>
      </c>
      <c r="K563" s="27">
        <f t="shared" si="128"/>
        <v>0</v>
      </c>
      <c r="L563" s="27">
        <f t="shared" si="129"/>
        <v>0</v>
      </c>
    </row>
    <row r="564" spans="1:12" ht="39.6" x14ac:dyDescent="0.3">
      <c r="A564" s="7"/>
      <c r="B564" s="22" t="s">
        <v>31</v>
      </c>
      <c r="C564" s="26"/>
      <c r="D564" s="26"/>
      <c r="E564" s="26"/>
      <c r="F564" s="26"/>
      <c r="G564" s="27">
        <f>'расчёт зарплаты'!K585</f>
        <v>0</v>
      </c>
      <c r="H564" s="27">
        <f t="shared" si="130"/>
        <v>0</v>
      </c>
      <c r="I564" s="27"/>
      <c r="J564" s="27">
        <f t="shared" si="127"/>
        <v>0</v>
      </c>
      <c r="K564" s="27">
        <f t="shared" si="128"/>
        <v>0</v>
      </c>
      <c r="L564" s="27">
        <f t="shared" si="129"/>
        <v>0</v>
      </c>
    </row>
    <row r="565" spans="1:12" x14ac:dyDescent="0.3">
      <c r="A565" s="23" t="s">
        <v>63</v>
      </c>
      <c r="B565" s="24"/>
      <c r="C565" s="33">
        <f>C566+C567+C568</f>
        <v>6</v>
      </c>
      <c r="D565" s="33">
        <f>D566+D567+D568</f>
        <v>5</v>
      </c>
      <c r="E565" s="33">
        <f>E566+E567+E568</f>
        <v>4</v>
      </c>
      <c r="F565" s="33">
        <f>F566+F567+F568</f>
        <v>4</v>
      </c>
      <c r="G565" s="33"/>
      <c r="H565" s="34">
        <f>H566+H567+H568</f>
        <v>1773757.4399999999</v>
      </c>
      <c r="I565" s="34">
        <f>I566+I567+I568</f>
        <v>0</v>
      </c>
      <c r="J565" s="34">
        <f>J566+J567+J568</f>
        <v>1773757.4399999999</v>
      </c>
      <c r="K565" s="34">
        <f>K566+K567+K568</f>
        <v>535674.74687999999</v>
      </c>
      <c r="L565" s="34">
        <f>L566+L567+L568</f>
        <v>2309432.1868799999</v>
      </c>
    </row>
    <row r="566" spans="1:12" x14ac:dyDescent="0.3">
      <c r="A566" s="7"/>
      <c r="B566" s="9" t="s">
        <v>14</v>
      </c>
      <c r="C566" s="26">
        <v>1</v>
      </c>
      <c r="D566" s="26">
        <v>1</v>
      </c>
      <c r="E566" s="26">
        <v>1</v>
      </c>
      <c r="F566" s="26">
        <v>1</v>
      </c>
      <c r="G566" s="27">
        <f>'расчёт зарплаты'!K26</f>
        <v>32326.559999999998</v>
      </c>
      <c r="H566" s="27">
        <f>E566*G566*12+ ((D566-E566)*G566/2*12)</f>
        <v>387918.72</v>
      </c>
      <c r="I566" s="27"/>
      <c r="J566" s="27">
        <f t="shared" si="127"/>
        <v>387918.72</v>
      </c>
      <c r="K566" s="27">
        <f t="shared" si="128"/>
        <v>117151.45343999998</v>
      </c>
      <c r="L566" s="27">
        <f t="shared" si="129"/>
        <v>505070.17343999993</v>
      </c>
    </row>
    <row r="567" spans="1:12" x14ac:dyDescent="0.3">
      <c r="A567" s="7"/>
      <c r="B567" s="9" t="s">
        <v>16</v>
      </c>
      <c r="C567" s="26">
        <v>1</v>
      </c>
      <c r="D567" s="26">
        <v>1</v>
      </c>
      <c r="E567" s="26">
        <v>1</v>
      </c>
      <c r="F567" s="26">
        <v>1</v>
      </c>
      <c r="G567" s="27">
        <f>'расчёт зарплаты'!K26</f>
        <v>32326.559999999998</v>
      </c>
      <c r="H567" s="27">
        <f>E567*G567*12+ ((D567-E567)*G567/2*12)</f>
        <v>387918.72</v>
      </c>
      <c r="I567" s="27"/>
      <c r="J567" s="27">
        <f t="shared" si="127"/>
        <v>387918.72</v>
      </c>
      <c r="K567" s="27">
        <f t="shared" si="128"/>
        <v>117151.45343999998</v>
      </c>
      <c r="L567" s="27">
        <f t="shared" si="129"/>
        <v>505070.17343999993</v>
      </c>
    </row>
    <row r="568" spans="1:12" ht="28.2" x14ac:dyDescent="0.3">
      <c r="A568" s="7"/>
      <c r="B568" s="9" t="s">
        <v>71</v>
      </c>
      <c r="C568" s="26">
        <v>4</v>
      </c>
      <c r="D568" s="26">
        <v>3</v>
      </c>
      <c r="E568" s="26">
        <v>2</v>
      </c>
      <c r="F568" s="26">
        <v>2</v>
      </c>
      <c r="G568" s="27">
        <f>'расчёт зарплаты'!K41</f>
        <v>33264</v>
      </c>
      <c r="H568" s="27">
        <f>E568*G568*12+ ((D568-E568)*G568/2*12)</f>
        <v>997920</v>
      </c>
      <c r="I568" s="27"/>
      <c r="J568" s="27">
        <f t="shared" si="127"/>
        <v>997920</v>
      </c>
      <c r="K568" s="27">
        <f t="shared" si="128"/>
        <v>301371.83999999997</v>
      </c>
      <c r="L568" s="27">
        <f t="shared" si="129"/>
        <v>1299291.8399999999</v>
      </c>
    </row>
    <row r="569" spans="1:12" x14ac:dyDescent="0.3">
      <c r="A569" s="69" t="s">
        <v>73</v>
      </c>
      <c r="B569" s="69"/>
      <c r="C569" s="30">
        <f>C570+C576</f>
        <v>6.5</v>
      </c>
      <c r="D569" s="30">
        <f>D570+D576</f>
        <v>6.5</v>
      </c>
      <c r="E569" s="30">
        <f>E570+E576</f>
        <v>4.3</v>
      </c>
      <c r="F569" s="30">
        <f>F570+F576</f>
        <v>4</v>
      </c>
      <c r="G569" s="27"/>
      <c r="H569" s="27">
        <f>E569*G569*12+ ((D569-E569)*G569/2*12)</f>
        <v>0</v>
      </c>
      <c r="I569" s="27"/>
      <c r="J569" s="32">
        <f>J570+J576</f>
        <v>2166055.9679999999</v>
      </c>
      <c r="K569" s="32">
        <f>K570+K576</f>
        <v>654148.902336</v>
      </c>
      <c r="L569" s="32">
        <f>L570+L576</f>
        <v>2820204.8703359999</v>
      </c>
    </row>
    <row r="570" spans="1:12" x14ac:dyDescent="0.3">
      <c r="A570" s="69" t="s">
        <v>35</v>
      </c>
      <c r="B570" s="69"/>
      <c r="C570" s="30">
        <f>C571+C572+C573+C574+C575</f>
        <v>4</v>
      </c>
      <c r="D570" s="30">
        <f>D571+D572+D573+D574+D575</f>
        <v>4</v>
      </c>
      <c r="E570" s="30">
        <f>E571+E572+E573+E574+E575</f>
        <v>2.2999999999999998</v>
      </c>
      <c r="F570" s="30">
        <f>F571+F572+F573+F574+F575</f>
        <v>2</v>
      </c>
      <c r="G570" s="32"/>
      <c r="H570" s="32">
        <f>H571+H572+H574+H575+H573</f>
        <v>1221943.9679999999</v>
      </c>
      <c r="I570" s="32"/>
      <c r="J570" s="32">
        <f>H570</f>
        <v>1221943.9679999999</v>
      </c>
      <c r="K570" s="32">
        <f>J570*30.2%</f>
        <v>369027.07833599998</v>
      </c>
      <c r="L570" s="32">
        <f>J570+K570</f>
        <v>1590971.0463359999</v>
      </c>
    </row>
    <row r="571" spans="1:12" x14ac:dyDescent="0.3">
      <c r="A571" s="7"/>
      <c r="B571" s="9" t="s">
        <v>36</v>
      </c>
      <c r="C571" s="26"/>
      <c r="D571" s="26"/>
      <c r="E571" s="26"/>
      <c r="F571" s="26"/>
      <c r="G571" s="27">
        <f>'расчёт зарплаты'!K554</f>
        <v>0</v>
      </c>
      <c r="H571" s="27">
        <f>E571*G571*12+ ((D571-E571)*G571/2*12)</f>
        <v>0</v>
      </c>
      <c r="I571" s="27"/>
      <c r="J571" s="27">
        <f t="shared" ref="J571:J580" si="131">H571</f>
        <v>0</v>
      </c>
      <c r="K571" s="27">
        <f t="shared" ref="K571:K580" si="132">J571*30.2%</f>
        <v>0</v>
      </c>
      <c r="L571" s="27">
        <f t="shared" ref="L571:L580" si="133">J571+K571</f>
        <v>0</v>
      </c>
    </row>
    <row r="572" spans="1:12" x14ac:dyDescent="0.3">
      <c r="A572" s="7"/>
      <c r="B572" s="9" t="s">
        <v>23</v>
      </c>
      <c r="C572" s="26"/>
      <c r="D572" s="26"/>
      <c r="E572" s="26"/>
      <c r="F572" s="26"/>
      <c r="G572" s="27">
        <f>'расчёт зарплаты'!K558</f>
        <v>0</v>
      </c>
      <c r="H572" s="27">
        <f>E572*G572*12+ ((D572-E572)*G572/2*12)</f>
        <v>0</v>
      </c>
      <c r="I572" s="27"/>
      <c r="J572" s="27">
        <f t="shared" si="131"/>
        <v>0</v>
      </c>
      <c r="K572" s="27">
        <f t="shared" si="132"/>
        <v>0</v>
      </c>
      <c r="L572" s="27">
        <f t="shared" si="133"/>
        <v>0</v>
      </c>
    </row>
    <row r="573" spans="1:12" x14ac:dyDescent="0.3">
      <c r="A573" s="7"/>
      <c r="B573" s="25" t="s">
        <v>54</v>
      </c>
      <c r="C573" s="26"/>
      <c r="D573" s="26"/>
      <c r="E573" s="26"/>
      <c r="F573" s="26"/>
      <c r="G573" s="27">
        <f>'расчёт зарплаты'!K577</f>
        <v>0</v>
      </c>
      <c r="H573" s="27">
        <f>E573*G573*12+ ((D573-E573)*G573/2*12)</f>
        <v>0</v>
      </c>
      <c r="I573" s="27"/>
      <c r="J573" s="27">
        <f t="shared" si="131"/>
        <v>0</v>
      </c>
      <c r="K573" s="27">
        <f t="shared" si="132"/>
        <v>0</v>
      </c>
      <c r="L573" s="27">
        <f t="shared" si="133"/>
        <v>0</v>
      </c>
    </row>
    <row r="574" spans="1:12" ht="28.2" x14ac:dyDescent="0.3">
      <c r="A574" s="7"/>
      <c r="B574" s="9" t="s">
        <v>40</v>
      </c>
      <c r="C574" s="26">
        <v>2</v>
      </c>
      <c r="D574" s="26">
        <v>2</v>
      </c>
      <c r="E574" s="26">
        <v>1</v>
      </c>
      <c r="F574" s="26">
        <v>1</v>
      </c>
      <c r="G574" s="27">
        <f>'расчёт зарплаты'!K26</f>
        <v>32326.559999999998</v>
      </c>
      <c r="H574" s="27">
        <f>E574*G574*12+ ((D574-E574)*G574/2*12)</f>
        <v>581878.07999999996</v>
      </c>
      <c r="I574" s="27"/>
      <c r="J574" s="27">
        <f t="shared" si="131"/>
        <v>581878.07999999996</v>
      </c>
      <c r="K574" s="27">
        <f t="shared" si="132"/>
        <v>175727.18015999999</v>
      </c>
      <c r="L574" s="27">
        <f t="shared" si="133"/>
        <v>757605.26015999995</v>
      </c>
    </row>
    <row r="575" spans="1:12" x14ac:dyDescent="0.3">
      <c r="A575" s="7"/>
      <c r="B575" s="9" t="s">
        <v>41</v>
      </c>
      <c r="C575" s="26">
        <v>2</v>
      </c>
      <c r="D575" s="26">
        <v>2</v>
      </c>
      <c r="E575" s="26">
        <v>1.3</v>
      </c>
      <c r="F575" s="26">
        <v>1</v>
      </c>
      <c r="G575" s="27">
        <f>'расчёт зарплаты'!K26</f>
        <v>32326.559999999998</v>
      </c>
      <c r="H575" s="27">
        <f>E575*G575*12+ ((D575-E575)*G575/2*12)</f>
        <v>640065.88800000004</v>
      </c>
      <c r="I575" s="27"/>
      <c r="J575" s="27">
        <f t="shared" si="131"/>
        <v>640065.88800000004</v>
      </c>
      <c r="K575" s="27">
        <f t="shared" si="132"/>
        <v>193299.89817600002</v>
      </c>
      <c r="L575" s="27">
        <f t="shared" si="133"/>
        <v>833365.78617600002</v>
      </c>
    </row>
    <row r="576" spans="1:12" x14ac:dyDescent="0.3">
      <c r="A576" s="69" t="s">
        <v>43</v>
      </c>
      <c r="B576" s="69"/>
      <c r="C576" s="30">
        <f>C577+C578+C579+C580</f>
        <v>2.5</v>
      </c>
      <c r="D576" s="30">
        <f>D577+D578+D579+D580</f>
        <v>2.5</v>
      </c>
      <c r="E576" s="30">
        <f>E577+E578+E579+E580</f>
        <v>2</v>
      </c>
      <c r="F576" s="30">
        <f>F577+F578+F579+F580</f>
        <v>2</v>
      </c>
      <c r="G576" s="32"/>
      <c r="H576" s="32">
        <f>H577+H578+H579+H580</f>
        <v>944112</v>
      </c>
      <c r="I576" s="32"/>
      <c r="J576" s="32">
        <f>H576</f>
        <v>944112</v>
      </c>
      <c r="K576" s="32">
        <f>J576*30.2%</f>
        <v>285121.82399999996</v>
      </c>
      <c r="L576" s="32">
        <f>J576+K576</f>
        <v>1229233.824</v>
      </c>
    </row>
    <row r="577" spans="1:12" x14ac:dyDescent="0.3">
      <c r="A577" s="7"/>
      <c r="B577" s="9" t="s">
        <v>44</v>
      </c>
      <c r="C577" s="26">
        <v>1</v>
      </c>
      <c r="D577" s="26">
        <v>1</v>
      </c>
      <c r="E577" s="26">
        <v>1</v>
      </c>
      <c r="F577" s="26">
        <v>1</v>
      </c>
      <c r="G577" s="27">
        <f>'расчёт зарплаты'!K35</f>
        <v>36256</v>
      </c>
      <c r="H577" s="27">
        <f>E577*G577*12+ ((D577-E577)*G577/2*12)</f>
        <v>435072</v>
      </c>
      <c r="I577" s="27"/>
      <c r="J577" s="27">
        <f t="shared" si="131"/>
        <v>435072</v>
      </c>
      <c r="K577" s="27">
        <f t="shared" si="132"/>
        <v>131391.74400000001</v>
      </c>
      <c r="L577" s="27">
        <f t="shared" si="133"/>
        <v>566463.74399999995</v>
      </c>
    </row>
    <row r="578" spans="1:12" x14ac:dyDescent="0.3">
      <c r="A578" s="7"/>
      <c r="B578" s="9" t="s">
        <v>46</v>
      </c>
      <c r="C578" s="26"/>
      <c r="D578" s="26"/>
      <c r="E578" s="26"/>
      <c r="F578" s="26"/>
      <c r="G578" s="27">
        <f>'расчёт зарплаты'!K579</f>
        <v>0</v>
      </c>
      <c r="H578" s="27">
        <f>E578*G578*12+ ((D578-E578)*G578/2*12)</f>
        <v>0</v>
      </c>
      <c r="I578" s="27"/>
      <c r="J578" s="27">
        <f t="shared" si="131"/>
        <v>0</v>
      </c>
      <c r="K578" s="27">
        <f t="shared" si="132"/>
        <v>0</v>
      </c>
      <c r="L578" s="27">
        <f t="shared" si="133"/>
        <v>0</v>
      </c>
    </row>
    <row r="579" spans="1:12" x14ac:dyDescent="0.3">
      <c r="A579" s="7"/>
      <c r="B579" s="9" t="s">
        <v>47</v>
      </c>
      <c r="C579" s="26">
        <v>1.5</v>
      </c>
      <c r="D579" s="26">
        <v>1.5</v>
      </c>
      <c r="E579" s="26">
        <v>1</v>
      </c>
      <c r="F579" s="26">
        <v>1</v>
      </c>
      <c r="G579" s="27">
        <f>'расчёт зарплаты'!K39</f>
        <v>33936</v>
      </c>
      <c r="H579" s="27">
        <f>E579*G579*12+ ((D579-E579)*G579/2*12)</f>
        <v>509040</v>
      </c>
      <c r="I579" s="27"/>
      <c r="J579" s="27">
        <f t="shared" si="131"/>
        <v>509040</v>
      </c>
      <c r="K579" s="27">
        <f t="shared" si="132"/>
        <v>153730.07999999999</v>
      </c>
      <c r="L579" s="27">
        <f t="shared" si="133"/>
        <v>662770.07999999996</v>
      </c>
    </row>
    <row r="580" spans="1:12" x14ac:dyDescent="0.3">
      <c r="A580" s="19"/>
      <c r="B580" s="29" t="s">
        <v>52</v>
      </c>
      <c r="C580" s="35"/>
      <c r="D580" s="35"/>
      <c r="E580" s="35"/>
      <c r="F580" s="35"/>
      <c r="G580" s="27">
        <f>'расчёт зарплаты'!K560</f>
        <v>0</v>
      </c>
      <c r="H580" s="27">
        <f>E580*G580*12+ ((D580-E580)*G580/2*12)</f>
        <v>0</v>
      </c>
      <c r="I580" s="35"/>
      <c r="J580" s="27">
        <f t="shared" si="131"/>
        <v>0</v>
      </c>
      <c r="K580" s="27">
        <f t="shared" si="132"/>
        <v>0</v>
      </c>
      <c r="L580" s="27">
        <f t="shared" si="133"/>
        <v>0</v>
      </c>
    </row>
    <row r="581" spans="1:12" x14ac:dyDescent="0.3">
      <c r="A581" s="28"/>
      <c r="B581" s="76" t="s">
        <v>92</v>
      </c>
      <c r="C581" s="77"/>
      <c r="D581" s="77"/>
      <c r="E581" s="77"/>
      <c r="F581" s="77"/>
      <c r="G581" s="77"/>
      <c r="H581" s="77"/>
      <c r="I581" s="77"/>
      <c r="J581" s="77"/>
      <c r="K581" s="77"/>
      <c r="L581" s="78"/>
    </row>
    <row r="582" spans="1:12" x14ac:dyDescent="0.3">
      <c r="A582" s="71" t="s">
        <v>68</v>
      </c>
      <c r="B582" s="72"/>
      <c r="C582" s="30">
        <f>C583+C599+C595</f>
        <v>19.75</v>
      </c>
      <c r="D582" s="30">
        <f>D583+D599+D595</f>
        <v>19.75</v>
      </c>
      <c r="E582" s="30">
        <f>E583+E599+E595</f>
        <v>20.5</v>
      </c>
      <c r="F582" s="30">
        <f>F583+F599+F595</f>
        <v>19</v>
      </c>
      <c r="G582" s="27"/>
      <c r="H582" s="27"/>
      <c r="I582" s="27"/>
      <c r="J582" s="27"/>
      <c r="K582" s="27"/>
      <c r="L582" s="27"/>
    </row>
    <row r="583" spans="1:12" x14ac:dyDescent="0.3">
      <c r="A583" s="71" t="s">
        <v>69</v>
      </c>
      <c r="B583" s="72"/>
      <c r="C583" s="30">
        <f>SUM(C584:C594)</f>
        <v>15</v>
      </c>
      <c r="D583" s="30">
        <f>SUM(D584:D594)</f>
        <v>15</v>
      </c>
      <c r="E583" s="30">
        <f>SUM(E584:E594)</f>
        <v>15</v>
      </c>
      <c r="F583" s="30">
        <f>SUM(F584:F594)</f>
        <v>13</v>
      </c>
      <c r="G583" s="30"/>
      <c r="H583" s="31">
        <f>SUM(H584:H594)</f>
        <v>6111909.1200000001</v>
      </c>
      <c r="I583" s="32"/>
      <c r="J583" s="32">
        <f>H583-I583</f>
        <v>6111909.1200000001</v>
      </c>
      <c r="K583" s="32">
        <f>J583*30.2%</f>
        <v>1845796.55424</v>
      </c>
      <c r="L583" s="32">
        <f>J583+K583</f>
        <v>7957705.6742400005</v>
      </c>
    </row>
    <row r="584" spans="1:12" x14ac:dyDescent="0.3">
      <c r="A584" s="7"/>
      <c r="B584" s="9" t="s">
        <v>11</v>
      </c>
      <c r="C584" s="26">
        <v>7</v>
      </c>
      <c r="D584" s="26">
        <v>7</v>
      </c>
      <c r="E584" s="26">
        <v>7</v>
      </c>
      <c r="F584" s="26">
        <v>6</v>
      </c>
      <c r="G584" s="27">
        <f>'расчёт зарплаты'!K10</f>
        <v>33128</v>
      </c>
      <c r="H584" s="27">
        <f>E584*G584*12+ ((D584-E584)*G584/2*12)</f>
        <v>2782752</v>
      </c>
      <c r="I584" s="27"/>
      <c r="J584" s="27">
        <f t="shared" ref="J584:J598" si="134">H584</f>
        <v>2782752</v>
      </c>
      <c r="K584" s="27">
        <f t="shared" ref="K584:K598" si="135">J584*30.2%</f>
        <v>840391.10399999993</v>
      </c>
      <c r="L584" s="27">
        <f t="shared" ref="L584:L598" si="136">J584+K584</f>
        <v>3623143.1039999998</v>
      </c>
    </row>
    <row r="585" spans="1:12" x14ac:dyDescent="0.3">
      <c r="A585" s="7"/>
      <c r="B585" s="9" t="s">
        <v>13</v>
      </c>
      <c r="C585" s="26"/>
      <c r="D585" s="26"/>
      <c r="E585" s="26"/>
      <c r="F585" s="26"/>
      <c r="G585" s="27">
        <f>'расчёт зарплаты'!K590</f>
        <v>0</v>
      </c>
      <c r="H585" s="27">
        <f t="shared" ref="H585:H594" si="137">E585*G585*12+ ((D585-E585)*G585/2*12)</f>
        <v>0</v>
      </c>
      <c r="I585" s="27"/>
      <c r="J585" s="27">
        <f t="shared" si="134"/>
        <v>0</v>
      </c>
      <c r="K585" s="27">
        <f t="shared" si="135"/>
        <v>0</v>
      </c>
      <c r="L585" s="27">
        <f t="shared" si="136"/>
        <v>0</v>
      </c>
    </row>
    <row r="586" spans="1:12" x14ac:dyDescent="0.3">
      <c r="A586" s="7"/>
      <c r="B586" s="9" t="s">
        <v>17</v>
      </c>
      <c r="C586" s="26">
        <v>1</v>
      </c>
      <c r="D586" s="26">
        <v>1</v>
      </c>
      <c r="E586" s="26">
        <v>1</v>
      </c>
      <c r="F586" s="26">
        <v>1</v>
      </c>
      <c r="G586" s="27">
        <f>'расчёт зарплаты'!K39</f>
        <v>33936</v>
      </c>
      <c r="H586" s="27">
        <f t="shared" si="137"/>
        <v>407232</v>
      </c>
      <c r="I586" s="27"/>
      <c r="J586" s="27">
        <f t="shared" si="134"/>
        <v>407232</v>
      </c>
      <c r="K586" s="27">
        <f t="shared" si="135"/>
        <v>122984.064</v>
      </c>
      <c r="L586" s="27">
        <f t="shared" si="136"/>
        <v>530216.06400000001</v>
      </c>
    </row>
    <row r="587" spans="1:12" ht="28.2" x14ac:dyDescent="0.3">
      <c r="A587" s="7"/>
      <c r="B587" s="9" t="s">
        <v>20</v>
      </c>
      <c r="C587" s="26"/>
      <c r="D587" s="26"/>
      <c r="E587" s="26"/>
      <c r="F587" s="26"/>
      <c r="G587" s="27"/>
      <c r="H587" s="27">
        <f t="shared" si="137"/>
        <v>0</v>
      </c>
      <c r="I587" s="27"/>
      <c r="J587" s="27">
        <f t="shared" si="134"/>
        <v>0</v>
      </c>
      <c r="K587" s="27">
        <f t="shared" si="135"/>
        <v>0</v>
      </c>
      <c r="L587" s="27">
        <f t="shared" si="136"/>
        <v>0</v>
      </c>
    </row>
    <row r="588" spans="1:12" x14ac:dyDescent="0.3">
      <c r="A588" s="7"/>
      <c r="B588" s="9" t="s">
        <v>21</v>
      </c>
      <c r="C588" s="26">
        <v>2</v>
      </c>
      <c r="D588" s="26">
        <v>2</v>
      </c>
      <c r="E588" s="26">
        <v>2</v>
      </c>
      <c r="F588" s="26">
        <v>1</v>
      </c>
      <c r="G588" s="27">
        <f>'расчёт зарплаты'!K35</f>
        <v>36256</v>
      </c>
      <c r="H588" s="27">
        <f t="shared" si="137"/>
        <v>870144</v>
      </c>
      <c r="I588" s="27"/>
      <c r="J588" s="27">
        <f t="shared" si="134"/>
        <v>870144</v>
      </c>
      <c r="K588" s="27">
        <f t="shared" si="135"/>
        <v>262783.48800000001</v>
      </c>
      <c r="L588" s="27">
        <f t="shared" si="136"/>
        <v>1132927.4879999999</v>
      </c>
    </row>
    <row r="589" spans="1:12" x14ac:dyDescent="0.3">
      <c r="A589" s="7"/>
      <c r="B589" s="9" t="s">
        <v>24</v>
      </c>
      <c r="C589" s="26">
        <v>3</v>
      </c>
      <c r="D589" s="26">
        <v>3</v>
      </c>
      <c r="E589" s="26">
        <v>3</v>
      </c>
      <c r="F589" s="26">
        <v>3</v>
      </c>
      <c r="G589" s="27">
        <f>'расчёт зарплаты'!K8</f>
        <v>33865.919999999998</v>
      </c>
      <c r="H589" s="27">
        <f t="shared" si="137"/>
        <v>1219173.1199999999</v>
      </c>
      <c r="I589" s="27"/>
      <c r="J589" s="27">
        <f t="shared" si="134"/>
        <v>1219173.1199999999</v>
      </c>
      <c r="K589" s="27">
        <f t="shared" si="135"/>
        <v>368190.28223999997</v>
      </c>
      <c r="L589" s="27">
        <f t="shared" si="136"/>
        <v>1587363.4022399997</v>
      </c>
    </row>
    <row r="590" spans="1:12" ht="42" x14ac:dyDescent="0.3">
      <c r="A590" s="7"/>
      <c r="B590" s="9" t="s">
        <v>25</v>
      </c>
      <c r="C590" s="26">
        <v>1</v>
      </c>
      <c r="D590" s="26">
        <v>1</v>
      </c>
      <c r="E590" s="26">
        <v>1</v>
      </c>
      <c r="F590" s="26">
        <v>1</v>
      </c>
      <c r="G590" s="27">
        <f>'расчёт зарплаты'!K10</f>
        <v>33128</v>
      </c>
      <c r="H590" s="27">
        <f t="shared" si="137"/>
        <v>397536</v>
      </c>
      <c r="I590" s="27"/>
      <c r="J590" s="27">
        <f t="shared" si="134"/>
        <v>397536</v>
      </c>
      <c r="K590" s="27">
        <f t="shared" si="135"/>
        <v>120055.872</v>
      </c>
      <c r="L590" s="27">
        <f t="shared" si="136"/>
        <v>517591.87199999997</v>
      </c>
    </row>
    <row r="591" spans="1:12" ht="28.2" x14ac:dyDescent="0.3">
      <c r="A591" s="7"/>
      <c r="B591" s="9" t="s">
        <v>26</v>
      </c>
      <c r="C591" s="26"/>
      <c r="D591" s="26"/>
      <c r="E591" s="26"/>
      <c r="F591" s="26"/>
      <c r="G591" s="27">
        <f>'расчёт зарплаты'!K590</f>
        <v>0</v>
      </c>
      <c r="H591" s="27">
        <f t="shared" si="137"/>
        <v>0</v>
      </c>
      <c r="I591" s="27"/>
      <c r="J591" s="27">
        <f t="shared" si="134"/>
        <v>0</v>
      </c>
      <c r="K591" s="27">
        <f t="shared" si="135"/>
        <v>0</v>
      </c>
      <c r="L591" s="27">
        <f t="shared" si="136"/>
        <v>0</v>
      </c>
    </row>
    <row r="592" spans="1:12" ht="42" x14ac:dyDescent="0.3">
      <c r="A592" s="7"/>
      <c r="B592" s="9" t="s">
        <v>70</v>
      </c>
      <c r="C592" s="26"/>
      <c r="D592" s="26"/>
      <c r="E592" s="26"/>
      <c r="F592" s="26"/>
      <c r="G592" s="27">
        <f>'расчёт зарплаты'!K580</f>
        <v>0</v>
      </c>
      <c r="H592" s="27">
        <f t="shared" si="137"/>
        <v>0</v>
      </c>
      <c r="I592" s="27"/>
      <c r="J592" s="27">
        <f t="shared" si="134"/>
        <v>0</v>
      </c>
      <c r="K592" s="27">
        <f t="shared" si="135"/>
        <v>0</v>
      </c>
      <c r="L592" s="27">
        <f t="shared" si="136"/>
        <v>0</v>
      </c>
    </row>
    <row r="593" spans="1:12" x14ac:dyDescent="0.3">
      <c r="A593" s="7"/>
      <c r="B593" s="9" t="s">
        <v>30</v>
      </c>
      <c r="C593" s="26">
        <v>1</v>
      </c>
      <c r="D593" s="26">
        <v>1</v>
      </c>
      <c r="E593" s="26">
        <v>1</v>
      </c>
      <c r="F593" s="26">
        <v>1</v>
      </c>
      <c r="G593" s="27">
        <f>'расчёт зарплаты'!K35</f>
        <v>36256</v>
      </c>
      <c r="H593" s="27">
        <f t="shared" si="137"/>
        <v>435072</v>
      </c>
      <c r="I593" s="27"/>
      <c r="J593" s="27">
        <f t="shared" si="134"/>
        <v>435072</v>
      </c>
      <c r="K593" s="27">
        <f t="shared" si="135"/>
        <v>131391.74400000001</v>
      </c>
      <c r="L593" s="27">
        <f t="shared" si="136"/>
        <v>566463.74399999995</v>
      </c>
    </row>
    <row r="594" spans="1:12" ht="39.6" x14ac:dyDescent="0.3">
      <c r="A594" s="7"/>
      <c r="B594" s="22" t="s">
        <v>31</v>
      </c>
      <c r="C594" s="26"/>
      <c r="D594" s="26"/>
      <c r="E594" s="26"/>
      <c r="F594" s="26"/>
      <c r="G594" s="27">
        <f>'расчёт зарплаты'!K615</f>
        <v>0</v>
      </c>
      <c r="H594" s="27">
        <f t="shared" si="137"/>
        <v>0</v>
      </c>
      <c r="I594" s="27"/>
      <c r="J594" s="27">
        <f t="shared" si="134"/>
        <v>0</v>
      </c>
      <c r="K594" s="27">
        <f t="shared" si="135"/>
        <v>0</v>
      </c>
      <c r="L594" s="27">
        <f t="shared" si="136"/>
        <v>0</v>
      </c>
    </row>
    <row r="595" spans="1:12" x14ac:dyDescent="0.3">
      <c r="A595" s="23" t="s">
        <v>63</v>
      </c>
      <c r="B595" s="24"/>
      <c r="C595" s="33">
        <f>C596+C597+C598</f>
        <v>1.5</v>
      </c>
      <c r="D595" s="33">
        <f>D596+D597+D598</f>
        <v>1.5</v>
      </c>
      <c r="E595" s="33">
        <f>E596+E597+E598</f>
        <v>2</v>
      </c>
      <c r="F595" s="33">
        <f>F596+F597+F598</f>
        <v>2</v>
      </c>
      <c r="G595" s="33"/>
      <c r="H595" s="34">
        <f>H596+H597+H598</f>
        <v>690107.04</v>
      </c>
      <c r="I595" s="34">
        <f>I596+I597+I598</f>
        <v>0</v>
      </c>
      <c r="J595" s="34">
        <f>J596+J597+J598</f>
        <v>690107.04</v>
      </c>
      <c r="K595" s="34">
        <f>K596+K597+K598</f>
        <v>208412.32607999997</v>
      </c>
      <c r="L595" s="34">
        <f>L596+L597+L598</f>
        <v>898519.36607999995</v>
      </c>
    </row>
    <row r="596" spans="1:12" x14ac:dyDescent="0.3">
      <c r="A596" s="7"/>
      <c r="B596" s="9" t="s">
        <v>14</v>
      </c>
      <c r="C596" s="26">
        <v>0.5</v>
      </c>
      <c r="D596" s="26">
        <v>0.5</v>
      </c>
      <c r="E596" s="26">
        <v>1</v>
      </c>
      <c r="F596" s="26">
        <v>1</v>
      </c>
      <c r="G596" s="27">
        <f>'расчёт зарплаты'!K26</f>
        <v>32326.559999999998</v>
      </c>
      <c r="H596" s="27">
        <f>E596*G596*12+ ((D596-E596)*G596/2*12)</f>
        <v>290939.03999999998</v>
      </c>
      <c r="I596" s="27"/>
      <c r="J596" s="27">
        <f t="shared" si="134"/>
        <v>290939.03999999998</v>
      </c>
      <c r="K596" s="27">
        <f t="shared" si="135"/>
        <v>87863.590079999994</v>
      </c>
      <c r="L596" s="27">
        <f t="shared" si="136"/>
        <v>378802.63007999997</v>
      </c>
    </row>
    <row r="597" spans="1:12" x14ac:dyDescent="0.3">
      <c r="A597" s="7"/>
      <c r="B597" s="9" t="s">
        <v>16</v>
      </c>
      <c r="C597" s="26"/>
      <c r="D597" s="26"/>
      <c r="E597" s="26"/>
      <c r="F597" s="26"/>
      <c r="G597" s="27">
        <f>'расчёт зарплаты'!K596</f>
        <v>0</v>
      </c>
      <c r="H597" s="27">
        <f>E597*G597*12+ ((D597-E597)*G597/2*12)</f>
        <v>0</v>
      </c>
      <c r="I597" s="27"/>
      <c r="J597" s="27">
        <f t="shared" si="134"/>
        <v>0</v>
      </c>
      <c r="K597" s="27">
        <f t="shared" si="135"/>
        <v>0</v>
      </c>
      <c r="L597" s="27">
        <f t="shared" si="136"/>
        <v>0</v>
      </c>
    </row>
    <row r="598" spans="1:12" ht="28.2" x14ac:dyDescent="0.3">
      <c r="A598" s="7"/>
      <c r="B598" s="9" t="s">
        <v>71</v>
      </c>
      <c r="C598" s="26">
        <v>1</v>
      </c>
      <c r="D598" s="26">
        <v>1</v>
      </c>
      <c r="E598" s="26">
        <v>1</v>
      </c>
      <c r="F598" s="26">
        <v>1</v>
      </c>
      <c r="G598" s="27">
        <f>'расчёт зарплаты'!K41</f>
        <v>33264</v>
      </c>
      <c r="H598" s="27">
        <f>E598*G598*12+ ((D598-E598)*G598/2*12)</f>
        <v>399168</v>
      </c>
      <c r="I598" s="27"/>
      <c r="J598" s="27">
        <f t="shared" si="134"/>
        <v>399168</v>
      </c>
      <c r="K598" s="27">
        <f t="shared" si="135"/>
        <v>120548.73599999999</v>
      </c>
      <c r="L598" s="27">
        <f t="shared" si="136"/>
        <v>519716.73599999998</v>
      </c>
    </row>
    <row r="599" spans="1:12" x14ac:dyDescent="0.3">
      <c r="A599" s="69" t="s">
        <v>73</v>
      </c>
      <c r="B599" s="69"/>
      <c r="C599" s="30">
        <f>C600+C606</f>
        <v>3.25</v>
      </c>
      <c r="D599" s="30">
        <f>D600+D606</f>
        <v>3.25</v>
      </c>
      <c r="E599" s="30">
        <f>E600+E606</f>
        <v>3.5</v>
      </c>
      <c r="F599" s="30">
        <f>F600+F606</f>
        <v>4</v>
      </c>
      <c r="G599" s="27"/>
      <c r="H599" s="32">
        <f>H600+H606</f>
        <v>1366035.6</v>
      </c>
      <c r="I599" s="27"/>
      <c r="J599" s="32">
        <f>J600+J606</f>
        <v>1366035.6</v>
      </c>
      <c r="K599" s="32">
        <f>K600+K606</f>
        <v>412542.75119999994</v>
      </c>
      <c r="L599" s="32">
        <f>L600+L606</f>
        <v>1778578.3511999999</v>
      </c>
    </row>
    <row r="600" spans="1:12" x14ac:dyDescent="0.3">
      <c r="A600" s="69" t="s">
        <v>35</v>
      </c>
      <c r="B600" s="69"/>
      <c r="C600" s="30">
        <f>C601+C602+C603+C604+C605</f>
        <v>1.75</v>
      </c>
      <c r="D600" s="30">
        <f>D601+D602+D603+D604+D605</f>
        <v>1.75</v>
      </c>
      <c r="E600" s="30">
        <f>E601+E602+E603+E604+E605</f>
        <v>2</v>
      </c>
      <c r="F600" s="30">
        <f>F601+F602+F603+F604+F605</f>
        <v>2</v>
      </c>
      <c r="G600" s="32"/>
      <c r="H600" s="32">
        <f>H601+H602+H604+H605+H603</f>
        <v>727347.6</v>
      </c>
      <c r="I600" s="32"/>
      <c r="J600" s="32">
        <f>H600</f>
        <v>727347.6</v>
      </c>
      <c r="K600" s="32">
        <f>J600*30.2%</f>
        <v>219658.97519999999</v>
      </c>
      <c r="L600" s="32">
        <f>J600+K600</f>
        <v>947006.57519999996</v>
      </c>
    </row>
    <row r="601" spans="1:12" x14ac:dyDescent="0.3">
      <c r="A601" s="7"/>
      <c r="B601" s="9" t="s">
        <v>36</v>
      </c>
      <c r="C601" s="26"/>
      <c r="D601" s="26"/>
      <c r="E601" s="26"/>
      <c r="F601" s="26"/>
      <c r="G601" s="27">
        <f>'расчёт зарплаты'!K584</f>
        <v>0</v>
      </c>
      <c r="H601" s="27">
        <f>E601*G601*12+ ((D601-E601)*G601/2*12)</f>
        <v>0</v>
      </c>
      <c r="I601" s="27"/>
      <c r="J601" s="27">
        <f t="shared" ref="J601:J610" si="138">H601</f>
        <v>0</v>
      </c>
      <c r="K601" s="27">
        <f t="shared" ref="K601:K610" si="139">J601*30.2%</f>
        <v>0</v>
      </c>
      <c r="L601" s="27">
        <f t="shared" ref="L601:L610" si="140">J601+K601</f>
        <v>0</v>
      </c>
    </row>
    <row r="602" spans="1:12" x14ac:dyDescent="0.3">
      <c r="A602" s="7"/>
      <c r="B602" s="9" t="s">
        <v>23</v>
      </c>
      <c r="C602" s="26"/>
      <c r="D602" s="26"/>
      <c r="E602" s="26"/>
      <c r="F602" s="26"/>
      <c r="G602" s="27">
        <f>'расчёт зарплаты'!K588</f>
        <v>0</v>
      </c>
      <c r="H602" s="27">
        <f>E602*G602*12+ ((D602-E602)*G602/2*12)</f>
        <v>0</v>
      </c>
      <c r="I602" s="27"/>
      <c r="J602" s="27">
        <f t="shared" si="138"/>
        <v>0</v>
      </c>
      <c r="K602" s="27">
        <f t="shared" si="139"/>
        <v>0</v>
      </c>
      <c r="L602" s="27">
        <f t="shared" si="140"/>
        <v>0</v>
      </c>
    </row>
    <row r="603" spans="1:12" x14ac:dyDescent="0.3">
      <c r="A603" s="7"/>
      <c r="B603" s="25" t="s">
        <v>54</v>
      </c>
      <c r="C603" s="26"/>
      <c r="D603" s="26"/>
      <c r="E603" s="26"/>
      <c r="F603" s="26"/>
      <c r="G603" s="27">
        <f>'расчёт зарплаты'!K607</f>
        <v>0</v>
      </c>
      <c r="H603" s="27">
        <f>E603*G603*12+ ((D603-E603)*G603/2*12)</f>
        <v>0</v>
      </c>
      <c r="I603" s="27"/>
      <c r="J603" s="27">
        <f t="shared" si="138"/>
        <v>0</v>
      </c>
      <c r="K603" s="27">
        <f t="shared" si="139"/>
        <v>0</v>
      </c>
      <c r="L603" s="27">
        <f t="shared" si="140"/>
        <v>0</v>
      </c>
    </row>
    <row r="604" spans="1:12" ht="28.2" x14ac:dyDescent="0.3">
      <c r="A604" s="7"/>
      <c r="B604" s="9" t="s">
        <v>40</v>
      </c>
      <c r="C604" s="26">
        <v>0.75</v>
      </c>
      <c r="D604" s="26">
        <v>0.75</v>
      </c>
      <c r="E604" s="26">
        <v>1</v>
      </c>
      <c r="F604" s="26">
        <v>1</v>
      </c>
      <c r="G604" s="27">
        <f>'расчёт зарплаты'!K26</f>
        <v>32326.559999999998</v>
      </c>
      <c r="H604" s="27">
        <f>E604*G604*12+ ((D604-E604)*G604/2*12)</f>
        <v>339428.88</v>
      </c>
      <c r="I604" s="27"/>
      <c r="J604" s="27">
        <f t="shared" si="138"/>
        <v>339428.88</v>
      </c>
      <c r="K604" s="27">
        <f t="shared" si="139"/>
        <v>102507.52176</v>
      </c>
      <c r="L604" s="27">
        <f t="shared" si="140"/>
        <v>441936.40176000004</v>
      </c>
    </row>
    <row r="605" spans="1:12" x14ac:dyDescent="0.3">
      <c r="A605" s="7"/>
      <c r="B605" s="9" t="s">
        <v>41</v>
      </c>
      <c r="C605" s="26">
        <v>1</v>
      </c>
      <c r="D605" s="26">
        <v>1</v>
      </c>
      <c r="E605" s="26">
        <v>1</v>
      </c>
      <c r="F605" s="26">
        <v>1</v>
      </c>
      <c r="G605" s="27">
        <f>'расчёт зарплаты'!K26</f>
        <v>32326.559999999998</v>
      </c>
      <c r="H605" s="27">
        <f>E605*G605*12+ ((D605-E605)*G605/2*12)</f>
        <v>387918.72</v>
      </c>
      <c r="I605" s="27"/>
      <c r="J605" s="27">
        <f t="shared" si="138"/>
        <v>387918.72</v>
      </c>
      <c r="K605" s="27">
        <f t="shared" si="139"/>
        <v>117151.45343999998</v>
      </c>
      <c r="L605" s="27">
        <f t="shared" si="140"/>
        <v>505070.17343999993</v>
      </c>
    </row>
    <row r="606" spans="1:12" x14ac:dyDescent="0.3">
      <c r="A606" s="69" t="s">
        <v>43</v>
      </c>
      <c r="B606" s="69"/>
      <c r="C606" s="30">
        <f>C607+C608+C609+C610</f>
        <v>1.5</v>
      </c>
      <c r="D606" s="30">
        <f>D607+D608+D609+D610</f>
        <v>1.5</v>
      </c>
      <c r="E606" s="30">
        <f>E607+E608+E609+E610</f>
        <v>1.5</v>
      </c>
      <c r="F606" s="30">
        <f>F607+F608+F609+F610</f>
        <v>2</v>
      </c>
      <c r="G606" s="32"/>
      <c r="H606" s="32">
        <f>H607+H608+H609+H610</f>
        <v>638688</v>
      </c>
      <c r="I606" s="32"/>
      <c r="J606" s="32">
        <f>H606</f>
        <v>638688</v>
      </c>
      <c r="K606" s="32">
        <f>J606*30.2%</f>
        <v>192883.77599999998</v>
      </c>
      <c r="L606" s="32">
        <f>J606+K606</f>
        <v>831571.77599999995</v>
      </c>
    </row>
    <row r="607" spans="1:12" x14ac:dyDescent="0.3">
      <c r="A607" s="7"/>
      <c r="B607" s="9" t="s">
        <v>44</v>
      </c>
      <c r="C607" s="26">
        <v>1</v>
      </c>
      <c r="D607" s="26">
        <v>1</v>
      </c>
      <c r="E607" s="26">
        <v>1</v>
      </c>
      <c r="F607" s="26">
        <v>1</v>
      </c>
      <c r="G607" s="27">
        <f>'расчёт зарплаты'!K35</f>
        <v>36256</v>
      </c>
      <c r="H607" s="27">
        <f>E607*G607*12+ ((D607-E607)*G607/2*12)</f>
        <v>435072</v>
      </c>
      <c r="I607" s="27"/>
      <c r="J607" s="27">
        <f t="shared" si="138"/>
        <v>435072</v>
      </c>
      <c r="K607" s="27">
        <f t="shared" si="139"/>
        <v>131391.74400000001</v>
      </c>
      <c r="L607" s="27">
        <f t="shared" si="140"/>
        <v>566463.74399999995</v>
      </c>
    </row>
    <row r="608" spans="1:12" x14ac:dyDescent="0.3">
      <c r="A608" s="7"/>
      <c r="B608" s="9" t="s">
        <v>46</v>
      </c>
      <c r="C608" s="26"/>
      <c r="D608" s="26"/>
      <c r="E608" s="26"/>
      <c r="F608" s="26"/>
      <c r="G608" s="27">
        <f>'расчёт зарплаты'!K609</f>
        <v>0</v>
      </c>
      <c r="H608" s="27">
        <f>E608*G608*12+ ((D608-E608)*G608/2*12)</f>
        <v>0</v>
      </c>
      <c r="I608" s="27"/>
      <c r="J608" s="27">
        <f t="shared" si="138"/>
        <v>0</v>
      </c>
      <c r="K608" s="27">
        <f t="shared" si="139"/>
        <v>0</v>
      </c>
      <c r="L608" s="27">
        <f t="shared" si="140"/>
        <v>0</v>
      </c>
    </row>
    <row r="609" spans="1:12" x14ac:dyDescent="0.3">
      <c r="A609" s="7"/>
      <c r="B609" s="9" t="s">
        <v>47</v>
      </c>
      <c r="C609" s="26">
        <v>0.5</v>
      </c>
      <c r="D609" s="26">
        <v>0.5</v>
      </c>
      <c r="E609" s="26">
        <v>0.5</v>
      </c>
      <c r="F609" s="26">
        <v>1</v>
      </c>
      <c r="G609" s="27">
        <f>'расчёт зарплаты'!K39</f>
        <v>33936</v>
      </c>
      <c r="H609" s="27">
        <f>E609*G609*12+ ((D609-E609)*G609/2*12)</f>
        <v>203616</v>
      </c>
      <c r="I609" s="27"/>
      <c r="J609" s="27">
        <f t="shared" si="138"/>
        <v>203616</v>
      </c>
      <c r="K609" s="27">
        <f t="shared" si="139"/>
        <v>61492.031999999999</v>
      </c>
      <c r="L609" s="27">
        <f t="shared" si="140"/>
        <v>265108.03200000001</v>
      </c>
    </row>
    <row r="610" spans="1:12" x14ac:dyDescent="0.3">
      <c r="A610" s="19"/>
      <c r="B610" s="29" t="s">
        <v>52</v>
      </c>
      <c r="C610" s="35"/>
      <c r="D610" s="35"/>
      <c r="E610" s="35"/>
      <c r="F610" s="35"/>
      <c r="G610" s="27">
        <f>'расчёт зарплаты'!K20</f>
        <v>36808</v>
      </c>
      <c r="H610" s="27">
        <f>E610*G610*12+ ((D610-E610)*G610/2*12)</f>
        <v>0</v>
      </c>
      <c r="I610" s="35"/>
      <c r="J610" s="27">
        <f t="shared" si="138"/>
        <v>0</v>
      </c>
      <c r="K610" s="27">
        <f t="shared" si="139"/>
        <v>0</v>
      </c>
      <c r="L610" s="27">
        <f t="shared" si="140"/>
        <v>0</v>
      </c>
    </row>
    <row r="611" spans="1:12" x14ac:dyDescent="0.3">
      <c r="A611" s="28"/>
      <c r="B611" s="76" t="s">
        <v>93</v>
      </c>
      <c r="C611" s="77"/>
      <c r="D611" s="77"/>
      <c r="E611" s="77"/>
      <c r="F611" s="77"/>
      <c r="G611" s="77"/>
      <c r="H611" s="77"/>
      <c r="I611" s="77"/>
      <c r="J611" s="77"/>
      <c r="K611" s="77"/>
      <c r="L611" s="78"/>
    </row>
    <row r="612" spans="1:12" x14ac:dyDescent="0.3">
      <c r="A612" s="71" t="s">
        <v>68</v>
      </c>
      <c r="B612" s="72"/>
      <c r="C612" s="30">
        <f>C613+C631+C627</f>
        <v>1477.75</v>
      </c>
      <c r="D612" s="30">
        <f>D613+D631+D627</f>
        <v>1367.75</v>
      </c>
      <c r="E612" s="30">
        <f>E613+E631+E627</f>
        <v>1195.1000000000001</v>
      </c>
      <c r="F612" s="30">
        <f>F613+F631+F627</f>
        <v>1208.6500000000001</v>
      </c>
      <c r="G612" s="27"/>
      <c r="H612" s="27"/>
      <c r="I612" s="27"/>
      <c r="J612" s="27"/>
      <c r="K612" s="27"/>
      <c r="L612" s="27"/>
    </row>
    <row r="613" spans="1:12" x14ac:dyDescent="0.3">
      <c r="A613" s="71" t="s">
        <v>69</v>
      </c>
      <c r="B613" s="72"/>
      <c r="C613" s="30">
        <f>SUM(C614:C626)</f>
        <v>1029</v>
      </c>
      <c r="D613" s="30">
        <f>SUM(D614:D626)</f>
        <v>975.5</v>
      </c>
      <c r="E613" s="30">
        <f>SUM(E614:E626)</f>
        <v>878.75000000000011</v>
      </c>
      <c r="F613" s="30">
        <f>SUM(F614:F626)</f>
        <v>887.65</v>
      </c>
      <c r="G613" s="30"/>
      <c r="H613" s="31">
        <f>SUM(H614:H626)</f>
        <v>379890400.41599995</v>
      </c>
      <c r="I613" s="32"/>
      <c r="J613" s="32">
        <f>H613-I613</f>
        <v>379890400.41599995</v>
      </c>
      <c r="K613" s="32">
        <f>J613*30.2%</f>
        <v>114726900.92563199</v>
      </c>
      <c r="L613" s="32">
        <f>J613+K613</f>
        <v>494617301.34163195</v>
      </c>
    </row>
    <row r="614" spans="1:12" x14ac:dyDescent="0.3">
      <c r="A614" s="7"/>
      <c r="B614" s="9" t="s">
        <v>11</v>
      </c>
      <c r="C614" s="26">
        <f>550-41.75</f>
        <v>508.25</v>
      </c>
      <c r="D614" s="26">
        <f>533.5-41.5</f>
        <v>492</v>
      </c>
      <c r="E614" s="26">
        <f>484.2-41</f>
        <v>443.2</v>
      </c>
      <c r="F614" s="26">
        <f>480.15-41</f>
        <v>439.15</v>
      </c>
      <c r="G614" s="27">
        <f>'расчёт зарплаты'!K10</f>
        <v>33128</v>
      </c>
      <c r="H614" s="27">
        <f>E614*G614*12+ ((D614-E614)*G614/2*12)</f>
        <v>185887833.59999999</v>
      </c>
      <c r="I614" s="27"/>
      <c r="J614" s="27">
        <f>H614</f>
        <v>185887833.59999999</v>
      </c>
      <c r="K614" s="27">
        <f>J614*30.2%</f>
        <v>56138125.747199997</v>
      </c>
      <c r="L614" s="27">
        <f>J614+K614</f>
        <v>242025959.34719998</v>
      </c>
    </row>
    <row r="615" spans="1:12" ht="28.2" x14ac:dyDescent="0.3">
      <c r="A615" s="7"/>
      <c r="B615" s="9" t="s">
        <v>96</v>
      </c>
      <c r="C615" s="26">
        <f>19+5.25+9+6+2.5</f>
        <v>41.75</v>
      </c>
      <c r="D615" s="26">
        <f>19+5+9+6+2.5</f>
        <v>41.5</v>
      </c>
      <c r="E615" s="26">
        <f>19+5+9+6+2</f>
        <v>41</v>
      </c>
      <c r="F615" s="26">
        <f>19+5+9+6+2</f>
        <v>41</v>
      </c>
      <c r="G615" s="27">
        <f>'расчёт зарплаты'!K12</f>
        <v>36360</v>
      </c>
      <c r="H615" s="27">
        <f>E615*G615*12+ ((D615-E615)*G615/2*12)</f>
        <v>17998200</v>
      </c>
      <c r="I615" s="27"/>
      <c r="J615" s="27">
        <f t="shared" ref="J615:J626" si="141">H615</f>
        <v>17998200</v>
      </c>
      <c r="K615" s="27">
        <f t="shared" ref="K615:K626" si="142">J615*30.2%</f>
        <v>5435456.3999999994</v>
      </c>
      <c r="L615" s="27">
        <f t="shared" ref="L615:L626" si="143">J615+K615</f>
        <v>23433656.399999999</v>
      </c>
    </row>
    <row r="616" spans="1:12" x14ac:dyDescent="0.3">
      <c r="A616" s="7"/>
      <c r="B616" s="9" t="s">
        <v>13</v>
      </c>
      <c r="C616" s="26">
        <f>12-3.25</f>
        <v>8.75</v>
      </c>
      <c r="D616" s="26">
        <f>8.25-1</f>
        <v>7.25</v>
      </c>
      <c r="E616" s="26">
        <f>8-1</f>
        <v>7</v>
      </c>
      <c r="F616" s="26">
        <f>8-1</f>
        <v>7</v>
      </c>
      <c r="G616" s="27">
        <f>'расчёт зарплаты'!K20</f>
        <v>36808</v>
      </c>
      <c r="H616" s="27">
        <f t="shared" ref="H616:H626" si="144">E616*G616*12+ ((D616-E616)*G616/2*12)</f>
        <v>3147084</v>
      </c>
      <c r="I616" s="27"/>
      <c r="J616" s="27">
        <f t="shared" si="141"/>
        <v>3147084</v>
      </c>
      <c r="K616" s="27">
        <f t="shared" si="142"/>
        <v>950419.36800000002</v>
      </c>
      <c r="L616" s="27">
        <f t="shared" si="143"/>
        <v>4097503.3679999998</v>
      </c>
    </row>
    <row r="617" spans="1:12" ht="28.2" x14ac:dyDescent="0.3">
      <c r="A617" s="7"/>
      <c r="B617" s="9" t="s">
        <v>95</v>
      </c>
      <c r="C617" s="26">
        <f>2.25+1</f>
        <v>3.25</v>
      </c>
      <c r="D617" s="26">
        <f>1</f>
        <v>1</v>
      </c>
      <c r="E617" s="26">
        <f>1</f>
        <v>1</v>
      </c>
      <c r="F617" s="26">
        <f>1</f>
        <v>1</v>
      </c>
      <c r="G617" s="27">
        <f>'расчёт зарплаты'!K22</f>
        <v>37664</v>
      </c>
      <c r="H617" s="27">
        <f t="shared" si="144"/>
        <v>451968</v>
      </c>
      <c r="I617" s="27"/>
      <c r="J617" s="27">
        <f t="shared" si="141"/>
        <v>451968</v>
      </c>
      <c r="K617" s="27">
        <f t="shared" si="142"/>
        <v>136494.33600000001</v>
      </c>
      <c r="L617" s="27">
        <f t="shared" si="143"/>
        <v>588462.33600000001</v>
      </c>
    </row>
    <row r="618" spans="1:12" x14ac:dyDescent="0.3">
      <c r="A618" s="7"/>
      <c r="B618" s="9" t="s">
        <v>17</v>
      </c>
      <c r="C618" s="26">
        <v>90.75</v>
      </c>
      <c r="D618" s="26">
        <f>76.25+3+1</f>
        <v>80.25</v>
      </c>
      <c r="E618" s="26">
        <f>56+3+2+1</f>
        <v>62</v>
      </c>
      <c r="F618" s="26">
        <f>61+3+2+1</f>
        <v>67</v>
      </c>
      <c r="G618" s="27">
        <f>'расчёт зарплаты'!K39</f>
        <v>33936</v>
      </c>
      <c r="H618" s="27">
        <f t="shared" si="144"/>
        <v>28964376</v>
      </c>
      <c r="I618" s="27"/>
      <c r="J618" s="27">
        <f t="shared" si="141"/>
        <v>28964376</v>
      </c>
      <c r="K618" s="27">
        <f t="shared" si="142"/>
        <v>8747241.5519999992</v>
      </c>
      <c r="L618" s="27">
        <f t="shared" si="143"/>
        <v>37711617.552000001</v>
      </c>
    </row>
    <row r="619" spans="1:12" ht="28.2" x14ac:dyDescent="0.3">
      <c r="A619" s="7"/>
      <c r="B619" s="9" t="s">
        <v>20</v>
      </c>
      <c r="C619" s="26">
        <v>1</v>
      </c>
      <c r="D619" s="26">
        <v>1</v>
      </c>
      <c r="E619" s="26">
        <v>1</v>
      </c>
      <c r="F619" s="26">
        <v>1</v>
      </c>
      <c r="G619" s="27">
        <f>'расчёт зарплаты'!K39</f>
        <v>33936</v>
      </c>
      <c r="H619" s="27">
        <f t="shared" si="144"/>
        <v>407232</v>
      </c>
      <c r="I619" s="27"/>
      <c r="J619" s="27">
        <f t="shared" si="141"/>
        <v>407232</v>
      </c>
      <c r="K619" s="27">
        <f t="shared" si="142"/>
        <v>122984.064</v>
      </c>
      <c r="L619" s="27">
        <f t="shared" si="143"/>
        <v>530216.06400000001</v>
      </c>
    </row>
    <row r="620" spans="1:12" x14ac:dyDescent="0.3">
      <c r="A620" s="7"/>
      <c r="B620" s="9" t="s">
        <v>21</v>
      </c>
      <c r="C620" s="26">
        <v>128</v>
      </c>
      <c r="D620" s="26">
        <v>115</v>
      </c>
      <c r="E620" s="26">
        <v>95.85</v>
      </c>
      <c r="F620" s="26">
        <v>98</v>
      </c>
      <c r="G620" s="27">
        <f>'расчёт зарплаты'!K35</f>
        <v>36256</v>
      </c>
      <c r="H620" s="27">
        <f t="shared" si="144"/>
        <v>45867465.599999994</v>
      </c>
      <c r="I620" s="27"/>
      <c r="J620" s="27">
        <f t="shared" si="141"/>
        <v>45867465.599999994</v>
      </c>
      <c r="K620" s="27">
        <f t="shared" si="142"/>
        <v>13851974.611199997</v>
      </c>
      <c r="L620" s="27">
        <f t="shared" si="143"/>
        <v>59719440.211199991</v>
      </c>
    </row>
    <row r="621" spans="1:12" x14ac:dyDescent="0.3">
      <c r="A621" s="7"/>
      <c r="B621" s="9" t="s">
        <v>24</v>
      </c>
      <c r="C621" s="26">
        <v>162</v>
      </c>
      <c r="D621" s="26">
        <v>161</v>
      </c>
      <c r="E621" s="26">
        <v>157.30000000000001</v>
      </c>
      <c r="F621" s="26">
        <v>161</v>
      </c>
      <c r="G621" s="27">
        <f>'расчёт зарплаты'!K8</f>
        <v>33865.919999999998</v>
      </c>
      <c r="H621" s="27">
        <f t="shared" si="144"/>
        <v>64677134.015999995</v>
      </c>
      <c r="I621" s="27"/>
      <c r="J621" s="27">
        <f t="shared" si="141"/>
        <v>64677134.015999995</v>
      </c>
      <c r="K621" s="27">
        <f t="shared" si="142"/>
        <v>19532494.472831998</v>
      </c>
      <c r="L621" s="27">
        <f t="shared" si="143"/>
        <v>84209628.488831997</v>
      </c>
    </row>
    <row r="622" spans="1:12" ht="42" x14ac:dyDescent="0.3">
      <c r="A622" s="7"/>
      <c r="B622" s="9" t="s">
        <v>25</v>
      </c>
      <c r="C622" s="26">
        <v>36</v>
      </c>
      <c r="D622" s="26">
        <v>33.25</v>
      </c>
      <c r="E622" s="26">
        <f>23.9+2+1+1</f>
        <v>27.9</v>
      </c>
      <c r="F622" s="26">
        <f>25.5+2+1+1</f>
        <v>29.5</v>
      </c>
      <c r="G622" s="27">
        <f>'расчёт зарплаты'!K10</f>
        <v>33128</v>
      </c>
      <c r="H622" s="27">
        <f t="shared" si="144"/>
        <v>12154663.199999999</v>
      </c>
      <c r="I622" s="27"/>
      <c r="J622" s="27">
        <f t="shared" si="141"/>
        <v>12154663.199999999</v>
      </c>
      <c r="K622" s="27">
        <f t="shared" si="142"/>
        <v>3670708.2863999996</v>
      </c>
      <c r="L622" s="27">
        <f t="shared" si="143"/>
        <v>15825371.486399999</v>
      </c>
    </row>
    <row r="623" spans="1:12" ht="28.2" x14ac:dyDescent="0.3">
      <c r="A623" s="7"/>
      <c r="B623" s="9" t="s">
        <v>26</v>
      </c>
      <c r="C623" s="26">
        <v>29.25</v>
      </c>
      <c r="D623" s="26">
        <f>26+1+2.25</f>
        <v>29.25</v>
      </c>
      <c r="E623" s="26">
        <f>26+1+2</f>
        <v>29</v>
      </c>
      <c r="F623" s="26">
        <f>26+1+2</f>
        <v>29</v>
      </c>
      <c r="G623" s="27">
        <f>'расчёт зарплаты'!K20</f>
        <v>36808</v>
      </c>
      <c r="H623" s="27">
        <f t="shared" si="144"/>
        <v>12864396</v>
      </c>
      <c r="I623" s="27"/>
      <c r="J623" s="27">
        <f t="shared" si="141"/>
        <v>12864396</v>
      </c>
      <c r="K623" s="27">
        <f t="shared" si="142"/>
        <v>3885047.5919999997</v>
      </c>
      <c r="L623" s="27">
        <f t="shared" si="143"/>
        <v>16749443.592</v>
      </c>
    </row>
    <row r="624" spans="1:12" ht="42" x14ac:dyDescent="0.3">
      <c r="A624" s="7"/>
      <c r="B624" s="9" t="s">
        <v>70</v>
      </c>
      <c r="C624" s="26">
        <v>6</v>
      </c>
      <c r="D624" s="26">
        <v>2</v>
      </c>
      <c r="E624" s="26">
        <f>1+1</f>
        <v>2</v>
      </c>
      <c r="F624" s="26">
        <f>1+1</f>
        <v>2</v>
      </c>
      <c r="G624" s="27">
        <f>'расчёт зарплаты'!K10</f>
        <v>33128</v>
      </c>
      <c r="H624" s="27">
        <f t="shared" si="144"/>
        <v>795072</v>
      </c>
      <c r="I624" s="27"/>
      <c r="J624" s="27">
        <f t="shared" si="141"/>
        <v>795072</v>
      </c>
      <c r="K624" s="27">
        <f t="shared" si="142"/>
        <v>240111.74400000001</v>
      </c>
      <c r="L624" s="27">
        <f t="shared" si="143"/>
        <v>1035183.7439999999</v>
      </c>
    </row>
    <row r="625" spans="1:12" x14ac:dyDescent="0.3">
      <c r="A625" s="7"/>
      <c r="B625" s="9" t="s">
        <v>30</v>
      </c>
      <c r="C625" s="26">
        <v>2.5</v>
      </c>
      <c r="D625" s="26">
        <v>2.5</v>
      </c>
      <c r="E625" s="26">
        <f>2+0.5</f>
        <v>2.5</v>
      </c>
      <c r="F625" s="26">
        <f>2+1</f>
        <v>3</v>
      </c>
      <c r="G625" s="27">
        <f>'расчёт зарплаты'!K35</f>
        <v>36256</v>
      </c>
      <c r="H625" s="27">
        <f t="shared" si="144"/>
        <v>1087680</v>
      </c>
      <c r="I625" s="27"/>
      <c r="J625" s="27">
        <f t="shared" si="141"/>
        <v>1087680</v>
      </c>
      <c r="K625" s="27">
        <f t="shared" si="142"/>
        <v>328479.35999999999</v>
      </c>
      <c r="L625" s="27">
        <f t="shared" si="143"/>
        <v>1416159.3599999999</v>
      </c>
    </row>
    <row r="626" spans="1:12" ht="39.6" x14ac:dyDescent="0.3">
      <c r="A626" s="7"/>
      <c r="B626" s="22" t="s">
        <v>31</v>
      </c>
      <c r="C626" s="26">
        <v>11.5</v>
      </c>
      <c r="D626" s="26">
        <v>9.5</v>
      </c>
      <c r="E626" s="26">
        <v>9</v>
      </c>
      <c r="F626" s="26">
        <v>9</v>
      </c>
      <c r="G626" s="27">
        <f>'расчёт зарплаты'!K45</f>
        <v>50336</v>
      </c>
      <c r="H626" s="27">
        <f t="shared" si="144"/>
        <v>5587296</v>
      </c>
      <c r="I626" s="27"/>
      <c r="J626" s="27">
        <f t="shared" si="141"/>
        <v>5587296</v>
      </c>
      <c r="K626" s="27">
        <f t="shared" si="142"/>
        <v>1687363.392</v>
      </c>
      <c r="L626" s="27">
        <f t="shared" si="143"/>
        <v>7274659.392</v>
      </c>
    </row>
    <row r="627" spans="1:12" x14ac:dyDescent="0.3">
      <c r="A627" s="23" t="s">
        <v>63</v>
      </c>
      <c r="B627" s="24"/>
      <c r="C627" s="33">
        <f>C628+C629+C630</f>
        <v>177</v>
      </c>
      <c r="D627" s="33">
        <f>D628+D629+D630</f>
        <v>147.25</v>
      </c>
      <c r="E627" s="33">
        <f>E628+E629+E630</f>
        <v>117</v>
      </c>
      <c r="F627" s="33">
        <f>F628+F629+F630</f>
        <v>113</v>
      </c>
      <c r="G627" s="33"/>
      <c r="H627" s="34">
        <f>H628+H629+H630</f>
        <v>51862628.159999996</v>
      </c>
      <c r="I627" s="34">
        <f>I628+I629+I630</f>
        <v>0</v>
      </c>
      <c r="J627" s="34">
        <f>J628+J629+J630</f>
        <v>51862628.159999996</v>
      </c>
      <c r="K627" s="34">
        <f>K628+K629+K630</f>
        <v>15662513.704319999</v>
      </c>
      <c r="L627" s="34">
        <f>L628+L629+L630</f>
        <v>67525141.864319995</v>
      </c>
    </row>
    <row r="628" spans="1:12" x14ac:dyDescent="0.3">
      <c r="A628" s="7"/>
      <c r="B628" s="9" t="s">
        <v>14</v>
      </c>
      <c r="C628" s="26">
        <f>C596+C566+C536+C505+C474+C442+C412+C382+C352+C322+C292+C261+C231+C201+C171+C141+C111+C81+C49+C19</f>
        <v>40.75</v>
      </c>
      <c r="D628" s="26">
        <f>D596+D566+D536+D505+D474+D442+D412+D382+D352+D322+D292+D261+D231+D201+D171+D141+D111+D81+D49+D19</f>
        <v>36.25</v>
      </c>
      <c r="E628" s="26">
        <f>E596+E566+E536+E505+E474+E442+E412+E382+E352+E322+E292+E261+E231+E201+E171+E141+E111+E81+E49+E19</f>
        <v>26</v>
      </c>
      <c r="F628" s="26">
        <f>F596+F566+F536+F505+F474+F442+F412+F382+F352+F322+F292+F261+F231+F201+F171+F141+F111+F81+F49+F19</f>
        <v>26</v>
      </c>
      <c r="G628" s="27">
        <f>'расчёт зарплаты'!K26</f>
        <v>32326.559999999998</v>
      </c>
      <c r="H628" s="27">
        <f>E628*G628*12+ ((D628-E628)*G628/2*12)</f>
        <v>12073970.159999998</v>
      </c>
      <c r="I628" s="27"/>
      <c r="J628" s="27">
        <f>H628</f>
        <v>12073970.159999998</v>
      </c>
      <c r="K628" s="27">
        <f>J628*30.2%</f>
        <v>3646338.9883199995</v>
      </c>
      <c r="L628" s="27">
        <f>J628+K628</f>
        <v>15720309.148319997</v>
      </c>
    </row>
    <row r="629" spans="1:12" x14ac:dyDescent="0.3">
      <c r="A629" s="7"/>
      <c r="B629" s="9" t="s">
        <v>16</v>
      </c>
      <c r="C629" s="26">
        <f>C597+C567+C537+C506+C475+C443+C413+C383+C353+C323+C293+C262+C232+C202+C172+C142+C112+C82+C50+C20</f>
        <v>52.5</v>
      </c>
      <c r="D629" s="26">
        <f t="shared" ref="D629:F630" si="145">D597+D567+D537+D506+D475+D443+D413+D383+D353+D323+D293+D262+D232+D202+D172+D142+D112+D82+D50+D20</f>
        <v>48.75</v>
      </c>
      <c r="E629" s="26">
        <f t="shared" si="145"/>
        <v>45</v>
      </c>
      <c r="F629" s="26">
        <f t="shared" si="145"/>
        <v>44</v>
      </c>
      <c r="G629" s="27">
        <f>'расчёт зарплаты'!K26</f>
        <v>32326.559999999998</v>
      </c>
      <c r="H629" s="27">
        <f>E629*G629*12+ ((D629-E629)*G629/2*12)</f>
        <v>18183690</v>
      </c>
      <c r="I629" s="27"/>
      <c r="J629" s="27">
        <f>H629</f>
        <v>18183690</v>
      </c>
      <c r="K629" s="27">
        <f>J629*30.2%</f>
        <v>5491474.3799999999</v>
      </c>
      <c r="L629" s="27">
        <f>J629+K629</f>
        <v>23675164.379999999</v>
      </c>
    </row>
    <row r="630" spans="1:12" ht="28.2" x14ac:dyDescent="0.3">
      <c r="A630" s="7"/>
      <c r="B630" s="9" t="s">
        <v>71</v>
      </c>
      <c r="C630" s="26">
        <f>C598+C568+C538+C507+C476+C444+C414+C384+C354+C324+C294+C263+C233+C203+C173+C143+C113+C83+C51+C21</f>
        <v>83.75</v>
      </c>
      <c r="D630" s="26">
        <f t="shared" si="145"/>
        <v>62.25</v>
      </c>
      <c r="E630" s="26">
        <f t="shared" si="145"/>
        <v>46</v>
      </c>
      <c r="F630" s="26">
        <f t="shared" si="145"/>
        <v>43</v>
      </c>
      <c r="G630" s="27">
        <f>'расчёт зарплаты'!K41</f>
        <v>33264</v>
      </c>
      <c r="H630" s="27">
        <f>E630*G630*12+ ((D630-E630)*G630/2*12)</f>
        <v>21604968</v>
      </c>
      <c r="I630" s="27"/>
      <c r="J630" s="27">
        <f>H630</f>
        <v>21604968</v>
      </c>
      <c r="K630" s="27">
        <f>J630*30.2%</f>
        <v>6524700.3360000001</v>
      </c>
      <c r="L630" s="27">
        <f>J630+K630</f>
        <v>28129668.335999999</v>
      </c>
    </row>
    <row r="631" spans="1:12" x14ac:dyDescent="0.3">
      <c r="A631" s="69" t="s">
        <v>73</v>
      </c>
      <c r="B631" s="69"/>
      <c r="C631" s="30">
        <f>C632+C638</f>
        <v>271.75</v>
      </c>
      <c r="D631" s="30">
        <f>D632+D638</f>
        <v>245</v>
      </c>
      <c r="E631" s="30">
        <f>E632+E638</f>
        <v>199.35</v>
      </c>
      <c r="F631" s="30">
        <f>F632+F638</f>
        <v>208</v>
      </c>
      <c r="G631" s="27"/>
      <c r="H631" s="27">
        <f>E631*G631*12+ ((D631-E631)*G631/2*12)</f>
        <v>0</v>
      </c>
      <c r="I631" s="27"/>
      <c r="J631" s="32">
        <f>J632+J638</f>
        <v>91863325.775999993</v>
      </c>
      <c r="K631" s="32">
        <f>K632+K638</f>
        <v>27742724.384351995</v>
      </c>
      <c r="L631" s="32">
        <f>L632+L638</f>
        <v>119606050.16035199</v>
      </c>
    </row>
    <row r="632" spans="1:12" x14ac:dyDescent="0.3">
      <c r="A632" s="69" t="s">
        <v>35</v>
      </c>
      <c r="B632" s="69"/>
      <c r="C632" s="30">
        <f>C633+C634+C635+C636+C637</f>
        <v>180.5</v>
      </c>
      <c r="D632" s="30">
        <f>D633+D634+D635+D636+D637</f>
        <v>159</v>
      </c>
      <c r="E632" s="30">
        <f>E633+E634+E635+E636+E637</f>
        <v>130.85</v>
      </c>
      <c r="F632" s="30">
        <f>F633+F634+F635+F636+F637</f>
        <v>135.75</v>
      </c>
      <c r="G632" s="32"/>
      <c r="H632" s="32">
        <f>H633+H634+H636+H637+H635</f>
        <v>59119753.775999993</v>
      </c>
      <c r="I632" s="32"/>
      <c r="J632" s="32">
        <f t="shared" ref="J632:J642" si="146">H632</f>
        <v>59119753.775999993</v>
      </c>
      <c r="K632" s="32">
        <f t="shared" ref="K632:K642" si="147">J632*30.2%</f>
        <v>17854165.640351996</v>
      </c>
      <c r="L632" s="32">
        <f t="shared" ref="L632:L642" si="148">J632+K632</f>
        <v>76973919.416351989</v>
      </c>
    </row>
    <row r="633" spans="1:12" x14ac:dyDescent="0.3">
      <c r="A633" s="7"/>
      <c r="B633" s="9" t="s">
        <v>36</v>
      </c>
      <c r="C633" s="26">
        <v>6</v>
      </c>
      <c r="D633" s="26">
        <v>5</v>
      </c>
      <c r="E633" s="26">
        <v>4</v>
      </c>
      <c r="F633" s="26">
        <v>4</v>
      </c>
      <c r="G633" s="27">
        <f>'расчёт зарплаты'!K14</f>
        <v>39072</v>
      </c>
      <c r="H633" s="27">
        <f>E633*G633*12+ ((D633-E633)*G633/2*12)</f>
        <v>2109888</v>
      </c>
      <c r="I633" s="27"/>
      <c r="J633" s="27">
        <f t="shared" si="146"/>
        <v>2109888</v>
      </c>
      <c r="K633" s="27">
        <f t="shared" si="147"/>
        <v>637186.17599999998</v>
      </c>
      <c r="L633" s="27">
        <f t="shared" si="148"/>
        <v>2747074.176</v>
      </c>
    </row>
    <row r="634" spans="1:12" x14ac:dyDescent="0.3">
      <c r="A634" s="7"/>
      <c r="B634" s="9" t="s">
        <v>23</v>
      </c>
      <c r="C634" s="26">
        <v>1</v>
      </c>
      <c r="D634" s="26">
        <v>1</v>
      </c>
      <c r="E634" s="26">
        <v>1</v>
      </c>
      <c r="F634" s="26">
        <v>1</v>
      </c>
      <c r="G634" s="27">
        <f>'расчёт зарплаты'!K18</f>
        <v>44704</v>
      </c>
      <c r="H634" s="27">
        <f>E634*G634*12+ ((D634-E634)*G634/2*12)</f>
        <v>536448</v>
      </c>
      <c r="I634" s="27"/>
      <c r="J634" s="27">
        <f t="shared" si="146"/>
        <v>536448</v>
      </c>
      <c r="K634" s="27">
        <f t="shared" si="147"/>
        <v>162007.296</v>
      </c>
      <c r="L634" s="27">
        <f t="shared" si="148"/>
        <v>698455.29599999997</v>
      </c>
    </row>
    <row r="635" spans="1:12" x14ac:dyDescent="0.3">
      <c r="A635" s="7"/>
      <c r="B635" s="25" t="s">
        <v>54</v>
      </c>
      <c r="C635" s="26">
        <v>8</v>
      </c>
      <c r="D635" s="26">
        <v>8</v>
      </c>
      <c r="E635" s="26">
        <v>8</v>
      </c>
      <c r="F635" s="26">
        <v>8</v>
      </c>
      <c r="G635" s="27">
        <f>'расчёт зарплаты'!K37</f>
        <v>57200</v>
      </c>
      <c r="H635" s="27">
        <f>E635*G635*12+ ((D635-E635)*G635/2*12)</f>
        <v>5491200</v>
      </c>
      <c r="I635" s="27"/>
      <c r="J635" s="27">
        <f t="shared" si="146"/>
        <v>5491200</v>
      </c>
      <c r="K635" s="27">
        <f t="shared" si="147"/>
        <v>1658342.3999999999</v>
      </c>
      <c r="L635" s="27">
        <f t="shared" si="148"/>
        <v>7149542.4000000004</v>
      </c>
    </row>
    <row r="636" spans="1:12" ht="28.2" x14ac:dyDescent="0.3">
      <c r="A636" s="7"/>
      <c r="B636" s="9" t="s">
        <v>40</v>
      </c>
      <c r="C636" s="26">
        <v>70</v>
      </c>
      <c r="D636" s="26">
        <f>58.25+5</f>
        <v>63.25</v>
      </c>
      <c r="E636" s="26">
        <f>47.2+5+1-0.1</f>
        <v>53.1</v>
      </c>
      <c r="F636" s="26">
        <f>47+5+1</f>
        <v>53</v>
      </c>
      <c r="G636" s="27">
        <f>'расчёт зарплаты'!K26</f>
        <v>32326.559999999998</v>
      </c>
      <c r="H636" s="27">
        <f>E636*G636*12+ ((D636-E636)*G636/2*12)</f>
        <v>22567171.535999998</v>
      </c>
      <c r="I636" s="27"/>
      <c r="J636" s="27">
        <f t="shared" si="146"/>
        <v>22567171.535999998</v>
      </c>
      <c r="K636" s="27">
        <f t="shared" si="147"/>
        <v>6815285.8038719995</v>
      </c>
      <c r="L636" s="27">
        <f t="shared" si="148"/>
        <v>29382457.339871999</v>
      </c>
    </row>
    <row r="637" spans="1:12" x14ac:dyDescent="0.3">
      <c r="A637" s="7"/>
      <c r="B637" s="9" t="s">
        <v>41</v>
      </c>
      <c r="C637" s="26">
        <v>95.5</v>
      </c>
      <c r="D637" s="26">
        <v>81.75</v>
      </c>
      <c r="E637" s="26">
        <f>63.75+1</f>
        <v>64.75</v>
      </c>
      <c r="F637" s="26">
        <f>68.75+1</f>
        <v>69.75</v>
      </c>
      <c r="G637" s="27">
        <f>'расчёт зарплаты'!K26</f>
        <v>32326.559999999998</v>
      </c>
      <c r="H637" s="27">
        <f>E637*G637*12+ ((D637-E637)*G637/2*12)</f>
        <v>28415046.239999998</v>
      </c>
      <c r="I637" s="27"/>
      <c r="J637" s="27">
        <f t="shared" si="146"/>
        <v>28415046.239999998</v>
      </c>
      <c r="K637" s="27">
        <f t="shared" si="147"/>
        <v>8581343.9644799996</v>
      </c>
      <c r="L637" s="27">
        <f t="shared" si="148"/>
        <v>36996390.20448</v>
      </c>
    </row>
    <row r="638" spans="1:12" x14ac:dyDescent="0.3">
      <c r="A638" s="69" t="s">
        <v>43</v>
      </c>
      <c r="B638" s="69"/>
      <c r="C638" s="30">
        <f>C639+C640+C641+C642</f>
        <v>91.25</v>
      </c>
      <c r="D638" s="30">
        <f>D639+D640+D641+D642</f>
        <v>86</v>
      </c>
      <c r="E638" s="30">
        <f>E639+E640+E641+E642</f>
        <v>68.5</v>
      </c>
      <c r="F638" s="30">
        <f>F639+F640+F641+F642</f>
        <v>72.25</v>
      </c>
      <c r="G638" s="32"/>
      <c r="H638" s="32">
        <f>H639+H640+H641+H642</f>
        <v>32743572</v>
      </c>
      <c r="I638" s="32"/>
      <c r="J638" s="32">
        <f t="shared" si="146"/>
        <v>32743572</v>
      </c>
      <c r="K638" s="32">
        <f t="shared" si="147"/>
        <v>9888558.743999999</v>
      </c>
      <c r="L638" s="32">
        <f t="shared" si="148"/>
        <v>42632130.744000003</v>
      </c>
    </row>
    <row r="639" spans="1:12" x14ac:dyDescent="0.3">
      <c r="A639" s="7"/>
      <c r="B639" s="9" t="s">
        <v>44</v>
      </c>
      <c r="C639" s="26">
        <v>35.5</v>
      </c>
      <c r="D639" s="26">
        <v>35.5</v>
      </c>
      <c r="E639" s="26">
        <v>30.5</v>
      </c>
      <c r="F639" s="26">
        <v>31.5</v>
      </c>
      <c r="G639" s="27">
        <f>'расчёт зарплаты'!K35</f>
        <v>36256</v>
      </c>
      <c r="H639" s="27">
        <f>E639*G639*12+ ((D639-E639)*G639/2*12)</f>
        <v>14357376</v>
      </c>
      <c r="I639" s="27"/>
      <c r="J639" s="37">
        <f t="shared" si="146"/>
        <v>14357376</v>
      </c>
      <c r="K639" s="37">
        <f t="shared" si="147"/>
        <v>4335927.5520000001</v>
      </c>
      <c r="L639" s="37">
        <f t="shared" si="148"/>
        <v>18693303.552000001</v>
      </c>
    </row>
    <row r="640" spans="1:12" x14ac:dyDescent="0.3">
      <c r="A640" s="7"/>
      <c r="B640" s="9" t="s">
        <v>46</v>
      </c>
      <c r="C640" s="26">
        <v>2</v>
      </c>
      <c r="D640" s="26">
        <v>2</v>
      </c>
      <c r="E640" s="26">
        <v>1</v>
      </c>
      <c r="F640" s="26">
        <v>1</v>
      </c>
      <c r="G640" s="27">
        <f>'расчёт зарплаты'!K39</f>
        <v>33936</v>
      </c>
      <c r="H640" s="27">
        <f>E640*G640*12+ ((D640-E640)*G640/2*12)</f>
        <v>610848</v>
      </c>
      <c r="I640" s="27"/>
      <c r="J640" s="37">
        <f t="shared" si="146"/>
        <v>610848</v>
      </c>
      <c r="K640" s="37">
        <f t="shared" si="147"/>
        <v>184476.09599999999</v>
      </c>
      <c r="L640" s="37">
        <f t="shared" si="148"/>
        <v>795324.09600000002</v>
      </c>
    </row>
    <row r="641" spans="1:12" x14ac:dyDescent="0.3">
      <c r="A641" s="7"/>
      <c r="B641" s="9" t="s">
        <v>47</v>
      </c>
      <c r="C641" s="26">
        <v>43</v>
      </c>
      <c r="D641" s="26">
        <v>38.5</v>
      </c>
      <c r="E641" s="26">
        <f>25.25+0.5</f>
        <v>25.75</v>
      </c>
      <c r="F641" s="26">
        <f>24.25+1+1</f>
        <v>26.25</v>
      </c>
      <c r="G641" s="27">
        <f>'расчёт зарплаты'!K39</f>
        <v>33936</v>
      </c>
      <c r="H641" s="27">
        <f>E641*G641*12+ ((D641-E641)*G641/2*12)</f>
        <v>13082328</v>
      </c>
      <c r="I641" s="27"/>
      <c r="J641" s="37">
        <f t="shared" si="146"/>
        <v>13082328</v>
      </c>
      <c r="K641" s="37">
        <f t="shared" si="147"/>
        <v>3950863.0559999999</v>
      </c>
      <c r="L641" s="37">
        <f t="shared" si="148"/>
        <v>17033191.056000002</v>
      </c>
    </row>
    <row r="642" spans="1:12" x14ac:dyDescent="0.3">
      <c r="A642" s="19"/>
      <c r="B642" s="29" t="s">
        <v>52</v>
      </c>
      <c r="C642" s="35">
        <v>10.75</v>
      </c>
      <c r="D642" s="35">
        <f>5.75+1+0.75+0.25+0.5+0.25+1.5</f>
        <v>10</v>
      </c>
      <c r="E642" s="35">
        <f>2.5+1+1+1+1+1+1+0.5+0.75+0.5+1</f>
        <v>11.25</v>
      </c>
      <c r="F642" s="35">
        <f>4.5+1+1+1+1+1+1+1+1+1</f>
        <v>13.5</v>
      </c>
      <c r="G642" s="27">
        <f>'расчёт зарплаты'!K20</f>
        <v>36808</v>
      </c>
      <c r="H642" s="27">
        <f>E642*G642*12+ ((D642-E642)*G642/2*12)</f>
        <v>4693020</v>
      </c>
      <c r="I642" s="35"/>
      <c r="J642" s="37">
        <f t="shared" si="146"/>
        <v>4693020</v>
      </c>
      <c r="K642" s="37">
        <f t="shared" si="147"/>
        <v>1417292.04</v>
      </c>
      <c r="L642" s="37">
        <f t="shared" si="148"/>
        <v>6110312.04</v>
      </c>
    </row>
    <row r="643" spans="1:12" hidden="1" x14ac:dyDescent="0.3">
      <c r="C643" s="19"/>
      <c r="D643" s="19"/>
      <c r="E643" s="19"/>
      <c r="F643" s="19"/>
    </row>
    <row r="644" spans="1:12" hidden="1" x14ac:dyDescent="0.3">
      <c r="B644" s="36" t="s">
        <v>97</v>
      </c>
      <c r="C644" s="26">
        <f>196+8.25+8.5+11.25</f>
        <v>224</v>
      </c>
      <c r="D644" s="26">
        <f>178+6+6+4</f>
        <v>194</v>
      </c>
      <c r="E644" s="26">
        <f>145+4+6+6</f>
        <v>161</v>
      </c>
      <c r="F644" s="26">
        <f>178+6+6+4</f>
        <v>194</v>
      </c>
    </row>
    <row r="645" spans="1:12" hidden="1" x14ac:dyDescent="0.3">
      <c r="B645" s="36" t="s">
        <v>98</v>
      </c>
      <c r="C645" s="19">
        <v>79.75</v>
      </c>
      <c r="D645" s="19">
        <v>79.75</v>
      </c>
      <c r="E645" s="19">
        <v>70.75</v>
      </c>
      <c r="F645" s="19">
        <v>70.75</v>
      </c>
    </row>
    <row r="646" spans="1:12" hidden="1" x14ac:dyDescent="0.3">
      <c r="B646" s="36" t="s">
        <v>99</v>
      </c>
      <c r="C646">
        <v>116.25</v>
      </c>
      <c r="D646">
        <f>108.75+1</f>
        <v>109.75</v>
      </c>
      <c r="E646">
        <f>98.2+1</f>
        <v>99.2</v>
      </c>
      <c r="F646">
        <f>98+1</f>
        <v>99</v>
      </c>
    </row>
    <row r="647" spans="1:12" hidden="1" x14ac:dyDescent="0.3">
      <c r="B647" s="36" t="s">
        <v>100</v>
      </c>
      <c r="C647">
        <v>83</v>
      </c>
      <c r="D647">
        <f>64.5+5.75</f>
        <v>70.25</v>
      </c>
      <c r="E647">
        <f>61.7+6</f>
        <v>67.7</v>
      </c>
      <c r="F647">
        <f>61+6</f>
        <v>67</v>
      </c>
    </row>
    <row r="648" spans="1:12" hidden="1" x14ac:dyDescent="0.3">
      <c r="B648" s="36" t="s">
        <v>101</v>
      </c>
      <c r="C648">
        <v>42.25</v>
      </c>
      <c r="D648">
        <f>42+0.25</f>
        <v>42.25</v>
      </c>
      <c r="E648">
        <f>40.7+1</f>
        <v>41.7</v>
      </c>
      <c r="F648">
        <f>39+1</f>
        <v>40</v>
      </c>
    </row>
    <row r="649" spans="1:12" hidden="1" x14ac:dyDescent="0.3">
      <c r="B649" s="36" t="s">
        <v>102</v>
      </c>
      <c r="C649">
        <v>46.75</v>
      </c>
      <c r="D649">
        <f>44+0.5</f>
        <v>44.5</v>
      </c>
      <c r="E649">
        <f>38.8+1</f>
        <v>39.799999999999997</v>
      </c>
      <c r="F649">
        <f>37+1</f>
        <v>38</v>
      </c>
    </row>
    <row r="650" spans="1:12" hidden="1" x14ac:dyDescent="0.3">
      <c r="B650" s="36" t="s">
        <v>103</v>
      </c>
      <c r="C650">
        <v>64.25</v>
      </c>
      <c r="D650">
        <v>63.25</v>
      </c>
      <c r="E650">
        <f>52.5+1</f>
        <v>53.5</v>
      </c>
      <c r="F650">
        <v>57</v>
      </c>
    </row>
    <row r="651" spans="1:12" hidden="1" x14ac:dyDescent="0.3">
      <c r="B651" s="36" t="s">
        <v>104</v>
      </c>
      <c r="C651">
        <v>77.75</v>
      </c>
      <c r="D651">
        <v>74.5</v>
      </c>
      <c r="E651">
        <f>66.5+2</f>
        <v>68.5</v>
      </c>
      <c r="F651">
        <f>63.5+2</f>
        <v>65.5</v>
      </c>
    </row>
    <row r="652" spans="1:12" hidden="1" x14ac:dyDescent="0.3">
      <c r="B652" s="36" t="s">
        <v>105</v>
      </c>
      <c r="C652">
        <v>41.25</v>
      </c>
      <c r="D652">
        <v>29.75</v>
      </c>
      <c r="E652">
        <v>25.1</v>
      </c>
      <c r="F652">
        <f>27+1</f>
        <v>28</v>
      </c>
    </row>
    <row r="653" spans="1:12" hidden="1" x14ac:dyDescent="0.3">
      <c r="B653" s="36" t="s">
        <v>106</v>
      </c>
      <c r="C653">
        <v>115.25</v>
      </c>
      <c r="D653">
        <v>101.75</v>
      </c>
      <c r="E653">
        <f>91.6+5.5</f>
        <v>97.1</v>
      </c>
      <c r="F653">
        <f>92+6</f>
        <v>98</v>
      </c>
    </row>
    <row r="654" spans="1:12" hidden="1" x14ac:dyDescent="0.3">
      <c r="B654" s="36" t="s">
        <v>107</v>
      </c>
      <c r="C654">
        <v>54.5</v>
      </c>
      <c r="D654">
        <v>50</v>
      </c>
      <c r="E654">
        <v>42.1</v>
      </c>
      <c r="F654">
        <v>45</v>
      </c>
    </row>
    <row r="655" spans="1:12" hidden="1" x14ac:dyDescent="0.3">
      <c r="B655" s="36" t="s">
        <v>108</v>
      </c>
      <c r="C655">
        <v>31.5</v>
      </c>
      <c r="D655">
        <v>29</v>
      </c>
      <c r="E655">
        <f>20.4+2.9</f>
        <v>23.299999999999997</v>
      </c>
      <c r="F655">
        <f>21+3</f>
        <v>24</v>
      </c>
    </row>
    <row r="656" spans="1:12" hidden="1" x14ac:dyDescent="0.3">
      <c r="B656" s="36" t="s">
        <v>109</v>
      </c>
      <c r="C656">
        <v>16.75</v>
      </c>
      <c r="D656">
        <v>16.75</v>
      </c>
      <c r="E656">
        <v>16.5</v>
      </c>
      <c r="F656">
        <v>17</v>
      </c>
    </row>
    <row r="657" spans="2:6" hidden="1" x14ac:dyDescent="0.3">
      <c r="B657" s="36" t="s">
        <v>110</v>
      </c>
      <c r="C657">
        <v>56.75</v>
      </c>
      <c r="D657">
        <v>51.25</v>
      </c>
      <c r="E657">
        <f>40.5+2.5</f>
        <v>43</v>
      </c>
      <c r="F657">
        <f>40+3</f>
        <v>43</v>
      </c>
    </row>
    <row r="658" spans="2:6" hidden="1" x14ac:dyDescent="0.3">
      <c r="B658" s="36" t="s">
        <v>111</v>
      </c>
      <c r="C658">
        <v>44</v>
      </c>
      <c r="D658">
        <f>35.75+4.25</f>
        <v>40</v>
      </c>
      <c r="E658">
        <f>37.2+4</f>
        <v>41.2</v>
      </c>
      <c r="F658">
        <f>36.4+4</f>
        <v>40.4</v>
      </c>
    </row>
    <row r="659" spans="2:6" hidden="1" x14ac:dyDescent="0.3">
      <c r="B659" s="36" t="s">
        <v>112</v>
      </c>
      <c r="C659">
        <v>79.25</v>
      </c>
      <c r="D659">
        <v>72.25</v>
      </c>
      <c r="E659">
        <f>60.5+0.75</f>
        <v>61.25</v>
      </c>
      <c r="F659">
        <f>56+1</f>
        <v>57</v>
      </c>
    </row>
    <row r="660" spans="2:6" hidden="1" x14ac:dyDescent="0.3">
      <c r="B660" s="36" t="s">
        <v>113</v>
      </c>
      <c r="C660">
        <v>59</v>
      </c>
      <c r="D660">
        <v>53</v>
      </c>
      <c r="E660">
        <f>47.7+0.5</f>
        <v>48.2</v>
      </c>
      <c r="F660">
        <f>47+1</f>
        <v>48</v>
      </c>
    </row>
    <row r="661" spans="2:6" hidden="1" x14ac:dyDescent="0.3">
      <c r="B661" s="36" t="s">
        <v>114</v>
      </c>
      <c r="C661">
        <v>183.25</v>
      </c>
      <c r="D661">
        <f>172.5+3.75</f>
        <v>176.25</v>
      </c>
      <c r="E661">
        <f>127.6+3</f>
        <v>130.6</v>
      </c>
      <c r="F661">
        <f>124+3</f>
        <v>127</v>
      </c>
    </row>
    <row r="662" spans="2:6" hidden="1" x14ac:dyDescent="0.3">
      <c r="B662" s="36" t="s">
        <v>115</v>
      </c>
      <c r="C662">
        <v>42.5</v>
      </c>
      <c r="D662">
        <v>40.5</v>
      </c>
      <c r="E662">
        <f>37.3+3</f>
        <v>40.299999999999997</v>
      </c>
      <c r="F662">
        <f>31+3</f>
        <v>34</v>
      </c>
    </row>
    <row r="663" spans="2:6" hidden="1" x14ac:dyDescent="0.3">
      <c r="B663" s="36" t="s">
        <v>116</v>
      </c>
      <c r="C663">
        <v>19.75</v>
      </c>
      <c r="D663">
        <f>18.75+1</f>
        <v>19.75</v>
      </c>
      <c r="E663">
        <f>18.8+2.5</f>
        <v>21.3</v>
      </c>
      <c r="F663">
        <f>15+3</f>
        <v>18</v>
      </c>
    </row>
    <row r="664" spans="2:6" hidden="1" x14ac:dyDescent="0.3">
      <c r="C664">
        <f>SUM(C644:C663)</f>
        <v>1477.75</v>
      </c>
      <c r="D664">
        <f>SUM(D644:D663)</f>
        <v>1358.5</v>
      </c>
      <c r="E664">
        <f>SUM(E644:E663)</f>
        <v>1192.0999999999999</v>
      </c>
      <c r="F664">
        <f>SUM(F644:F663)</f>
        <v>1210.6500000000001</v>
      </c>
    </row>
    <row r="665" spans="2:6" hidden="1" x14ac:dyDescent="0.3"/>
    <row r="666" spans="2:6" hidden="1" x14ac:dyDescent="0.3">
      <c r="C666">
        <v>1477.75</v>
      </c>
      <c r="D666">
        <v>1358.5</v>
      </c>
      <c r="E666">
        <v>1192.1000000000001</v>
      </c>
      <c r="F666">
        <v>1210.6500000000001</v>
      </c>
    </row>
    <row r="667" spans="2:6" hidden="1" x14ac:dyDescent="0.3"/>
    <row r="668" spans="2:6" hidden="1" x14ac:dyDescent="0.3"/>
    <row r="669" spans="2:6" hidden="1" x14ac:dyDescent="0.3"/>
    <row r="670" spans="2:6" hidden="1" x14ac:dyDescent="0.3"/>
    <row r="671" spans="2:6" hidden="1" x14ac:dyDescent="0.3"/>
    <row r="672" spans="2:6" hidden="1" x14ac:dyDescent="0.3"/>
  </sheetData>
  <mergeCells count="126">
    <mergeCell ref="A5:B5"/>
    <mergeCell ref="A6:B6"/>
    <mergeCell ref="A22:B22"/>
    <mergeCell ref="A23:B23"/>
    <mergeCell ref="A29:B29"/>
    <mergeCell ref="B4:L4"/>
    <mergeCell ref="B64:L64"/>
    <mergeCell ref="A65:B65"/>
    <mergeCell ref="A66:B66"/>
    <mergeCell ref="A84:B84"/>
    <mergeCell ref="A85:B85"/>
    <mergeCell ref="A91:B91"/>
    <mergeCell ref="B34:L34"/>
    <mergeCell ref="A35:B35"/>
    <mergeCell ref="A36:B36"/>
    <mergeCell ref="A52:B52"/>
    <mergeCell ref="A53:B53"/>
    <mergeCell ref="A59:B59"/>
    <mergeCell ref="B126:L126"/>
    <mergeCell ref="A127:B127"/>
    <mergeCell ref="A128:B128"/>
    <mergeCell ref="A144:B144"/>
    <mergeCell ref="A145:B145"/>
    <mergeCell ref="A151:B151"/>
    <mergeCell ref="B96:L96"/>
    <mergeCell ref="A97:B97"/>
    <mergeCell ref="A98:B98"/>
    <mergeCell ref="A114:B114"/>
    <mergeCell ref="A115:B115"/>
    <mergeCell ref="A121:B121"/>
    <mergeCell ref="B186:L186"/>
    <mergeCell ref="A187:B187"/>
    <mergeCell ref="A188:B188"/>
    <mergeCell ref="A204:B204"/>
    <mergeCell ref="A205:B205"/>
    <mergeCell ref="A211:B211"/>
    <mergeCell ref="B156:L156"/>
    <mergeCell ref="A157:B157"/>
    <mergeCell ref="A158:B158"/>
    <mergeCell ref="A174:B174"/>
    <mergeCell ref="A175:B175"/>
    <mergeCell ref="A181:B181"/>
    <mergeCell ref="B246:L246"/>
    <mergeCell ref="A247:B247"/>
    <mergeCell ref="A248:B248"/>
    <mergeCell ref="A264:B264"/>
    <mergeCell ref="A265:B265"/>
    <mergeCell ref="A271:B271"/>
    <mergeCell ref="B216:L216"/>
    <mergeCell ref="A217:B217"/>
    <mergeCell ref="A218:B218"/>
    <mergeCell ref="A234:B234"/>
    <mergeCell ref="A235:B235"/>
    <mergeCell ref="A241:B241"/>
    <mergeCell ref="B307:L307"/>
    <mergeCell ref="A308:B308"/>
    <mergeCell ref="A309:B309"/>
    <mergeCell ref="A325:B325"/>
    <mergeCell ref="A326:B326"/>
    <mergeCell ref="A332:B332"/>
    <mergeCell ref="B276:L276"/>
    <mergeCell ref="A277:B277"/>
    <mergeCell ref="A278:B278"/>
    <mergeCell ref="A295:B295"/>
    <mergeCell ref="A296:B296"/>
    <mergeCell ref="A302:B302"/>
    <mergeCell ref="B367:L367"/>
    <mergeCell ref="A368:B368"/>
    <mergeCell ref="A369:B369"/>
    <mergeCell ref="A385:B385"/>
    <mergeCell ref="A386:B386"/>
    <mergeCell ref="A392:B392"/>
    <mergeCell ref="B337:L337"/>
    <mergeCell ref="A338:B338"/>
    <mergeCell ref="A339:B339"/>
    <mergeCell ref="A355:B355"/>
    <mergeCell ref="A356:B356"/>
    <mergeCell ref="A362:B362"/>
    <mergeCell ref="B427:L427"/>
    <mergeCell ref="A428:B428"/>
    <mergeCell ref="A429:B429"/>
    <mergeCell ref="A445:B445"/>
    <mergeCell ref="A446:B446"/>
    <mergeCell ref="A452:B452"/>
    <mergeCell ref="B397:L397"/>
    <mergeCell ref="A398:B398"/>
    <mergeCell ref="A399:B399"/>
    <mergeCell ref="A415:B415"/>
    <mergeCell ref="A416:B416"/>
    <mergeCell ref="A422:B422"/>
    <mergeCell ref="B489:L489"/>
    <mergeCell ref="A490:B490"/>
    <mergeCell ref="A491:B491"/>
    <mergeCell ref="A508:B508"/>
    <mergeCell ref="A509:B509"/>
    <mergeCell ref="A515:B515"/>
    <mergeCell ref="B457:L457"/>
    <mergeCell ref="A458:B458"/>
    <mergeCell ref="A459:B459"/>
    <mergeCell ref="A477:B477"/>
    <mergeCell ref="A478:B478"/>
    <mergeCell ref="A484:B484"/>
    <mergeCell ref="B551:L551"/>
    <mergeCell ref="A552:B552"/>
    <mergeCell ref="A553:B553"/>
    <mergeCell ref="A569:B569"/>
    <mergeCell ref="A570:B570"/>
    <mergeCell ref="A576:B576"/>
    <mergeCell ref="B520:L520"/>
    <mergeCell ref="A521:B521"/>
    <mergeCell ref="A522:B522"/>
    <mergeCell ref="A539:B539"/>
    <mergeCell ref="A540:B540"/>
    <mergeCell ref="A546:B546"/>
    <mergeCell ref="B611:L611"/>
    <mergeCell ref="A612:B612"/>
    <mergeCell ref="A613:B613"/>
    <mergeCell ref="A631:B631"/>
    <mergeCell ref="A632:B632"/>
    <mergeCell ref="A638:B638"/>
    <mergeCell ref="B581:L581"/>
    <mergeCell ref="A582:B582"/>
    <mergeCell ref="A583:B583"/>
    <mergeCell ref="A599:B599"/>
    <mergeCell ref="A600:B600"/>
    <mergeCell ref="A606:B606"/>
  </mergeCells>
  <pageMargins left="0.31496062992125984" right="0" top="0.55118110236220474" bottom="0.35433070866141736" header="0.31496062992125984" footer="0.31496062992125984"/>
  <pageSetup paperSize="9" scale="60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4:O34"/>
  <sheetViews>
    <sheetView tabSelected="1" topLeftCell="A4" workbookViewId="0">
      <pane xSplit="1" ySplit="3" topLeftCell="B10" activePane="bottomRight" state="frozen"/>
      <selection activeCell="A4" sqref="A4"/>
      <selection pane="topRight" activeCell="B4" sqref="B4"/>
      <selection pane="bottomLeft" activeCell="A7" sqref="A7"/>
      <selection pane="bottomRight" activeCell="G22" sqref="G22"/>
    </sheetView>
  </sheetViews>
  <sheetFormatPr defaultRowHeight="14.4" x14ac:dyDescent="0.3"/>
  <cols>
    <col min="1" max="1" width="22.44140625" customWidth="1"/>
    <col min="2" max="4" width="19.6640625" customWidth="1"/>
    <col min="5" max="5" width="19.6640625" hidden="1" customWidth="1"/>
    <col min="6" max="10" width="19.6640625" customWidth="1"/>
    <col min="11" max="11" width="16.5546875" customWidth="1"/>
    <col min="12" max="12" width="17.33203125" customWidth="1"/>
  </cols>
  <sheetData>
    <row r="4" spans="1:12" x14ac:dyDescent="0.3">
      <c r="B4" s="79" t="s">
        <v>139</v>
      </c>
      <c r="C4" s="79"/>
      <c r="D4" s="79"/>
      <c r="E4" s="79"/>
      <c r="F4" s="79"/>
      <c r="G4" s="79"/>
      <c r="H4" s="80"/>
      <c r="I4" s="64" t="s">
        <v>149</v>
      </c>
      <c r="J4" s="64" t="s">
        <v>150</v>
      </c>
      <c r="K4" s="81" t="s">
        <v>151</v>
      </c>
      <c r="L4" s="81"/>
    </row>
    <row r="5" spans="1:12" ht="28.8" x14ac:dyDescent="0.3">
      <c r="A5" s="43" t="s">
        <v>118</v>
      </c>
      <c r="B5" s="48" t="s">
        <v>140</v>
      </c>
      <c r="C5" s="20" t="s">
        <v>141</v>
      </c>
      <c r="D5" s="20" t="s">
        <v>142</v>
      </c>
      <c r="E5" s="20" t="s">
        <v>143</v>
      </c>
      <c r="F5" s="20" t="s">
        <v>144</v>
      </c>
      <c r="G5" s="20" t="s">
        <v>145</v>
      </c>
      <c r="H5" s="49" t="s">
        <v>146</v>
      </c>
      <c r="I5" s="50" t="s">
        <v>140</v>
      </c>
      <c r="J5" s="50" t="s">
        <v>142</v>
      </c>
      <c r="K5" s="48" t="s">
        <v>140</v>
      </c>
      <c r="L5" s="20" t="s">
        <v>142</v>
      </c>
    </row>
    <row r="6" spans="1:12" x14ac:dyDescent="0.3">
      <c r="A6" s="51">
        <v>1</v>
      </c>
      <c r="B6" s="19"/>
      <c r="C6" s="19"/>
      <c r="D6" s="19"/>
      <c r="E6" s="19"/>
      <c r="F6" s="19"/>
      <c r="G6" s="19"/>
      <c r="H6" s="52"/>
      <c r="I6" s="52"/>
      <c r="J6" s="52"/>
      <c r="K6" s="19"/>
      <c r="L6" s="19"/>
    </row>
    <row r="7" spans="1:12" x14ac:dyDescent="0.3">
      <c r="A7" s="53" t="s">
        <v>119</v>
      </c>
      <c r="B7" s="44">
        <f>805641.6*1.069</f>
        <v>861230.8703999999</v>
      </c>
      <c r="C7" s="44">
        <v>0</v>
      </c>
      <c r="D7" s="44">
        <f>'расчёт по учр'!H66</f>
        <v>31284430.080000002</v>
      </c>
      <c r="E7" s="44">
        <f>ROUNDUP(D7,-2)</f>
        <v>31284500</v>
      </c>
      <c r="F7" s="44">
        <f>B7+D7+C7</f>
        <v>32145660.950400002</v>
      </c>
      <c r="G7" s="44">
        <f>F7*30.2%</f>
        <v>9707989.6070208009</v>
      </c>
      <c r="H7" s="54">
        <f>F7+G7</f>
        <v>41853650.557420805</v>
      </c>
      <c r="I7" s="54">
        <f>ROUND(B7-(B7*4%),-2)</f>
        <v>826800</v>
      </c>
      <c r="J7" s="54">
        <f>ROUND(D7-(D7*12.6597276760941%),-2)</f>
        <v>27323900</v>
      </c>
      <c r="K7" s="44">
        <f t="shared" ref="K7:K26" si="0">ROUND(B7+(B7*4%),-2)</f>
        <v>895700</v>
      </c>
      <c r="L7" s="44">
        <f>ROUND(D7-(D7*12.1279%),-2)</f>
        <v>27490300</v>
      </c>
    </row>
    <row r="8" spans="1:12" x14ac:dyDescent="0.3">
      <c r="A8" s="53" t="s">
        <v>120</v>
      </c>
      <c r="B8" s="55">
        <f>900000*1.069</f>
        <v>962100</v>
      </c>
      <c r="C8" s="44">
        <v>0</v>
      </c>
      <c r="D8" s="56">
        <f>'расчёт по учр'!H36</f>
        <v>21727443.359999999</v>
      </c>
      <c r="E8" s="44">
        <f t="shared" ref="E8:E26" si="1">ROUNDUP(D8,-2)</f>
        <v>21727500</v>
      </c>
      <c r="F8" s="44">
        <f t="shared" ref="F8:F26" si="2">B8+D8+C8</f>
        <v>22689543.359999999</v>
      </c>
      <c r="G8" s="44">
        <f t="shared" ref="G8:G26" si="3">F8*30.2%</f>
        <v>6852242.0947199995</v>
      </c>
      <c r="H8" s="54">
        <f t="shared" ref="H8:H26" si="4">F8+G8</f>
        <v>29541785.454719998</v>
      </c>
      <c r="I8" s="54">
        <f t="shared" ref="I8:I26" si="5">ROUND(B8-(B8*4%),-2)</f>
        <v>923600</v>
      </c>
      <c r="J8" s="54">
        <f t="shared" ref="J8:J26" si="6">ROUND(D8-(D8*12.6597276760941%),-2)</f>
        <v>18976800</v>
      </c>
      <c r="K8" s="44">
        <f t="shared" si="0"/>
        <v>1000600</v>
      </c>
      <c r="L8" s="44">
        <f t="shared" ref="L8:L25" si="7">ROUND(D8-(D8*12.1279%),-2)</f>
        <v>19092400</v>
      </c>
    </row>
    <row r="9" spans="1:12" x14ac:dyDescent="0.3">
      <c r="A9" s="53" t="s">
        <v>121</v>
      </c>
      <c r="B9" s="44">
        <f>720086.4*1.069</f>
        <v>769772.36159999995</v>
      </c>
      <c r="C9" s="44">
        <v>0</v>
      </c>
      <c r="D9" s="44">
        <f>'расчёт по учр'!H98</f>
        <v>20920975.68</v>
      </c>
      <c r="E9" s="44">
        <f t="shared" si="1"/>
        <v>20921000</v>
      </c>
      <c r="F9" s="44">
        <f t="shared" si="2"/>
        <v>21690748.0416</v>
      </c>
      <c r="G9" s="44">
        <f t="shared" si="3"/>
        <v>6550605.9085631995</v>
      </c>
      <c r="H9" s="54">
        <f t="shared" si="4"/>
        <v>28241353.9501632</v>
      </c>
      <c r="I9" s="54">
        <f t="shared" si="5"/>
        <v>739000</v>
      </c>
      <c r="J9" s="54">
        <f t="shared" si="6"/>
        <v>18272400</v>
      </c>
      <c r="K9" s="44">
        <f t="shared" si="0"/>
        <v>800600</v>
      </c>
      <c r="L9" s="44">
        <f t="shared" si="7"/>
        <v>18383700</v>
      </c>
    </row>
    <row r="10" spans="1:12" x14ac:dyDescent="0.3">
      <c r="A10" s="53" t="s">
        <v>122</v>
      </c>
      <c r="B10" s="44">
        <f>681993.6*1.069</f>
        <v>729051.15839999996</v>
      </c>
      <c r="C10" s="44">
        <v>0</v>
      </c>
      <c r="D10" s="44">
        <f>'расчёт по учр'!H128</f>
        <v>11777874.24</v>
      </c>
      <c r="E10" s="44">
        <f t="shared" si="1"/>
        <v>11777900</v>
      </c>
      <c r="F10" s="44">
        <f t="shared" si="2"/>
        <v>12506925.398399999</v>
      </c>
      <c r="G10" s="44">
        <f t="shared" si="3"/>
        <v>3777091.4703167998</v>
      </c>
      <c r="H10" s="54">
        <f t="shared" si="4"/>
        <v>16284016.868716799</v>
      </c>
      <c r="I10" s="54">
        <f t="shared" si="5"/>
        <v>699900</v>
      </c>
      <c r="J10" s="54">
        <f t="shared" si="6"/>
        <v>10286800</v>
      </c>
      <c r="K10" s="44">
        <f t="shared" si="0"/>
        <v>758200</v>
      </c>
      <c r="L10" s="44">
        <f t="shared" si="7"/>
        <v>10349500</v>
      </c>
    </row>
    <row r="11" spans="1:12" x14ac:dyDescent="0.3">
      <c r="A11" s="53" t="s">
        <v>123</v>
      </c>
      <c r="B11" s="44">
        <f>687369.6*1.069</f>
        <v>734798.10239999997</v>
      </c>
      <c r="C11" s="44">
        <v>0</v>
      </c>
      <c r="D11" s="44">
        <f>'расчёт по учр'!H158</f>
        <v>12471181.439999999</v>
      </c>
      <c r="E11" s="44">
        <f t="shared" si="1"/>
        <v>12471200</v>
      </c>
      <c r="F11" s="44">
        <f t="shared" si="2"/>
        <v>13205979.542399999</v>
      </c>
      <c r="G11" s="44">
        <f t="shared" si="3"/>
        <v>3988205.8218047996</v>
      </c>
      <c r="H11" s="54">
        <f t="shared" si="4"/>
        <v>17194185.364204798</v>
      </c>
      <c r="I11" s="54">
        <f t="shared" si="5"/>
        <v>705400</v>
      </c>
      <c r="J11" s="54">
        <f t="shared" si="6"/>
        <v>10892400</v>
      </c>
      <c r="K11" s="44">
        <f t="shared" si="0"/>
        <v>764200</v>
      </c>
      <c r="L11" s="44">
        <f t="shared" si="7"/>
        <v>10958700</v>
      </c>
    </row>
    <row r="12" spans="1:12" x14ac:dyDescent="0.3">
      <c r="A12" s="53" t="s">
        <v>124</v>
      </c>
      <c r="B12" s="44">
        <f>742286.4*1.069</f>
        <v>793504.16159999999</v>
      </c>
      <c r="C12" s="44">
        <v>0</v>
      </c>
      <c r="D12" s="44">
        <f>'расчёт по учр'!H188</f>
        <v>17133610.560000002</v>
      </c>
      <c r="E12" s="44">
        <f t="shared" si="1"/>
        <v>17133700</v>
      </c>
      <c r="F12" s="44">
        <f t="shared" si="2"/>
        <v>17927114.721600004</v>
      </c>
      <c r="G12" s="44">
        <f t="shared" si="3"/>
        <v>5413988.645923201</v>
      </c>
      <c r="H12" s="54">
        <f t="shared" si="4"/>
        <v>23341103.367523205</v>
      </c>
      <c r="I12" s="54">
        <f t="shared" si="5"/>
        <v>761800</v>
      </c>
      <c r="J12" s="54">
        <f t="shared" si="6"/>
        <v>14964500</v>
      </c>
      <c r="K12" s="44">
        <f t="shared" si="0"/>
        <v>825200</v>
      </c>
      <c r="L12" s="44">
        <f t="shared" si="7"/>
        <v>15055700</v>
      </c>
    </row>
    <row r="13" spans="1:12" x14ac:dyDescent="0.3">
      <c r="A13" s="53" t="s">
        <v>125</v>
      </c>
      <c r="B13" s="44">
        <f>741686.4*1.069</f>
        <v>792862.76159999997</v>
      </c>
      <c r="C13" s="44">
        <v>0</v>
      </c>
      <c r="D13" s="44">
        <f>'расчёт по учр'!H218</f>
        <v>21655575.359999999</v>
      </c>
      <c r="E13" s="44">
        <f t="shared" si="1"/>
        <v>21655600</v>
      </c>
      <c r="F13" s="44">
        <f t="shared" si="2"/>
        <v>22448438.121599998</v>
      </c>
      <c r="G13" s="44">
        <f t="shared" si="3"/>
        <v>6779428.3127231989</v>
      </c>
      <c r="H13" s="54">
        <f t="shared" si="4"/>
        <v>29227866.434323199</v>
      </c>
      <c r="I13" s="54">
        <f t="shared" si="5"/>
        <v>761100</v>
      </c>
      <c r="J13" s="54">
        <f t="shared" si="6"/>
        <v>18914000</v>
      </c>
      <c r="K13" s="44">
        <f t="shared" si="0"/>
        <v>824600</v>
      </c>
      <c r="L13" s="44">
        <f t="shared" si="7"/>
        <v>19029200</v>
      </c>
    </row>
    <row r="14" spans="1:12" x14ac:dyDescent="0.3">
      <c r="A14" s="53" t="s">
        <v>126</v>
      </c>
      <c r="B14" s="44">
        <f>556156.8*1.069</f>
        <v>594531.61920000007</v>
      </c>
      <c r="C14" s="44">
        <v>0</v>
      </c>
      <c r="D14" s="44">
        <f>'расчёт по учр'!H248</f>
        <v>8569653.120000001</v>
      </c>
      <c r="E14" s="44">
        <f t="shared" si="1"/>
        <v>8569700</v>
      </c>
      <c r="F14" s="44">
        <f t="shared" si="2"/>
        <v>9164184.7392000016</v>
      </c>
      <c r="G14" s="44">
        <f t="shared" si="3"/>
        <v>2767583.7912384006</v>
      </c>
      <c r="H14" s="54">
        <f t="shared" si="4"/>
        <v>11931768.530438403</v>
      </c>
      <c r="I14" s="54">
        <f t="shared" si="5"/>
        <v>570800</v>
      </c>
      <c r="J14" s="54">
        <f t="shared" si="6"/>
        <v>7484800</v>
      </c>
      <c r="K14" s="44">
        <f t="shared" si="0"/>
        <v>618300</v>
      </c>
      <c r="L14" s="44">
        <f t="shared" si="7"/>
        <v>7530300</v>
      </c>
    </row>
    <row r="15" spans="1:12" x14ac:dyDescent="0.3">
      <c r="A15" s="53" t="s">
        <v>127</v>
      </c>
      <c r="B15" s="44">
        <f>824073.6*1.069</f>
        <v>880934.67839999998</v>
      </c>
      <c r="C15" s="44">
        <v>0</v>
      </c>
      <c r="D15" s="44">
        <f>'расчёт по учр'!H278</f>
        <v>29366760.960000001</v>
      </c>
      <c r="E15" s="44">
        <f t="shared" si="1"/>
        <v>29366800</v>
      </c>
      <c r="F15" s="44">
        <f t="shared" si="2"/>
        <v>30247695.6384</v>
      </c>
      <c r="G15" s="44">
        <f t="shared" si="3"/>
        <v>9134804.082796799</v>
      </c>
      <c r="H15" s="54">
        <f t="shared" si="4"/>
        <v>39382499.7211968</v>
      </c>
      <c r="I15" s="54">
        <f t="shared" si="5"/>
        <v>845700</v>
      </c>
      <c r="J15" s="54">
        <f t="shared" si="6"/>
        <v>25649000</v>
      </c>
      <c r="K15" s="44">
        <f t="shared" si="0"/>
        <v>916200</v>
      </c>
      <c r="L15" s="44">
        <f t="shared" si="7"/>
        <v>25805200</v>
      </c>
    </row>
    <row r="16" spans="1:12" x14ac:dyDescent="0.3">
      <c r="A16" s="53" t="s">
        <v>128</v>
      </c>
      <c r="B16" s="44"/>
      <c r="C16" s="44">
        <v>0</v>
      </c>
      <c r="D16" s="44">
        <f>'расчёт по учр'!H309</f>
        <v>13334442.24</v>
      </c>
      <c r="E16" s="44">
        <f t="shared" si="1"/>
        <v>13334500</v>
      </c>
      <c r="F16" s="44">
        <f t="shared" si="2"/>
        <v>13334442.24</v>
      </c>
      <c r="G16" s="44">
        <f t="shared" si="3"/>
        <v>4027001.5564799998</v>
      </c>
      <c r="H16" s="54">
        <f t="shared" si="4"/>
        <v>17361443.79648</v>
      </c>
      <c r="I16" s="54">
        <f t="shared" si="5"/>
        <v>0</v>
      </c>
      <c r="J16" s="54">
        <f t="shared" si="6"/>
        <v>11646300</v>
      </c>
      <c r="K16" s="44">
        <f t="shared" si="0"/>
        <v>0</v>
      </c>
      <c r="L16" s="44">
        <f t="shared" si="7"/>
        <v>11717300</v>
      </c>
    </row>
    <row r="17" spans="1:15" x14ac:dyDescent="0.3">
      <c r="A17" s="53" t="s">
        <v>129</v>
      </c>
      <c r="B17" s="44">
        <f>640291.2*1.069</f>
        <v>684471.29279999994</v>
      </c>
      <c r="C17" s="44">
        <v>0</v>
      </c>
      <c r="D17" s="44">
        <f>'расчёт по учр'!H339</f>
        <v>7751416.3199999994</v>
      </c>
      <c r="E17" s="44">
        <f t="shared" si="1"/>
        <v>7751500</v>
      </c>
      <c r="F17" s="44">
        <f t="shared" si="2"/>
        <v>8435887.6127999984</v>
      </c>
      <c r="G17" s="44">
        <f t="shared" si="3"/>
        <v>2547638.0590655995</v>
      </c>
      <c r="H17" s="54">
        <f t="shared" si="4"/>
        <v>10983525.671865597</v>
      </c>
      <c r="I17" s="54">
        <f t="shared" si="5"/>
        <v>657100</v>
      </c>
      <c r="J17" s="54">
        <f t="shared" si="6"/>
        <v>6770100</v>
      </c>
      <c r="K17" s="44">
        <f t="shared" si="0"/>
        <v>711900</v>
      </c>
      <c r="L17" s="44">
        <f t="shared" si="7"/>
        <v>6811300</v>
      </c>
    </row>
    <row r="18" spans="1:15" x14ac:dyDescent="0.3">
      <c r="A18" s="53" t="s">
        <v>130</v>
      </c>
      <c r="B18" s="44"/>
      <c r="C18" s="44">
        <v>0</v>
      </c>
      <c r="D18" s="44">
        <f>'расчёт по учр'!H369</f>
        <v>4332971.5200000005</v>
      </c>
      <c r="E18" s="44">
        <f t="shared" si="1"/>
        <v>4333000</v>
      </c>
      <c r="F18" s="44">
        <f t="shared" si="2"/>
        <v>4332971.5200000005</v>
      </c>
      <c r="G18" s="44">
        <f t="shared" si="3"/>
        <v>1308557.39904</v>
      </c>
      <c r="H18" s="54">
        <f t="shared" si="4"/>
        <v>5641528.9190400001</v>
      </c>
      <c r="I18" s="54">
        <f t="shared" si="5"/>
        <v>0</v>
      </c>
      <c r="J18" s="54">
        <f>ROUND(D18-(D18*12.6597276760941%),-2)+62100</f>
        <v>3846500</v>
      </c>
      <c r="K18" s="44">
        <f t="shared" si="0"/>
        <v>0</v>
      </c>
      <c r="L18" s="44">
        <f t="shared" si="7"/>
        <v>3807500</v>
      </c>
    </row>
    <row r="19" spans="1:15" x14ac:dyDescent="0.3">
      <c r="A19" s="53" t="s">
        <v>131</v>
      </c>
      <c r="B19" s="44">
        <f>687369.6*1.069</f>
        <v>734798.10239999997</v>
      </c>
      <c r="C19" s="44">
        <v>0</v>
      </c>
      <c r="D19" s="44">
        <f>'расчёт по учр'!H399</f>
        <v>13305210.24</v>
      </c>
      <c r="E19" s="44">
        <f t="shared" si="1"/>
        <v>13305300</v>
      </c>
      <c r="F19" s="44">
        <f t="shared" si="2"/>
        <v>14040008.342399999</v>
      </c>
      <c r="G19" s="44">
        <f t="shared" si="3"/>
        <v>4240082.5194047997</v>
      </c>
      <c r="H19" s="54">
        <f t="shared" si="4"/>
        <v>18280090.861804798</v>
      </c>
      <c r="I19" s="54">
        <f t="shared" si="5"/>
        <v>705400</v>
      </c>
      <c r="J19" s="54">
        <f t="shared" si="6"/>
        <v>11620800</v>
      </c>
      <c r="K19" s="44">
        <f t="shared" si="0"/>
        <v>764200</v>
      </c>
      <c r="L19" s="44">
        <f t="shared" si="7"/>
        <v>11691600</v>
      </c>
    </row>
    <row r="20" spans="1:15" x14ac:dyDescent="0.3">
      <c r="A20" s="53" t="s">
        <v>132</v>
      </c>
      <c r="B20" s="44">
        <f>657398.4*1.069</f>
        <v>702758.88959999999</v>
      </c>
      <c r="C20" s="44">
        <v>0</v>
      </c>
      <c r="D20" s="44">
        <f>'расчёт по учр'!H429</f>
        <v>12282109.439999999</v>
      </c>
      <c r="E20" s="44">
        <f t="shared" si="1"/>
        <v>12282200</v>
      </c>
      <c r="F20" s="44">
        <f t="shared" si="2"/>
        <v>12984868.329599999</v>
      </c>
      <c r="G20" s="44">
        <f t="shared" si="3"/>
        <v>3921430.2355391993</v>
      </c>
      <c r="H20" s="54">
        <f t="shared" si="4"/>
        <v>16906298.565139197</v>
      </c>
      <c r="I20" s="54">
        <f t="shared" si="5"/>
        <v>674600</v>
      </c>
      <c r="J20" s="54">
        <f t="shared" si="6"/>
        <v>10727200</v>
      </c>
      <c r="K20" s="44">
        <f t="shared" si="0"/>
        <v>730900</v>
      </c>
      <c r="L20" s="44">
        <f t="shared" si="7"/>
        <v>10792500</v>
      </c>
    </row>
    <row r="21" spans="1:15" x14ac:dyDescent="0.3">
      <c r="A21" s="53" t="s">
        <v>133</v>
      </c>
      <c r="B21" s="44">
        <f>793756.8*1.069</f>
        <v>848526.01919999998</v>
      </c>
      <c r="C21" s="44">
        <v>0</v>
      </c>
      <c r="D21" s="44">
        <f>'расчёт по учр'!H459</f>
        <v>20025258.239999998</v>
      </c>
      <c r="E21" s="44">
        <f t="shared" si="1"/>
        <v>20025300</v>
      </c>
      <c r="F21" s="44">
        <f t="shared" si="2"/>
        <v>20873784.259199999</v>
      </c>
      <c r="G21" s="44">
        <f t="shared" si="3"/>
        <v>6303882.8462783992</v>
      </c>
      <c r="H21" s="54">
        <f t="shared" si="4"/>
        <v>27177667.105478399</v>
      </c>
      <c r="I21" s="54">
        <f t="shared" si="5"/>
        <v>814600</v>
      </c>
      <c r="J21" s="54">
        <f t="shared" si="6"/>
        <v>17490100</v>
      </c>
      <c r="K21" s="44">
        <f t="shared" si="0"/>
        <v>882500</v>
      </c>
      <c r="L21" s="44">
        <f t="shared" si="7"/>
        <v>17596600</v>
      </c>
    </row>
    <row r="22" spans="1:15" x14ac:dyDescent="0.3">
      <c r="A22" s="53" t="s">
        <v>134</v>
      </c>
      <c r="B22" s="44">
        <f>767740.8*1.069</f>
        <v>820714.91520000005</v>
      </c>
      <c r="C22" s="44">
        <v>0</v>
      </c>
      <c r="D22" s="44">
        <f>'расчёт по учр'!H491</f>
        <v>16375083.84</v>
      </c>
      <c r="E22" s="44">
        <f t="shared" si="1"/>
        <v>16375100</v>
      </c>
      <c r="F22" s="44">
        <f t="shared" si="2"/>
        <v>17195798.755199999</v>
      </c>
      <c r="G22" s="44">
        <f t="shared" si="3"/>
        <v>5193131.2240703991</v>
      </c>
      <c r="H22" s="54">
        <f t="shared" si="4"/>
        <v>22388929.979270399</v>
      </c>
      <c r="I22" s="54">
        <f t="shared" si="5"/>
        <v>787900</v>
      </c>
      <c r="J22" s="54">
        <f t="shared" si="6"/>
        <v>14302000</v>
      </c>
      <c r="K22" s="44">
        <f t="shared" si="0"/>
        <v>853500</v>
      </c>
      <c r="L22" s="44">
        <f t="shared" si="7"/>
        <v>14389100</v>
      </c>
    </row>
    <row r="23" spans="1:15" x14ac:dyDescent="0.3">
      <c r="A23" s="53" t="s">
        <v>135</v>
      </c>
      <c r="B23" s="44">
        <f>2003155.2*1.069</f>
        <v>2141372.9087999999</v>
      </c>
      <c r="C23" s="44">
        <v>0</v>
      </c>
      <c r="D23" s="44">
        <f>'расчёт по учр'!H522</f>
        <v>41976468.479999997</v>
      </c>
      <c r="E23" s="44">
        <f t="shared" si="1"/>
        <v>41976500</v>
      </c>
      <c r="F23" s="44">
        <f t="shared" si="2"/>
        <v>44117841.388799995</v>
      </c>
      <c r="G23" s="44">
        <f t="shared" si="3"/>
        <v>13323588.099417599</v>
      </c>
      <c r="H23" s="54">
        <f t="shared" si="4"/>
        <v>57441429.488217592</v>
      </c>
      <c r="I23" s="54">
        <f t="shared" si="5"/>
        <v>2055700</v>
      </c>
      <c r="J23" s="54">
        <f t="shared" si="6"/>
        <v>36662400</v>
      </c>
      <c r="K23" s="44">
        <f t="shared" si="0"/>
        <v>2227000</v>
      </c>
      <c r="L23" s="44">
        <f t="shared" si="7"/>
        <v>36885600</v>
      </c>
    </row>
    <row r="24" spans="1:15" x14ac:dyDescent="0.3">
      <c r="A24" s="53" t="s">
        <v>136</v>
      </c>
      <c r="B24" s="44">
        <f>725064*1.069</f>
        <v>775093.41599999997</v>
      </c>
      <c r="C24" s="44">
        <v>0</v>
      </c>
      <c r="D24" s="44">
        <f>'расчёт по учр'!H553</f>
        <v>11391210.24</v>
      </c>
      <c r="E24" s="44">
        <f>ROUNDUP(D24,-2)</f>
        <v>11391300</v>
      </c>
      <c r="F24" s="44">
        <f>B24+D24+C24</f>
        <v>12166303.655999999</v>
      </c>
      <c r="G24" s="44">
        <f>F24*30.2%</f>
        <v>3674223.7041119998</v>
      </c>
      <c r="H24" s="54">
        <f>F24+G24</f>
        <v>15840527.360112</v>
      </c>
      <c r="I24" s="54">
        <f t="shared" si="5"/>
        <v>744100</v>
      </c>
      <c r="J24" s="54">
        <f t="shared" si="6"/>
        <v>9949100</v>
      </c>
      <c r="K24" s="44">
        <f t="shared" si="0"/>
        <v>806100</v>
      </c>
      <c r="L24" s="44">
        <f t="shared" si="7"/>
        <v>10009700</v>
      </c>
    </row>
    <row r="25" spans="1:15" x14ac:dyDescent="0.3">
      <c r="A25" s="53" t="s">
        <v>137</v>
      </c>
      <c r="B25" s="44">
        <v>0</v>
      </c>
      <c r="C25" s="44">
        <v>0</v>
      </c>
      <c r="D25" s="44">
        <f>'расчёт по учр'!H583</f>
        <v>6111909.1200000001</v>
      </c>
      <c r="E25" s="44">
        <f>ROUNDUP(D25,-2)</f>
        <v>6112000</v>
      </c>
      <c r="F25" s="44">
        <f>B25+D25+C25</f>
        <v>6111909.1200000001</v>
      </c>
      <c r="G25" s="44">
        <f>F25*30.2%</f>
        <v>1845796.55424</v>
      </c>
      <c r="H25" s="54">
        <f>F25+G25</f>
        <v>7957705.6742400005</v>
      </c>
      <c r="I25" s="54">
        <f t="shared" si="5"/>
        <v>0</v>
      </c>
      <c r="J25" s="54">
        <f t="shared" si="6"/>
        <v>5338200</v>
      </c>
      <c r="K25" s="44">
        <f t="shared" si="0"/>
        <v>0</v>
      </c>
      <c r="L25" s="44">
        <f t="shared" si="7"/>
        <v>5370700</v>
      </c>
    </row>
    <row r="26" spans="1:15" x14ac:dyDescent="0.3">
      <c r="A26" s="53" t="s">
        <v>138</v>
      </c>
      <c r="B26" s="44">
        <f>1169500*1.069</f>
        <v>1250195.5</v>
      </c>
      <c r="C26" s="44">
        <v>0</v>
      </c>
      <c r="D26" s="44">
        <f>'расчёт по учр'!H6</f>
        <v>53578270.079999998</v>
      </c>
      <c r="E26" s="44">
        <f t="shared" si="1"/>
        <v>53578300</v>
      </c>
      <c r="F26" s="44">
        <f t="shared" si="2"/>
        <v>54828465.579999998</v>
      </c>
      <c r="G26" s="44">
        <f t="shared" si="3"/>
        <v>16558196.60516</v>
      </c>
      <c r="H26" s="54">
        <f t="shared" si="4"/>
        <v>71386662.185159996</v>
      </c>
      <c r="I26" s="54">
        <f t="shared" si="5"/>
        <v>1200200</v>
      </c>
      <c r="J26" s="54">
        <f t="shared" si="6"/>
        <v>46795400</v>
      </c>
      <c r="K26" s="44">
        <f t="shared" si="0"/>
        <v>1300200</v>
      </c>
      <c r="L26" s="44">
        <f>ROUND(D26-(D26*12.1279%),-2)+500</f>
        <v>47080900</v>
      </c>
    </row>
    <row r="27" spans="1:15" x14ac:dyDescent="0.3">
      <c r="A27" s="45"/>
      <c r="B27" s="57">
        <f>SUM(B7:B26)</f>
        <v>15076716.7576</v>
      </c>
      <c r="C27" s="57">
        <f>SUM(C7:C26)</f>
        <v>0</v>
      </c>
      <c r="D27" s="57">
        <f>SUM(D7:D26)</f>
        <v>375371854.56000006</v>
      </c>
      <c r="E27" s="57"/>
      <c r="F27" s="57">
        <f t="shared" ref="F27:L27" si="8">SUM(F7:F26)</f>
        <v>390448571.31760007</v>
      </c>
      <c r="G27" s="57">
        <f t="shared" si="8"/>
        <v>117915468.53791519</v>
      </c>
      <c r="H27" s="58">
        <f t="shared" si="8"/>
        <v>508364039.85551512</v>
      </c>
      <c r="I27" s="58">
        <f t="shared" si="8"/>
        <v>14473700</v>
      </c>
      <c r="J27" s="58">
        <f t="shared" si="8"/>
        <v>327912700</v>
      </c>
      <c r="K27" s="58">
        <f t="shared" si="8"/>
        <v>15679900</v>
      </c>
      <c r="L27" s="58">
        <f t="shared" si="8"/>
        <v>329847800</v>
      </c>
      <c r="M27" s="45"/>
      <c r="N27" s="45"/>
      <c r="O27" s="45"/>
    </row>
    <row r="28" spans="1:15" x14ac:dyDescent="0.3">
      <c r="B28" s="62">
        <v>14535600</v>
      </c>
      <c r="D28" s="63">
        <v>327850800</v>
      </c>
    </row>
    <row r="29" spans="1:15" x14ac:dyDescent="0.3">
      <c r="B29" t="s">
        <v>147</v>
      </c>
      <c r="C29" s="46"/>
      <c r="F29" s="46">
        <f>B28+D28</f>
        <v>342386400</v>
      </c>
      <c r="G29" s="46">
        <v>103400700</v>
      </c>
      <c r="H29" s="46"/>
      <c r="I29" s="46">
        <f>F29</f>
        <v>342386400</v>
      </c>
      <c r="J29" s="46"/>
      <c r="K29" s="46">
        <v>345527700</v>
      </c>
      <c r="L29" s="46"/>
    </row>
    <row r="30" spans="1:15" x14ac:dyDescent="0.3">
      <c r="B30" t="s">
        <v>148</v>
      </c>
      <c r="D30" s="59">
        <f>D27-D28</f>
        <v>47521054.560000062</v>
      </c>
      <c r="E30" s="59"/>
      <c r="F30" s="46">
        <f>F29-F27</f>
        <v>-48062171.317600071</v>
      </c>
      <c r="G30" s="46">
        <f>G29-G27</f>
        <v>-14514768.537915185</v>
      </c>
      <c r="H30" s="60">
        <f>F30+G30</f>
        <v>-62576939.855515257</v>
      </c>
      <c r="I30" s="61">
        <f>I29-I27-J27</f>
        <v>0</v>
      </c>
      <c r="J30" s="61"/>
      <c r="K30" s="60">
        <f>K29-K27-L27</f>
        <v>0</v>
      </c>
      <c r="L30" s="46"/>
    </row>
    <row r="31" spans="1:15" x14ac:dyDescent="0.3">
      <c r="D31" s="47">
        <f>D30*1.302</f>
        <v>61872413.037120081</v>
      </c>
      <c r="F31" s="46"/>
      <c r="G31" s="46"/>
      <c r="H31" s="46"/>
      <c r="I31" s="46"/>
      <c r="J31" s="46"/>
    </row>
    <row r="33" spans="2:4" x14ac:dyDescent="0.3">
      <c r="B33">
        <f>B28/B27</f>
        <v>0.96410911166536117</v>
      </c>
      <c r="D33">
        <f>D28/D27</f>
        <v>0.87340272323905888</v>
      </c>
    </row>
    <row r="34" spans="2:4" x14ac:dyDescent="0.3">
      <c r="D34">
        <f>1-D33</f>
        <v>0.12659727676094112</v>
      </c>
    </row>
  </sheetData>
  <mergeCells count="2">
    <mergeCell ref="B4:H4"/>
    <mergeCell ref="K4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расчёт зарплаты</vt:lpstr>
      <vt:lpstr>расчёт по учр</vt:lpstr>
      <vt:lpstr>город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2023-11-17T02:12:35Z</cp:lastPrinted>
  <dcterms:created xsi:type="dcterms:W3CDTF">2023-10-14T08:35:42Z</dcterms:created>
  <dcterms:modified xsi:type="dcterms:W3CDTF">2023-12-05T09:51:07Z</dcterms:modified>
</cp:coreProperties>
</file>