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6960" yWindow="240" windowWidth="21420" windowHeight="12276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3_'!$A$7:$Y$696</definedName>
    <definedName name="_xlnm.Print_Area" localSheetId="0">'Таблица № 3'!$A$1:$S$120</definedName>
    <definedName name="_xlnm.Print_Area" localSheetId="1">'Таблица № 3_'!$A$1:$Z$700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9" i="6" l="1"/>
  <c r="L338" i="6"/>
  <c r="L328" i="6" s="1"/>
  <c r="L29" i="6" s="1"/>
  <c r="M29" i="6"/>
  <c r="N29" i="6"/>
  <c r="O29" i="6"/>
  <c r="M32" i="6"/>
  <c r="N32" i="6"/>
  <c r="O32" i="6"/>
  <c r="L359" i="6"/>
  <c r="L32" i="6" s="1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O326" i="6"/>
  <c r="N326" i="6"/>
  <c r="L329" i="6"/>
  <c r="M357" i="6"/>
  <c r="N357" i="6"/>
  <c r="O357" i="6"/>
  <c r="L357" i="6"/>
  <c r="M360" i="6"/>
  <c r="N360" i="6"/>
  <c r="O360" i="6"/>
  <c r="L360" i="6"/>
  <c r="M358" i="6"/>
  <c r="N358" i="6"/>
  <c r="O358" i="6"/>
  <c r="L358" i="6"/>
  <c r="M359" i="6"/>
  <c r="M356" i="6" s="1"/>
  <c r="N359" i="6"/>
  <c r="O359" i="6"/>
  <c r="O356" i="6" s="1"/>
  <c r="P359" i="6"/>
  <c r="Q359" i="6"/>
  <c r="R359" i="6"/>
  <c r="S359" i="6"/>
  <c r="T359" i="6"/>
  <c r="U359" i="6"/>
  <c r="V359" i="6"/>
  <c r="N356" i="6"/>
  <c r="K356" i="6"/>
  <c r="J356" i="6"/>
  <c r="I356" i="6"/>
  <c r="H356" i="6"/>
  <c r="G356" i="6"/>
  <c r="F356" i="6"/>
  <c r="E356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D365" i="6"/>
  <c r="D364" i="6"/>
  <c r="D363" i="6"/>
  <c r="D361" i="6" s="1"/>
  <c r="D362" i="6"/>
  <c r="O361" i="6"/>
  <c r="N361" i="6"/>
  <c r="M361" i="6"/>
  <c r="L361" i="6"/>
  <c r="K361" i="6"/>
  <c r="J361" i="6"/>
  <c r="I361" i="6"/>
  <c r="H361" i="6"/>
  <c r="G361" i="6"/>
  <c r="F361" i="6"/>
  <c r="E361" i="6"/>
  <c r="D359" i="6" l="1"/>
  <c r="M326" i="6"/>
  <c r="D366" i="6"/>
  <c r="L356" i="6"/>
  <c r="D358" i="6"/>
  <c r="D357" i="6"/>
  <c r="D360" i="6"/>
  <c r="D356" i="6" s="1"/>
  <c r="N640" i="6" l="1"/>
  <c r="M640" i="6"/>
  <c r="L640" i="6"/>
  <c r="L695" i="6"/>
  <c r="L278" i="6" l="1"/>
  <c r="L603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K457" i="6"/>
  <c r="L472" i="6"/>
  <c r="L199" i="6" l="1"/>
  <c r="M341" i="6" l="1"/>
  <c r="L279" i="6" l="1"/>
  <c r="L198" i="6"/>
  <c r="M670" i="6" l="1"/>
  <c r="N670" i="6"/>
  <c r="O670" i="6"/>
  <c r="P670" i="6"/>
  <c r="Q670" i="6"/>
  <c r="R670" i="6"/>
  <c r="S670" i="6"/>
  <c r="L680" i="6"/>
  <c r="L670" i="6" s="1"/>
  <c r="I681" i="6"/>
  <c r="H681" i="6"/>
  <c r="G681" i="6"/>
  <c r="F681" i="6"/>
  <c r="E681" i="6"/>
  <c r="D680" i="6"/>
  <c r="D679" i="6"/>
  <c r="O678" i="6"/>
  <c r="N678" i="6"/>
  <c r="N677" i="6" s="1"/>
  <c r="M678" i="6"/>
  <c r="L678" i="6"/>
  <c r="K678" i="6"/>
  <c r="K677" i="6" s="1"/>
  <c r="I678" i="6"/>
  <c r="I677" i="6" s="1"/>
  <c r="H678" i="6"/>
  <c r="H677" i="6" s="1"/>
  <c r="G678" i="6"/>
  <c r="F678" i="6"/>
  <c r="F677" i="6" s="1"/>
  <c r="E678" i="6"/>
  <c r="E677" i="6" s="1"/>
  <c r="M677" i="6"/>
  <c r="J677" i="6"/>
  <c r="D678" i="6" l="1"/>
  <c r="L677" i="6"/>
  <c r="D681" i="6"/>
  <c r="D677" i="6" s="1"/>
  <c r="G677" i="6"/>
  <c r="D340" i="6" l="1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L655" i="6" l="1"/>
  <c r="L654" i="6" l="1"/>
  <c r="L609" i="6" l="1"/>
  <c r="M389" i="6" l="1"/>
  <c r="M472" i="6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M603" i="6"/>
  <c r="D346" i="6" l="1"/>
  <c r="N593" i="6"/>
  <c r="M593" i="6"/>
  <c r="P32" i="6" l="1"/>
  <c r="Q32" i="6"/>
  <c r="R32" i="6"/>
  <c r="S32" i="6"/>
  <c r="T32" i="6"/>
  <c r="U32" i="6"/>
  <c r="V32" i="6"/>
  <c r="D345" i="6"/>
  <c r="D344" i="6"/>
  <c r="D343" i="6"/>
  <c r="D342" i="6"/>
  <c r="O341" i="6"/>
  <c r="N341" i="6"/>
  <c r="L341" i="6"/>
  <c r="K341" i="6"/>
  <c r="J341" i="6"/>
  <c r="I341" i="6"/>
  <c r="H341" i="6"/>
  <c r="G341" i="6"/>
  <c r="F341" i="6"/>
  <c r="E341" i="6"/>
  <c r="M298" i="6"/>
  <c r="N298" i="6"/>
  <c r="L298" i="6"/>
  <c r="M238" i="6"/>
  <c r="N238" i="6"/>
  <c r="L238" i="6"/>
  <c r="D341" i="6" l="1"/>
  <c r="M650" i="6"/>
  <c r="N650" i="6"/>
  <c r="O650" i="6"/>
  <c r="M649" i="6"/>
  <c r="N649" i="6"/>
  <c r="O649" i="6"/>
  <c r="L650" i="6"/>
  <c r="L649" i="6"/>
  <c r="K284" i="6" l="1"/>
  <c r="K264" i="6"/>
  <c r="K261" i="6" s="1"/>
  <c r="K520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M198" i="6"/>
  <c r="D326" i="6" l="1"/>
  <c r="K609" i="6"/>
  <c r="K578" i="6" l="1"/>
  <c r="K603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675" i="6" l="1"/>
  <c r="K670" i="6" s="1"/>
  <c r="K640" i="6"/>
  <c r="K630" i="6"/>
  <c r="K593" i="6"/>
  <c r="K462" i="6"/>
  <c r="K420" i="6"/>
  <c r="K389" i="6"/>
  <c r="K319" i="6"/>
  <c r="K314" i="6"/>
  <c r="K209" i="6"/>
  <c r="K204" i="6"/>
  <c r="K477" i="6" l="1"/>
  <c r="K379" i="6" l="1"/>
  <c r="K427" i="6" l="1"/>
  <c r="K38" i="6"/>
  <c r="K224" i="6" l="1"/>
  <c r="K620" i="6" l="1"/>
  <c r="M526" i="6"/>
  <c r="L526" i="6"/>
  <c r="M520" i="6"/>
  <c r="L520" i="6"/>
  <c r="M497" i="6"/>
  <c r="L497" i="6"/>
  <c r="M427" i="6"/>
  <c r="L427" i="6"/>
  <c r="M420" i="6"/>
  <c r="L420" i="6"/>
  <c r="M409" i="6"/>
  <c r="L409" i="6"/>
  <c r="L389" i="6"/>
  <c r="M379" i="6"/>
  <c r="L379" i="6"/>
  <c r="K44" i="6"/>
  <c r="K526" i="6" l="1"/>
  <c r="K497" i="6"/>
  <c r="L432" i="6"/>
  <c r="K294" i="6" l="1"/>
  <c r="K409" i="6" l="1"/>
  <c r="O695" i="6" l="1"/>
  <c r="O568" i="6"/>
  <c r="N547" i="6"/>
  <c r="N541" i="6" s="1"/>
  <c r="O547" i="6"/>
  <c r="O541" i="6" s="1"/>
  <c r="M547" i="6"/>
  <c r="M541" i="6" s="1"/>
  <c r="L547" i="6"/>
  <c r="L541" i="6" s="1"/>
  <c r="L514" i="6"/>
  <c r="M514" i="6"/>
  <c r="N514" i="6"/>
  <c r="O514" i="6"/>
  <c r="L487" i="6"/>
  <c r="M487" i="6"/>
  <c r="M482" i="6" s="1"/>
  <c r="N487" i="6"/>
  <c r="N482" i="6" s="1"/>
  <c r="O487" i="6"/>
  <c r="O482" i="6" s="1"/>
  <c r="L482" i="6"/>
  <c r="L414" i="6"/>
  <c r="M414" i="6"/>
  <c r="N414" i="6"/>
  <c r="L374" i="6"/>
  <c r="M374" i="6"/>
  <c r="N374" i="6"/>
  <c r="O374" i="6"/>
  <c r="O439" i="6" l="1"/>
  <c r="N439" i="6"/>
  <c r="M439" i="6"/>
  <c r="L439" i="6"/>
  <c r="K439" i="6"/>
  <c r="J439" i="6"/>
  <c r="I439" i="6"/>
  <c r="H439" i="6"/>
  <c r="G439" i="6"/>
  <c r="F439" i="6"/>
  <c r="E439" i="6"/>
  <c r="D443" i="6"/>
  <c r="D442" i="6"/>
  <c r="D441" i="6"/>
  <c r="D440" i="6"/>
  <c r="D439" i="6" l="1"/>
  <c r="K558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47" i="6"/>
  <c r="D463" i="6"/>
  <c r="D462" i="6"/>
  <c r="D461" i="6"/>
  <c r="D460" i="6"/>
  <c r="O459" i="6"/>
  <c r="N459" i="6"/>
  <c r="M459" i="6"/>
  <c r="L459" i="6"/>
  <c r="K459" i="6"/>
  <c r="J459" i="6"/>
  <c r="I459" i="6"/>
  <c r="H459" i="6"/>
  <c r="G459" i="6"/>
  <c r="F459" i="6"/>
  <c r="E459" i="6"/>
  <c r="D459" i="6" l="1"/>
  <c r="K251" i="6"/>
  <c r="D646" i="6" l="1"/>
  <c r="D645" i="6"/>
  <c r="D644" i="6"/>
  <c r="D643" i="6"/>
  <c r="O642" i="6"/>
  <c r="N642" i="6"/>
  <c r="M642" i="6"/>
  <c r="L642" i="6"/>
  <c r="K642" i="6"/>
  <c r="J642" i="6"/>
  <c r="I642" i="6"/>
  <c r="H642" i="6"/>
  <c r="G642" i="6"/>
  <c r="F642" i="6"/>
  <c r="E642" i="6"/>
  <c r="D642" i="6" l="1"/>
  <c r="J670" i="6"/>
  <c r="J667" i="6" s="1"/>
  <c r="O673" i="6"/>
  <c r="N673" i="6"/>
  <c r="N672" i="6" s="1"/>
  <c r="M673" i="6"/>
  <c r="L673" i="6"/>
  <c r="L672" i="6" s="1"/>
  <c r="K673" i="6"/>
  <c r="K672" i="6" s="1"/>
  <c r="O668" i="6"/>
  <c r="O667" i="6" s="1"/>
  <c r="N668" i="6"/>
  <c r="N667" i="6" s="1"/>
  <c r="M668" i="6"/>
  <c r="M667" i="6" s="1"/>
  <c r="L668" i="6"/>
  <c r="L667" i="6" s="1"/>
  <c r="K668" i="6"/>
  <c r="I676" i="6"/>
  <c r="H676" i="6"/>
  <c r="G676" i="6"/>
  <c r="F676" i="6"/>
  <c r="E676" i="6"/>
  <c r="I673" i="6"/>
  <c r="H673" i="6"/>
  <c r="G673" i="6"/>
  <c r="F673" i="6"/>
  <c r="E673" i="6"/>
  <c r="I671" i="6"/>
  <c r="H671" i="6"/>
  <c r="G671" i="6"/>
  <c r="F671" i="6"/>
  <c r="E671" i="6"/>
  <c r="I668" i="6"/>
  <c r="H668" i="6"/>
  <c r="G668" i="6"/>
  <c r="F668" i="6"/>
  <c r="E668" i="6"/>
  <c r="D675" i="6"/>
  <c r="D674" i="6"/>
  <c r="M672" i="6"/>
  <c r="J672" i="6"/>
  <c r="D669" i="6"/>
  <c r="D641" i="6"/>
  <c r="D640" i="6"/>
  <c r="D639" i="6"/>
  <c r="D638" i="6"/>
  <c r="O637" i="6"/>
  <c r="N637" i="6"/>
  <c r="M637" i="6"/>
  <c r="L637" i="6"/>
  <c r="K637" i="6"/>
  <c r="J637" i="6"/>
  <c r="I637" i="6"/>
  <c r="H637" i="6"/>
  <c r="G637" i="6"/>
  <c r="F637" i="6"/>
  <c r="E637" i="6"/>
  <c r="D634" i="6"/>
  <c r="D636" i="6"/>
  <c r="D635" i="6"/>
  <c r="D633" i="6"/>
  <c r="O632" i="6"/>
  <c r="N632" i="6"/>
  <c r="M632" i="6"/>
  <c r="L632" i="6"/>
  <c r="K632" i="6"/>
  <c r="J632" i="6"/>
  <c r="I632" i="6"/>
  <c r="H632" i="6"/>
  <c r="G632" i="6"/>
  <c r="F632" i="6"/>
  <c r="E632" i="6"/>
  <c r="I667" i="6" l="1"/>
  <c r="G672" i="6"/>
  <c r="E667" i="6"/>
  <c r="G667" i="6"/>
  <c r="F667" i="6"/>
  <c r="H667" i="6"/>
  <c r="D673" i="6"/>
  <c r="I672" i="6"/>
  <c r="D637" i="6"/>
  <c r="D671" i="6"/>
  <c r="D668" i="6"/>
  <c r="E672" i="6"/>
  <c r="F672" i="6"/>
  <c r="H672" i="6"/>
  <c r="D676" i="6"/>
  <c r="D672" i="6" s="1"/>
  <c r="D670" i="6"/>
  <c r="K667" i="6"/>
  <c r="D632" i="6"/>
  <c r="D667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14" i="6" l="1"/>
  <c r="K184" i="6" l="1"/>
  <c r="K32" i="6" s="1"/>
  <c r="O627" i="6" l="1"/>
  <c r="N627" i="6"/>
  <c r="M627" i="6"/>
  <c r="L627" i="6"/>
  <c r="K627" i="6"/>
  <c r="J627" i="6"/>
  <c r="I627" i="6"/>
  <c r="H627" i="6"/>
  <c r="G627" i="6"/>
  <c r="F627" i="6"/>
  <c r="E627" i="6"/>
  <c r="D631" i="6"/>
  <c r="D630" i="6"/>
  <c r="D629" i="6"/>
  <c r="D628" i="6"/>
  <c r="K695" i="6"/>
  <c r="K568" i="6"/>
  <c r="K374" i="6"/>
  <c r="D407" i="6"/>
  <c r="D408" i="6"/>
  <c r="D409" i="6"/>
  <c r="D410" i="6"/>
  <c r="F406" i="6"/>
  <c r="G406" i="6"/>
  <c r="H406" i="6"/>
  <c r="I406" i="6"/>
  <c r="J406" i="6"/>
  <c r="K406" i="6"/>
  <c r="L406" i="6"/>
  <c r="M406" i="6"/>
  <c r="N406" i="6"/>
  <c r="O406" i="6"/>
  <c r="E406" i="6"/>
  <c r="D627" i="6" l="1"/>
  <c r="D406" i="6"/>
  <c r="O622" i="6"/>
  <c r="N622" i="6"/>
  <c r="M622" i="6"/>
  <c r="L622" i="6"/>
  <c r="K622" i="6"/>
  <c r="J622" i="6"/>
  <c r="I622" i="6"/>
  <c r="H622" i="6"/>
  <c r="G622" i="6"/>
  <c r="F622" i="6"/>
  <c r="E622" i="6"/>
  <c r="D626" i="6"/>
  <c r="D625" i="6"/>
  <c r="D624" i="6"/>
  <c r="D623" i="6"/>
  <c r="D622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47" i="6" l="1"/>
  <c r="K474" i="6" l="1"/>
  <c r="E445" i="6" l="1"/>
  <c r="F445" i="6"/>
  <c r="G445" i="6"/>
  <c r="H445" i="6"/>
  <c r="I445" i="6"/>
  <c r="J445" i="6"/>
  <c r="F448" i="6" l="1"/>
  <c r="G448" i="6"/>
  <c r="H448" i="6"/>
  <c r="I448" i="6"/>
  <c r="J448" i="6"/>
  <c r="K448" i="6"/>
  <c r="L448" i="6"/>
  <c r="M448" i="6"/>
  <c r="N448" i="6"/>
  <c r="O448" i="6"/>
  <c r="E448" i="6"/>
  <c r="F447" i="6"/>
  <c r="G447" i="6"/>
  <c r="H447" i="6"/>
  <c r="I447" i="6"/>
  <c r="L447" i="6"/>
  <c r="M447" i="6"/>
  <c r="N447" i="6"/>
  <c r="O447" i="6"/>
  <c r="E447" i="6"/>
  <c r="F446" i="6"/>
  <c r="G446" i="6"/>
  <c r="H446" i="6"/>
  <c r="I446" i="6"/>
  <c r="J446" i="6"/>
  <c r="K446" i="6"/>
  <c r="L446" i="6"/>
  <c r="M446" i="6"/>
  <c r="N446" i="6"/>
  <c r="O446" i="6"/>
  <c r="E446" i="6"/>
  <c r="K445" i="6"/>
  <c r="L445" i="6"/>
  <c r="M445" i="6"/>
  <c r="N445" i="6"/>
  <c r="O445" i="6"/>
  <c r="D455" i="6"/>
  <c r="D456" i="6"/>
  <c r="D457" i="6"/>
  <c r="D458" i="6"/>
  <c r="F454" i="6"/>
  <c r="G454" i="6"/>
  <c r="H454" i="6"/>
  <c r="I454" i="6"/>
  <c r="J454" i="6"/>
  <c r="K454" i="6"/>
  <c r="L454" i="6"/>
  <c r="M454" i="6"/>
  <c r="N454" i="6"/>
  <c r="O454" i="6"/>
  <c r="E454" i="6"/>
  <c r="F449" i="6"/>
  <c r="G449" i="6"/>
  <c r="H449" i="6"/>
  <c r="I449" i="6"/>
  <c r="K449" i="6"/>
  <c r="L449" i="6"/>
  <c r="M449" i="6"/>
  <c r="N449" i="6"/>
  <c r="O449" i="6"/>
  <c r="E449" i="6"/>
  <c r="D475" i="6"/>
  <c r="D476" i="6"/>
  <c r="D477" i="6"/>
  <c r="D478" i="6"/>
  <c r="F468" i="6"/>
  <c r="G468" i="6"/>
  <c r="H468" i="6"/>
  <c r="I468" i="6"/>
  <c r="J468" i="6"/>
  <c r="K468" i="6"/>
  <c r="L468" i="6"/>
  <c r="M468" i="6"/>
  <c r="N468" i="6"/>
  <c r="O468" i="6"/>
  <c r="E468" i="6"/>
  <c r="F467" i="6"/>
  <c r="G467" i="6"/>
  <c r="H467" i="6"/>
  <c r="I467" i="6"/>
  <c r="J467" i="6"/>
  <c r="K467" i="6"/>
  <c r="L467" i="6"/>
  <c r="M467" i="6"/>
  <c r="N467" i="6"/>
  <c r="O467" i="6"/>
  <c r="E467" i="6"/>
  <c r="F466" i="6"/>
  <c r="G466" i="6"/>
  <c r="H466" i="6"/>
  <c r="I466" i="6"/>
  <c r="J466" i="6"/>
  <c r="K466" i="6"/>
  <c r="L466" i="6"/>
  <c r="M466" i="6"/>
  <c r="N466" i="6"/>
  <c r="O466" i="6"/>
  <c r="E466" i="6"/>
  <c r="F465" i="6"/>
  <c r="G465" i="6"/>
  <c r="H465" i="6"/>
  <c r="I465" i="6"/>
  <c r="J465" i="6"/>
  <c r="K465" i="6"/>
  <c r="L465" i="6"/>
  <c r="M465" i="6"/>
  <c r="N465" i="6"/>
  <c r="O465" i="6"/>
  <c r="E465" i="6"/>
  <c r="F474" i="6"/>
  <c r="G474" i="6"/>
  <c r="H474" i="6"/>
  <c r="I474" i="6"/>
  <c r="J474" i="6"/>
  <c r="L474" i="6"/>
  <c r="M474" i="6"/>
  <c r="N474" i="6"/>
  <c r="O474" i="6"/>
  <c r="E474" i="6"/>
  <c r="D454" i="6" l="1"/>
  <c r="D474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09" i="6" l="1"/>
  <c r="J562" i="6"/>
  <c r="J264" i="6"/>
  <c r="J695" i="6" l="1"/>
  <c r="J603" i="6" l="1"/>
  <c r="J593" i="6"/>
  <c r="J558" i="6"/>
  <c r="J526" i="6"/>
  <c r="J497" i="6"/>
  <c r="J379" i="6"/>
  <c r="J568" i="6" l="1"/>
  <c r="J420" i="6"/>
  <c r="J389" i="6"/>
  <c r="J269" i="6"/>
  <c r="J184" i="6"/>
  <c r="J274" i="6"/>
  <c r="J38" i="6"/>
  <c r="J620" i="6"/>
  <c r="J219" i="6"/>
  <c r="J520" i="6" l="1"/>
  <c r="M196" i="6" l="1"/>
  <c r="L196" i="6"/>
  <c r="K196" i="6"/>
  <c r="O437" i="6"/>
  <c r="O414" i="6" s="1"/>
  <c r="L546" i="6"/>
  <c r="L540" i="6" s="1"/>
  <c r="M546" i="6"/>
  <c r="N546" i="6"/>
  <c r="O546" i="6"/>
  <c r="K546" i="6"/>
  <c r="M540" i="6"/>
  <c r="K649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32" i="6"/>
  <c r="J452" i="6"/>
  <c r="J649" i="6"/>
  <c r="J650" i="6"/>
  <c r="J651" i="6"/>
  <c r="J204" i="6"/>
  <c r="E514" i="6"/>
  <c r="J514" i="6"/>
  <c r="J578" i="6"/>
  <c r="J427" i="6"/>
  <c r="J597" i="6"/>
  <c r="J582" i="6"/>
  <c r="J393" i="6"/>
  <c r="J383" i="6"/>
  <c r="J196" i="6"/>
  <c r="J469" i="6"/>
  <c r="K469" i="6"/>
  <c r="L469" i="6"/>
  <c r="J62" i="6"/>
  <c r="D62" i="6" s="1"/>
  <c r="D140" i="6"/>
  <c r="J249" i="6"/>
  <c r="D249" i="6" s="1"/>
  <c r="I539" i="6"/>
  <c r="E539" i="6"/>
  <c r="I666" i="6"/>
  <c r="I661" i="6" s="1"/>
  <c r="H666" i="6"/>
  <c r="H661" i="6" s="1"/>
  <c r="G666" i="6"/>
  <c r="G661" i="6" s="1"/>
  <c r="F666" i="6"/>
  <c r="F661" i="6" s="1"/>
  <c r="E666" i="6"/>
  <c r="E661" i="6" s="1"/>
  <c r="D665" i="6"/>
  <c r="D664" i="6"/>
  <c r="O663" i="6"/>
  <c r="O662" i="6" s="1"/>
  <c r="N663" i="6"/>
  <c r="N662" i="6" s="1"/>
  <c r="M663" i="6"/>
  <c r="M662" i="6" s="1"/>
  <c r="L663" i="6"/>
  <c r="L662" i="6" s="1"/>
  <c r="K663" i="6"/>
  <c r="K662" i="6" s="1"/>
  <c r="J663" i="6"/>
  <c r="J662" i="6" s="1"/>
  <c r="I663" i="6"/>
  <c r="I658" i="6" s="1"/>
  <c r="H663" i="6"/>
  <c r="G663" i="6"/>
  <c r="F663" i="6"/>
  <c r="F658" i="6" s="1"/>
  <c r="E663" i="6"/>
  <c r="E658" i="6" s="1"/>
  <c r="K661" i="6"/>
  <c r="J661" i="6"/>
  <c r="K660" i="6"/>
  <c r="J660" i="6"/>
  <c r="I660" i="6"/>
  <c r="H660" i="6"/>
  <c r="G660" i="6"/>
  <c r="E660" i="6"/>
  <c r="F660" i="6"/>
  <c r="K659" i="6"/>
  <c r="J659" i="6"/>
  <c r="I659" i="6"/>
  <c r="H659" i="6"/>
  <c r="G659" i="6"/>
  <c r="F659" i="6"/>
  <c r="E659" i="6"/>
  <c r="O658" i="6"/>
  <c r="O657" i="6" s="1"/>
  <c r="N658" i="6"/>
  <c r="N657" i="6" s="1"/>
  <c r="M658" i="6"/>
  <c r="M657" i="6" s="1"/>
  <c r="L658" i="6"/>
  <c r="L657" i="6" s="1"/>
  <c r="J259" i="6"/>
  <c r="J256" i="6" s="1"/>
  <c r="E512" i="6"/>
  <c r="F512" i="6"/>
  <c r="G512" i="6"/>
  <c r="G529" i="6"/>
  <c r="H512" i="6"/>
  <c r="I512" i="6"/>
  <c r="J512" i="6"/>
  <c r="K512" i="6"/>
  <c r="K529" i="6"/>
  <c r="L512" i="6"/>
  <c r="M512" i="6"/>
  <c r="N512" i="6"/>
  <c r="O512" i="6"/>
  <c r="O529" i="6"/>
  <c r="E513" i="6"/>
  <c r="F513" i="6"/>
  <c r="G513" i="6"/>
  <c r="H513" i="6"/>
  <c r="H530" i="6"/>
  <c r="I513" i="6"/>
  <c r="J513" i="6"/>
  <c r="K513" i="6"/>
  <c r="L513" i="6"/>
  <c r="L516" i="6"/>
  <c r="M513" i="6"/>
  <c r="N513" i="6"/>
  <c r="O513" i="6"/>
  <c r="F514" i="6"/>
  <c r="F531" i="6"/>
  <c r="G514" i="6"/>
  <c r="H514" i="6"/>
  <c r="I514" i="6"/>
  <c r="K514" i="6"/>
  <c r="K531" i="6"/>
  <c r="E515" i="6"/>
  <c r="E505" i="6" s="1"/>
  <c r="F515" i="6"/>
  <c r="G515" i="6"/>
  <c r="H515" i="6"/>
  <c r="I515" i="6"/>
  <c r="I509" i="6" s="1"/>
  <c r="J515" i="6"/>
  <c r="K515" i="6"/>
  <c r="L515" i="6"/>
  <c r="M515" i="6"/>
  <c r="M505" i="6" s="1"/>
  <c r="N515" i="6"/>
  <c r="O515" i="6"/>
  <c r="E516" i="6"/>
  <c r="F516" i="6"/>
  <c r="G516" i="6"/>
  <c r="H516" i="6"/>
  <c r="I516" i="6"/>
  <c r="J516" i="6"/>
  <c r="K516" i="6"/>
  <c r="M516" i="6"/>
  <c r="N516" i="6"/>
  <c r="N510" i="6" s="1"/>
  <c r="O516" i="6"/>
  <c r="O510" i="6" s="1"/>
  <c r="F529" i="6"/>
  <c r="H529" i="6"/>
  <c r="I529" i="6"/>
  <c r="J529" i="6"/>
  <c r="L529" i="6"/>
  <c r="M529" i="6"/>
  <c r="N529" i="6"/>
  <c r="F530" i="6"/>
  <c r="G530" i="6"/>
  <c r="I530" i="6"/>
  <c r="J530" i="6"/>
  <c r="K530" i="6"/>
  <c r="L530" i="6"/>
  <c r="M530" i="6"/>
  <c r="N530" i="6"/>
  <c r="O530" i="6"/>
  <c r="G531" i="6"/>
  <c r="H531" i="6"/>
  <c r="I531" i="6"/>
  <c r="J531" i="6"/>
  <c r="L531" i="6"/>
  <c r="L508" i="6" s="1"/>
  <c r="M531" i="6"/>
  <c r="M508" i="6" s="1"/>
  <c r="N531" i="6"/>
  <c r="N508" i="6" s="1"/>
  <c r="O531" i="6"/>
  <c r="O508" i="6" s="1"/>
  <c r="F532" i="6"/>
  <c r="G532" i="6"/>
  <c r="H532" i="6"/>
  <c r="I532" i="6"/>
  <c r="J532" i="6"/>
  <c r="K532" i="6"/>
  <c r="L532" i="6"/>
  <c r="M532" i="6"/>
  <c r="N532" i="6"/>
  <c r="O532" i="6"/>
  <c r="E532" i="6"/>
  <c r="E530" i="6"/>
  <c r="E531" i="6"/>
  <c r="E529" i="6"/>
  <c r="D537" i="6"/>
  <c r="D536" i="6"/>
  <c r="D535" i="6"/>
  <c r="D534" i="6"/>
  <c r="O533" i="6"/>
  <c r="N533" i="6"/>
  <c r="M533" i="6"/>
  <c r="L533" i="6"/>
  <c r="K533" i="6"/>
  <c r="J533" i="6"/>
  <c r="I533" i="6"/>
  <c r="H533" i="6"/>
  <c r="G533" i="6"/>
  <c r="F533" i="6"/>
  <c r="E533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47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595" i="6"/>
  <c r="I617" i="6"/>
  <c r="Q617" i="6" s="1"/>
  <c r="I415" i="6"/>
  <c r="M19" i="5"/>
  <c r="H19" i="5" s="1"/>
  <c r="I44" i="6"/>
  <c r="N118" i="5"/>
  <c r="N115" i="5" s="1"/>
  <c r="N69" i="5"/>
  <c r="H55" i="5"/>
  <c r="H56" i="5"/>
  <c r="L58" i="6"/>
  <c r="M58" i="6"/>
  <c r="N58" i="6"/>
  <c r="O58" i="6"/>
  <c r="J413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73" i="6"/>
  <c r="D472" i="6"/>
  <c r="D471" i="6"/>
  <c r="D470" i="6"/>
  <c r="O469" i="6"/>
  <c r="N469" i="6"/>
  <c r="M469" i="6"/>
  <c r="I469" i="6"/>
  <c r="H469" i="6"/>
  <c r="G469" i="6"/>
  <c r="F469" i="6"/>
  <c r="E469" i="6"/>
  <c r="I46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8" i="6"/>
  <c r="M444" i="6"/>
  <c r="D453" i="6"/>
  <c r="D452" i="6"/>
  <c r="D451" i="6"/>
  <c r="D450" i="6"/>
  <c r="M118" i="5"/>
  <c r="I695" i="6"/>
  <c r="I690" i="6" s="1"/>
  <c r="I687" i="6" s="1"/>
  <c r="I685" i="6" s="1"/>
  <c r="I593" i="6"/>
  <c r="I590" i="6" s="1"/>
  <c r="I578" i="6"/>
  <c r="I493" i="6"/>
  <c r="M96" i="5"/>
  <c r="H96" i="5" s="1"/>
  <c r="M99" i="5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32" i="6"/>
  <c r="I558" i="6"/>
  <c r="D558" i="6" s="1"/>
  <c r="I609" i="6"/>
  <c r="I568" i="6"/>
  <c r="I383" i="6"/>
  <c r="D383" i="6" s="1"/>
  <c r="I427" i="6"/>
  <c r="I420" i="6"/>
  <c r="I393" i="6"/>
  <c r="I497" i="6"/>
  <c r="M76" i="5"/>
  <c r="H76" i="5" s="1"/>
  <c r="Q85" i="5"/>
  <c r="H85" i="5" s="1"/>
  <c r="I91" i="5"/>
  <c r="D620" i="6"/>
  <c r="D621" i="6"/>
  <c r="D619" i="6"/>
  <c r="D618" i="6"/>
  <c r="O617" i="6"/>
  <c r="N617" i="6"/>
  <c r="M617" i="6"/>
  <c r="L617" i="6"/>
  <c r="K617" i="6"/>
  <c r="J617" i="6"/>
  <c r="H617" i="6"/>
  <c r="G617" i="6"/>
  <c r="E617" i="6"/>
  <c r="F617" i="6"/>
  <c r="J91" i="5"/>
  <c r="K91" i="5"/>
  <c r="L91" i="5"/>
  <c r="O91" i="5"/>
  <c r="P91" i="5"/>
  <c r="Q91" i="5"/>
  <c r="R91" i="5"/>
  <c r="S91" i="5"/>
  <c r="H108" i="5"/>
  <c r="M40" i="5"/>
  <c r="M17" i="5" s="1"/>
  <c r="L391" i="6"/>
  <c r="M391" i="6"/>
  <c r="N391" i="6"/>
  <c r="O391" i="6"/>
  <c r="L381" i="6"/>
  <c r="M381" i="6"/>
  <c r="N381" i="6"/>
  <c r="O381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688" i="6"/>
  <c r="D689" i="6"/>
  <c r="D691" i="6"/>
  <c r="D693" i="6"/>
  <c r="D694" i="6"/>
  <c r="D696" i="6"/>
  <c r="D654" i="6"/>
  <c r="D655" i="6"/>
  <c r="D613" i="6"/>
  <c r="D614" i="6"/>
  <c r="D615" i="6"/>
  <c r="D616" i="6"/>
  <c r="D607" i="6"/>
  <c r="D608" i="6"/>
  <c r="D610" i="6"/>
  <c r="D611" i="6"/>
  <c r="D601" i="6"/>
  <c r="D602" i="6"/>
  <c r="D603" i="6"/>
  <c r="D604" i="6"/>
  <c r="D605" i="6"/>
  <c r="D596" i="6"/>
  <c r="D598" i="6"/>
  <c r="D599" i="6"/>
  <c r="D591" i="6"/>
  <c r="D592" i="6"/>
  <c r="D594" i="6"/>
  <c r="D586" i="6"/>
  <c r="D587" i="6"/>
  <c r="D588" i="6"/>
  <c r="D589" i="6"/>
  <c r="D581" i="6"/>
  <c r="D582" i="6"/>
  <c r="D583" i="6"/>
  <c r="D584" i="6"/>
  <c r="D576" i="6"/>
  <c r="D577" i="6"/>
  <c r="D579" i="6"/>
  <c r="D571" i="6"/>
  <c r="D572" i="6"/>
  <c r="D573" i="6"/>
  <c r="D574" i="6"/>
  <c r="D566" i="6"/>
  <c r="D567" i="6"/>
  <c r="D569" i="6"/>
  <c r="D561" i="6"/>
  <c r="D562" i="6"/>
  <c r="D563" i="6"/>
  <c r="D564" i="6"/>
  <c r="D556" i="6"/>
  <c r="D557" i="6"/>
  <c r="D559" i="6"/>
  <c r="D524" i="6"/>
  <c r="D525" i="6"/>
  <c r="D526" i="6"/>
  <c r="D527" i="6"/>
  <c r="D518" i="6"/>
  <c r="D519" i="6"/>
  <c r="D520" i="6"/>
  <c r="D521" i="6"/>
  <c r="D522" i="6"/>
  <c r="D500" i="6"/>
  <c r="D501" i="6"/>
  <c r="D502" i="6"/>
  <c r="D503" i="6"/>
  <c r="D495" i="6"/>
  <c r="D496" i="6"/>
  <c r="D498" i="6"/>
  <c r="E499" i="6"/>
  <c r="F499" i="6"/>
  <c r="G499" i="6"/>
  <c r="H499" i="6"/>
  <c r="I499" i="6"/>
  <c r="J499" i="6"/>
  <c r="K499" i="6"/>
  <c r="L499" i="6"/>
  <c r="M499" i="6"/>
  <c r="N499" i="6"/>
  <c r="O499" i="6"/>
  <c r="D490" i="6"/>
  <c r="D491" i="6"/>
  <c r="D492" i="6"/>
  <c r="D493" i="6"/>
  <c r="D435" i="6"/>
  <c r="D436" i="6"/>
  <c r="D438" i="6"/>
  <c r="D431" i="6"/>
  <c r="D433" i="6"/>
  <c r="D430" i="6"/>
  <c r="D425" i="6"/>
  <c r="D426" i="6"/>
  <c r="D428" i="6"/>
  <c r="D418" i="6"/>
  <c r="D419" i="6"/>
  <c r="D421" i="6"/>
  <c r="D422" i="6"/>
  <c r="D423" i="6"/>
  <c r="D416" i="6"/>
  <c r="D402" i="6"/>
  <c r="D403" i="6"/>
  <c r="D404" i="6"/>
  <c r="D405" i="6"/>
  <c r="D397" i="6"/>
  <c r="D398" i="6"/>
  <c r="D399" i="6"/>
  <c r="D400" i="6"/>
  <c r="D392" i="6"/>
  <c r="D394" i="6"/>
  <c r="D395" i="6"/>
  <c r="D387" i="6"/>
  <c r="D388" i="6"/>
  <c r="D389" i="6"/>
  <c r="D390" i="6"/>
  <c r="D382" i="6"/>
  <c r="D384" i="6"/>
  <c r="D385" i="6"/>
  <c r="D377" i="6"/>
  <c r="D378" i="6"/>
  <c r="D379" i="6"/>
  <c r="D380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06" i="6"/>
  <c r="M606" i="6"/>
  <c r="M690" i="6"/>
  <c r="M685" i="6" s="1"/>
  <c r="L690" i="6"/>
  <c r="L687" i="6" s="1"/>
  <c r="L692" i="6"/>
  <c r="L606" i="6"/>
  <c r="O606" i="6"/>
  <c r="O434" i="6"/>
  <c r="M69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488" i="6"/>
  <c r="M488" i="6"/>
  <c r="M483" i="6" s="1"/>
  <c r="M16" i="6" s="1"/>
  <c r="N488" i="6"/>
  <c r="N483" i="6" s="1"/>
  <c r="N16" i="6" s="1"/>
  <c r="O488" i="6"/>
  <c r="O483" i="6" s="1"/>
  <c r="O16" i="6" s="1"/>
  <c r="L486" i="6"/>
  <c r="M486" i="6"/>
  <c r="N486" i="6"/>
  <c r="O486" i="6"/>
  <c r="L485" i="6"/>
  <c r="L480" i="6" s="1"/>
  <c r="M485" i="6"/>
  <c r="M480" i="6" s="1"/>
  <c r="N485" i="6"/>
  <c r="N480" i="6" s="1"/>
  <c r="O485" i="6"/>
  <c r="O480" i="6" s="1"/>
  <c r="L481" i="6"/>
  <c r="M481" i="6"/>
  <c r="N481" i="6"/>
  <c r="O481" i="6"/>
  <c r="L543" i="6"/>
  <c r="M543" i="6"/>
  <c r="N543" i="6"/>
  <c r="O543" i="6"/>
  <c r="L542" i="6"/>
  <c r="M542" i="6"/>
  <c r="N542" i="6"/>
  <c r="O542" i="6"/>
  <c r="L539" i="6"/>
  <c r="M539" i="6"/>
  <c r="N539" i="6"/>
  <c r="O539" i="6"/>
  <c r="L548" i="6"/>
  <c r="M548" i="6"/>
  <c r="N548" i="6"/>
  <c r="O548" i="6"/>
  <c r="N540" i="6"/>
  <c r="L545" i="6"/>
  <c r="M545" i="6"/>
  <c r="N545" i="6"/>
  <c r="O545" i="6"/>
  <c r="L565" i="6"/>
  <c r="L510" i="6"/>
  <c r="M510" i="6"/>
  <c r="L509" i="6"/>
  <c r="M509" i="6"/>
  <c r="N509" i="6"/>
  <c r="O509" i="6"/>
  <c r="L523" i="6"/>
  <c r="M523" i="6"/>
  <c r="N523" i="6"/>
  <c r="O523" i="6"/>
  <c r="L517" i="6"/>
  <c r="M517" i="6"/>
  <c r="N517" i="6"/>
  <c r="O517" i="6"/>
  <c r="L494" i="6"/>
  <c r="M494" i="6"/>
  <c r="N494" i="6"/>
  <c r="O494" i="6"/>
  <c r="L489" i="6"/>
  <c r="M489" i="6"/>
  <c r="N489" i="6"/>
  <c r="O489" i="6"/>
  <c r="L434" i="6"/>
  <c r="M434" i="6"/>
  <c r="L429" i="6"/>
  <c r="M429" i="6"/>
  <c r="N429" i="6"/>
  <c r="O429" i="6"/>
  <c r="L424" i="6"/>
  <c r="M424" i="6"/>
  <c r="N424" i="6"/>
  <c r="O424" i="6"/>
  <c r="L412" i="6"/>
  <c r="M412" i="6"/>
  <c r="M372" i="6"/>
  <c r="N412" i="6"/>
  <c r="O412" i="6"/>
  <c r="L413" i="6"/>
  <c r="M413" i="6"/>
  <c r="N413" i="6"/>
  <c r="O413" i="6"/>
  <c r="L415" i="6"/>
  <c r="M415" i="6"/>
  <c r="N415" i="6"/>
  <c r="O415" i="6"/>
  <c r="L417" i="6"/>
  <c r="M417" i="6"/>
  <c r="N417" i="6"/>
  <c r="O417" i="6"/>
  <c r="L372" i="6"/>
  <c r="N372" i="6"/>
  <c r="O372" i="6"/>
  <c r="L375" i="6"/>
  <c r="M375" i="6"/>
  <c r="N375" i="6"/>
  <c r="O375" i="6"/>
  <c r="L373" i="6"/>
  <c r="M373" i="6"/>
  <c r="N373" i="6"/>
  <c r="O373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55" i="6"/>
  <c r="M555" i="6"/>
  <c r="N555" i="6"/>
  <c r="O555" i="6"/>
  <c r="L560" i="6"/>
  <c r="M560" i="6"/>
  <c r="N560" i="6"/>
  <c r="O560" i="6"/>
  <c r="L686" i="6"/>
  <c r="M686" i="6"/>
  <c r="N686" i="6"/>
  <c r="O686" i="6"/>
  <c r="L683" i="6"/>
  <c r="M683" i="6"/>
  <c r="N683" i="6"/>
  <c r="O683" i="6"/>
  <c r="L684" i="6"/>
  <c r="L648" i="6" s="1"/>
  <c r="L647" i="6" s="1"/>
  <c r="M684" i="6"/>
  <c r="M648" i="6" s="1"/>
  <c r="M647" i="6" s="1"/>
  <c r="N684" i="6"/>
  <c r="N648" i="6" s="1"/>
  <c r="N647" i="6" s="1"/>
  <c r="O684" i="6"/>
  <c r="O648" i="6" s="1"/>
  <c r="O647" i="6" s="1"/>
  <c r="L612" i="6"/>
  <c r="M612" i="6"/>
  <c r="N612" i="6"/>
  <c r="O612" i="6"/>
  <c r="L580" i="6"/>
  <c r="M580" i="6"/>
  <c r="N580" i="6"/>
  <c r="O580" i="6"/>
  <c r="L575" i="6"/>
  <c r="M575" i="6"/>
  <c r="N575" i="6"/>
  <c r="O575" i="6"/>
  <c r="L590" i="6"/>
  <c r="M590" i="6"/>
  <c r="N590" i="6"/>
  <c r="O590" i="6"/>
  <c r="L595" i="6"/>
  <c r="M595" i="6"/>
  <c r="N595" i="6"/>
  <c r="O595" i="6"/>
  <c r="L600" i="6"/>
  <c r="M600" i="6"/>
  <c r="N600" i="6"/>
  <c r="O600" i="6"/>
  <c r="O653" i="6"/>
  <c r="O652" i="6" s="1"/>
  <c r="N653" i="6"/>
  <c r="N652" i="6" s="1"/>
  <c r="M653" i="6"/>
  <c r="M652" i="6" s="1"/>
  <c r="L653" i="6"/>
  <c r="L652" i="6" s="1"/>
  <c r="O585" i="6"/>
  <c r="N585" i="6"/>
  <c r="M585" i="6"/>
  <c r="L585" i="6"/>
  <c r="O570" i="6"/>
  <c r="N570" i="6"/>
  <c r="M570" i="6"/>
  <c r="L570" i="6"/>
  <c r="N550" i="6"/>
  <c r="M550" i="6"/>
  <c r="L550" i="6"/>
  <c r="L386" i="6"/>
  <c r="M386" i="6"/>
  <c r="N386" i="6"/>
  <c r="O386" i="6"/>
  <c r="L376" i="6"/>
  <c r="M376" i="6"/>
  <c r="N376" i="6"/>
  <c r="O376" i="6"/>
  <c r="N690" i="6"/>
  <c r="N685" i="6" s="1"/>
  <c r="N434" i="6"/>
  <c r="L505" i="6"/>
  <c r="O505" i="6"/>
  <c r="N505" i="6"/>
  <c r="N692" i="6"/>
  <c r="L528" i="6"/>
  <c r="D437" i="6"/>
  <c r="N528" i="6"/>
  <c r="O692" i="6"/>
  <c r="O690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M120" i="6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01" i="6"/>
  <c r="N401" i="6"/>
  <c r="M401" i="6"/>
  <c r="L401" i="6"/>
  <c r="O396" i="6"/>
  <c r="N396" i="6"/>
  <c r="M396" i="6"/>
  <c r="L396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N172" i="6"/>
  <c r="M172" i="6"/>
  <c r="L172" i="6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14" i="6"/>
  <c r="G414" i="6"/>
  <c r="H414" i="6"/>
  <c r="J414" i="6"/>
  <c r="K23" i="6"/>
  <c r="E414" i="6"/>
  <c r="K434" i="6"/>
  <c r="J434" i="6"/>
  <c r="I434" i="6"/>
  <c r="H434" i="6"/>
  <c r="G434" i="6"/>
  <c r="F434" i="6"/>
  <c r="E434" i="6"/>
  <c r="J66" i="5"/>
  <c r="K66" i="5"/>
  <c r="L66" i="5"/>
  <c r="N66" i="5"/>
  <c r="O66" i="5"/>
  <c r="I66" i="5"/>
  <c r="J612" i="6"/>
  <c r="D198" i="6"/>
  <c r="D199" i="6"/>
  <c r="U102" i="5"/>
  <c r="I546" i="6"/>
  <c r="E649" i="6"/>
  <c r="F649" i="6"/>
  <c r="F546" i="6" s="1"/>
  <c r="F540" i="6" s="1"/>
  <c r="G649" i="6"/>
  <c r="H649" i="6"/>
  <c r="H546" i="6" s="1"/>
  <c r="H540" i="6" s="1"/>
  <c r="I649" i="6"/>
  <c r="E650" i="6"/>
  <c r="F650" i="6"/>
  <c r="F547" i="6" s="1"/>
  <c r="G650" i="6"/>
  <c r="G547" i="6" s="1"/>
  <c r="H650" i="6"/>
  <c r="H547" i="6" s="1"/>
  <c r="I650" i="6"/>
  <c r="K650" i="6"/>
  <c r="K541" i="6" s="1"/>
  <c r="K651" i="6"/>
  <c r="I656" i="6"/>
  <c r="I651" i="6" s="1"/>
  <c r="H656" i="6"/>
  <c r="H651" i="6" s="1"/>
  <c r="G656" i="6"/>
  <c r="G651" i="6" s="1"/>
  <c r="F656" i="6"/>
  <c r="F651" i="6" s="1"/>
  <c r="E656" i="6"/>
  <c r="K653" i="6"/>
  <c r="K652" i="6" s="1"/>
  <c r="J653" i="6"/>
  <c r="J652" i="6" s="1"/>
  <c r="I653" i="6"/>
  <c r="H653" i="6"/>
  <c r="G653" i="6"/>
  <c r="F653" i="6"/>
  <c r="F648" i="6" s="1"/>
  <c r="E653" i="6"/>
  <c r="K231" i="6"/>
  <c r="J231" i="6"/>
  <c r="I231" i="6"/>
  <c r="H231" i="6"/>
  <c r="G231" i="6"/>
  <c r="F231" i="6"/>
  <c r="E231" i="6"/>
  <c r="I413" i="6"/>
  <c r="E413" i="6"/>
  <c r="F413" i="6"/>
  <c r="G413" i="6"/>
  <c r="H413" i="6"/>
  <c r="K413" i="6"/>
  <c r="E415" i="6"/>
  <c r="F415" i="6"/>
  <c r="G415" i="6"/>
  <c r="H415" i="6"/>
  <c r="J415" i="6"/>
  <c r="K415" i="6"/>
  <c r="F412" i="6"/>
  <c r="G412" i="6"/>
  <c r="H412" i="6"/>
  <c r="I412" i="6"/>
  <c r="J412" i="6"/>
  <c r="K412" i="6"/>
  <c r="E412" i="6"/>
  <c r="K429" i="6"/>
  <c r="J429" i="6"/>
  <c r="H429" i="6"/>
  <c r="G429" i="6"/>
  <c r="F429" i="6"/>
  <c r="E429" i="6"/>
  <c r="K226" i="6"/>
  <c r="J226" i="6"/>
  <c r="I226" i="6"/>
  <c r="H226" i="6"/>
  <c r="G226" i="6"/>
  <c r="F226" i="6"/>
  <c r="E226" i="6"/>
  <c r="E374" i="6"/>
  <c r="H488" i="6"/>
  <c r="H483" i="6" s="1"/>
  <c r="F373" i="6"/>
  <c r="G373" i="6"/>
  <c r="H373" i="6"/>
  <c r="I373" i="6"/>
  <c r="I372" i="6"/>
  <c r="I374" i="6"/>
  <c r="I375" i="6"/>
  <c r="J373" i="6"/>
  <c r="K373" i="6"/>
  <c r="E373" i="6"/>
  <c r="F374" i="6"/>
  <c r="G374" i="6"/>
  <c r="H374" i="6"/>
  <c r="J374" i="6"/>
  <c r="K595" i="6"/>
  <c r="J595" i="6"/>
  <c r="H595" i="6"/>
  <c r="G595" i="6"/>
  <c r="F595" i="6"/>
  <c r="E595" i="6"/>
  <c r="K580" i="6"/>
  <c r="J580" i="6"/>
  <c r="I580" i="6"/>
  <c r="H580" i="6"/>
  <c r="G580" i="6"/>
  <c r="F580" i="6"/>
  <c r="E580" i="6"/>
  <c r="E585" i="6"/>
  <c r="F585" i="6"/>
  <c r="G585" i="6"/>
  <c r="H585" i="6"/>
  <c r="I585" i="6"/>
  <c r="K560" i="6"/>
  <c r="J560" i="6"/>
  <c r="I560" i="6"/>
  <c r="H560" i="6"/>
  <c r="G560" i="6"/>
  <c r="F560" i="6"/>
  <c r="E560" i="6"/>
  <c r="K391" i="6"/>
  <c r="J391" i="6"/>
  <c r="I391" i="6"/>
  <c r="H391" i="6"/>
  <c r="G391" i="6"/>
  <c r="F391" i="6"/>
  <c r="E391" i="6"/>
  <c r="K381" i="6"/>
  <c r="J381" i="6"/>
  <c r="I381" i="6"/>
  <c r="H381" i="6"/>
  <c r="G381" i="6"/>
  <c r="F381" i="6"/>
  <c r="E381" i="6"/>
  <c r="L83" i="5"/>
  <c r="L79" i="5" s="1"/>
  <c r="G58" i="6"/>
  <c r="H58" i="6"/>
  <c r="I58" i="6"/>
  <c r="Q58" i="6" s="1"/>
  <c r="J58" i="6"/>
  <c r="K58" i="6"/>
  <c r="F58" i="6"/>
  <c r="I488" i="6"/>
  <c r="I483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43" i="6"/>
  <c r="K543" i="6"/>
  <c r="J542" i="6"/>
  <c r="K542" i="6"/>
  <c r="K539" i="6"/>
  <c r="J548" i="6"/>
  <c r="K548" i="6"/>
  <c r="K545" i="6"/>
  <c r="K544" i="6" s="1"/>
  <c r="J684" i="6"/>
  <c r="K684" i="6"/>
  <c r="J686" i="6"/>
  <c r="K686" i="6"/>
  <c r="K683" i="6"/>
  <c r="K690" i="6"/>
  <c r="K687" i="6" s="1"/>
  <c r="K692" i="6"/>
  <c r="K612" i="6"/>
  <c r="K606" i="6"/>
  <c r="K600" i="6"/>
  <c r="K590" i="6"/>
  <c r="K585" i="6"/>
  <c r="K575" i="6"/>
  <c r="K570" i="6"/>
  <c r="K565" i="6"/>
  <c r="K555" i="6"/>
  <c r="K510" i="6"/>
  <c r="K509" i="6"/>
  <c r="K523" i="6"/>
  <c r="K517" i="6"/>
  <c r="K481" i="6"/>
  <c r="K488" i="6"/>
  <c r="K483" i="6" s="1"/>
  <c r="K16" i="6" s="1"/>
  <c r="K487" i="6"/>
  <c r="K482" i="6" s="1"/>
  <c r="K486" i="6"/>
  <c r="K485" i="6"/>
  <c r="K480" i="6" s="1"/>
  <c r="K489" i="6"/>
  <c r="J488" i="6"/>
  <c r="J483" i="6" s="1"/>
  <c r="J16" i="6" s="1"/>
  <c r="K494" i="6"/>
  <c r="K505" i="6"/>
  <c r="K181" i="6"/>
  <c r="K424" i="6"/>
  <c r="K417" i="6"/>
  <c r="K401" i="6"/>
  <c r="K396" i="6"/>
  <c r="K386" i="6"/>
  <c r="K372" i="6"/>
  <c r="K375" i="6"/>
  <c r="K37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486" i="6"/>
  <c r="G486" i="6"/>
  <c r="G485" i="6"/>
  <c r="G480" i="6" s="1"/>
  <c r="G487" i="6"/>
  <c r="G482" i="6" s="1"/>
  <c r="G488" i="6"/>
  <c r="G483" i="6" s="1"/>
  <c r="G16" i="6" s="1"/>
  <c r="H486" i="6"/>
  <c r="I486" i="6"/>
  <c r="J486" i="6"/>
  <c r="E486" i="6"/>
  <c r="E481" i="6" s="1"/>
  <c r="F487" i="6"/>
  <c r="F482" i="6" s="1"/>
  <c r="H487" i="6"/>
  <c r="H482" i="6" s="1"/>
  <c r="J487" i="6"/>
  <c r="J482" i="6" s="1"/>
  <c r="J485" i="6"/>
  <c r="J480" i="6" s="1"/>
  <c r="E487" i="6"/>
  <c r="E482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488" i="6"/>
  <c r="F483" i="6" s="1"/>
  <c r="F16" i="6" s="1"/>
  <c r="E488" i="6"/>
  <c r="E483" i="6" s="1"/>
  <c r="E16" i="6" s="1"/>
  <c r="F485" i="6"/>
  <c r="F480" i="6" s="1"/>
  <c r="H485" i="6"/>
  <c r="H480" i="6" s="1"/>
  <c r="I485" i="6"/>
  <c r="I480" i="6" s="1"/>
  <c r="E485" i="6"/>
  <c r="E480" i="6" s="1"/>
  <c r="H181" i="6"/>
  <c r="J690" i="6"/>
  <c r="J685" i="6" s="1"/>
  <c r="J201" i="6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612" i="6"/>
  <c r="G612" i="6"/>
  <c r="E612" i="6"/>
  <c r="H612" i="6"/>
  <c r="I612" i="6"/>
  <c r="G35" i="6"/>
  <c r="H606" i="6"/>
  <c r="I606" i="6"/>
  <c r="J606" i="6"/>
  <c r="F606" i="6"/>
  <c r="G606" i="6"/>
  <c r="J401" i="6"/>
  <c r="I401" i="6"/>
  <c r="H401" i="6"/>
  <c r="G401" i="6"/>
  <c r="F401" i="6"/>
  <c r="E401" i="6"/>
  <c r="E126" i="6"/>
  <c r="I33" i="6"/>
  <c r="I24" i="6" s="1"/>
  <c r="I15" i="6" s="1"/>
  <c r="J75" i="5"/>
  <c r="K75" i="5"/>
  <c r="L75" i="5"/>
  <c r="N75" i="5"/>
  <c r="I75" i="5"/>
  <c r="H690" i="6"/>
  <c r="H687" i="6" s="1"/>
  <c r="H685" i="6" s="1"/>
  <c r="G690" i="6"/>
  <c r="G687" i="6" s="1"/>
  <c r="G685" i="6" s="1"/>
  <c r="G565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690" i="6"/>
  <c r="E685" i="6" s="1"/>
  <c r="F690" i="6"/>
  <c r="F685" i="6" s="1"/>
  <c r="F175" i="6"/>
  <c r="G175" i="6"/>
  <c r="H175" i="6"/>
  <c r="I175" i="6"/>
  <c r="J175" i="6"/>
  <c r="E175" i="6"/>
  <c r="D177" i="6"/>
  <c r="D176" i="6"/>
  <c r="E179" i="6"/>
  <c r="E33" i="6" s="1"/>
  <c r="D178" i="6"/>
  <c r="E372" i="6"/>
  <c r="F372" i="6"/>
  <c r="G372" i="6"/>
  <c r="H372" i="6"/>
  <c r="J372" i="6"/>
  <c r="E375" i="6"/>
  <c r="F375" i="6"/>
  <c r="G375" i="6"/>
  <c r="H375" i="6"/>
  <c r="J375" i="6"/>
  <c r="E376" i="6"/>
  <c r="F376" i="6"/>
  <c r="G376" i="6"/>
  <c r="H376" i="6"/>
  <c r="I376" i="6"/>
  <c r="J376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70" i="6"/>
  <c r="F570" i="6"/>
  <c r="G570" i="6"/>
  <c r="H570" i="6"/>
  <c r="I570" i="6"/>
  <c r="J570" i="6"/>
  <c r="E565" i="6"/>
  <c r="F565" i="6"/>
  <c r="D554" i="6"/>
  <c r="J550" i="6"/>
  <c r="H550" i="6"/>
  <c r="G550" i="6"/>
  <c r="F550" i="6"/>
  <c r="E550" i="6"/>
  <c r="F548" i="6"/>
  <c r="G548" i="6"/>
  <c r="H548" i="6"/>
  <c r="I548" i="6"/>
  <c r="E548" i="6"/>
  <c r="E542" i="6" s="1"/>
  <c r="J692" i="6"/>
  <c r="H692" i="6"/>
  <c r="G692" i="6"/>
  <c r="F692" i="6"/>
  <c r="E692" i="6"/>
  <c r="E396" i="6"/>
  <c r="F396" i="6"/>
  <c r="G396" i="6"/>
  <c r="H396" i="6"/>
  <c r="I396" i="6"/>
  <c r="J396" i="6"/>
  <c r="D515" i="6"/>
  <c r="G509" i="6"/>
  <c r="G505" i="6"/>
  <c r="J509" i="6"/>
  <c r="J505" i="6"/>
  <c r="H509" i="6"/>
  <c r="H505" i="6"/>
  <c r="F509" i="6"/>
  <c r="F505" i="6"/>
  <c r="E509" i="6"/>
  <c r="D553" i="6"/>
  <c r="D550" i="6" s="1"/>
  <c r="I550" i="6"/>
  <c r="J80" i="5"/>
  <c r="J11" i="5" s="1"/>
  <c r="F549" i="6"/>
  <c r="G549" i="6"/>
  <c r="H549" i="6"/>
  <c r="I549" i="6"/>
  <c r="E549" i="6"/>
  <c r="F545" i="6"/>
  <c r="G545" i="6"/>
  <c r="H545" i="6"/>
  <c r="I545" i="6"/>
  <c r="J545" i="6"/>
  <c r="E545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585" i="6"/>
  <c r="E609" i="6"/>
  <c r="D609" i="6" s="1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17" i="6"/>
  <c r="F517" i="6"/>
  <c r="G517" i="6"/>
  <c r="H517" i="6"/>
  <c r="I517" i="6"/>
  <c r="J517" i="6"/>
  <c r="E523" i="6"/>
  <c r="F523" i="6"/>
  <c r="G523" i="6"/>
  <c r="H523" i="6"/>
  <c r="I523" i="6"/>
  <c r="J523" i="6"/>
  <c r="F510" i="6"/>
  <c r="G510" i="6"/>
  <c r="H510" i="6"/>
  <c r="I510" i="6"/>
  <c r="J510" i="6"/>
  <c r="F542" i="6"/>
  <c r="G542" i="6"/>
  <c r="H542" i="6"/>
  <c r="I542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00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F23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683" i="6"/>
  <c r="H684" i="6"/>
  <c r="H686" i="6"/>
  <c r="G683" i="6"/>
  <c r="G684" i="6"/>
  <c r="G686" i="6"/>
  <c r="E687" i="6"/>
  <c r="I686" i="6"/>
  <c r="E686" i="6"/>
  <c r="F686" i="6"/>
  <c r="F683" i="6"/>
  <c r="F684" i="6"/>
  <c r="I684" i="6"/>
  <c r="E684" i="6"/>
  <c r="J683" i="6"/>
  <c r="I683" i="6"/>
  <c r="E683" i="6"/>
  <c r="G600" i="6"/>
  <c r="F600" i="6"/>
  <c r="E590" i="6"/>
  <c r="G575" i="6"/>
  <c r="E575" i="6"/>
  <c r="F575" i="6"/>
  <c r="H575" i="6"/>
  <c r="I575" i="6"/>
  <c r="J575" i="6"/>
  <c r="J555" i="6"/>
  <c r="G555" i="6"/>
  <c r="F555" i="6"/>
  <c r="E555" i="6"/>
  <c r="I543" i="6"/>
  <c r="G543" i="6"/>
  <c r="F543" i="6"/>
  <c r="E543" i="6"/>
  <c r="J539" i="6"/>
  <c r="H539" i="6"/>
  <c r="G539" i="6"/>
  <c r="F539" i="6"/>
  <c r="J494" i="6"/>
  <c r="I494" i="6"/>
  <c r="H494" i="6"/>
  <c r="G494" i="6"/>
  <c r="F494" i="6"/>
  <c r="E494" i="6"/>
  <c r="J489" i="6"/>
  <c r="I489" i="6"/>
  <c r="H489" i="6"/>
  <c r="G489" i="6"/>
  <c r="F489" i="6"/>
  <c r="E489" i="6"/>
  <c r="J481" i="6"/>
  <c r="I481" i="6"/>
  <c r="H481" i="6"/>
  <c r="G481" i="6"/>
  <c r="F481" i="6"/>
  <c r="J424" i="6"/>
  <c r="I424" i="6"/>
  <c r="H424" i="6"/>
  <c r="G424" i="6"/>
  <c r="F424" i="6"/>
  <c r="E424" i="6"/>
  <c r="J417" i="6"/>
  <c r="I417" i="6"/>
  <c r="H417" i="6"/>
  <c r="G417" i="6"/>
  <c r="F417" i="6"/>
  <c r="E417" i="6"/>
  <c r="J386" i="6"/>
  <c r="I386" i="6"/>
  <c r="H386" i="6"/>
  <c r="G386" i="6"/>
  <c r="F386" i="6"/>
  <c r="E386" i="6"/>
  <c r="J113" i="5"/>
  <c r="K113" i="5"/>
  <c r="E511" i="6"/>
  <c r="G511" i="6"/>
  <c r="D42" i="6"/>
  <c r="G546" i="6"/>
  <c r="G540" i="6" s="1"/>
  <c r="E546" i="6"/>
  <c r="E540" i="6" s="1"/>
  <c r="J161" i="6"/>
  <c r="D39" i="6"/>
  <c r="G590" i="6"/>
  <c r="H600" i="6"/>
  <c r="H555" i="6"/>
  <c r="F590" i="6"/>
  <c r="M113" i="5"/>
  <c r="F35" i="6"/>
  <c r="E35" i="6"/>
  <c r="H35" i="6"/>
  <c r="L113" i="5"/>
  <c r="I35" i="6"/>
  <c r="I600" i="6"/>
  <c r="J600" i="6"/>
  <c r="H590" i="6"/>
  <c r="I155" i="6"/>
  <c r="G528" i="6"/>
  <c r="J33" i="6"/>
  <c r="J35" i="6"/>
  <c r="H565" i="6"/>
  <c r="I555" i="6"/>
  <c r="I565" i="6"/>
  <c r="H528" i="6"/>
  <c r="J590" i="6"/>
  <c r="D529" i="6"/>
  <c r="J565" i="6"/>
  <c r="O78" i="5"/>
  <c r="L538" i="6"/>
  <c r="I429" i="6"/>
  <c r="D432" i="6"/>
  <c r="H97" i="5"/>
  <c r="I79" i="5"/>
  <c r="I648" i="6"/>
  <c r="L483" i="6"/>
  <c r="L16" i="6" s="1"/>
  <c r="L685" i="6"/>
  <c r="K90" i="5"/>
  <c r="G18" i="6"/>
  <c r="L114" i="5"/>
  <c r="L89" i="5"/>
  <c r="L168" i="6"/>
  <c r="N81" i="5"/>
  <c r="I89" i="5"/>
  <c r="D44" i="6"/>
  <c r="D597" i="6"/>
  <c r="S15" i="5"/>
  <c r="K658" i="6"/>
  <c r="K657" i="6" s="1"/>
  <c r="D420" i="6"/>
  <c r="D666" i="6"/>
  <c r="G658" i="6"/>
  <c r="G657" i="6" s="1"/>
  <c r="I657" i="6"/>
  <c r="I662" i="6"/>
  <c r="I81" i="5"/>
  <c r="K648" i="6"/>
  <c r="P79" i="5"/>
  <c r="M565" i="6"/>
  <c r="D131" i="6"/>
  <c r="I80" i="5"/>
  <c r="I11" i="5" s="1"/>
  <c r="O77" i="5"/>
  <c r="M168" i="6"/>
  <c r="R90" i="5"/>
  <c r="J648" i="6"/>
  <c r="J647" i="6" s="1"/>
  <c r="O540" i="6"/>
  <c r="N484" i="6"/>
  <c r="S79" i="5"/>
  <c r="R118" i="5"/>
  <c r="S118" i="5" s="1"/>
  <c r="S113" i="5" s="1"/>
  <c r="Q115" i="5"/>
  <c r="R115" i="5" s="1"/>
  <c r="I487" i="6"/>
  <c r="I482" i="6" s="1"/>
  <c r="D497" i="6"/>
  <c r="H68" i="5"/>
  <c r="M66" i="5"/>
  <c r="P580" i="6"/>
  <c r="D578" i="6"/>
  <c r="M115" i="5"/>
  <c r="M114" i="5" s="1"/>
  <c r="H18" i="6"/>
  <c r="H87" i="5"/>
  <c r="M84" i="5"/>
  <c r="M77" i="5" s="1"/>
  <c r="D568" i="6"/>
  <c r="N565" i="6"/>
  <c r="O565" i="6"/>
  <c r="N23" i="6" l="1"/>
  <c r="K20" i="6"/>
  <c r="H84" i="5"/>
  <c r="L14" i="5"/>
  <c r="J14" i="5"/>
  <c r="Q83" i="5"/>
  <c r="Q116" i="5"/>
  <c r="R116" i="5" s="1"/>
  <c r="S116" i="5" s="1"/>
  <c r="D427" i="6"/>
  <c r="H106" i="5"/>
  <c r="D259" i="6"/>
  <c r="J658" i="6"/>
  <c r="J657" i="6" s="1"/>
  <c r="G662" i="6"/>
  <c r="R14" i="5"/>
  <c r="P77" i="5"/>
  <c r="O528" i="6"/>
  <c r="N511" i="6"/>
  <c r="D179" i="6"/>
  <c r="L26" i="6"/>
  <c r="N20" i="6"/>
  <c r="I507" i="6"/>
  <c r="E84" i="6"/>
  <c r="M479" i="6"/>
  <c r="O687" i="6"/>
  <c r="O685" i="6"/>
  <c r="H105" i="5"/>
  <c r="D393" i="6"/>
  <c r="O89" i="5"/>
  <c r="S14" i="5"/>
  <c r="S13" i="5" s="1"/>
  <c r="H46" i="5"/>
  <c r="E657" i="6"/>
  <c r="D514" i="6"/>
  <c r="H652" i="6"/>
  <c r="E134" i="6"/>
  <c r="N14" i="5"/>
  <c r="J89" i="5"/>
  <c r="N77" i="5"/>
  <c r="K77" i="5"/>
  <c r="J81" i="5"/>
  <c r="Q113" i="5"/>
  <c r="H48" i="5"/>
  <c r="H119" i="5"/>
  <c r="D600" i="6"/>
  <c r="E29" i="6"/>
  <c r="D570" i="6"/>
  <c r="O88" i="5"/>
  <c r="L77" i="5"/>
  <c r="K14" i="5"/>
  <c r="D560" i="6"/>
  <c r="D580" i="6"/>
  <c r="K411" i="6"/>
  <c r="H66" i="5"/>
  <c r="M20" i="6"/>
  <c r="J114" i="5"/>
  <c r="N411" i="6"/>
  <c r="Q114" i="5"/>
  <c r="O114" i="5"/>
  <c r="F652" i="6"/>
  <c r="I540" i="6"/>
  <c r="Q90" i="5"/>
  <c r="V94" i="5"/>
  <c r="M80" i="5"/>
  <c r="M11" i="5" s="1"/>
  <c r="H92" i="5"/>
  <c r="D41" i="6"/>
  <c r="D549" i="6"/>
  <c r="I114" i="5"/>
  <c r="Q14" i="5"/>
  <c r="D499" i="6"/>
  <c r="D661" i="6"/>
  <c r="F657" i="6"/>
  <c r="I88" i="5"/>
  <c r="H83" i="5"/>
  <c r="D415" i="6"/>
  <c r="D695" i="6"/>
  <c r="L544" i="6"/>
  <c r="N544" i="6"/>
  <c r="M91" i="5"/>
  <c r="M90" i="5" s="1"/>
  <c r="H117" i="5"/>
  <c r="I414" i="6"/>
  <c r="K81" i="5"/>
  <c r="J78" i="5"/>
  <c r="I692" i="6"/>
  <c r="F371" i="6"/>
  <c r="J79" i="5"/>
  <c r="M75" i="5"/>
  <c r="H75" i="5" s="1"/>
  <c r="K24" i="6"/>
  <c r="I77" i="5"/>
  <c r="S81" i="5"/>
  <c r="M687" i="6"/>
  <c r="M24" i="6"/>
  <c r="S77" i="5"/>
  <c r="M89" i="5"/>
  <c r="D590" i="6"/>
  <c r="J15" i="5"/>
  <c r="J13" i="5" s="1"/>
  <c r="N16" i="5"/>
  <c r="N90" i="5"/>
  <c r="O507" i="6"/>
  <c r="F662" i="6"/>
  <c r="D545" i="6"/>
  <c r="Q89" i="5"/>
  <c r="Q88" i="5" s="1"/>
  <c r="I15" i="5"/>
  <c r="I12" i="5" s="1"/>
  <c r="J546" i="6"/>
  <c r="J540" i="6" s="1"/>
  <c r="D656" i="6"/>
  <c r="D649" i="6"/>
  <c r="S12" i="5"/>
  <c r="R77" i="5"/>
  <c r="F647" i="6"/>
  <c r="J29" i="6"/>
  <c r="M74" i="5"/>
  <c r="M73" i="5" s="1"/>
  <c r="H73" i="5" s="1"/>
  <c r="D585" i="6"/>
  <c r="D401" i="6"/>
  <c r="L88" i="5"/>
  <c r="H94" i="5"/>
  <c r="N479" i="6"/>
  <c r="Q77" i="5"/>
  <c r="L12" i="5"/>
  <c r="Q15" i="5"/>
  <c r="J41" i="6"/>
  <c r="J32" i="6"/>
  <c r="I484" i="6"/>
  <c r="H82" i="5"/>
  <c r="E91" i="6"/>
  <c r="G29" i="6"/>
  <c r="P114" i="5"/>
  <c r="G507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1" i="6"/>
  <c r="I29" i="6"/>
  <c r="I20" i="6" s="1"/>
  <c r="E32" i="6"/>
  <c r="E651" i="6"/>
  <c r="D651" i="6" s="1"/>
  <c r="P89" i="5"/>
  <c r="D548" i="6"/>
  <c r="I647" i="6"/>
  <c r="N113" i="5"/>
  <c r="H113" i="5" s="1"/>
  <c r="D142" i="6"/>
  <c r="D91" i="6"/>
  <c r="H32" i="6"/>
  <c r="D523" i="6"/>
  <c r="I78" i="5"/>
  <c r="I10" i="5" s="1"/>
  <c r="E648" i="6"/>
  <c r="E652" i="6"/>
  <c r="U110" i="5"/>
  <c r="P90" i="5"/>
  <c r="D593" i="6"/>
  <c r="H40" i="5"/>
  <c r="K15" i="5"/>
  <c r="K12" i="5" s="1"/>
  <c r="E662" i="6"/>
  <c r="O15" i="5"/>
  <c r="O12" i="5" s="1"/>
  <c r="J449" i="6"/>
  <c r="J447" i="6"/>
  <c r="J444" i="6" s="1"/>
  <c r="K88" i="5"/>
  <c r="G161" i="6"/>
  <c r="G32" i="6"/>
  <c r="I13" i="5"/>
  <c r="H118" i="5"/>
  <c r="I9" i="5"/>
  <c r="M14" i="5"/>
  <c r="H91" i="5"/>
  <c r="H61" i="5"/>
  <c r="D546" i="6"/>
  <c r="R81" i="5"/>
  <c r="O81" i="5"/>
  <c r="D107" i="6"/>
  <c r="D489" i="6"/>
  <c r="E682" i="6"/>
  <c r="D65" i="6"/>
  <c r="F29" i="6"/>
  <c r="F26" i="6" s="1"/>
  <c r="D126" i="6"/>
  <c r="J77" i="5"/>
  <c r="K114" i="5"/>
  <c r="K10" i="5" s="1"/>
  <c r="K9" i="5" s="1"/>
  <c r="H93" i="5"/>
  <c r="L81" i="5"/>
  <c r="G648" i="6"/>
  <c r="G652" i="6"/>
  <c r="L24" i="6"/>
  <c r="S88" i="5"/>
  <c r="M528" i="6"/>
  <c r="H511" i="6"/>
  <c r="H662" i="6"/>
  <c r="D542" i="6"/>
  <c r="N371" i="6"/>
  <c r="R89" i="5"/>
  <c r="R88" i="5" s="1"/>
  <c r="N114" i="5"/>
  <c r="M81" i="5"/>
  <c r="M544" i="6"/>
  <c r="K647" i="6"/>
  <c r="D690" i="6"/>
  <c r="L484" i="6"/>
  <c r="O411" i="6"/>
  <c r="H29" i="6"/>
  <c r="H20" i="6" s="1"/>
  <c r="E484" i="6"/>
  <c r="J544" i="6"/>
  <c r="L80" i="5"/>
  <c r="L11" i="5" s="1"/>
  <c r="D59" i="6"/>
  <c r="P61" i="6" s="1"/>
  <c r="E27" i="6"/>
  <c r="E26" i="6" s="1"/>
  <c r="N89" i="5"/>
  <c r="H116" i="5"/>
  <c r="H24" i="6"/>
  <c r="O14" i="5"/>
  <c r="H17" i="5"/>
  <c r="I652" i="6"/>
  <c r="H18" i="5"/>
  <c r="R15" i="5"/>
  <c r="R13" i="5" s="1"/>
  <c r="I32" i="6"/>
  <c r="P15" i="5"/>
  <c r="P12" i="5" s="1"/>
  <c r="E508" i="6"/>
  <c r="H658" i="6"/>
  <c r="H657" i="6" s="1"/>
  <c r="I547" i="6"/>
  <c r="N15" i="5"/>
  <c r="K528" i="6"/>
  <c r="K511" i="6"/>
  <c r="D530" i="6"/>
  <c r="D650" i="6"/>
  <c r="J528" i="6"/>
  <c r="J511" i="6"/>
  <c r="J541" i="6"/>
  <c r="J538" i="6" s="1"/>
  <c r="K464" i="6"/>
  <c r="M464" i="6"/>
  <c r="D97" i="6"/>
  <c r="D53" i="6"/>
  <c r="D692" i="6"/>
  <c r="D391" i="6"/>
  <c r="E24" i="6"/>
  <c r="E15" i="6" s="1"/>
  <c r="F411" i="6"/>
  <c r="D231" i="6"/>
  <c r="D236" i="6"/>
  <c r="D175" i="6"/>
  <c r="D181" i="6"/>
  <c r="D246" i="6"/>
  <c r="D201" i="6"/>
  <c r="K507" i="6"/>
  <c r="I511" i="6"/>
  <c r="O371" i="6"/>
  <c r="L411" i="6"/>
  <c r="F687" i="6"/>
  <c r="M538" i="6"/>
  <c r="D539" i="6"/>
  <c r="M506" i="6"/>
  <c r="D532" i="6"/>
  <c r="D516" i="6"/>
  <c r="D531" i="6"/>
  <c r="M511" i="6"/>
  <c r="D512" i="6"/>
  <c r="D517" i="6"/>
  <c r="N507" i="6"/>
  <c r="J479" i="6"/>
  <c r="O484" i="6"/>
  <c r="D486" i="6"/>
  <c r="D128" i="6"/>
  <c r="D31" i="6"/>
  <c r="D172" i="6"/>
  <c r="D424" i="6"/>
  <c r="D162" i="6"/>
  <c r="H371" i="6"/>
  <c r="N18" i="6"/>
  <c r="E125" i="6"/>
  <c r="D125" i="6" s="1"/>
  <c r="D33" i="6"/>
  <c r="J24" i="6"/>
  <c r="E71" i="6"/>
  <c r="D35" i="6"/>
  <c r="D206" i="6"/>
  <c r="D216" i="6"/>
  <c r="D221" i="6"/>
  <c r="N24" i="6"/>
  <c r="E444" i="6"/>
  <c r="L444" i="6"/>
  <c r="H444" i="6"/>
  <c r="D465" i="6"/>
  <c r="D466" i="6"/>
  <c r="D111" i="6"/>
  <c r="D165" i="6"/>
  <c r="D47" i="6"/>
  <c r="G371" i="6"/>
  <c r="M411" i="6"/>
  <c r="M18" i="6"/>
  <c r="E286" i="6"/>
  <c r="D286" i="6" s="1"/>
  <c r="D261" i="6"/>
  <c r="D659" i="6"/>
  <c r="D543" i="6"/>
  <c r="M682" i="6"/>
  <c r="O682" i="6"/>
  <c r="N682" i="6"/>
  <c r="K540" i="6"/>
  <c r="D485" i="6"/>
  <c r="K484" i="6"/>
  <c r="F484" i="6"/>
  <c r="D447" i="6"/>
  <c r="D487" i="6"/>
  <c r="D445" i="6"/>
  <c r="H484" i="6"/>
  <c r="J23" i="6"/>
  <c r="F24" i="6"/>
  <c r="F15" i="6" s="1"/>
  <c r="G411" i="6"/>
  <c r="G479" i="6"/>
  <c r="D488" i="6"/>
  <c r="M484" i="6"/>
  <c r="J20" i="6"/>
  <c r="J11" i="6" s="1"/>
  <c r="J411" i="6"/>
  <c r="D509" i="6"/>
  <c r="O511" i="6"/>
  <c r="I528" i="6"/>
  <c r="F511" i="6"/>
  <c r="I505" i="6"/>
  <c r="D505" i="6" s="1"/>
  <c r="I506" i="6"/>
  <c r="O506" i="6"/>
  <c r="J508" i="6"/>
  <c r="D513" i="6"/>
  <c r="G506" i="6"/>
  <c r="F528" i="6"/>
  <c r="E528" i="6"/>
  <c r="L506" i="6"/>
  <c r="D118" i="6"/>
  <c r="N168" i="6"/>
  <c r="E65" i="6"/>
  <c r="D30" i="6"/>
  <c r="D28" i="6"/>
  <c r="D144" i="6"/>
  <c r="D134" i="6"/>
  <c r="O24" i="6"/>
  <c r="J687" i="6"/>
  <c r="L682" i="6"/>
  <c r="D653" i="6"/>
  <c r="D684" i="6"/>
  <c r="D660" i="6"/>
  <c r="I508" i="6"/>
  <c r="F506" i="6"/>
  <c r="F9" i="6" s="1"/>
  <c r="H508" i="6"/>
  <c r="N506" i="6"/>
  <c r="K508" i="6"/>
  <c r="O479" i="6"/>
  <c r="G484" i="6"/>
  <c r="L371" i="6"/>
  <c r="D417" i="6"/>
  <c r="D78" i="6"/>
  <c r="D71" i="6"/>
  <c r="H541" i="6"/>
  <c r="H538" i="6" s="1"/>
  <c r="H544" i="6"/>
  <c r="D565" i="6"/>
  <c r="D555" i="6"/>
  <c r="E78" i="6"/>
  <c r="E141" i="6"/>
  <c r="D141" i="6" s="1"/>
  <c r="D168" i="6"/>
  <c r="I479" i="6"/>
  <c r="D211" i="6"/>
  <c r="K479" i="6"/>
  <c r="H648" i="6"/>
  <c r="H647" i="6" s="1"/>
  <c r="H411" i="6"/>
  <c r="G444" i="6"/>
  <c r="F464" i="6"/>
  <c r="J464" i="6"/>
  <c r="D266" i="6"/>
  <c r="M507" i="6"/>
  <c r="D374" i="6"/>
  <c r="D429" i="6"/>
  <c r="D413" i="6"/>
  <c r="E464" i="6"/>
  <c r="D291" i="6"/>
  <c r="D386" i="6"/>
  <c r="D683" i="6"/>
  <c r="F682" i="6"/>
  <c r="D169" i="6"/>
  <c r="D381" i="6"/>
  <c r="E20" i="6"/>
  <c r="D414" i="6"/>
  <c r="O444" i="6"/>
  <c r="L511" i="6"/>
  <c r="N538" i="6"/>
  <c r="G682" i="6"/>
  <c r="D84" i="6"/>
  <c r="D117" i="6"/>
  <c r="D120" i="6"/>
  <c r="E606" i="6"/>
  <c r="D606" i="6" s="1"/>
  <c r="D396" i="6"/>
  <c r="J371" i="6"/>
  <c r="E371" i="6"/>
  <c r="K371" i="6"/>
  <c r="D595" i="6"/>
  <c r="E411" i="6"/>
  <c r="I411" i="6"/>
  <c r="N687" i="6"/>
  <c r="D617" i="6"/>
  <c r="D449" i="6"/>
  <c r="N444" i="6"/>
  <c r="I444" i="6"/>
  <c r="D448" i="6"/>
  <c r="N464" i="6"/>
  <c r="G464" i="6"/>
  <c r="F507" i="6"/>
  <c r="L507" i="6"/>
  <c r="D276" i="6"/>
  <c r="D281" i="6"/>
  <c r="J682" i="6"/>
  <c r="D686" i="6"/>
  <c r="K685" i="6"/>
  <c r="K682" i="6" s="1"/>
  <c r="H682" i="6"/>
  <c r="G541" i="6"/>
  <c r="G538" i="6" s="1"/>
  <c r="G544" i="6"/>
  <c r="F541" i="6"/>
  <c r="F538" i="6" s="1"/>
  <c r="F544" i="6"/>
  <c r="D575" i="6"/>
  <c r="E547" i="6"/>
  <c r="D612" i="6"/>
  <c r="O544" i="6"/>
  <c r="E506" i="6"/>
  <c r="F508" i="6"/>
  <c r="H507" i="6"/>
  <c r="D533" i="6"/>
  <c r="G508" i="6"/>
  <c r="H506" i="6"/>
  <c r="E507" i="6"/>
  <c r="K506" i="6"/>
  <c r="D483" i="6"/>
  <c r="H16" i="6"/>
  <c r="D16" i="6" s="1"/>
  <c r="F479" i="6"/>
  <c r="D480" i="6"/>
  <c r="D481" i="6"/>
  <c r="E479" i="6"/>
  <c r="L479" i="6"/>
  <c r="D482" i="6"/>
  <c r="D494" i="6"/>
  <c r="J484" i="6"/>
  <c r="H479" i="6"/>
  <c r="H464" i="6"/>
  <c r="D468" i="6"/>
  <c r="D434" i="6"/>
  <c r="L464" i="6"/>
  <c r="D469" i="6"/>
  <c r="D373" i="6"/>
  <c r="G9" i="6"/>
  <c r="L18" i="6"/>
  <c r="J18" i="6"/>
  <c r="J9" i="6" s="1"/>
  <c r="K18" i="6"/>
  <c r="I371" i="6"/>
  <c r="M23" i="6"/>
  <c r="O20" i="6"/>
  <c r="O11" i="6" s="1"/>
  <c r="O18" i="6"/>
  <c r="D467" i="6"/>
  <c r="D376" i="6"/>
  <c r="F444" i="6"/>
  <c r="D446" i="6"/>
  <c r="D412" i="6"/>
  <c r="D372" i="6"/>
  <c r="M371" i="6"/>
  <c r="D375" i="6"/>
  <c r="O464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44" i="6"/>
  <c r="O538" i="6"/>
  <c r="I682" i="6"/>
  <c r="J12" i="5"/>
  <c r="D135" i="6"/>
  <c r="E58" i="6"/>
  <c r="D58" i="6" s="1"/>
  <c r="H54" i="5"/>
  <c r="P81" i="5"/>
  <c r="D663" i="6"/>
  <c r="M16" i="5"/>
  <c r="I18" i="6"/>
  <c r="N504" i="6" l="1"/>
  <c r="D27" i="6"/>
  <c r="F20" i="6"/>
  <c r="F17" i="6" s="1"/>
  <c r="Q79" i="5"/>
  <c r="H79" i="5" s="1"/>
  <c r="Q81" i="5"/>
  <c r="E23" i="6"/>
  <c r="D32" i="6"/>
  <c r="K14" i="6"/>
  <c r="K538" i="6"/>
  <c r="K11" i="6"/>
  <c r="L20" i="6"/>
  <c r="L11" i="6" s="1"/>
  <c r="O9" i="6"/>
  <c r="O8" i="6" s="1"/>
  <c r="I23" i="6"/>
  <c r="I17" i="6" s="1"/>
  <c r="L9" i="5"/>
  <c r="H77" i="5"/>
  <c r="Q13" i="5"/>
  <c r="D657" i="6"/>
  <c r="D658" i="6"/>
  <c r="H115" i="5"/>
  <c r="J26" i="6"/>
  <c r="G26" i="6"/>
  <c r="D411" i="6"/>
  <c r="I11" i="6"/>
  <c r="U11" i="5"/>
  <c r="M9" i="6"/>
  <c r="H114" i="5"/>
  <c r="J10" i="5"/>
  <c r="P10" i="5"/>
  <c r="D161" i="6"/>
  <c r="G504" i="6"/>
  <c r="H80" i="5"/>
  <c r="M14" i="6"/>
  <c r="N88" i="5"/>
  <c r="K13" i="5"/>
  <c r="H14" i="5"/>
  <c r="P13" i="5"/>
  <c r="E647" i="6"/>
  <c r="H74" i="5"/>
  <c r="H78" i="5"/>
  <c r="S9" i="5"/>
  <c r="H11" i="5"/>
  <c r="P9" i="5"/>
  <c r="N11" i="6"/>
  <c r="O504" i="6"/>
  <c r="D648" i="6"/>
  <c r="D652" i="6"/>
  <c r="H90" i="5"/>
  <c r="G647" i="6"/>
  <c r="N26" i="6"/>
  <c r="R12" i="5"/>
  <c r="R9" i="5" s="1"/>
  <c r="H81" i="5"/>
  <c r="P88" i="5"/>
  <c r="H88" i="5" s="1"/>
  <c r="G23" i="6"/>
  <c r="G14" i="6" s="1"/>
  <c r="I544" i="6"/>
  <c r="I541" i="6"/>
  <c r="I538" i="6" s="1"/>
  <c r="M10" i="5"/>
  <c r="D662" i="6"/>
  <c r="K504" i="6"/>
  <c r="I26" i="6"/>
  <c r="N12" i="5"/>
  <c r="O13" i="5"/>
  <c r="N10" i="5"/>
  <c r="H89" i="5"/>
  <c r="O10" i="5"/>
  <c r="O9" i="5" s="1"/>
  <c r="N13" i="5"/>
  <c r="D444" i="6"/>
  <c r="D507" i="6"/>
  <c r="D24" i="6"/>
  <c r="D371" i="6"/>
  <c r="H11" i="6"/>
  <c r="L9" i="6"/>
  <c r="M504" i="6"/>
  <c r="J14" i="6"/>
  <c r="J8" i="6" s="1"/>
  <c r="G20" i="6"/>
  <c r="E18" i="6"/>
  <c r="D685" i="6"/>
  <c r="P682" i="6" s="1"/>
  <c r="D687" i="6"/>
  <c r="D506" i="6"/>
  <c r="I504" i="6"/>
  <c r="N9" i="6"/>
  <c r="L504" i="6"/>
  <c r="D511" i="6"/>
  <c r="D15" i="6"/>
  <c r="E510" i="6"/>
  <c r="D510" i="6" s="1"/>
  <c r="D528" i="6"/>
  <c r="E11" i="6"/>
  <c r="D484" i="6"/>
  <c r="L23" i="6"/>
  <c r="L14" i="6" s="1"/>
  <c r="N17" i="6"/>
  <c r="J504" i="6"/>
  <c r="N14" i="6"/>
  <c r="D540" i="6"/>
  <c r="D479" i="6"/>
  <c r="D682" i="6"/>
  <c r="D464" i="6"/>
  <c r="D29" i="6"/>
  <c r="M11" i="6"/>
  <c r="M26" i="6"/>
  <c r="E541" i="6"/>
  <c r="E544" i="6"/>
  <c r="D547" i="6"/>
  <c r="F14" i="6"/>
  <c r="D508" i="6"/>
  <c r="F504" i="6"/>
  <c r="K9" i="6"/>
  <c r="H504" i="6"/>
  <c r="H9" i="6"/>
  <c r="K17" i="6"/>
  <c r="J17" i="6"/>
  <c r="O17" i="6"/>
  <c r="M15" i="5"/>
  <c r="H16" i="5"/>
  <c r="J9" i="5"/>
  <c r="I9" i="6"/>
  <c r="H23" i="6"/>
  <c r="H26" i="6"/>
  <c r="H10" i="5"/>
  <c r="E14" i="6" l="1"/>
  <c r="F11" i="6"/>
  <c r="E17" i="6"/>
  <c r="Q12" i="5"/>
  <c r="Q9" i="5" s="1"/>
  <c r="K8" i="6"/>
  <c r="L8" i="6"/>
  <c r="M8" i="6"/>
  <c r="I14" i="6"/>
  <c r="I8" i="6" s="1"/>
  <c r="D20" i="6"/>
  <c r="D647" i="6"/>
  <c r="D26" i="6"/>
  <c r="L17" i="6"/>
  <c r="N9" i="5"/>
  <c r="D18" i="6"/>
  <c r="D544" i="6"/>
  <c r="E9" i="6"/>
  <c r="D9" i="6" s="1"/>
  <c r="G17" i="6"/>
  <c r="G11" i="6"/>
  <c r="G8" i="6" s="1"/>
  <c r="N8" i="6"/>
  <c r="F8" i="6"/>
  <c r="E504" i="6"/>
  <c r="D504" i="6" s="1"/>
  <c r="D23" i="6"/>
  <c r="M17" i="6"/>
  <c r="E538" i="6"/>
  <c r="D538" i="6" s="1"/>
  <c r="D541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K3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93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2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68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<sst xmlns="http://schemas.openxmlformats.org/spreadsheetml/2006/main" count="1585" uniqueCount="437">
  <si>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</si>
  <si>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</si>
  <si>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</si>
  <si>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</si>
  <si>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</si>
  <si>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</si>
  <si>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</si>
  <si>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</si>
  <si>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</si>
  <si>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</si>
  <si>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</si>
  <si>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</si>
  <si>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</si>
  <si>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</si>
  <si>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</si>
  <si>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</si>
  <si>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</si>
  <si>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</si>
  <si>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</si>
  <si>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</si>
  <si>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</si>
  <si>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</si>
  <si>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</si>
  <si>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</si>
  <si>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</si>
  <si>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</si>
  <si>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</si>
  <si>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</si>
  <si>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</si>
  <si>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</si>
  <si>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</si>
  <si>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</si>
  <si>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</si>
  <si>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</si>
  <si>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</si>
  <si>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</si>
  <si>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</si>
  <si>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</si>
  <si>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</si>
  <si>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</si>
  <si>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</si>
  <si>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</si>
  <si>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</si>
  <si>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</si>
  <si>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</si>
  <si>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</si>
  <si>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</si>
  <si>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</si>
  <si>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</si>
  <si>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</si>
  <si>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</si>
  <si>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</si>
  <si>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</si>
  <si>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</si>
  <si>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</si>
  <si>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</si>
  <si>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</si>
  <si>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</si>
  <si>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</si>
  <si>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</si>
  <si>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</si>
  <si>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</si>
  <si>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</si>
  <si>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</si>
  <si>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</si>
  <si>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</si>
  <si>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</si>
  <si>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</si>
  <si>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</si>
  <si>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</si>
  <si>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</si>
  <si>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</si>
  <si>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</si>
  <si>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</si>
  <si>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</si>
  <si>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</si>
  <si>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</si>
  <si>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</si>
  <si>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</si>
  <si>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</si>
  <si>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</si>
  <si>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</si>
  <si>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</si>
  <si>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</si>
  <si>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</si>
  <si>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</si>
  <si>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</si>
  <si>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</si>
  <si>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</si>
  <si>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</si>
  <si>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</si>
  <si>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</si>
  <si>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</si>
  <si>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</si>
  <si>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</si>
  <si>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</si>
  <si>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</si>
  <si>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</si>
  <si>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</si>
  <si>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</si>
  <si>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</si>
  <si>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</si>
  <si>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</si>
  <si>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</si>
  <si>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</si>
  <si>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</si>
  <si>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</si>
  <si>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</si>
  <si>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</si>
  <si>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</si>
  <si>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</si>
  <si>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</si>
  <si>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</si>
  <si>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</si>
  <si>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</si>
  <si>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</si>
  <si>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</si>
  <si>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</si>
  <si>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</si>
  <si>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</si>
  <si>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</si>
  <si>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</si>
  <si>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</si>
  <si>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</si>
  <si>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</si>
  <si>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</si>
  <si>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</si>
  <si>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</si>
  <si>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</si>
  <si>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</si>
  <si>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</si>
  <si>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</si>
  <si>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</si>
  <si>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</si>
  <si>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</si>
  <si>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</si>
  <si>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</si>
  <si>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</si>
  <si>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</si>
  <si>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</si>
  <si>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</si>
  <si>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</si>
  <si>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</si>
  <si>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</si>
  <si>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</si>
  <si>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</si>
  <si>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</si>
  <si>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</si>
  <si>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</si>
  <si>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</si>
  <si>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</si>
  <si>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</si>
  <si>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</si>
  <si>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</si>
  <si>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</si>
  <si>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</si>
  <si>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</si>
  <si>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</si>
  <si>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</si>
  <si>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</si>
  <si>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</si>
  <si>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</si>
  <si>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</si>
  <si>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</si>
  <si>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</si>
  <si>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</si>
  <si>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</si>
  <si>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</si>
  <si>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</si>
  <si>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</si>
  <si>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</si>
  <si>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</si>
  <si>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</si>
  <si>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</si>
  <si>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</si>
  <si>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</si>
  <si>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</si>
  <si>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</si>
  <si>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</si>
  <si>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</si>
  <si>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</si>
  <si>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</si>
  <si>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</si>
  <si>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</si>
  <si>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</si>
  <si>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</si>
  <si>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</si>
  <si>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</si>
  <si>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</si>
  <si>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</si>
  <si>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</si>
  <si>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</si>
  <si>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</si>
  <si>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</si>
  <si>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</si>
  <si>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</si>
  <si>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</si>
  <si>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</si>
  <si>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</si>
  <si>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</si>
  <si>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</si>
  <si>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</si>
  <si>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</si>
  <si>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</si>
  <si>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</si>
  <si>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</si>
  <si>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</si>
  <si>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</si>
  <si>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</si>
  <si>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</si>
  <si>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</si>
  <si>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</si>
  <si>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</si>
  <si>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</si>
  <si>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</si>
  <si>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</si>
  <si>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</si>
  <si>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</si>
  <si>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</si>
  <si>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</si>
  <si>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</si>
  <si>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</si>
  <si>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</si>
  <si>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</si>
  <si>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</si>
  <si>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</si>
  <si>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</si>
  <si>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</si>
  <si>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</si>
  <si>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</si>
  <si>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</si>
  <si>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</si>
  <si>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</si>
  <si>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</si>
  <si>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</si>
  <si>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</si>
  <si>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</si>
  <si>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</si>
  <si>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</si>
  <si>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</si>
  <si>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</si>
  <si>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</si>
  <si>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</si>
  <si>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</si>
  <si>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</si>
  <si>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</si>
  <si>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</si>
  <si>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</si>
  <si>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</si>
  <si>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</si>
  <si>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</si>
  <si>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</si>
  <si>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</si>
  <si>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</si>
  <si>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</si>
  <si>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</si>
  <si>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</si>
  <si>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</si>
  <si>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</si>
  <si>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</si>
  <si>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</si>
  <si>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</si>
  <si>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</si>
  <si>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</si>
  <si>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</si>
  <si>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</si>
  <si>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</si>
  <si>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</si>
  <si>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</si>
  <si>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</si>
  <si>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</si>
  <si>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</si>
  <si>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</si>
  <si>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</si>
  <si>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</si>
  <si>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</si>
  <si>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</si>
  <si>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</si>
  <si>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</si>
  <si>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</si>
  <si>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</si>
  <si>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</si>
  <si>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</si>
  <si>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</si>
  <si>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</si>
  <si>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</si>
  <si>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</si>
  <si>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</si>
  <si>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</si>
  <si>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</si>
  <si>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</si>
  <si>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</si>
  <si>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</si>
  <si>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</si>
  <si>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</si>
  <si>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</si>
  <si>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</si>
  <si>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</si>
  <si>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</si>
  <si>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</si>
  <si>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</si>
  <si>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</si>
  <si>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</si>
  <si>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</si>
  <si>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</si>
  <si>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</si>
  <si>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</si>
  <si>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</si>
  <si>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</si>
  <si>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</si>
  <si>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</si>
  <si>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</si>
  <si>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</si>
  <si>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</si>
  <si>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</si>
  <si>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</si>
  <si>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</si>
  <si>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</si>
  <si>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</si>
  <si>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</si>
  <si>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</si>
  <si>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</si>
  <si>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</si>
  <si>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</si>
  <si>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</si>
  <si>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</si>
  <si>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</si>
  <si>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</si>
  <si>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</si>
  <si>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</si>
  <si>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</si>
  <si>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</si>
  <si>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</si>
  <si>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</si>
  <si>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</si>
  <si>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</si>
  <si>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</si>
  <si>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</si>
  <si>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</si>
  <si>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</si>
  <si>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</si>
  <si>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</si>
  <si>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</si>
  <si>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</si>
  <si>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</si>
  <si>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</si>
  <si>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</si>
  <si>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</si>
  <si>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</si>
  <si>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</si>
  <si>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</si>
  <si>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</si>
  <si>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</si>
  <si>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</si>
  <si>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</si>
  <si>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</si>
  <si>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</si>
  <si>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</si>
  <si>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</si>
  <si>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</si>
  <si>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</si>
  <si>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</si>
  <si>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</si>
  <si>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</si>
  <si>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</si>
  <si>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</si>
  <si>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</si>
  <si>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</si>
  <si>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</si>
  <si>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</si>
  <si>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</si>
  <si>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</si>
  <si>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</si>
  <si>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</si>
  <si>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</si>
  <si>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</si>
  <si>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Мероприятие 1.5.2.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</si>
  <si>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</si>
  <si>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</si>
  <si>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</si>
  <si>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</si>
  <si>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</si>
  <si>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</si>
  <si>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</si>
  <si>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</si>
  <si>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</si>
  <si>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</si>
  <si>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</si>
  <si>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</si>
  <si>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</si>
  <si>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</si>
  <si>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</si>
  <si>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</si>
  <si>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</si>
  <si>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</si>
  <si>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</si>
  <si>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</si>
  <si>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</si>
  <si>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</si>
  <si>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</si>
  <si>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</si>
  <si>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</si>
  <si>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</si>
  <si>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</si>
  <si>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</si>
  <si>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</si>
  <si>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</si>
  <si>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</si>
  <si>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</si>
  <si>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</si>
  <si>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</si>
  <si>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Куим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</si>
  <si>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</si>
  <si>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</si>
  <si>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</si>
  <si>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</si>
  <si>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</si>
  <si>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</si>
  <si>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</si>
  <si>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</si>
  <si>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</si>
  <si>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</si>
  <si>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</si>
  <si>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</si>
  <si>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</si>
  <si>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</si>
  <si>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</si>
  <si>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</si>
  <si>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Содержание (техническое обслуживание),  текущий ремонт муниципальных сетей наружного освещения и оборудования</t>
  </si>
  <si>
    <t>Мероприятие</t>
  </si>
  <si>
    <t>1.1.47.1.</t>
  </si>
  <si>
    <t>1.1.47.2.</t>
  </si>
  <si>
    <r>
      <rPr>
        <sz val="12"/>
        <color rgb="FFFF0000"/>
        <rFont val="Times New Roman"/>
        <family val="1"/>
        <charset val="204"/>
      </rPr>
      <t xml:space="preserve">Реконструкция и модернизация объектов </t>
    </r>
    <r>
      <rPr>
        <sz val="12"/>
        <rFont val="Times New Roman"/>
        <family val="1"/>
        <charset val="204"/>
      </rPr>
      <t>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  </r>
  </si>
  <si>
    <t>Мероприятие 1.1.51.</t>
  </si>
  <si>
    <t>1.1.51.1.</t>
  </si>
  <si>
    <t>1.1.51.2.</t>
  </si>
  <si>
    <t>Приложение № 6 к постановлению администрации города Благовещенска   от 20.05.2022 № 2533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</si>
</sst>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2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6" fillId="0" borderId="1" xfId="0" applyNumberFormat="1" applyFont="1" applyFill="1" applyBorder="1" applyAlignment="1">
      <alignment horizontal="left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7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19" fillId="0" borderId="0" xfId="0" applyNumberFormat="1" applyFont="1" applyFill="1" applyBorder="1"/>
    <xf numFmtId="165" fontId="2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ulas Monique" id="{2306ED7E-3447-4561-B7A2-61B1B96DA71B}" userId="Kulas Monique" providerId="None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8" dT="2021-11-26T12:10:39.36" personId="{2306ED7E-3447-4561-B7A2-61B1B96DA71B}" id="{0140375C-6D1E-4B32-A130-4DF1E2A6AA88}">
    <text>д.б.2393674,4 добавить 0,1 на 4.2.1.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09375" defaultRowHeight="15.6" x14ac:dyDescent="0.3"/>
  <cols>
    <col min="1" max="1" width="19.5546875" style="6" customWidth="1"/>
    <col min="2" max="2" width="32.6640625" style="5" customWidth="1"/>
    <col min="3" max="3" width="20" style="5" customWidth="1"/>
    <col min="4" max="4" width="10.109375" style="5" customWidth="1"/>
    <col min="5" max="5" width="10.5546875" style="5" customWidth="1"/>
    <col min="6" max="6" width="14.33203125" style="8" customWidth="1"/>
    <col min="7" max="7" width="14.6640625" style="5" hidden="1" customWidth="1"/>
    <col min="8" max="8" width="12" style="5" customWidth="1"/>
    <col min="9" max="9" width="11.44140625" style="5" customWidth="1"/>
    <col min="10" max="10" width="12" style="5" customWidth="1"/>
    <col min="11" max="11" width="11" style="5" customWidth="1"/>
    <col min="12" max="12" width="11.5546875" style="5" customWidth="1"/>
    <col min="13" max="13" width="12.109375" style="5" customWidth="1"/>
    <col min="14" max="14" width="12.33203125" style="32" customWidth="1"/>
    <col min="15" max="15" width="12" style="10" customWidth="1"/>
    <col min="16" max="16" width="10.88671875" style="10" customWidth="1"/>
    <col min="17" max="17" width="12.109375" style="10" customWidth="1"/>
    <col min="18" max="19" width="10.109375" style="10" bestFit="1" customWidth="1"/>
    <col min="20" max="20" width="9.109375" style="10"/>
    <col min="21" max="22" width="11.44140625" style="10" bestFit="1" customWidth="1"/>
    <col min="23" max="16384" width="9.109375" style="10"/>
  </cols>
  <sheetData>
    <row r="1" spans="1:21" ht="52.5" customHeight="1" x14ac:dyDescent="0.3">
      <c r="B1" s="7"/>
      <c r="O1" s="99" t="s">
        <v>310</v>
      </c>
      <c r="P1" s="99"/>
      <c r="Q1" s="99"/>
      <c r="R1" s="99"/>
      <c r="S1" s="99"/>
      <c r="T1" s="9"/>
    </row>
    <row r="2" spans="1:21" ht="35.25" customHeight="1" x14ac:dyDescent="0.3">
      <c r="B2" s="7"/>
      <c r="O2" s="99" t="s">
        <v>311</v>
      </c>
      <c r="P2" s="99"/>
      <c r="Q2" s="99"/>
      <c r="R2" s="99"/>
      <c r="S2" s="99"/>
      <c r="T2" s="9"/>
    </row>
    <row r="3" spans="1:21" ht="17.25" customHeight="1" x14ac:dyDescent="0.3">
      <c r="B3" s="100" t="s">
        <v>0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</row>
    <row r="4" spans="1:21" ht="16.5" customHeight="1" x14ac:dyDescent="0.3">
      <c r="B4" s="101" t="s">
        <v>1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</row>
    <row r="5" spans="1:21" ht="3" customHeight="1" x14ac:dyDescent="0.3">
      <c r="B5" s="11"/>
      <c r="M5" s="12"/>
      <c r="N5" s="33"/>
    </row>
    <row r="6" spans="1:21" ht="53.25" customHeight="1" x14ac:dyDescent="0.25">
      <c r="A6" s="98" t="s">
        <v>25</v>
      </c>
      <c r="B6" s="98" t="s">
        <v>93</v>
      </c>
      <c r="C6" s="98" t="s">
        <v>129</v>
      </c>
      <c r="D6" s="98" t="s">
        <v>2</v>
      </c>
      <c r="E6" s="98"/>
      <c r="F6" s="98"/>
      <c r="G6" s="98"/>
      <c r="H6" s="106" t="s">
        <v>3</v>
      </c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8"/>
    </row>
    <row r="7" spans="1:21" x14ac:dyDescent="0.25">
      <c r="A7" s="98"/>
      <c r="B7" s="98"/>
      <c r="C7" s="98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5">
      <c r="A9" s="109" t="s">
        <v>26</v>
      </c>
      <c r="B9" s="109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5">
      <c r="A10" s="109"/>
      <c r="B10" s="109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5">
      <c r="A11" s="109"/>
      <c r="B11" s="109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5">
      <c r="A12" s="109"/>
      <c r="B12" s="109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5">
      <c r="A13" s="111" t="s">
        <v>30</v>
      </c>
      <c r="B13" s="109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5">
      <c r="A14" s="115"/>
      <c r="B14" s="109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5">
      <c r="A15" s="116"/>
      <c r="B15" s="109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09.2" x14ac:dyDescent="0.25">
      <c r="A16" s="104" t="s">
        <v>235</v>
      </c>
      <c r="B16" s="104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5">
      <c r="A17" s="105"/>
      <c r="B17" s="105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09.2" x14ac:dyDescent="0.25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09.2" x14ac:dyDescent="0.25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09.2" x14ac:dyDescent="0.25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09.2" x14ac:dyDescent="0.25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5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09.2" x14ac:dyDescent="0.25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09.2" x14ac:dyDescent="0.25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09.2" x14ac:dyDescent="0.25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09.2" x14ac:dyDescent="0.25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5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5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5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09.2" x14ac:dyDescent="0.25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5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09.2" x14ac:dyDescent="0.25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09.2" x14ac:dyDescent="0.25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09.2" x14ac:dyDescent="0.25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5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5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5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2" x14ac:dyDescent="0.25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5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2.4" x14ac:dyDescent="0.25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5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09.2" x14ac:dyDescent="0.25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5">
      <c r="A43" s="102" t="s">
        <v>118</v>
      </c>
      <c r="B43" s="102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5">
      <c r="A44" s="103"/>
      <c r="B44" s="103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09.2" x14ac:dyDescent="0.25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09.2" x14ac:dyDescent="0.25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09.2" x14ac:dyDescent="0.25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09.2" x14ac:dyDescent="0.25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09.2" x14ac:dyDescent="0.25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09.2" x14ac:dyDescent="0.25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09.2" x14ac:dyDescent="0.25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09.2" x14ac:dyDescent="0.25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09.2" x14ac:dyDescent="0.25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5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09.2" x14ac:dyDescent="0.25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5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5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" x14ac:dyDescent="0.25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09.2" x14ac:dyDescent="0.25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09.2" x14ac:dyDescent="0.25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2.4" x14ac:dyDescent="0.25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6.8" x14ac:dyDescent="0.25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09.2" x14ac:dyDescent="0.25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3.6" x14ac:dyDescent="0.25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2.4" x14ac:dyDescent="0.25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2.4" x14ac:dyDescent="0.25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2.4" x14ac:dyDescent="0.25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5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6.8" x14ac:dyDescent="0.25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2.4" x14ac:dyDescent="0.25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09.2" x14ac:dyDescent="0.25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2.8" x14ac:dyDescent="0.25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5">
      <c r="A73" s="109" t="s">
        <v>33</v>
      </c>
      <c r="B73" s="109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5">
      <c r="A74" s="114"/>
      <c r="B74" s="114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3.6" x14ac:dyDescent="0.25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" x14ac:dyDescent="0.25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5">
      <c r="A77" s="109" t="s">
        <v>39</v>
      </c>
      <c r="B77" s="111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5">
      <c r="A78" s="109"/>
      <c r="B78" s="112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5">
      <c r="A79" s="109"/>
      <c r="B79" s="112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5">
      <c r="A80" s="110"/>
      <c r="B80" s="113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5">
      <c r="A81" s="104" t="s">
        <v>40</v>
      </c>
      <c r="B81" s="102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5">
      <c r="A82" s="110"/>
      <c r="B82" s="119"/>
      <c r="C82" s="47" t="s">
        <v>84</v>
      </c>
      <c r="D82" s="43" t="s">
        <v>14</v>
      </c>
      <c r="E82" s="43" t="s">
        <v>23</v>
      </c>
      <c r="F82" s="121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5">
      <c r="A83" s="110"/>
      <c r="B83" s="119"/>
      <c r="C83" s="47" t="s">
        <v>89</v>
      </c>
      <c r="D83" s="43" t="s">
        <v>47</v>
      </c>
      <c r="E83" s="43" t="s">
        <v>23</v>
      </c>
      <c r="F83" s="122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5">
      <c r="A84" s="110"/>
      <c r="B84" s="120"/>
      <c r="C84" s="47" t="s">
        <v>86</v>
      </c>
      <c r="D84" s="43" t="s">
        <v>48</v>
      </c>
      <c r="E84" s="43" t="s">
        <v>23</v>
      </c>
      <c r="F84" s="122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6.8" x14ac:dyDescent="0.25">
      <c r="A85" s="104" t="s">
        <v>133</v>
      </c>
      <c r="B85" s="104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5">
      <c r="A86" s="104"/>
      <c r="B86" s="104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3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5">
      <c r="A88" s="109" t="s">
        <v>31</v>
      </c>
      <c r="B88" s="109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5">
      <c r="A89" s="109"/>
      <c r="B89" s="109"/>
      <c r="C89" s="42" t="s">
        <v>89</v>
      </c>
      <c r="D89" s="43" t="s">
        <v>47</v>
      </c>
      <c r="E89" s="56" t="s">
        <v>244</v>
      </c>
      <c r="F89" s="123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5">
      <c r="A90" s="109"/>
      <c r="B90" s="109"/>
      <c r="C90" s="47" t="s">
        <v>84</v>
      </c>
      <c r="D90" s="43" t="s">
        <v>14</v>
      </c>
      <c r="E90" s="56" t="s">
        <v>244</v>
      </c>
      <c r="F90" s="124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5">
      <c r="A91" s="102" t="s">
        <v>34</v>
      </c>
      <c r="B91" s="102" t="s">
        <v>122</v>
      </c>
      <c r="C91" s="47" t="s">
        <v>84</v>
      </c>
      <c r="D91" s="43" t="s">
        <v>14</v>
      </c>
      <c r="E91" s="43" t="s">
        <v>35</v>
      </c>
      <c r="F91" s="121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5">
      <c r="A92" s="117"/>
      <c r="B92" s="117"/>
      <c r="C92" s="47" t="s">
        <v>84</v>
      </c>
      <c r="D92" s="43" t="s">
        <v>14</v>
      </c>
      <c r="E92" s="43" t="s">
        <v>49</v>
      </c>
      <c r="F92" s="121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5">
      <c r="A93" s="117"/>
      <c r="B93" s="117"/>
      <c r="C93" s="47" t="s">
        <v>89</v>
      </c>
      <c r="D93" s="43" t="s">
        <v>47</v>
      </c>
      <c r="E93" s="43" t="s">
        <v>35</v>
      </c>
      <c r="F93" s="121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5">
      <c r="A94" s="103"/>
      <c r="B94" s="103"/>
      <c r="C94" s="47" t="s">
        <v>89</v>
      </c>
      <c r="D94" s="43" t="s">
        <v>47</v>
      </c>
      <c r="E94" s="43" t="s">
        <v>49</v>
      </c>
      <c r="F94" s="121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3.6" x14ac:dyDescent="0.25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09.2" x14ac:dyDescent="0.25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6.8" x14ac:dyDescent="0.25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93.6" x14ac:dyDescent="0.25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09.2" x14ac:dyDescent="0.25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5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5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6.8" x14ac:dyDescent="0.25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5">
      <c r="A103" s="102" t="s">
        <v>267</v>
      </c>
      <c r="B103" s="102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5">
      <c r="A104" s="117"/>
      <c r="B104" s="117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5">
      <c r="A105" s="117"/>
      <c r="B105" s="117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5">
      <c r="A106" s="103"/>
      <c r="B106" s="103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5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5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5">
      <c r="A109" s="102" t="s">
        <v>282</v>
      </c>
      <c r="B109" s="102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5">
      <c r="A110" s="103"/>
      <c r="B110" s="103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5">
      <c r="A111" s="102" t="s">
        <v>284</v>
      </c>
      <c r="B111" s="102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5">
      <c r="A112" s="103"/>
      <c r="B112" s="103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5">
      <c r="A113" s="109" t="s">
        <v>42</v>
      </c>
      <c r="B113" s="125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5">
      <c r="A114" s="109"/>
      <c r="B114" s="125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5">
      <c r="A115" s="104" t="s">
        <v>334</v>
      </c>
      <c r="B115" s="126" t="s">
        <v>144</v>
      </c>
      <c r="C115" s="129" t="s">
        <v>84</v>
      </c>
      <c r="D115" s="118" t="s">
        <v>14</v>
      </c>
      <c r="E115" s="118" t="s">
        <v>41</v>
      </c>
      <c r="F115" s="122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3">
      <c r="A116" s="104"/>
      <c r="B116" s="127"/>
      <c r="C116" s="129"/>
      <c r="D116" s="118"/>
      <c r="E116" s="118"/>
      <c r="F116" s="122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3">
      <c r="A117" s="104"/>
      <c r="B117" s="128"/>
      <c r="C117" s="129"/>
      <c r="D117" s="118"/>
      <c r="E117" s="118"/>
      <c r="F117" s="122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5">
      <c r="A118" s="102" t="s">
        <v>143</v>
      </c>
      <c r="B118" s="102" t="s">
        <v>56</v>
      </c>
      <c r="C118" s="104" t="s">
        <v>84</v>
      </c>
      <c r="D118" s="118" t="s">
        <v>14</v>
      </c>
      <c r="E118" s="118" t="s">
        <v>41</v>
      </c>
      <c r="F118" s="121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3">
      <c r="A119" s="117"/>
      <c r="B119" s="117"/>
      <c r="C119" s="104"/>
      <c r="D119" s="118"/>
      <c r="E119" s="118"/>
      <c r="F119" s="121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3">
      <c r="A120" s="103"/>
      <c r="B120" s="103"/>
      <c r="C120" s="104"/>
      <c r="D120" s="118"/>
      <c r="E120" s="118"/>
      <c r="F120" s="121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3">
      <c r="K124" s="29"/>
    </row>
    <row r="126" spans="1:19" x14ac:dyDescent="0.3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698"/>
  <sheetViews>
    <sheetView tabSelected="1" view="pageBreakPreview" zoomScale="70" zoomScaleNormal="85" zoomScaleSheetLayoutView="70" workbookViewId="0">
      <pane xSplit="2" ySplit="7" topLeftCell="L333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09375" defaultRowHeight="13.2" x14ac:dyDescent="0.25"/>
  <cols>
    <col min="1" max="1" width="35.44140625" style="60" customWidth="1"/>
    <col min="2" max="2" width="54.33203125" style="61" customWidth="1"/>
    <col min="3" max="3" width="27.5546875" style="60" customWidth="1"/>
    <col min="4" max="4" width="14" style="64" customWidth="1"/>
    <col min="5" max="5" width="12.5546875" style="64" customWidth="1"/>
    <col min="6" max="6" width="11.44140625" style="64" customWidth="1"/>
    <col min="7" max="7" width="11.88671875" style="64" customWidth="1"/>
    <col min="8" max="8" width="13.109375" style="64" customWidth="1"/>
    <col min="9" max="9" width="11.44140625" style="64" customWidth="1"/>
    <col min="10" max="10" width="14" style="64" customWidth="1"/>
    <col min="11" max="11" width="13.44140625" style="64" bestFit="1" customWidth="1"/>
    <col min="12" max="12" width="15.88671875" style="64" customWidth="1"/>
    <col min="13" max="13" width="14.6640625" style="64" customWidth="1"/>
    <col min="14" max="14" width="13.109375" style="64" customWidth="1"/>
    <col min="15" max="15" width="12.88671875" style="64" customWidth="1"/>
    <col min="16" max="17" width="23.109375" style="64" hidden="1" customWidth="1"/>
    <col min="18" max="18" width="9.109375" style="64" hidden="1" customWidth="1"/>
    <col min="19" max="19" width="15.44140625" style="64" hidden="1" customWidth="1"/>
    <col min="20" max="20" width="20.5546875" style="64" hidden="1" customWidth="1"/>
    <col min="21" max="21" width="15.109375" style="64" hidden="1" customWidth="1"/>
    <col min="22" max="22" width="0" style="64" hidden="1" customWidth="1"/>
    <col min="23" max="23" width="17.6640625" style="64" customWidth="1"/>
    <col min="24" max="24" width="13.33203125" style="64" customWidth="1"/>
    <col min="25" max="16384" width="9.109375" style="64"/>
  </cols>
  <sheetData>
    <row r="1" spans="1:25" ht="40.5" customHeight="1" x14ac:dyDescent="0.25">
      <c r="D1" s="62"/>
      <c r="E1" s="63"/>
      <c r="G1" s="63"/>
      <c r="L1" s="99" t="s">
        <v>436</v>
      </c>
      <c r="M1" s="99"/>
      <c r="N1" s="99"/>
      <c r="O1" s="99"/>
    </row>
    <row r="2" spans="1:25" ht="27.75" customHeight="1" x14ac:dyDescent="0.25">
      <c r="E2" s="63"/>
      <c r="G2" s="63"/>
      <c r="I2" s="65"/>
      <c r="K2" s="64" t="s">
        <v>405</v>
      </c>
      <c r="L2" s="99" t="s">
        <v>311</v>
      </c>
      <c r="M2" s="99"/>
      <c r="N2" s="99"/>
      <c r="O2" s="99"/>
    </row>
    <row r="3" spans="1:25" ht="18" x14ac:dyDescent="0.35">
      <c r="B3" s="158" t="s">
        <v>368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25" x14ac:dyDescent="0.25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66"/>
      <c r="L4" s="66"/>
      <c r="M4" s="67"/>
    </row>
    <row r="5" spans="1:25" ht="20.25" customHeight="1" x14ac:dyDescent="0.25">
      <c r="A5" s="147" t="s">
        <v>25</v>
      </c>
      <c r="B5" s="98" t="s">
        <v>93</v>
      </c>
      <c r="C5" s="98" t="s">
        <v>8</v>
      </c>
      <c r="D5" s="98" t="s">
        <v>343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25" ht="49.5" customHeight="1" x14ac:dyDescent="0.25">
      <c r="A6" s="147"/>
      <c r="B6" s="98"/>
      <c r="C6" s="98"/>
      <c r="D6" s="57" t="s">
        <v>9</v>
      </c>
      <c r="E6" s="57" t="s">
        <v>16</v>
      </c>
      <c r="F6" s="57" t="s">
        <v>24</v>
      </c>
      <c r="G6" s="57" t="s">
        <v>18</v>
      </c>
      <c r="H6" s="57" t="s">
        <v>19</v>
      </c>
      <c r="I6" s="57" t="s">
        <v>20</v>
      </c>
      <c r="J6" s="57" t="s">
        <v>21</v>
      </c>
      <c r="K6" s="57" t="s">
        <v>251</v>
      </c>
      <c r="L6" s="57" t="s">
        <v>294</v>
      </c>
      <c r="M6" s="57" t="s">
        <v>295</v>
      </c>
      <c r="N6" s="57" t="s">
        <v>296</v>
      </c>
      <c r="O6" s="57" t="s">
        <v>297</v>
      </c>
    </row>
    <row r="7" spans="1:25" ht="16.5" customHeight="1" x14ac:dyDescent="0.25">
      <c r="A7" s="48">
        <v>1</v>
      </c>
      <c r="B7" s="57">
        <v>2</v>
      </c>
      <c r="C7" s="48">
        <v>3</v>
      </c>
      <c r="D7" s="57">
        <v>4</v>
      </c>
      <c r="E7" s="48">
        <v>5</v>
      </c>
      <c r="F7" s="57">
        <v>6</v>
      </c>
      <c r="G7" s="48">
        <v>7</v>
      </c>
      <c r="H7" s="57">
        <v>8</v>
      </c>
      <c r="I7" s="48">
        <v>9</v>
      </c>
      <c r="J7" s="57">
        <v>10</v>
      </c>
      <c r="K7" s="57">
        <v>11</v>
      </c>
      <c r="L7" s="57">
        <v>12</v>
      </c>
      <c r="M7" s="57">
        <v>13</v>
      </c>
      <c r="N7" s="57">
        <v>14</v>
      </c>
      <c r="O7" s="57">
        <v>15</v>
      </c>
    </row>
    <row r="8" spans="1:25" ht="15.6" x14ac:dyDescent="0.25">
      <c r="A8" s="149" t="s">
        <v>26</v>
      </c>
      <c r="B8" s="148" t="s">
        <v>344</v>
      </c>
      <c r="C8" s="68" t="s">
        <v>7</v>
      </c>
      <c r="D8" s="2">
        <f>D9+D11+D14+D16</f>
        <v>17405622.092</v>
      </c>
      <c r="E8" s="2">
        <f>E9+E11+E14+E16</f>
        <v>512896.39999999997</v>
      </c>
      <c r="F8" s="2">
        <f t="shared" ref="F8:O8" si="0">F9+F11+F14+F16</f>
        <v>382692.8</v>
      </c>
      <c r="G8" s="2">
        <f t="shared" si="0"/>
        <v>383942.1</v>
      </c>
      <c r="H8" s="2">
        <f>H9+H11+H14+H16</f>
        <v>456612.2</v>
      </c>
      <c r="I8" s="2">
        <f t="shared" si="0"/>
        <v>513509.20000000007</v>
      </c>
      <c r="J8" s="2">
        <f>J9+J11+J14+J16</f>
        <v>1405769.2999999998</v>
      </c>
      <c r="K8" s="2">
        <f>K9+K11+K14+K16</f>
        <v>2236267.5920000002</v>
      </c>
      <c r="L8" s="2">
        <f>L9+L11+L14+L16</f>
        <v>3645262.5999999996</v>
      </c>
      <c r="M8" s="2">
        <f>M9+M11+M14+M16</f>
        <v>4153223.6</v>
      </c>
      <c r="N8" s="2">
        <f t="shared" si="0"/>
        <v>3327455.7</v>
      </c>
      <c r="O8" s="2">
        <f t="shared" si="0"/>
        <v>387990.6</v>
      </c>
      <c r="P8" s="69"/>
      <c r="Q8" s="62"/>
      <c r="W8" s="62"/>
      <c r="X8" s="62"/>
      <c r="Y8" s="62"/>
    </row>
    <row r="9" spans="1:25" ht="31.2" x14ac:dyDescent="0.25">
      <c r="A9" s="149"/>
      <c r="B9" s="148"/>
      <c r="C9" s="70" t="s">
        <v>80</v>
      </c>
      <c r="D9" s="1">
        <f>E9+F9+G9+H9+I9+J9+K9+L9+M9+N9+O9</f>
        <v>213817.09999999998</v>
      </c>
      <c r="E9" s="1">
        <f t="shared" ref="E9:O9" si="1">E18+E480+E506+E539+E683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2" x14ac:dyDescent="0.25">
      <c r="A10" s="149"/>
      <c r="B10" s="148"/>
      <c r="C10" s="71" t="s">
        <v>81</v>
      </c>
      <c r="D10" s="1">
        <f t="shared" ref="D10:D15" si="2">E10+F10+G10+H10+I10+J10+K10+L10+M10+N10+O10</f>
        <v>98793.9</v>
      </c>
      <c r="E10" s="72">
        <f t="shared" ref="E10:O10" si="3">E19</f>
        <v>98793.9</v>
      </c>
      <c r="F10" s="72">
        <f t="shared" si="3"/>
        <v>0</v>
      </c>
      <c r="G10" s="72">
        <f t="shared" si="3"/>
        <v>0</v>
      </c>
      <c r="H10" s="72">
        <f t="shared" si="3"/>
        <v>0</v>
      </c>
      <c r="I10" s="72">
        <f t="shared" si="3"/>
        <v>0</v>
      </c>
      <c r="J10" s="72">
        <f t="shared" si="3"/>
        <v>0</v>
      </c>
      <c r="K10" s="72">
        <f t="shared" si="3"/>
        <v>0</v>
      </c>
      <c r="L10" s="72">
        <f t="shared" si="3"/>
        <v>0</v>
      </c>
      <c r="M10" s="72">
        <f t="shared" si="3"/>
        <v>0</v>
      </c>
      <c r="N10" s="72">
        <f t="shared" si="3"/>
        <v>0</v>
      </c>
      <c r="O10" s="72">
        <f t="shared" si="3"/>
        <v>0</v>
      </c>
    </row>
    <row r="11" spans="1:25" ht="31.2" x14ac:dyDescent="0.25">
      <c r="A11" s="150"/>
      <c r="B11" s="148"/>
      <c r="C11" s="70" t="s">
        <v>69</v>
      </c>
      <c r="D11" s="1">
        <f t="shared" si="2"/>
        <v>12634715.209999999</v>
      </c>
      <c r="E11" s="1">
        <f t="shared" ref="E11:O11" si="4">E20+E481+E507+E540+E684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3192252.4</v>
      </c>
      <c r="M11" s="1">
        <f t="shared" si="4"/>
        <v>3710163.5</v>
      </c>
      <c r="N11" s="1">
        <f t="shared" si="4"/>
        <v>2855833</v>
      </c>
      <c r="O11" s="1">
        <f t="shared" si="4"/>
        <v>0</v>
      </c>
    </row>
    <row r="12" spans="1:25" ht="31.2" x14ac:dyDescent="0.25">
      <c r="A12" s="150"/>
      <c r="B12" s="148"/>
      <c r="C12" s="71" t="s">
        <v>79</v>
      </c>
      <c r="D12" s="1">
        <f t="shared" si="2"/>
        <v>43117.100000000006</v>
      </c>
      <c r="E12" s="72">
        <f>E21</f>
        <v>43117.100000000006</v>
      </c>
      <c r="F12" s="72">
        <f t="shared" ref="F12:K12" si="5">F21</f>
        <v>0</v>
      </c>
      <c r="G12" s="72">
        <f t="shared" si="5"/>
        <v>0</v>
      </c>
      <c r="H12" s="72">
        <f t="shared" si="5"/>
        <v>0</v>
      </c>
      <c r="I12" s="72">
        <f t="shared" si="5"/>
        <v>0</v>
      </c>
      <c r="J12" s="72">
        <f t="shared" si="5"/>
        <v>0</v>
      </c>
      <c r="K12" s="72">
        <f t="shared" si="5"/>
        <v>0</v>
      </c>
      <c r="L12" s="72">
        <f t="shared" ref="L12:O13" si="6">L21</f>
        <v>0</v>
      </c>
      <c r="M12" s="72">
        <f t="shared" si="6"/>
        <v>0</v>
      </c>
      <c r="N12" s="72">
        <f t="shared" si="6"/>
        <v>0</v>
      </c>
      <c r="O12" s="72">
        <f t="shared" si="6"/>
        <v>0</v>
      </c>
      <c r="R12" s="62"/>
    </row>
    <row r="13" spans="1:25" ht="31.2" x14ac:dyDescent="0.25">
      <c r="A13" s="150"/>
      <c r="B13" s="148"/>
      <c r="C13" s="71" t="s">
        <v>81</v>
      </c>
      <c r="D13" s="1">
        <f t="shared" si="2"/>
        <v>20580.5</v>
      </c>
      <c r="E13" s="72">
        <f t="shared" ref="E13:K13" si="7">E22</f>
        <v>20580.5</v>
      </c>
      <c r="F13" s="72">
        <f t="shared" si="7"/>
        <v>0</v>
      </c>
      <c r="G13" s="72">
        <f t="shared" si="7"/>
        <v>0</v>
      </c>
      <c r="H13" s="72">
        <f t="shared" si="7"/>
        <v>0</v>
      </c>
      <c r="I13" s="72">
        <f t="shared" si="7"/>
        <v>0</v>
      </c>
      <c r="J13" s="72">
        <f t="shared" si="7"/>
        <v>0</v>
      </c>
      <c r="K13" s="72">
        <f t="shared" si="7"/>
        <v>0</v>
      </c>
      <c r="L13" s="72">
        <f t="shared" si="6"/>
        <v>0</v>
      </c>
      <c r="M13" s="72">
        <f t="shared" si="6"/>
        <v>0</v>
      </c>
      <c r="N13" s="72">
        <f t="shared" si="6"/>
        <v>0</v>
      </c>
      <c r="O13" s="72">
        <f t="shared" si="6"/>
        <v>0</v>
      </c>
    </row>
    <row r="14" spans="1:25" ht="31.2" x14ac:dyDescent="0.25">
      <c r="A14" s="150"/>
      <c r="B14" s="148"/>
      <c r="C14" s="70" t="s">
        <v>65</v>
      </c>
      <c r="D14" s="1">
        <f>E14+F14+G14+H14+I14+J14+K14+L14+M14+N14+O14</f>
        <v>4526824.7819999997</v>
      </c>
      <c r="E14" s="1">
        <f t="shared" ref="E14:O14" si="8">E23+E482+E508+E541+E685</f>
        <v>325404.89999999997</v>
      </c>
      <c r="F14" s="1">
        <f t="shared" si="8"/>
        <v>364692.8</v>
      </c>
      <c r="G14" s="1">
        <f t="shared" si="8"/>
        <v>356065.3</v>
      </c>
      <c r="H14" s="1">
        <f t="shared" si="8"/>
        <v>405742.4</v>
      </c>
      <c r="I14" s="1">
        <f t="shared" si="8"/>
        <v>308074.40000000002</v>
      </c>
      <c r="J14" s="1">
        <f t="shared" si="8"/>
        <v>403716.9</v>
      </c>
      <c r="K14" s="1">
        <f t="shared" si="8"/>
        <v>607444.48200000008</v>
      </c>
      <c r="L14" s="1">
        <f t="shared" si="8"/>
        <v>453010.19999999995</v>
      </c>
      <c r="M14" s="1">
        <f t="shared" si="8"/>
        <v>443060.10000000003</v>
      </c>
      <c r="N14" s="1">
        <f t="shared" si="8"/>
        <v>471622.69999999995</v>
      </c>
      <c r="O14" s="1">
        <f t="shared" si="8"/>
        <v>387990.6</v>
      </c>
    </row>
    <row r="15" spans="1:25" ht="31.2" x14ac:dyDescent="0.25">
      <c r="A15" s="150"/>
      <c r="B15" s="148"/>
      <c r="C15" s="71" t="s">
        <v>79</v>
      </c>
      <c r="D15" s="1">
        <f t="shared" si="2"/>
        <v>85206.799999999988</v>
      </c>
      <c r="E15" s="72">
        <f>E24+E542+E509</f>
        <v>48729.7</v>
      </c>
      <c r="F15" s="72">
        <f>F24+F542+F509</f>
        <v>30651</v>
      </c>
      <c r="G15" s="72">
        <f>G39+G521</f>
        <v>5127.3999999999996</v>
      </c>
      <c r="H15" s="72">
        <v>0</v>
      </c>
      <c r="I15" s="72">
        <f>I24</f>
        <v>698.7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</row>
    <row r="16" spans="1:25" ht="17.25" customHeight="1" x14ac:dyDescent="0.25">
      <c r="A16" s="150"/>
      <c r="B16" s="148"/>
      <c r="C16" s="70" t="s">
        <v>13</v>
      </c>
      <c r="D16" s="1">
        <f>E16+F16+G16+H16+I16+J16+K16+L16+M16+N16+O16</f>
        <v>30265</v>
      </c>
      <c r="E16" s="1">
        <f>E483</f>
        <v>20000</v>
      </c>
      <c r="F16" s="1">
        <f t="shared" ref="F16:K16" si="9">F483</f>
        <v>3000</v>
      </c>
      <c r="G16" s="1">
        <f t="shared" si="9"/>
        <v>1600</v>
      </c>
      <c r="H16" s="1">
        <f t="shared" si="9"/>
        <v>3453.6</v>
      </c>
      <c r="I16" s="1">
        <f t="shared" si="9"/>
        <v>2211.4</v>
      </c>
      <c r="J16" s="1">
        <f t="shared" si="9"/>
        <v>0</v>
      </c>
      <c r="K16" s="1">
        <f t="shared" si="9"/>
        <v>0</v>
      </c>
      <c r="L16" s="1">
        <f>L483</f>
        <v>0</v>
      </c>
      <c r="M16" s="1">
        <f>M483</f>
        <v>0</v>
      </c>
      <c r="N16" s="1">
        <f>N483</f>
        <v>0</v>
      </c>
      <c r="O16" s="1">
        <f>O483</f>
        <v>0</v>
      </c>
    </row>
    <row r="17" spans="1:22" ht="15.6" x14ac:dyDescent="0.25">
      <c r="A17" s="111" t="s">
        <v>27</v>
      </c>
      <c r="B17" s="111" t="s">
        <v>28</v>
      </c>
      <c r="C17" s="73" t="s">
        <v>7</v>
      </c>
      <c r="D17" s="2">
        <f>E17+F17+G17+H17+I17+J17+K17+L17+M17+N17+O17</f>
        <v>12633687.729999999</v>
      </c>
      <c r="E17" s="2">
        <f>E18+E20+E23+E25</f>
        <v>218606.2</v>
      </c>
      <c r="F17" s="2">
        <f t="shared" ref="F17:K17" si="10">F18+F20+F23+F25</f>
        <v>51837.9</v>
      </c>
      <c r="G17" s="2">
        <f t="shared" si="10"/>
        <v>71967.7</v>
      </c>
      <c r="H17" s="2">
        <f>H18+H20+H23+H25</f>
        <v>137590.59999999998</v>
      </c>
      <c r="I17" s="2">
        <f t="shared" si="10"/>
        <v>93705.7</v>
      </c>
      <c r="J17" s="2">
        <f t="shared" si="10"/>
        <v>861013.6</v>
      </c>
      <c r="K17" s="2">
        <f t="shared" si="10"/>
        <v>1369692.33</v>
      </c>
      <c r="L17" s="2">
        <f>L18+L20+L23+L25</f>
        <v>3111170.9</v>
      </c>
      <c r="M17" s="2">
        <f>M18+M20+M23+M25</f>
        <v>3775838.2</v>
      </c>
      <c r="N17" s="2">
        <f>N18+N20+N23+N25</f>
        <v>2914338</v>
      </c>
      <c r="O17" s="2">
        <f>O18+O20+O23+O25</f>
        <v>27926.6</v>
      </c>
      <c r="P17" s="69"/>
      <c r="Q17" s="62"/>
    </row>
    <row r="18" spans="1:22" ht="31.2" x14ac:dyDescent="0.25">
      <c r="A18" s="112"/>
      <c r="B18" s="112"/>
      <c r="C18" s="51" t="s">
        <v>80</v>
      </c>
      <c r="D18" s="1">
        <f>E18+F18+G18+H18+I18+J18+K18+L18+M18+N18+O18</f>
        <v>213817.09999999998</v>
      </c>
      <c r="E18" s="1">
        <f>E27+E445</f>
        <v>98793.9</v>
      </c>
      <c r="F18" s="1">
        <f>F27+F445</f>
        <v>0</v>
      </c>
      <c r="G18" s="1">
        <f>G27+G445</f>
        <v>0</v>
      </c>
      <c r="H18" s="1">
        <f>H27+H445</f>
        <v>0</v>
      </c>
      <c r="I18" s="1">
        <f>I27+I445</f>
        <v>0</v>
      </c>
      <c r="J18" s="1">
        <f t="shared" ref="J18:O18" si="11">J27+J445+J372+J412+J465</f>
        <v>0</v>
      </c>
      <c r="K18" s="1">
        <f t="shared" si="11"/>
        <v>115023.2</v>
      </c>
      <c r="L18" s="1">
        <f t="shared" si="11"/>
        <v>0</v>
      </c>
      <c r="M18" s="1">
        <f t="shared" si="11"/>
        <v>0</v>
      </c>
      <c r="N18" s="1">
        <f t="shared" si="11"/>
        <v>0</v>
      </c>
      <c r="O18" s="1">
        <f t="shared" si="11"/>
        <v>0</v>
      </c>
    </row>
    <row r="19" spans="1:22" ht="31.2" x14ac:dyDescent="0.25">
      <c r="A19" s="112"/>
      <c r="B19" s="112"/>
      <c r="C19" s="74" t="s">
        <v>81</v>
      </c>
      <c r="D19" s="1">
        <f t="shared" ref="D19:D25" si="12">E19+F19+G19+H19+I19+J19+K19+L19+M19+N19+O19</f>
        <v>98793.9</v>
      </c>
      <c r="E19" s="72">
        <f>E28</f>
        <v>98793.9</v>
      </c>
      <c r="F19" s="72">
        <f t="shared" ref="F19:K19" si="13">F28</f>
        <v>0</v>
      </c>
      <c r="G19" s="72">
        <f t="shared" si="13"/>
        <v>0</v>
      </c>
      <c r="H19" s="72">
        <f t="shared" si="13"/>
        <v>0</v>
      </c>
      <c r="I19" s="72">
        <f t="shared" si="13"/>
        <v>0</v>
      </c>
      <c r="J19" s="72">
        <f t="shared" si="13"/>
        <v>0</v>
      </c>
      <c r="K19" s="72">
        <f t="shared" si="13"/>
        <v>0</v>
      </c>
      <c r="L19" s="72">
        <f>L28</f>
        <v>0</v>
      </c>
      <c r="M19" s="72">
        <f>M28</f>
        <v>0</v>
      </c>
      <c r="N19" s="72">
        <f>N28</f>
        <v>0</v>
      </c>
      <c r="O19" s="72">
        <f>O28</f>
        <v>0</v>
      </c>
    </row>
    <row r="20" spans="1:22" ht="31.5" customHeight="1" x14ac:dyDescent="0.25">
      <c r="A20" s="112"/>
      <c r="B20" s="112"/>
      <c r="C20" s="51" t="s">
        <v>69</v>
      </c>
      <c r="D20" s="1">
        <f>E20+F20+G20+H20+I20+J20+K20+L20+M20+N20+O20</f>
        <v>11652649.609999999</v>
      </c>
      <c r="E20" s="1">
        <f>E29+E373+E413+E446</f>
        <v>68697.599999999991</v>
      </c>
      <c r="F20" s="1">
        <f>F29+F373+F413+F446</f>
        <v>15000</v>
      </c>
      <c r="G20" s="1">
        <f>G29+G373+G413+G446</f>
        <v>26276.799999999999</v>
      </c>
      <c r="H20" s="1">
        <f>H29+H373+H413+H446</f>
        <v>47416.2</v>
      </c>
      <c r="I20" s="1">
        <f>I29+I373+I413+I446</f>
        <v>43469.7</v>
      </c>
      <c r="J20" s="1">
        <f t="shared" ref="J20:O20" si="14">J29+J373+J413+J446+J466</f>
        <v>718423.5</v>
      </c>
      <c r="K20" s="1">
        <f t="shared" si="14"/>
        <v>1144814.71</v>
      </c>
      <c r="L20" s="1">
        <f t="shared" si="14"/>
        <v>3022554.6</v>
      </c>
      <c r="M20" s="1">
        <f t="shared" si="14"/>
        <v>3710163.5</v>
      </c>
      <c r="N20" s="1">
        <f t="shared" si="14"/>
        <v>2855833</v>
      </c>
      <c r="O20" s="1">
        <f t="shared" si="14"/>
        <v>0</v>
      </c>
    </row>
    <row r="21" spans="1:22" ht="31.2" x14ac:dyDescent="0.25">
      <c r="A21" s="112"/>
      <c r="B21" s="112"/>
      <c r="C21" s="74" t="s">
        <v>79</v>
      </c>
      <c r="D21" s="1">
        <f t="shared" si="12"/>
        <v>43117.100000000006</v>
      </c>
      <c r="E21" s="72">
        <f>E30</f>
        <v>43117.100000000006</v>
      </c>
      <c r="F21" s="72">
        <f t="shared" ref="F21:K21" si="15">F30</f>
        <v>0</v>
      </c>
      <c r="G21" s="72">
        <f t="shared" si="15"/>
        <v>0</v>
      </c>
      <c r="H21" s="72">
        <f t="shared" si="15"/>
        <v>0</v>
      </c>
      <c r="I21" s="72">
        <f t="shared" si="15"/>
        <v>0</v>
      </c>
      <c r="J21" s="72">
        <f t="shared" si="15"/>
        <v>0</v>
      </c>
      <c r="K21" s="72">
        <f t="shared" si="15"/>
        <v>0</v>
      </c>
      <c r="L21" s="72">
        <f t="shared" ref="L21:O22" si="16">L30</f>
        <v>0</v>
      </c>
      <c r="M21" s="72">
        <f t="shared" si="16"/>
        <v>0</v>
      </c>
      <c r="N21" s="72">
        <f t="shared" si="16"/>
        <v>0</v>
      </c>
      <c r="O21" s="72">
        <f t="shared" si="16"/>
        <v>0</v>
      </c>
    </row>
    <row r="22" spans="1:22" ht="31.2" x14ac:dyDescent="0.25">
      <c r="A22" s="112"/>
      <c r="B22" s="112"/>
      <c r="C22" s="74" t="s">
        <v>81</v>
      </c>
      <c r="D22" s="1">
        <f t="shared" si="12"/>
        <v>20580.5</v>
      </c>
      <c r="E22" s="72">
        <f>E31</f>
        <v>20580.5</v>
      </c>
      <c r="F22" s="72">
        <f t="shared" ref="F22:K22" si="17">F31</f>
        <v>0</v>
      </c>
      <c r="G22" s="72">
        <f t="shared" si="17"/>
        <v>0</v>
      </c>
      <c r="H22" s="72">
        <f t="shared" si="17"/>
        <v>0</v>
      </c>
      <c r="I22" s="72">
        <f t="shared" si="17"/>
        <v>0</v>
      </c>
      <c r="J22" s="72">
        <f t="shared" si="17"/>
        <v>0</v>
      </c>
      <c r="K22" s="72">
        <f t="shared" si="17"/>
        <v>0</v>
      </c>
      <c r="L22" s="72">
        <f t="shared" si="16"/>
        <v>0</v>
      </c>
      <c r="M22" s="72">
        <f t="shared" si="16"/>
        <v>0</v>
      </c>
      <c r="N22" s="72">
        <f t="shared" si="16"/>
        <v>0</v>
      </c>
      <c r="O22" s="72">
        <f t="shared" si="16"/>
        <v>0</v>
      </c>
    </row>
    <row r="23" spans="1:22" ht="31.2" x14ac:dyDescent="0.25">
      <c r="A23" s="112"/>
      <c r="B23" s="112"/>
      <c r="C23" s="51" t="s">
        <v>65</v>
      </c>
      <c r="D23" s="1">
        <f>E23+F23+G23+H23+I23+J23+K23+L23+M23+N23+O23</f>
        <v>767221.0199999999</v>
      </c>
      <c r="E23" s="1">
        <f>E32+E374+E414+E447</f>
        <v>51114.700000000004</v>
      </c>
      <c r="F23" s="1">
        <f>F32+F374+F414+F447</f>
        <v>36837.9</v>
      </c>
      <c r="G23" s="1">
        <f>G32+G374+G414+G447</f>
        <v>45690.899999999994</v>
      </c>
      <c r="H23" s="1">
        <f>H32+H374+H414+H447</f>
        <v>90174.399999999994</v>
      </c>
      <c r="I23" s="1">
        <f>I32+I374+I414+I447</f>
        <v>50236</v>
      </c>
      <c r="J23" s="1">
        <f t="shared" ref="J23:O23" si="18">J32+J374+J414+J447+J467</f>
        <v>142590.1</v>
      </c>
      <c r="K23" s="1">
        <f t="shared" si="18"/>
        <v>109854.42000000004</v>
      </c>
      <c r="L23" s="1">
        <f t="shared" si="18"/>
        <v>88616.299999999988</v>
      </c>
      <c r="M23" s="1">
        <f t="shared" si="18"/>
        <v>65674.7</v>
      </c>
      <c r="N23" s="1">
        <f t="shared" si="18"/>
        <v>58505</v>
      </c>
      <c r="O23" s="1">
        <f t="shared" si="18"/>
        <v>27926.6</v>
      </c>
      <c r="P23" s="62"/>
      <c r="Q23" s="62"/>
    </row>
    <row r="24" spans="1:22" ht="31.5" customHeight="1" x14ac:dyDescent="0.25">
      <c r="A24" s="112"/>
      <c r="B24" s="112"/>
      <c r="C24" s="74" t="s">
        <v>79</v>
      </c>
      <c r="D24" s="1">
        <f t="shared" si="12"/>
        <v>24185.399999999998</v>
      </c>
      <c r="E24" s="72">
        <f t="shared" ref="E24:O24" si="19">E33+E415</f>
        <v>17427.399999999998</v>
      </c>
      <c r="F24" s="72">
        <f t="shared" si="19"/>
        <v>2151</v>
      </c>
      <c r="G24" s="72">
        <f t="shared" si="19"/>
        <v>3908.3</v>
      </c>
      <c r="H24" s="72">
        <f t="shared" si="19"/>
        <v>0</v>
      </c>
      <c r="I24" s="72">
        <f t="shared" si="19"/>
        <v>698.7</v>
      </c>
      <c r="J24" s="72">
        <f t="shared" si="19"/>
        <v>0</v>
      </c>
      <c r="K24" s="72">
        <f t="shared" si="19"/>
        <v>0</v>
      </c>
      <c r="L24" s="72">
        <f t="shared" si="19"/>
        <v>0</v>
      </c>
      <c r="M24" s="72">
        <f t="shared" si="19"/>
        <v>0</v>
      </c>
      <c r="N24" s="72">
        <f t="shared" si="19"/>
        <v>0</v>
      </c>
      <c r="O24" s="72">
        <f t="shared" si="19"/>
        <v>0</v>
      </c>
    </row>
    <row r="25" spans="1:22" ht="17.25" customHeight="1" x14ac:dyDescent="0.25">
      <c r="A25" s="113"/>
      <c r="B25" s="113"/>
      <c r="C25" s="51" t="s">
        <v>13</v>
      </c>
      <c r="D25" s="1">
        <f t="shared" si="12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22" ht="15.6" x14ac:dyDescent="0.25">
      <c r="A26" s="152" t="s">
        <v>235</v>
      </c>
      <c r="B26" s="155" t="s">
        <v>142</v>
      </c>
      <c r="C26" s="51" t="s">
        <v>7</v>
      </c>
      <c r="D26" s="1">
        <f t="shared" ref="D26:O26" si="20">D27+D29+D32+D34</f>
        <v>11893315.699999999</v>
      </c>
      <c r="E26" s="1">
        <f t="shared" si="20"/>
        <v>190159.7</v>
      </c>
      <c r="F26" s="1">
        <f t="shared" si="20"/>
        <v>25969.5</v>
      </c>
      <c r="G26" s="1">
        <f t="shared" si="20"/>
        <v>41615.9</v>
      </c>
      <c r="H26" s="1">
        <f t="shared" si="20"/>
        <v>112179.9</v>
      </c>
      <c r="I26" s="1">
        <f t="shared" si="20"/>
        <v>55446.6</v>
      </c>
      <c r="J26" s="1">
        <f>J27+J29+J32+J34</f>
        <v>621253.9</v>
      </c>
      <c r="K26" s="1">
        <f>K27+K29+K32+K34</f>
        <v>1099158.2</v>
      </c>
      <c r="L26" s="1">
        <f t="shared" si="20"/>
        <v>3076952.9</v>
      </c>
      <c r="M26" s="1">
        <f t="shared" si="20"/>
        <v>3765392.5</v>
      </c>
      <c r="N26" s="1">
        <f t="shared" si="20"/>
        <v>2902753.3</v>
      </c>
      <c r="O26" s="1">
        <f t="shared" si="20"/>
        <v>2433.3000000000002</v>
      </c>
      <c r="P26" s="69"/>
      <c r="Q26" s="62"/>
    </row>
    <row r="27" spans="1:22" ht="31.5" customHeight="1" x14ac:dyDescent="0.25">
      <c r="A27" s="153"/>
      <c r="B27" s="156"/>
      <c r="C27" s="51" t="s">
        <v>80</v>
      </c>
      <c r="D27" s="1">
        <f>E27+F27+G27+H27+I27+J27+K27+L27+M27+N27+O27</f>
        <v>98793.9</v>
      </c>
      <c r="E27" s="1">
        <f>E36+E42+E48+E54+E59+E66+E72+E79+E86+E92+E98+E105+E112+E119+E127+E136+E143+E150+E156+E163+E170+E176+E182+E187+E192+E197+E202+E207+E212+E217+E222+E227+E232+E237+E242+E247+E252+E257+E262+E267+E297</f>
        <v>98793.9</v>
      </c>
      <c r="F27" s="1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1">
        <f t="shared" si="21"/>
        <v>0</v>
      </c>
      <c r="H27" s="1">
        <f t="shared" si="21"/>
        <v>0</v>
      </c>
      <c r="I27" s="1">
        <f t="shared" si="21"/>
        <v>0</v>
      </c>
      <c r="J27" s="1">
        <f t="shared" si="21"/>
        <v>0</v>
      </c>
      <c r="K27" s="1">
        <f t="shared" si="21"/>
        <v>0</v>
      </c>
      <c r="L27" s="1">
        <f t="shared" si="21"/>
        <v>0</v>
      </c>
      <c r="M27" s="1">
        <f t="shared" si="21"/>
        <v>0</v>
      </c>
      <c r="N27" s="1">
        <f t="shared" si="21"/>
        <v>0</v>
      </c>
      <c r="O27" s="1">
        <f t="shared" si="21"/>
        <v>0</v>
      </c>
    </row>
    <row r="28" spans="1:22" ht="31.2" x14ac:dyDescent="0.25">
      <c r="A28" s="153"/>
      <c r="B28" s="156"/>
      <c r="C28" s="74" t="s">
        <v>81</v>
      </c>
      <c r="D28" s="1">
        <f t="shared" ref="D28:D34" si="22">E28+F28+G28+H28+I28+J28+K28+L28+M28+N28+O28</f>
        <v>98793.9</v>
      </c>
      <c r="E28" s="72">
        <f>E60</f>
        <v>98793.9</v>
      </c>
      <c r="F28" s="72">
        <f t="shared" ref="F28:K28" si="23">F60</f>
        <v>0</v>
      </c>
      <c r="G28" s="72">
        <f t="shared" si="23"/>
        <v>0</v>
      </c>
      <c r="H28" s="72">
        <f t="shared" si="23"/>
        <v>0</v>
      </c>
      <c r="I28" s="72">
        <f t="shared" si="23"/>
        <v>0</v>
      </c>
      <c r="J28" s="72">
        <f t="shared" si="23"/>
        <v>0</v>
      </c>
      <c r="K28" s="72">
        <f t="shared" si="23"/>
        <v>0</v>
      </c>
      <c r="L28" s="72">
        <f>L60</f>
        <v>0</v>
      </c>
      <c r="M28" s="72">
        <f>M60</f>
        <v>0</v>
      </c>
      <c r="N28" s="72">
        <f>N60</f>
        <v>0</v>
      </c>
      <c r="O28" s="72">
        <f>O60</f>
        <v>0</v>
      </c>
      <c r="R28" s="62"/>
      <c r="S28" s="62"/>
      <c r="T28" s="62"/>
      <c r="U28" s="62"/>
    </row>
    <row r="29" spans="1:22" ht="31.2" x14ac:dyDescent="0.25">
      <c r="A29" s="153"/>
      <c r="B29" s="156"/>
      <c r="C29" s="51" t="s">
        <v>69</v>
      </c>
      <c r="D29" s="1">
        <f t="shared" si="22"/>
        <v>11273161.199999999</v>
      </c>
      <c r="E29" s="1">
        <f>E37+E43+E49+E55+E61+E67+E73+E80+E87+E93+E99+E106+E113+E120+E128+E137+E144+E151+E157+E164+E171+E177+E183+E188+E193+E198+E203+E213+E218+E223++E228+E233+E238+E243+E248+E253+E258+E263+E268+E298</f>
        <v>68697.599999999991</v>
      </c>
      <c r="F29" s="1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1">
        <f t="shared" si="24"/>
        <v>26276.799999999999</v>
      </c>
      <c r="H29" s="1">
        <f t="shared" si="24"/>
        <v>47416.2</v>
      </c>
      <c r="I29" s="1">
        <f t="shared" si="24"/>
        <v>16128.9</v>
      </c>
      <c r="J29" s="1">
        <f>J37+J43+J49+J55+J61+J67+J73+J80+J87+J93+J99+J106+J113+J120+J128+J137+J144+J151+J157+J164+J171+J177+J183+J188+J193+J198+J203+J213+J218+J223++J228+J233+J238+J243+J248+J253+J258+J263+J268+J298+J273</f>
        <v>510517.9</v>
      </c>
      <c r="K29" s="1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1">
        <f>L37+L43+L49+L55+L61+L67+L73+L80+L87+L93+L99+L106+L113+L120+L128+L137+L144+L151+L157+L164+L171+L177+L183+L188+L193+L198+L203+L213+L218+L223++L228+L233+L238+L243+L248+L253+L258+L263+L268+L298+L273+L278+L283+L288+L293+L328+L343+L348+L353+L358</f>
        <v>3000746.6</v>
      </c>
      <c r="M29" s="1">
        <f t="shared" ref="M29:O29" si="25">M37+M43+M49+M55+M61+M67+M73+M80+M87+M93+M99+M106+M113+M120+M128+M137+M144+M151+M157+M164+M171+M177+M183+M188+M193+M198+M203+M213+M218+M223++M228+M233+M238+M243+M248+M253+M258+M263+M268+M298+M273+M278+M283+M288+M293+M328+M343+M348+M353+M358</f>
        <v>3710163.5</v>
      </c>
      <c r="N29" s="1">
        <f t="shared" si="25"/>
        <v>2855833</v>
      </c>
      <c r="O29" s="1">
        <f t="shared" si="25"/>
        <v>0</v>
      </c>
    </row>
    <row r="30" spans="1:22" ht="31.2" x14ac:dyDescent="0.25">
      <c r="A30" s="153"/>
      <c r="B30" s="156"/>
      <c r="C30" s="74" t="s">
        <v>79</v>
      </c>
      <c r="D30" s="1">
        <f t="shared" si="22"/>
        <v>43117.100000000006</v>
      </c>
      <c r="E30" s="72">
        <f t="shared" ref="E30:K30" si="26">E74+E121+E130+E145</f>
        <v>43117.100000000006</v>
      </c>
      <c r="F30" s="72">
        <f t="shared" si="26"/>
        <v>0</v>
      </c>
      <c r="G30" s="72">
        <f t="shared" si="26"/>
        <v>0</v>
      </c>
      <c r="H30" s="72">
        <f t="shared" si="26"/>
        <v>0</v>
      </c>
      <c r="I30" s="72">
        <f t="shared" si="26"/>
        <v>0</v>
      </c>
      <c r="J30" s="72">
        <f t="shared" si="26"/>
        <v>0</v>
      </c>
      <c r="K30" s="72">
        <f t="shared" si="26"/>
        <v>0</v>
      </c>
      <c r="L30" s="72">
        <f>L74+L121+L130+L145</f>
        <v>0</v>
      </c>
      <c r="M30" s="72">
        <f>M74+M121+M130+M145</f>
        <v>0</v>
      </c>
      <c r="N30" s="72">
        <f>N74+N121+N130+N145</f>
        <v>0</v>
      </c>
      <c r="O30" s="72">
        <f>O74+O121+O130+O145</f>
        <v>0</v>
      </c>
    </row>
    <row r="31" spans="1:22" ht="31.5" customHeight="1" x14ac:dyDescent="0.25">
      <c r="A31" s="153"/>
      <c r="B31" s="156"/>
      <c r="C31" s="74" t="s">
        <v>81</v>
      </c>
      <c r="D31" s="1">
        <f t="shared" si="22"/>
        <v>20580.5</v>
      </c>
      <c r="E31" s="72">
        <f>E100+E158+E129</f>
        <v>20580.5</v>
      </c>
      <c r="F31" s="72">
        <f t="shared" ref="F31:K31" si="27">F100+F158</f>
        <v>0</v>
      </c>
      <c r="G31" s="72">
        <f t="shared" si="27"/>
        <v>0</v>
      </c>
      <c r="H31" s="72">
        <f t="shared" si="27"/>
        <v>0</v>
      </c>
      <c r="I31" s="72">
        <f t="shared" si="27"/>
        <v>0</v>
      </c>
      <c r="J31" s="72">
        <f t="shared" si="27"/>
        <v>0</v>
      </c>
      <c r="K31" s="72">
        <f t="shared" si="27"/>
        <v>0</v>
      </c>
      <c r="L31" s="72">
        <f>L100+L158</f>
        <v>0</v>
      </c>
      <c r="M31" s="72">
        <f>M100+M158</f>
        <v>0</v>
      </c>
      <c r="N31" s="72">
        <f>N100+N158</f>
        <v>0</v>
      </c>
      <c r="O31" s="72">
        <f>O100+O158</f>
        <v>0</v>
      </c>
    </row>
    <row r="32" spans="1:22" ht="31.2" x14ac:dyDescent="0.25">
      <c r="A32" s="153"/>
      <c r="B32" s="156"/>
      <c r="C32" s="51" t="s">
        <v>65</v>
      </c>
      <c r="D32" s="1">
        <f>E32+F32+G32+H32+I32+J32+K32+L32+M32+N32+O32</f>
        <v>521360.60000000003</v>
      </c>
      <c r="E32" s="1">
        <f>E38+E44+E50+E56+E62+E68+E75+E81+E88+E94+E101+E107+E114+E122+E131+E138+E146+E152+E159+E165+E172+E178+E184+E189+E194+E199+E204+E209+E214+E219+E224+E229+E234+E239+E249+E244+E254+E259+E264+E269+E299</f>
        <v>22668.2</v>
      </c>
      <c r="F32" s="1">
        <f t="shared" ref="F32:I32" si="28">F38+F44+F50+F56+F62+F68+F75+F81+F88+F94+F101+F107+F114+F122+F131+F138+F146+F152+F159+F165+F172+F178+F184+F189+F194+F199+F204+F209+F214+F219+F224+F229+F234+F239+F249+F244+F254+F259+F264+F269+F299</f>
        <v>10969.5</v>
      </c>
      <c r="G32" s="1">
        <f t="shared" si="28"/>
        <v>15339.1</v>
      </c>
      <c r="H32" s="1">
        <f t="shared" si="28"/>
        <v>64763.7</v>
      </c>
      <c r="I32" s="1">
        <f t="shared" si="28"/>
        <v>39317.699999999997</v>
      </c>
      <c r="J32" s="1">
        <f>J38+J44+J50+J56+J62+J68+J75+J81+J88+J94+J101+J107+J114+J122+J131+J138+J146+J152+J159+J165+J172+J178+J184+J189+J194+J199+J204+J209+J214+J219+J224+J229+J234+J239+J249+J244+J254+J259+J264+J269+J299+J274</f>
        <v>110736</v>
      </c>
      <c r="K32" s="1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1">
        <f>L38+L44+L50+L56+L62+L68+L75+L81+L88+L94+L101+L107+L114+L122+L131+L138+L146+L152+L159+L165+L172+L178+L184+L189+L194+L199+L204+L209+L214+L219+L224+L229+L234+L239+L249+L244+L254+L259+L264+L269+L274+L299+L279+L284+L289+L294+L304+L309+L314+L319+L329+L344+L349+L354+L359</f>
        <v>76206.299999999988</v>
      </c>
      <c r="M32" s="1">
        <f t="shared" ref="M32:O32" si="29">M38+M44+M50+M56+M62+M68+M75+M81+M88+M94+M101+M107+M114+M122+M131+M138+M146+M152+M159+M165+M172+M178+M184+M189+M194+M199+M204+M209+M214+M219+M224+M229+M234+M239+M249+M244+M254+M259+M264+M269+M274+M299+M279+M284+M289+M294+M304+M309+M314+M319+M329+M344+M349+M354+M359</f>
        <v>55229</v>
      </c>
      <c r="N32" s="1">
        <f t="shared" si="29"/>
        <v>46920.3</v>
      </c>
      <c r="O32" s="1">
        <f t="shared" si="29"/>
        <v>2433.3000000000002</v>
      </c>
      <c r="P32" s="1">
        <f t="shared" ref="P32:V32" si="30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1">
        <f t="shared" si="30"/>
        <v>0</v>
      </c>
      <c r="R32" s="1">
        <f t="shared" si="30"/>
        <v>0</v>
      </c>
      <c r="S32" s="1">
        <f t="shared" si="30"/>
        <v>0</v>
      </c>
      <c r="T32" s="1">
        <f t="shared" si="30"/>
        <v>0</v>
      </c>
      <c r="U32" s="1">
        <f t="shared" si="30"/>
        <v>0</v>
      </c>
      <c r="V32" s="1">
        <f t="shared" si="30"/>
        <v>0</v>
      </c>
    </row>
    <row r="33" spans="1:16" ht="31.2" x14ac:dyDescent="0.25">
      <c r="A33" s="153"/>
      <c r="B33" s="156"/>
      <c r="C33" s="74" t="s">
        <v>79</v>
      </c>
      <c r="D33" s="1">
        <f t="shared" si="22"/>
        <v>20554.099999999999</v>
      </c>
      <c r="E33" s="72">
        <f>E45+E51+E69+E76+E82+E89+E95+E108+E115+E123+E132+E139+E147+E153+E166+E173+E179+E39+E63</f>
        <v>14494.8</v>
      </c>
      <c r="F33" s="72">
        <f t="shared" ref="F33:K33" si="31">F45+F51+F69+F76+F82+F89+F95+F108+F115+F123+F132+F139+F147+F153+F166+F173+F179+F39+F63</f>
        <v>2151</v>
      </c>
      <c r="G33" s="72">
        <f t="shared" si="31"/>
        <v>3908.3</v>
      </c>
      <c r="H33" s="72">
        <f t="shared" si="31"/>
        <v>0</v>
      </c>
      <c r="I33" s="72">
        <f t="shared" si="31"/>
        <v>0</v>
      </c>
      <c r="J33" s="72">
        <f t="shared" si="31"/>
        <v>0</v>
      </c>
      <c r="K33" s="72">
        <f t="shared" si="31"/>
        <v>0</v>
      </c>
      <c r="L33" s="72">
        <f>L45+L51+L69+L76+L82+L89+L95+L108+L115+L123+L132+L139+L147+L153+L166+L173+L179+L39+L63</f>
        <v>0</v>
      </c>
      <c r="M33" s="72">
        <f>M45+M51+M69+M76+M82+M89+M95+M108+M115+M123+M132+M139+M147+M153+M166+M173+M179+M39+M63</f>
        <v>0</v>
      </c>
      <c r="N33" s="72">
        <f>N45+N51+N69+N76+N82+N89+N95+N108+N115+N123+N132+N139+N147+N153+N166+N173+N179+N39+N63</f>
        <v>0</v>
      </c>
      <c r="O33" s="72">
        <f>O45+O51+O69+O76+O82+O89+O95+O108+O115+O123+O132+O139+O147+O153+O166+O173+O179+O39+O63</f>
        <v>0</v>
      </c>
    </row>
    <row r="34" spans="1:16" ht="18.75" customHeight="1" x14ac:dyDescent="0.25">
      <c r="A34" s="154"/>
      <c r="B34" s="157"/>
      <c r="C34" s="51" t="s">
        <v>13</v>
      </c>
      <c r="D34" s="1">
        <f t="shared" si="22"/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6" ht="15.6" x14ac:dyDescent="0.25">
      <c r="A35" s="104" t="s">
        <v>94</v>
      </c>
      <c r="B35" s="130" t="s">
        <v>371</v>
      </c>
      <c r="C35" s="58" t="s">
        <v>7</v>
      </c>
      <c r="D35" s="1">
        <f t="shared" ref="D35:D40" si="32">E35+F35+G35+H35+I35+J35+K35+L35+M35+N35+O35</f>
        <v>20898.7</v>
      </c>
      <c r="E35" s="1">
        <f t="shared" ref="E35:J35" si="33">SUM(E36:E40)</f>
        <v>279.3</v>
      </c>
      <c r="F35" s="1">
        <f t="shared" si="33"/>
        <v>7999</v>
      </c>
      <c r="G35" s="1">
        <f>G36+G37+G38+G40</f>
        <v>3908.3</v>
      </c>
      <c r="H35" s="1">
        <f t="shared" si="33"/>
        <v>0</v>
      </c>
      <c r="I35" s="1">
        <f t="shared" si="33"/>
        <v>7695.7</v>
      </c>
      <c r="J35" s="1">
        <f t="shared" si="33"/>
        <v>1016.4000000000001</v>
      </c>
      <c r="K35" s="1">
        <f>K36+K37+K38+K39+K40</f>
        <v>0</v>
      </c>
      <c r="L35" s="1">
        <f>L36+L37+L38+L39+L40</f>
        <v>0</v>
      </c>
      <c r="M35" s="1">
        <f>M36+M37+M38+M39+M40</f>
        <v>0</v>
      </c>
      <c r="N35" s="1">
        <f>N36+N37+N38+N39+N40</f>
        <v>0</v>
      </c>
      <c r="O35" s="1">
        <f>O36+O37+O38+O39+O40</f>
        <v>0</v>
      </c>
      <c r="P35" s="64" t="s">
        <v>354</v>
      </c>
    </row>
    <row r="36" spans="1:16" ht="15.6" x14ac:dyDescent="0.25">
      <c r="A36" s="104"/>
      <c r="B36" s="131"/>
      <c r="C36" s="51" t="s">
        <v>10</v>
      </c>
      <c r="D36" s="1">
        <f t="shared" si="32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6" ht="15.6" x14ac:dyDescent="0.25">
      <c r="A37" s="104"/>
      <c r="B37" s="131"/>
      <c r="C37" s="51" t="s">
        <v>11</v>
      </c>
      <c r="D37" s="1">
        <f t="shared" si="32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6" ht="15.6" x14ac:dyDescent="0.25">
      <c r="A38" s="104"/>
      <c r="B38" s="131"/>
      <c r="C38" s="51" t="s">
        <v>12</v>
      </c>
      <c r="D38" s="1">
        <f t="shared" si="32"/>
        <v>20898.7</v>
      </c>
      <c r="E38" s="1">
        <v>279.3</v>
      </c>
      <c r="F38" s="1">
        <v>7999</v>
      </c>
      <c r="G38" s="1">
        <v>3908.3</v>
      </c>
      <c r="H38" s="1">
        <v>0</v>
      </c>
      <c r="I38" s="1">
        <v>7695.7</v>
      </c>
      <c r="J38" s="1">
        <f>13000-10000-91-1800-1.6-235+144</f>
        <v>1016.4000000000001</v>
      </c>
      <c r="K38" s="1">
        <f>1620.7-553.4-1067.3</f>
        <v>0</v>
      </c>
      <c r="L38" s="1">
        <v>0</v>
      </c>
      <c r="M38" s="1">
        <v>0</v>
      </c>
      <c r="N38" s="1">
        <v>0</v>
      </c>
      <c r="O38" s="1">
        <v>0</v>
      </c>
    </row>
    <row r="39" spans="1:16" ht="31.2" x14ac:dyDescent="0.25">
      <c r="A39" s="104"/>
      <c r="B39" s="131"/>
      <c r="C39" s="74" t="s">
        <v>79</v>
      </c>
      <c r="D39" s="72">
        <f t="shared" si="32"/>
        <v>3908.3</v>
      </c>
      <c r="E39" s="72">
        <v>0</v>
      </c>
      <c r="F39" s="72">
        <v>0</v>
      </c>
      <c r="G39" s="72">
        <v>3908.3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6" ht="20.25" customHeight="1" x14ac:dyDescent="0.25">
      <c r="A40" s="104"/>
      <c r="B40" s="132"/>
      <c r="C40" s="51" t="s">
        <v>13</v>
      </c>
      <c r="D40" s="1">
        <f t="shared" si="32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6" ht="15.6" x14ac:dyDescent="0.25">
      <c r="A41" s="104" t="s">
        <v>95</v>
      </c>
      <c r="B41" s="129" t="s">
        <v>247</v>
      </c>
      <c r="C41" s="51" t="s">
        <v>7</v>
      </c>
      <c r="D41" s="1">
        <f>D42+D43+D44+D46</f>
        <v>89901.1</v>
      </c>
      <c r="E41" s="1">
        <f t="shared" ref="E41:O41" si="34">E42+E43+E44+E46</f>
        <v>2524.5</v>
      </c>
      <c r="F41" s="1">
        <f t="shared" si="34"/>
        <v>0</v>
      </c>
      <c r="G41" s="1">
        <f t="shared" si="34"/>
        <v>9700</v>
      </c>
      <c r="H41" s="1">
        <f t="shared" si="34"/>
        <v>55770.7</v>
      </c>
      <c r="I41" s="1">
        <f t="shared" si="34"/>
        <v>20706</v>
      </c>
      <c r="J41" s="1">
        <f>J42+J43+J44+J46</f>
        <v>1153.1000000000004</v>
      </c>
      <c r="K41" s="1">
        <f t="shared" si="34"/>
        <v>46.800000000000004</v>
      </c>
      <c r="L41" s="1">
        <f t="shared" si="34"/>
        <v>0</v>
      </c>
      <c r="M41" s="1">
        <f t="shared" si="34"/>
        <v>0</v>
      </c>
      <c r="N41" s="1">
        <f t="shared" si="34"/>
        <v>0</v>
      </c>
      <c r="O41" s="1">
        <f t="shared" si="34"/>
        <v>0</v>
      </c>
      <c r="P41" s="64" t="s">
        <v>354</v>
      </c>
    </row>
    <row r="42" spans="1:16" ht="17.25" customHeight="1" x14ac:dyDescent="0.25">
      <c r="A42" s="104"/>
      <c r="B42" s="129"/>
      <c r="C42" s="51" t="s">
        <v>10</v>
      </c>
      <c r="D42" s="1">
        <f>E42+F42+G42+H42+I42+J42+K42+L42+M42+N42+O42</f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6" ht="15.6" x14ac:dyDescent="0.25">
      <c r="A43" s="104"/>
      <c r="B43" s="129"/>
      <c r="C43" s="51" t="s">
        <v>11</v>
      </c>
      <c r="D43" s="1">
        <f>E43+F43+G43+H43+I43+J43+K43+L43+M43+N43+O43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6" ht="31.2" x14ac:dyDescent="0.25">
      <c r="A44" s="104"/>
      <c r="B44" s="129"/>
      <c r="C44" s="51" t="s">
        <v>65</v>
      </c>
      <c r="D44" s="1">
        <f>E44+F44+G44+H44+I44+J44+K44+L44+M44+N44+O44</f>
        <v>89901.1</v>
      </c>
      <c r="E44" s="1">
        <v>2524.5</v>
      </c>
      <c r="F44" s="1">
        <v>0</v>
      </c>
      <c r="G44" s="1">
        <v>9700</v>
      </c>
      <c r="H44" s="1">
        <v>55770.7</v>
      </c>
      <c r="I44" s="1">
        <f>23156-2450</f>
        <v>20706</v>
      </c>
      <c r="J44" s="1">
        <f>10000-8846.9</f>
        <v>1153.1000000000004</v>
      </c>
      <c r="K44" s="1">
        <f>49.2-2.4</f>
        <v>46.800000000000004</v>
      </c>
      <c r="L44" s="1">
        <v>0</v>
      </c>
      <c r="M44" s="1">
        <v>0</v>
      </c>
      <c r="N44" s="1">
        <v>0</v>
      </c>
      <c r="O44" s="1">
        <v>0</v>
      </c>
    </row>
    <row r="45" spans="1:16" ht="31.2" x14ac:dyDescent="0.25">
      <c r="A45" s="104"/>
      <c r="B45" s="129"/>
      <c r="C45" s="74" t="s">
        <v>79</v>
      </c>
      <c r="D45" s="1">
        <f>E45+F45+G45+H45+I45+J45+K45+L45+M45+N45+O45</f>
        <v>1837.2</v>
      </c>
      <c r="E45" s="72">
        <v>1837.2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</row>
    <row r="46" spans="1:16" ht="18" customHeight="1" x14ac:dyDescent="0.25">
      <c r="A46" s="104"/>
      <c r="B46" s="129"/>
      <c r="C46" s="51" t="s">
        <v>13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6" ht="15.6" x14ac:dyDescent="0.25">
      <c r="A47" s="102" t="s">
        <v>131</v>
      </c>
      <c r="B47" s="130" t="s">
        <v>227</v>
      </c>
      <c r="C47" s="51" t="s">
        <v>7</v>
      </c>
      <c r="D47" s="1">
        <f>E47+F47+G47+H47+I47+J47</f>
        <v>342.5</v>
      </c>
      <c r="E47" s="1">
        <f t="shared" ref="E47:K47" si="35">E48+E49+E50+E52</f>
        <v>330.5</v>
      </c>
      <c r="F47" s="1">
        <f t="shared" si="35"/>
        <v>12</v>
      </c>
      <c r="G47" s="1">
        <f t="shared" si="35"/>
        <v>0</v>
      </c>
      <c r="H47" s="1">
        <f t="shared" si="35"/>
        <v>0</v>
      </c>
      <c r="I47" s="1">
        <f t="shared" si="35"/>
        <v>0</v>
      </c>
      <c r="J47" s="1">
        <f t="shared" si="35"/>
        <v>0</v>
      </c>
      <c r="K47" s="1">
        <f t="shared" si="35"/>
        <v>0</v>
      </c>
      <c r="L47" s="1">
        <f>L48+L49+L50+L52</f>
        <v>0</v>
      </c>
      <c r="M47" s="1">
        <f>M48+M49+M50+M52</f>
        <v>0</v>
      </c>
      <c r="N47" s="1">
        <f>N48+N49+N50+N52</f>
        <v>0</v>
      </c>
      <c r="O47" s="1">
        <f>O48+O49+O50+O52</f>
        <v>0</v>
      </c>
    </row>
    <row r="48" spans="1:16" ht="15.6" x14ac:dyDescent="0.25">
      <c r="A48" s="117"/>
      <c r="B48" s="131"/>
      <c r="C48" s="51" t="s">
        <v>10</v>
      </c>
      <c r="D48" s="1">
        <f>E48+F48+G48+H48+I48+J48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7" ht="15.6" x14ac:dyDescent="0.25">
      <c r="A49" s="117"/>
      <c r="B49" s="131"/>
      <c r="C49" s="51" t="s">
        <v>11</v>
      </c>
      <c r="D49" s="1">
        <f>E49+F49+G49+H49+I49+J49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30.75" customHeight="1" x14ac:dyDescent="0.25">
      <c r="A50" s="117"/>
      <c r="B50" s="131"/>
      <c r="C50" s="51" t="s">
        <v>65</v>
      </c>
      <c r="D50" s="1">
        <f>E50+F50+G50+H50+I50+J50</f>
        <v>342.5</v>
      </c>
      <c r="E50" s="1">
        <v>330.5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7" ht="32.25" customHeight="1" x14ac:dyDescent="0.25">
      <c r="A51" s="117"/>
      <c r="B51" s="131"/>
      <c r="C51" s="74" t="s">
        <v>79</v>
      </c>
      <c r="D51" s="72">
        <f>E51</f>
        <v>330.5</v>
      </c>
      <c r="E51" s="72">
        <v>330.5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1">
        <v>0</v>
      </c>
      <c r="L51" s="72">
        <v>0</v>
      </c>
      <c r="M51" s="72">
        <v>0</v>
      </c>
      <c r="N51" s="72">
        <v>0</v>
      </c>
      <c r="O51" s="1">
        <v>0</v>
      </c>
    </row>
    <row r="52" spans="1:17" ht="26.25" customHeight="1" x14ac:dyDescent="0.25">
      <c r="A52" s="103"/>
      <c r="B52" s="132"/>
      <c r="C52" s="51" t="s">
        <v>13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15.6" x14ac:dyDescent="0.25">
      <c r="A53" s="104" t="s">
        <v>96</v>
      </c>
      <c r="B53" s="129" t="s">
        <v>88</v>
      </c>
      <c r="C53" s="51" t="s">
        <v>7</v>
      </c>
      <c r="D53" s="1">
        <f>E53+F53+G53+H53+I53+J53+K53+L53+M53+N53+O53</f>
        <v>5540</v>
      </c>
      <c r="E53" s="1">
        <f t="shared" ref="E53:K53" si="36">E54+E55+E56+E57</f>
        <v>5540</v>
      </c>
      <c r="F53" s="1">
        <f t="shared" si="36"/>
        <v>0</v>
      </c>
      <c r="G53" s="1">
        <f t="shared" si="36"/>
        <v>0</v>
      </c>
      <c r="H53" s="1">
        <f t="shared" si="36"/>
        <v>0</v>
      </c>
      <c r="I53" s="1">
        <f t="shared" si="36"/>
        <v>0</v>
      </c>
      <c r="J53" s="1">
        <f t="shared" si="36"/>
        <v>0</v>
      </c>
      <c r="K53" s="1">
        <f t="shared" si="36"/>
        <v>0</v>
      </c>
      <c r="L53" s="1">
        <f>L54+L55+L56+L57</f>
        <v>0</v>
      </c>
      <c r="M53" s="1">
        <f>M54+M55+M56+M57</f>
        <v>0</v>
      </c>
      <c r="N53" s="1">
        <f>N54+N55+N56+N57</f>
        <v>0</v>
      </c>
      <c r="O53" s="1">
        <f>O54+O55+O56+O57</f>
        <v>0</v>
      </c>
    </row>
    <row r="54" spans="1:17" ht="17.25" customHeight="1" x14ac:dyDescent="0.25">
      <c r="A54" s="104"/>
      <c r="B54" s="129"/>
      <c r="C54" s="51" t="s">
        <v>10</v>
      </c>
      <c r="D54" s="1">
        <f>E54+F54+G54+H54+I54+J54+K54+L54+M54+N54+O54</f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7" ht="15.6" x14ac:dyDescent="0.25">
      <c r="A55" s="104"/>
      <c r="B55" s="129"/>
      <c r="C55" s="51" t="s">
        <v>11</v>
      </c>
      <c r="D55" s="1">
        <f>E55+F55+G55+H55+I55+J55+K55+L55+M55+N55+O55</f>
        <v>5000</v>
      </c>
      <c r="E55" s="1">
        <v>5000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6" x14ac:dyDescent="0.25">
      <c r="A56" s="104"/>
      <c r="B56" s="129"/>
      <c r="C56" s="51" t="s">
        <v>12</v>
      </c>
      <c r="D56" s="1">
        <f>E56+F56+G56+H56+I56+J56+K56+L56+M56+N56+O56</f>
        <v>540</v>
      </c>
      <c r="E56" s="1">
        <v>540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7" ht="19.5" customHeight="1" x14ac:dyDescent="0.25">
      <c r="A57" s="104"/>
      <c r="B57" s="129"/>
      <c r="C57" s="51" t="s">
        <v>13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6" x14ac:dyDescent="0.25">
      <c r="A58" s="104" t="s">
        <v>97</v>
      </c>
      <c r="B58" s="130" t="s">
        <v>424</v>
      </c>
      <c r="C58" s="51" t="s">
        <v>7</v>
      </c>
      <c r="D58" s="1">
        <f>E58+F58+G58+H58+I58+J58</f>
        <v>103147.9</v>
      </c>
      <c r="E58" s="1">
        <f>E59+E61+E62+E64</f>
        <v>101289</v>
      </c>
      <c r="F58" s="1">
        <f>F59+F61+F62+F64</f>
        <v>1200</v>
      </c>
      <c r="G58" s="1">
        <f t="shared" ref="G58:O58" si="37">G59+G61+G62+G64</f>
        <v>0</v>
      </c>
      <c r="H58" s="1">
        <f t="shared" si="37"/>
        <v>600</v>
      </c>
      <c r="I58" s="1">
        <f t="shared" si="37"/>
        <v>35.5</v>
      </c>
      <c r="J58" s="1">
        <f t="shared" si="37"/>
        <v>23.4</v>
      </c>
      <c r="K58" s="1">
        <f t="shared" si="37"/>
        <v>0</v>
      </c>
      <c r="L58" s="1">
        <f t="shared" si="37"/>
        <v>221.5</v>
      </c>
      <c r="M58" s="1">
        <f t="shared" si="37"/>
        <v>0</v>
      </c>
      <c r="N58" s="1">
        <f t="shared" si="37"/>
        <v>0</v>
      </c>
      <c r="O58" s="1">
        <f t="shared" si="37"/>
        <v>0</v>
      </c>
      <c r="P58" s="60">
        <v>35.4</v>
      </c>
      <c r="Q58" s="69">
        <f>I58-P58</f>
        <v>0.10000000000000142</v>
      </c>
    </row>
    <row r="59" spans="1:17" ht="31.2" x14ac:dyDescent="0.25">
      <c r="A59" s="104"/>
      <c r="B59" s="131"/>
      <c r="C59" s="51" t="s">
        <v>80</v>
      </c>
      <c r="D59" s="1">
        <f t="shared" ref="D59:D64" si="38">E59+F59+G59+H59+I59+J59+K59+L59+M59+N59+O59</f>
        <v>98793.9</v>
      </c>
      <c r="E59" s="1">
        <f>E60</f>
        <v>98793.9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31.2" x14ac:dyDescent="0.25">
      <c r="A60" s="104"/>
      <c r="B60" s="131"/>
      <c r="C60" s="74" t="s">
        <v>81</v>
      </c>
      <c r="D60" s="1">
        <f t="shared" si="38"/>
        <v>98793.9</v>
      </c>
      <c r="E60" s="72">
        <v>98793.9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</row>
    <row r="61" spans="1:17" ht="15.6" x14ac:dyDescent="0.25">
      <c r="A61" s="104"/>
      <c r="B61" s="131"/>
      <c r="C61" s="51" t="s">
        <v>11</v>
      </c>
      <c r="D61" s="1">
        <f t="shared" si="38"/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62">
        <f>D59+D61+D62+D64</f>
        <v>103369.4</v>
      </c>
      <c r="Q61" s="62"/>
    </row>
    <row r="62" spans="1:17" ht="15.6" x14ac:dyDescent="0.25">
      <c r="A62" s="104"/>
      <c r="B62" s="131"/>
      <c r="C62" s="51" t="s">
        <v>12</v>
      </c>
      <c r="D62" s="1">
        <f t="shared" si="38"/>
        <v>4575.5</v>
      </c>
      <c r="E62" s="1">
        <v>2495.1</v>
      </c>
      <c r="F62" s="1">
        <v>1200</v>
      </c>
      <c r="G62" s="1">
        <v>0</v>
      </c>
      <c r="H62" s="1">
        <v>600</v>
      </c>
      <c r="I62" s="1">
        <v>35.5</v>
      </c>
      <c r="J62" s="1">
        <f>0+23.4</f>
        <v>23.4</v>
      </c>
      <c r="K62" s="1">
        <v>0</v>
      </c>
      <c r="L62" s="1">
        <v>221.5</v>
      </c>
      <c r="M62" s="1">
        <v>0</v>
      </c>
      <c r="N62" s="1">
        <v>0</v>
      </c>
      <c r="O62" s="1">
        <v>0</v>
      </c>
    </row>
    <row r="63" spans="1:17" ht="31.2" x14ac:dyDescent="0.25">
      <c r="A63" s="104"/>
      <c r="B63" s="131"/>
      <c r="C63" s="74" t="s">
        <v>79</v>
      </c>
      <c r="D63" s="72">
        <f t="shared" si="38"/>
        <v>1200</v>
      </c>
      <c r="E63" s="72">
        <v>0</v>
      </c>
      <c r="F63" s="72">
        <v>1200</v>
      </c>
      <c r="G63" s="72">
        <v>0</v>
      </c>
      <c r="H63" s="72">
        <v>0</v>
      </c>
      <c r="I63" s="72">
        <v>0</v>
      </c>
      <c r="J63" s="72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7" ht="21" customHeight="1" x14ac:dyDescent="0.25">
      <c r="A64" s="104"/>
      <c r="B64" s="132"/>
      <c r="C64" s="51" t="s">
        <v>13</v>
      </c>
      <c r="D64" s="1">
        <f t="shared" si="38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ht="15.6" x14ac:dyDescent="0.25">
      <c r="A65" s="104" t="s">
        <v>98</v>
      </c>
      <c r="B65" s="129" t="s">
        <v>61</v>
      </c>
      <c r="C65" s="51" t="s">
        <v>7</v>
      </c>
      <c r="D65" s="1">
        <f>D66+D67+D68+D70</f>
        <v>2863</v>
      </c>
      <c r="E65" s="1">
        <f t="shared" ref="E65:K65" si="39">E66+E67+E68+E70</f>
        <v>2863</v>
      </c>
      <c r="F65" s="1">
        <f t="shared" si="39"/>
        <v>0</v>
      </c>
      <c r="G65" s="1">
        <f t="shared" si="39"/>
        <v>0</v>
      </c>
      <c r="H65" s="1">
        <f t="shared" si="39"/>
        <v>0</v>
      </c>
      <c r="I65" s="1">
        <f t="shared" si="39"/>
        <v>0</v>
      </c>
      <c r="J65" s="1">
        <f t="shared" si="39"/>
        <v>0</v>
      </c>
      <c r="K65" s="1">
        <f t="shared" si="39"/>
        <v>0</v>
      </c>
      <c r="L65" s="1">
        <f>L66+L67+L68+L70</f>
        <v>0</v>
      </c>
      <c r="M65" s="1">
        <f>M66+M67+M68+M70</f>
        <v>0</v>
      </c>
      <c r="N65" s="1">
        <f>N66+N67+N68+N70</f>
        <v>0</v>
      </c>
      <c r="O65" s="1">
        <f>O66+O67+O68+O70</f>
        <v>0</v>
      </c>
    </row>
    <row r="66" spans="1:15" ht="15.6" x14ac:dyDescent="0.25">
      <c r="A66" s="104"/>
      <c r="B66" s="129"/>
      <c r="C66" s="51" t="s">
        <v>10</v>
      </c>
      <c r="D66" s="1">
        <f>E66+F66+G66+H66+I66+J66+K66+L66+M66+N66+O66</f>
        <v>0</v>
      </c>
      <c r="E66" s="1">
        <f>F66+G66+H66+I66+J66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15.6" x14ac:dyDescent="0.25">
      <c r="A67" s="104"/>
      <c r="B67" s="129"/>
      <c r="C67" s="51" t="s">
        <v>11</v>
      </c>
      <c r="D67" s="1">
        <f>E67+F67+G67+H67+I67+J67+K67+L67+M67+N67+O67</f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31.2" x14ac:dyDescent="0.25">
      <c r="A68" s="104"/>
      <c r="B68" s="129"/>
      <c r="C68" s="51" t="s">
        <v>65</v>
      </c>
      <c r="D68" s="1">
        <f>E68+F68+G68+H68+I68+J68+K68+L68+M68+N68+O68</f>
        <v>2863</v>
      </c>
      <c r="E68" s="1">
        <v>2863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33" customHeight="1" x14ac:dyDescent="0.25">
      <c r="A69" s="104"/>
      <c r="B69" s="129"/>
      <c r="C69" s="74" t="s">
        <v>79</v>
      </c>
      <c r="D69" s="1">
        <f>E69+F69+G69+H69+I69+J69+K69+L69+M69+N69+O69</f>
        <v>2863</v>
      </c>
      <c r="E69" s="72">
        <v>2863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1">
        <v>0</v>
      </c>
      <c r="L69" s="72">
        <v>0</v>
      </c>
      <c r="M69" s="72">
        <v>0</v>
      </c>
      <c r="N69" s="72">
        <v>0</v>
      </c>
      <c r="O69" s="1">
        <v>0</v>
      </c>
    </row>
    <row r="70" spans="1:15" ht="20.25" customHeight="1" x14ac:dyDescent="0.25">
      <c r="A70" s="104"/>
      <c r="B70" s="129"/>
      <c r="C70" s="51" t="s">
        <v>13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15.6" x14ac:dyDescent="0.25">
      <c r="A71" s="104" t="s">
        <v>99</v>
      </c>
      <c r="B71" s="129" t="s">
        <v>138</v>
      </c>
      <c r="C71" s="51" t="s">
        <v>7</v>
      </c>
      <c r="D71" s="1">
        <f t="shared" ref="D71:K71" si="40">D72+D73+D75+D77</f>
        <v>19253.100000000002</v>
      </c>
      <c r="E71" s="1">
        <f t="shared" si="40"/>
        <v>19253.100000000002</v>
      </c>
      <c r="F71" s="1">
        <f t="shared" si="40"/>
        <v>0</v>
      </c>
      <c r="G71" s="1">
        <f t="shared" si="40"/>
        <v>0</v>
      </c>
      <c r="H71" s="1">
        <f t="shared" si="40"/>
        <v>0</v>
      </c>
      <c r="I71" s="1">
        <f t="shared" si="40"/>
        <v>0</v>
      </c>
      <c r="J71" s="1">
        <f t="shared" si="40"/>
        <v>0</v>
      </c>
      <c r="K71" s="1">
        <f t="shared" si="40"/>
        <v>0</v>
      </c>
      <c r="L71" s="1">
        <f>L72+L73+L75+L77</f>
        <v>0</v>
      </c>
      <c r="M71" s="1">
        <f>M72+M73+M75+M77</f>
        <v>0</v>
      </c>
      <c r="N71" s="1">
        <f>N72+N73+N75+N77</f>
        <v>0</v>
      </c>
      <c r="O71" s="1">
        <f>O72+O73+O75+O77</f>
        <v>0</v>
      </c>
    </row>
    <row r="72" spans="1:15" ht="15.6" x14ac:dyDescent="0.25">
      <c r="A72" s="104"/>
      <c r="B72" s="129"/>
      <c r="C72" s="51" t="s">
        <v>10</v>
      </c>
      <c r="D72" s="1">
        <f>E72+F72+G72+H72+I72+J72</f>
        <v>0</v>
      </c>
      <c r="E72" s="1">
        <f>F72+G72+H72+I72+J72</f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33" customHeight="1" x14ac:dyDescent="0.25">
      <c r="A73" s="104"/>
      <c r="B73" s="129"/>
      <c r="C73" s="51" t="s">
        <v>69</v>
      </c>
      <c r="D73" s="1">
        <f>E73+F73+G73+H73+I73+J73</f>
        <v>18290.400000000001</v>
      </c>
      <c r="E73" s="1">
        <v>18290.400000000001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32.25" customHeight="1" x14ac:dyDescent="0.25">
      <c r="A74" s="104"/>
      <c r="B74" s="129"/>
      <c r="C74" s="74" t="s">
        <v>79</v>
      </c>
      <c r="D74" s="72">
        <f>E74</f>
        <v>18290.400000000001</v>
      </c>
      <c r="E74" s="72">
        <v>18290.400000000001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1">
        <v>0</v>
      </c>
      <c r="L74" s="72">
        <v>0</v>
      </c>
      <c r="M74" s="72">
        <v>0</v>
      </c>
      <c r="N74" s="72">
        <v>0</v>
      </c>
      <c r="O74" s="1">
        <v>0</v>
      </c>
    </row>
    <row r="75" spans="1:15" ht="33.75" customHeight="1" x14ac:dyDescent="0.25">
      <c r="A75" s="104"/>
      <c r="B75" s="129"/>
      <c r="C75" s="51" t="s">
        <v>65</v>
      </c>
      <c r="D75" s="1">
        <f>E75+F75+G75+H75+I75+J75</f>
        <v>962.7</v>
      </c>
      <c r="E75" s="1">
        <v>962.7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0.75" customHeight="1" x14ac:dyDescent="0.25">
      <c r="A76" s="104"/>
      <c r="B76" s="129"/>
      <c r="C76" s="74" t="s">
        <v>79</v>
      </c>
      <c r="D76" s="72">
        <f>E76</f>
        <v>962.7</v>
      </c>
      <c r="E76" s="72">
        <v>962.7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1">
        <v>0</v>
      </c>
      <c r="L76" s="72">
        <v>0</v>
      </c>
      <c r="M76" s="72">
        <v>0</v>
      </c>
      <c r="N76" s="72">
        <v>0</v>
      </c>
      <c r="O76" s="1">
        <v>0</v>
      </c>
    </row>
    <row r="77" spans="1:15" ht="18.75" customHeight="1" x14ac:dyDescent="0.25">
      <c r="A77" s="104"/>
      <c r="B77" s="129"/>
      <c r="C77" s="51" t="s">
        <v>13</v>
      </c>
      <c r="D77" s="1">
        <f>E77+F77+G77+H77+I77+J77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15.6" x14ac:dyDescent="0.25">
      <c r="A78" s="104" t="s">
        <v>100</v>
      </c>
      <c r="B78" s="130" t="s">
        <v>68</v>
      </c>
      <c r="C78" s="51" t="s">
        <v>7</v>
      </c>
      <c r="D78" s="1">
        <f t="shared" ref="D78:I78" si="41">D79+D80+D81+D83</f>
        <v>79.5</v>
      </c>
      <c r="E78" s="1">
        <f t="shared" si="41"/>
        <v>79.5</v>
      </c>
      <c r="F78" s="1">
        <f t="shared" si="41"/>
        <v>0</v>
      </c>
      <c r="G78" s="1">
        <f t="shared" si="41"/>
        <v>0</v>
      </c>
      <c r="H78" s="1">
        <f t="shared" si="41"/>
        <v>0</v>
      </c>
      <c r="I78" s="1">
        <f t="shared" si="41"/>
        <v>0</v>
      </c>
      <c r="J78" s="1">
        <f t="shared" ref="J78:O78" si="42">J79+J80+J81+J83</f>
        <v>0</v>
      </c>
      <c r="K78" s="1">
        <f t="shared" si="42"/>
        <v>0</v>
      </c>
      <c r="L78" s="1">
        <f t="shared" si="42"/>
        <v>0</v>
      </c>
      <c r="M78" s="1">
        <f t="shared" si="42"/>
        <v>0</v>
      </c>
      <c r="N78" s="1">
        <f t="shared" si="42"/>
        <v>0</v>
      </c>
      <c r="O78" s="1">
        <f t="shared" si="42"/>
        <v>0</v>
      </c>
    </row>
    <row r="79" spans="1:15" ht="18.75" customHeight="1" x14ac:dyDescent="0.25">
      <c r="A79" s="104"/>
      <c r="B79" s="131"/>
      <c r="C79" s="51" t="s">
        <v>10</v>
      </c>
      <c r="D79" s="1">
        <f>E79+F79+G79+H79+I79+J79</f>
        <v>0</v>
      </c>
      <c r="E79" s="1">
        <f>F79+G79+H79+I79+J79</f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6.5" customHeight="1" x14ac:dyDescent="0.25">
      <c r="A80" s="104"/>
      <c r="B80" s="131"/>
      <c r="C80" s="51" t="s">
        <v>11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31.2" x14ac:dyDescent="0.25">
      <c r="A81" s="104"/>
      <c r="B81" s="131"/>
      <c r="C81" s="51" t="s">
        <v>65</v>
      </c>
      <c r="D81" s="1">
        <f>E81+F81+G81+H81+I81+J81</f>
        <v>79.5</v>
      </c>
      <c r="E81" s="1">
        <v>79.5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30.75" customHeight="1" x14ac:dyDescent="0.25">
      <c r="A82" s="104"/>
      <c r="B82" s="131"/>
      <c r="C82" s="74" t="s">
        <v>79</v>
      </c>
      <c r="D82" s="72">
        <f>E82</f>
        <v>79.5</v>
      </c>
      <c r="E82" s="72">
        <v>79.5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1">
        <v>0</v>
      </c>
      <c r="L82" s="72">
        <v>0</v>
      </c>
      <c r="M82" s="72">
        <v>0</v>
      </c>
      <c r="N82" s="72">
        <v>0</v>
      </c>
      <c r="O82" s="1">
        <v>0</v>
      </c>
    </row>
    <row r="83" spans="1:15" ht="19.5" customHeight="1" x14ac:dyDescent="0.25">
      <c r="A83" s="104"/>
      <c r="B83" s="132"/>
      <c r="C83" s="51" t="s">
        <v>13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15.6" x14ac:dyDescent="0.25">
      <c r="A84" s="104" t="s">
        <v>101</v>
      </c>
      <c r="B84" s="129" t="s">
        <v>70</v>
      </c>
      <c r="C84" s="51" t="s">
        <v>7</v>
      </c>
      <c r="D84" s="1">
        <f t="shared" ref="D84:K84" si="43">D86+D87+D88+D90</f>
        <v>31.7</v>
      </c>
      <c r="E84" s="1">
        <f t="shared" si="43"/>
        <v>31.7</v>
      </c>
      <c r="F84" s="1">
        <f t="shared" si="43"/>
        <v>0</v>
      </c>
      <c r="G84" s="1">
        <f t="shared" si="43"/>
        <v>0</v>
      </c>
      <c r="H84" s="1">
        <f t="shared" si="43"/>
        <v>0</v>
      </c>
      <c r="I84" s="1">
        <f t="shared" si="43"/>
        <v>0</v>
      </c>
      <c r="J84" s="1">
        <f t="shared" si="43"/>
        <v>0</v>
      </c>
      <c r="K84" s="1">
        <f t="shared" si="43"/>
        <v>0</v>
      </c>
      <c r="L84" s="1">
        <f>L86+L87+L88+L90</f>
        <v>0</v>
      </c>
      <c r="M84" s="1">
        <f>M86+M87+M88+M90</f>
        <v>0</v>
      </c>
      <c r="N84" s="1">
        <f>N86+N87+N88+N90</f>
        <v>0</v>
      </c>
      <c r="O84" s="1">
        <f>O86+O87+O88+O90</f>
        <v>0</v>
      </c>
    </row>
    <row r="85" spans="1:15" ht="31.2" x14ac:dyDescent="0.25">
      <c r="A85" s="104"/>
      <c r="B85" s="129"/>
      <c r="C85" s="74" t="s">
        <v>79</v>
      </c>
      <c r="D85" s="72">
        <f>E85</f>
        <v>31.7</v>
      </c>
      <c r="E85" s="72">
        <f>E89</f>
        <v>31.7</v>
      </c>
      <c r="F85" s="72">
        <v>0</v>
      </c>
      <c r="G85" s="72"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</row>
    <row r="86" spans="1:15" ht="15.6" x14ac:dyDescent="0.25">
      <c r="A86" s="104"/>
      <c r="B86" s="129"/>
      <c r="C86" s="51" t="s">
        <v>10</v>
      </c>
      <c r="D86" s="1">
        <f>E86+F86+G86+H86+I86+J86</f>
        <v>0</v>
      </c>
      <c r="E86" s="1">
        <f>F86+G86+H86+I86+J86</f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6" x14ac:dyDescent="0.25">
      <c r="A87" s="104"/>
      <c r="B87" s="129"/>
      <c r="C87" s="51" t="s">
        <v>11</v>
      </c>
      <c r="D87" s="1">
        <f>E87+F87+G87+H87+I87+J87</f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ht="32.25" customHeight="1" x14ac:dyDescent="0.25">
      <c r="A88" s="104"/>
      <c r="B88" s="129"/>
      <c r="C88" s="51" t="s">
        <v>65</v>
      </c>
      <c r="D88" s="1">
        <f>E88+F88+G88+H88+I88+J88</f>
        <v>31.7</v>
      </c>
      <c r="E88" s="1">
        <v>31.7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31.5" customHeight="1" x14ac:dyDescent="0.25">
      <c r="A89" s="104"/>
      <c r="B89" s="129"/>
      <c r="C89" s="74" t="s">
        <v>79</v>
      </c>
      <c r="D89" s="72">
        <f>E89</f>
        <v>31.7</v>
      </c>
      <c r="E89" s="72">
        <v>31.7</v>
      </c>
      <c r="F89" s="72">
        <v>0</v>
      </c>
      <c r="G89" s="72">
        <v>0</v>
      </c>
      <c r="H89" s="72">
        <v>0</v>
      </c>
      <c r="I89" s="72">
        <v>0</v>
      </c>
      <c r="J89" s="72">
        <v>0</v>
      </c>
      <c r="K89" s="1">
        <v>0</v>
      </c>
      <c r="L89" s="72">
        <v>0</v>
      </c>
      <c r="M89" s="72">
        <v>0</v>
      </c>
      <c r="N89" s="72">
        <v>0</v>
      </c>
      <c r="O89" s="1">
        <v>0</v>
      </c>
    </row>
    <row r="90" spans="1:15" ht="18" customHeight="1" x14ac:dyDescent="0.25">
      <c r="A90" s="104"/>
      <c r="B90" s="129"/>
      <c r="C90" s="51" t="s">
        <v>13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15.6" x14ac:dyDescent="0.25">
      <c r="A91" s="104" t="s">
        <v>102</v>
      </c>
      <c r="B91" s="104" t="s">
        <v>208</v>
      </c>
      <c r="C91" s="51" t="s">
        <v>7</v>
      </c>
      <c r="D91" s="1">
        <f t="shared" ref="D91:K91" si="44">D92+D93+D94+D96</f>
        <v>7.8</v>
      </c>
      <c r="E91" s="1">
        <f t="shared" si="44"/>
        <v>7.8</v>
      </c>
      <c r="F91" s="1">
        <f t="shared" si="44"/>
        <v>0</v>
      </c>
      <c r="G91" s="1">
        <f t="shared" si="44"/>
        <v>0</v>
      </c>
      <c r="H91" s="1">
        <f t="shared" si="44"/>
        <v>0</v>
      </c>
      <c r="I91" s="1">
        <f t="shared" si="44"/>
        <v>0</v>
      </c>
      <c r="J91" s="1">
        <f t="shared" si="44"/>
        <v>0</v>
      </c>
      <c r="K91" s="1">
        <f t="shared" si="44"/>
        <v>0</v>
      </c>
      <c r="L91" s="1">
        <f>L93+L94+L95+L97</f>
        <v>0</v>
      </c>
      <c r="M91" s="1">
        <f>M93+M94+M95+M97</f>
        <v>0</v>
      </c>
      <c r="N91" s="1">
        <f>N93+N94+N95+N97</f>
        <v>0</v>
      </c>
      <c r="O91" s="1">
        <f>O93+O94+O95+O97</f>
        <v>0</v>
      </c>
    </row>
    <row r="92" spans="1:15" ht="15.6" x14ac:dyDescent="0.25">
      <c r="A92" s="104"/>
      <c r="B92" s="104"/>
      <c r="C92" s="51" t="s">
        <v>10</v>
      </c>
      <c r="D92" s="1">
        <f>E92+F92+G92+H92+I92+J92</f>
        <v>0</v>
      </c>
      <c r="E92" s="1">
        <f>F92+G92+H92+I92+J92</f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72">
        <v>0</v>
      </c>
      <c r="M92" s="72">
        <v>0</v>
      </c>
      <c r="N92" s="72">
        <v>0</v>
      </c>
      <c r="O92" s="72">
        <v>0</v>
      </c>
    </row>
    <row r="93" spans="1:15" ht="18" customHeight="1" x14ac:dyDescent="0.25">
      <c r="A93" s="104"/>
      <c r="B93" s="104"/>
      <c r="C93" s="51" t="s">
        <v>11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31.2" x14ac:dyDescent="0.25">
      <c r="A94" s="104"/>
      <c r="B94" s="104"/>
      <c r="C94" s="51" t="s">
        <v>65</v>
      </c>
      <c r="D94" s="1">
        <f>E94+F94+G94+H94+I94+J94</f>
        <v>7.8</v>
      </c>
      <c r="E94" s="1">
        <v>7.8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ht="31.5" customHeight="1" x14ac:dyDescent="0.25">
      <c r="A95" s="104"/>
      <c r="B95" s="104"/>
      <c r="C95" s="74" t="s">
        <v>79</v>
      </c>
      <c r="D95" s="72">
        <f>E95</f>
        <v>7.8</v>
      </c>
      <c r="E95" s="72">
        <v>7.8</v>
      </c>
      <c r="F95" s="72">
        <v>0</v>
      </c>
      <c r="G95" s="72">
        <v>0</v>
      </c>
      <c r="H95" s="72">
        <v>0</v>
      </c>
      <c r="I95" s="72">
        <v>0</v>
      </c>
      <c r="J95" s="72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18" customHeight="1" x14ac:dyDescent="0.25">
      <c r="A96" s="104"/>
      <c r="B96" s="104"/>
      <c r="C96" s="51" t="s">
        <v>13</v>
      </c>
      <c r="D96" s="1">
        <f t="shared" ref="D96:D104" si="45"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72">
        <v>0</v>
      </c>
      <c r="M96" s="72">
        <v>0</v>
      </c>
      <c r="N96" s="72">
        <v>0</v>
      </c>
      <c r="O96" s="1">
        <v>0</v>
      </c>
    </row>
    <row r="97" spans="1:15" ht="15.6" x14ac:dyDescent="0.25">
      <c r="A97" s="104" t="s">
        <v>103</v>
      </c>
      <c r="B97" s="129" t="s">
        <v>234</v>
      </c>
      <c r="C97" s="51" t="s">
        <v>7</v>
      </c>
      <c r="D97" s="1">
        <f t="shared" si="45"/>
        <v>12272.3</v>
      </c>
      <c r="E97" s="1">
        <f t="shared" ref="E97:K97" si="46">E98+E99+E101+E102</f>
        <v>12243.8</v>
      </c>
      <c r="F97" s="1">
        <f t="shared" si="46"/>
        <v>17.5</v>
      </c>
      <c r="G97" s="1">
        <f t="shared" si="46"/>
        <v>11</v>
      </c>
      <c r="H97" s="1">
        <f t="shared" si="46"/>
        <v>0</v>
      </c>
      <c r="I97" s="1">
        <f t="shared" si="46"/>
        <v>0</v>
      </c>
      <c r="J97" s="1">
        <f t="shared" si="46"/>
        <v>0</v>
      </c>
      <c r="K97" s="1">
        <f t="shared" si="46"/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5.6" x14ac:dyDescent="0.25">
      <c r="A98" s="105"/>
      <c r="B98" s="129"/>
      <c r="C98" s="51" t="s">
        <v>10</v>
      </c>
      <c r="D98" s="1">
        <f t="shared" si="45"/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31.2" x14ac:dyDescent="0.25">
      <c r="A99" s="105"/>
      <c r="B99" s="129"/>
      <c r="C99" s="51" t="s">
        <v>69</v>
      </c>
      <c r="D99" s="1">
        <f t="shared" si="45"/>
        <v>9842.7999999999993</v>
      </c>
      <c r="E99" s="1">
        <v>9842.7999999999993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31.5" customHeight="1" x14ac:dyDescent="0.25">
      <c r="A100" s="105"/>
      <c r="B100" s="129"/>
      <c r="C100" s="74" t="s">
        <v>81</v>
      </c>
      <c r="D100" s="72">
        <f t="shared" si="45"/>
        <v>9842.7999999999993</v>
      </c>
      <c r="E100" s="72">
        <v>9842.7999999999993</v>
      </c>
      <c r="F100" s="72">
        <v>0</v>
      </c>
      <c r="G100" s="72">
        <v>0</v>
      </c>
      <c r="H100" s="72">
        <v>0</v>
      </c>
      <c r="I100" s="72">
        <v>0</v>
      </c>
      <c r="J100" s="72">
        <v>0</v>
      </c>
      <c r="K100" s="1">
        <v>0</v>
      </c>
      <c r="L100" s="72">
        <v>0</v>
      </c>
      <c r="M100" s="72">
        <v>0</v>
      </c>
      <c r="N100" s="72">
        <v>0</v>
      </c>
      <c r="O100" s="1">
        <v>0</v>
      </c>
    </row>
    <row r="101" spans="1:15" ht="16.5" customHeight="1" x14ac:dyDescent="0.25">
      <c r="A101" s="105"/>
      <c r="B101" s="129"/>
      <c r="C101" s="51" t="s">
        <v>12</v>
      </c>
      <c r="D101" s="1">
        <f t="shared" si="45"/>
        <v>2429.5</v>
      </c>
      <c r="E101" s="1">
        <v>2401</v>
      </c>
      <c r="F101" s="1">
        <v>17.5</v>
      </c>
      <c r="G101" s="1">
        <v>11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18.75" customHeight="1" x14ac:dyDescent="0.25">
      <c r="A102" s="105"/>
      <c r="B102" s="129"/>
      <c r="C102" s="51" t="s">
        <v>13</v>
      </c>
      <c r="D102" s="1">
        <f t="shared" si="45"/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15.6" x14ac:dyDescent="0.25">
      <c r="A103" s="102" t="s">
        <v>104</v>
      </c>
      <c r="B103" s="130" t="s">
        <v>139</v>
      </c>
      <c r="C103" s="51" t="s">
        <v>7</v>
      </c>
      <c r="D103" s="1">
        <f t="shared" si="45"/>
        <v>1053.9000000000001</v>
      </c>
      <c r="E103" s="1">
        <f>E106+E105+E107+E109</f>
        <v>1053.9000000000001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35.25" customHeight="1" x14ac:dyDescent="0.25">
      <c r="A104" s="117"/>
      <c r="B104" s="131"/>
      <c r="C104" s="74" t="s">
        <v>79</v>
      </c>
      <c r="D104" s="72">
        <f t="shared" si="45"/>
        <v>1053.9000000000001</v>
      </c>
      <c r="E104" s="72">
        <f>E108</f>
        <v>1053.9000000000001</v>
      </c>
      <c r="F104" s="72">
        <v>0</v>
      </c>
      <c r="G104" s="72">
        <v>0</v>
      </c>
      <c r="H104" s="72">
        <v>0</v>
      </c>
      <c r="I104" s="72">
        <v>0</v>
      </c>
      <c r="J104" s="72">
        <v>0</v>
      </c>
      <c r="K104" s="72">
        <v>0</v>
      </c>
      <c r="L104" s="72">
        <v>0</v>
      </c>
      <c r="M104" s="72">
        <v>0</v>
      </c>
      <c r="N104" s="72">
        <v>0</v>
      </c>
      <c r="O104" s="72">
        <v>0</v>
      </c>
    </row>
    <row r="105" spans="1:15" ht="15.6" x14ac:dyDescent="0.25">
      <c r="A105" s="143"/>
      <c r="B105" s="131"/>
      <c r="C105" s="51" t="s">
        <v>10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6" x14ac:dyDescent="0.25">
      <c r="A106" s="143"/>
      <c r="B106" s="131"/>
      <c r="C106" s="51" t="s">
        <v>11</v>
      </c>
      <c r="D106" s="72">
        <f>E106+F106+G106+H106+I106+J106</f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1.2" x14ac:dyDescent="0.25">
      <c r="A107" s="143"/>
      <c r="B107" s="131"/>
      <c r="C107" s="51" t="s">
        <v>65</v>
      </c>
      <c r="D107" s="1">
        <f>E107+F107+G107+H107+I107+J107</f>
        <v>1053.9000000000001</v>
      </c>
      <c r="E107" s="1">
        <f>E108</f>
        <v>1053.9000000000001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31.5" customHeight="1" x14ac:dyDescent="0.25">
      <c r="A108" s="143"/>
      <c r="B108" s="131"/>
      <c r="C108" s="74" t="s">
        <v>79</v>
      </c>
      <c r="D108" s="72">
        <f>E108+F108+G108+H108+I108+J108</f>
        <v>1053.9000000000001</v>
      </c>
      <c r="E108" s="72">
        <v>1053.9000000000001</v>
      </c>
      <c r="F108" s="72">
        <v>0</v>
      </c>
      <c r="G108" s="72">
        <v>0</v>
      </c>
      <c r="H108" s="72">
        <v>0</v>
      </c>
      <c r="I108" s="72">
        <v>0</v>
      </c>
      <c r="J108" s="72">
        <v>0</v>
      </c>
      <c r="K108" s="1">
        <v>0</v>
      </c>
      <c r="L108" s="72">
        <v>0</v>
      </c>
      <c r="M108" s="72">
        <v>0</v>
      </c>
      <c r="N108" s="72">
        <v>0</v>
      </c>
      <c r="O108" s="1">
        <v>0</v>
      </c>
    </row>
    <row r="109" spans="1:15" ht="18" customHeight="1" x14ac:dyDescent="0.25">
      <c r="A109" s="144"/>
      <c r="B109" s="132"/>
      <c r="C109" s="51" t="s">
        <v>13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15.6" x14ac:dyDescent="0.25">
      <c r="A110" s="104" t="s">
        <v>105</v>
      </c>
      <c r="B110" s="102" t="s">
        <v>72</v>
      </c>
      <c r="C110" s="51" t="s">
        <v>7</v>
      </c>
      <c r="D110" s="1">
        <f>E110+F110+G110+H110+I110+J110</f>
        <v>92.2</v>
      </c>
      <c r="E110" s="1">
        <f t="shared" ref="E110:O110" si="47">E111</f>
        <v>92.2</v>
      </c>
      <c r="F110" s="1">
        <f t="shared" si="47"/>
        <v>0</v>
      </c>
      <c r="G110" s="1">
        <f t="shared" si="47"/>
        <v>0</v>
      </c>
      <c r="H110" s="1">
        <f t="shared" si="47"/>
        <v>0</v>
      </c>
      <c r="I110" s="1">
        <f t="shared" si="47"/>
        <v>0</v>
      </c>
      <c r="J110" s="1">
        <f t="shared" si="47"/>
        <v>0</v>
      </c>
      <c r="K110" s="1">
        <f t="shared" si="47"/>
        <v>0</v>
      </c>
      <c r="L110" s="1">
        <f t="shared" si="47"/>
        <v>0</v>
      </c>
      <c r="M110" s="1">
        <f t="shared" si="47"/>
        <v>0</v>
      </c>
      <c r="N110" s="1">
        <f t="shared" si="47"/>
        <v>0</v>
      </c>
      <c r="O110" s="1">
        <f t="shared" si="47"/>
        <v>0</v>
      </c>
    </row>
    <row r="111" spans="1:15" ht="31.5" customHeight="1" x14ac:dyDescent="0.25">
      <c r="A111" s="104"/>
      <c r="B111" s="117"/>
      <c r="C111" s="74" t="s">
        <v>79</v>
      </c>
      <c r="D111" s="72">
        <f>E111+F111+G111+H111+I111+J111</f>
        <v>92.2</v>
      </c>
      <c r="E111" s="72">
        <f t="shared" ref="E111:K111" si="48">E115</f>
        <v>92.2</v>
      </c>
      <c r="F111" s="72">
        <f t="shared" si="48"/>
        <v>0</v>
      </c>
      <c r="G111" s="72">
        <f t="shared" si="48"/>
        <v>0</v>
      </c>
      <c r="H111" s="72">
        <f t="shared" si="48"/>
        <v>0</v>
      </c>
      <c r="I111" s="72">
        <f t="shared" si="48"/>
        <v>0</v>
      </c>
      <c r="J111" s="72">
        <f t="shared" si="48"/>
        <v>0</v>
      </c>
      <c r="K111" s="72">
        <f t="shared" si="48"/>
        <v>0</v>
      </c>
      <c r="L111" s="72">
        <f>L115</f>
        <v>0</v>
      </c>
      <c r="M111" s="72">
        <f>M115</f>
        <v>0</v>
      </c>
      <c r="N111" s="72">
        <f>N115</f>
        <v>0</v>
      </c>
      <c r="O111" s="72">
        <f>O115</f>
        <v>0</v>
      </c>
    </row>
    <row r="112" spans="1:15" ht="15.6" x14ac:dyDescent="0.25">
      <c r="A112" s="105"/>
      <c r="B112" s="117"/>
      <c r="C112" s="51" t="s">
        <v>10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6" x14ac:dyDescent="0.25">
      <c r="A113" s="105"/>
      <c r="B113" s="117"/>
      <c r="C113" s="51" t="s">
        <v>11</v>
      </c>
      <c r="D113" s="1">
        <f>E113+F113+G113+H113+I113+J113</f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ht="31.2" x14ac:dyDescent="0.25">
      <c r="A114" s="105"/>
      <c r="B114" s="117"/>
      <c r="C114" s="51" t="s">
        <v>65</v>
      </c>
      <c r="D114" s="1">
        <f>E114+F114+G114+H114+I114+J114</f>
        <v>92.2</v>
      </c>
      <c r="E114" s="1">
        <f>E115</f>
        <v>92.2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ht="31.5" customHeight="1" x14ac:dyDescent="0.25">
      <c r="A115" s="105"/>
      <c r="B115" s="117"/>
      <c r="C115" s="74" t="s">
        <v>79</v>
      </c>
      <c r="D115" s="72">
        <f>E115</f>
        <v>92.2</v>
      </c>
      <c r="E115" s="72">
        <v>92.2</v>
      </c>
      <c r="F115" s="72">
        <v>0</v>
      </c>
      <c r="G115" s="72">
        <v>0</v>
      </c>
      <c r="H115" s="72">
        <v>0</v>
      </c>
      <c r="I115" s="72">
        <v>0</v>
      </c>
      <c r="J115" s="72">
        <v>0</v>
      </c>
      <c r="K115" s="1">
        <v>0</v>
      </c>
      <c r="L115" s="72">
        <v>0</v>
      </c>
      <c r="M115" s="72">
        <v>0</v>
      </c>
      <c r="N115" s="72">
        <v>0</v>
      </c>
      <c r="O115" s="1">
        <v>0</v>
      </c>
    </row>
    <row r="116" spans="1:15" ht="18.75" customHeight="1" x14ac:dyDescent="0.25">
      <c r="A116" s="105"/>
      <c r="B116" s="103"/>
      <c r="C116" s="51" t="s">
        <v>13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15.6" x14ac:dyDescent="0.25">
      <c r="A117" s="104" t="s">
        <v>106</v>
      </c>
      <c r="B117" s="104" t="s">
        <v>77</v>
      </c>
      <c r="C117" s="51" t="s">
        <v>7</v>
      </c>
      <c r="D117" s="1">
        <f>E117+F117+G117+H117+I117+J117</f>
        <v>1186.7</v>
      </c>
      <c r="E117" s="1">
        <f t="shared" ref="E117:O117" si="49">E118</f>
        <v>1186.7</v>
      </c>
      <c r="F117" s="1">
        <f t="shared" si="49"/>
        <v>0</v>
      </c>
      <c r="G117" s="1">
        <f t="shared" si="49"/>
        <v>0</v>
      </c>
      <c r="H117" s="1">
        <f t="shared" si="49"/>
        <v>0</v>
      </c>
      <c r="I117" s="1">
        <f t="shared" si="49"/>
        <v>0</v>
      </c>
      <c r="J117" s="1">
        <f t="shared" si="49"/>
        <v>0</v>
      </c>
      <c r="K117" s="1">
        <f t="shared" si="49"/>
        <v>0</v>
      </c>
      <c r="L117" s="1">
        <f t="shared" si="49"/>
        <v>0</v>
      </c>
      <c r="M117" s="1">
        <f t="shared" si="49"/>
        <v>0</v>
      </c>
      <c r="N117" s="1">
        <f t="shared" si="49"/>
        <v>0</v>
      </c>
      <c r="O117" s="1">
        <f t="shared" si="49"/>
        <v>0</v>
      </c>
    </row>
    <row r="118" spans="1:15" ht="31.2" x14ac:dyDescent="0.25">
      <c r="A118" s="104"/>
      <c r="B118" s="104"/>
      <c r="C118" s="74" t="s">
        <v>79</v>
      </c>
      <c r="D118" s="72">
        <f>E118+F118+G118+H118+I118+J118</f>
        <v>1186.7</v>
      </c>
      <c r="E118" s="72">
        <f t="shared" ref="E118:K118" si="50">E121+E123</f>
        <v>1186.7</v>
      </c>
      <c r="F118" s="72">
        <f t="shared" si="50"/>
        <v>0</v>
      </c>
      <c r="G118" s="72">
        <f t="shared" si="50"/>
        <v>0</v>
      </c>
      <c r="H118" s="72">
        <f t="shared" si="50"/>
        <v>0</v>
      </c>
      <c r="I118" s="72">
        <f t="shared" si="50"/>
        <v>0</v>
      </c>
      <c r="J118" s="72">
        <f t="shared" si="50"/>
        <v>0</v>
      </c>
      <c r="K118" s="72">
        <f t="shared" si="50"/>
        <v>0</v>
      </c>
      <c r="L118" s="72">
        <f>L121+L123</f>
        <v>0</v>
      </c>
      <c r="M118" s="72">
        <f>M121+M123</f>
        <v>0</v>
      </c>
      <c r="N118" s="72">
        <f>N121+N123</f>
        <v>0</v>
      </c>
      <c r="O118" s="72">
        <f>O121+O123</f>
        <v>0</v>
      </c>
    </row>
    <row r="119" spans="1:15" ht="15.6" x14ac:dyDescent="0.25">
      <c r="A119" s="105"/>
      <c r="B119" s="104"/>
      <c r="C119" s="51" t="s">
        <v>10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31.2" x14ac:dyDescent="0.25">
      <c r="A120" s="105"/>
      <c r="B120" s="104"/>
      <c r="C120" s="51" t="s">
        <v>69</v>
      </c>
      <c r="D120" s="1">
        <f>E120+F120+G120+H120+I120+J120</f>
        <v>619.70000000000005</v>
      </c>
      <c r="E120" s="1">
        <f t="shared" ref="E120:N120" si="51">E121</f>
        <v>619.70000000000005</v>
      </c>
      <c r="F120" s="1">
        <f t="shared" si="51"/>
        <v>0</v>
      </c>
      <c r="G120" s="1">
        <f t="shared" si="51"/>
        <v>0</v>
      </c>
      <c r="H120" s="1">
        <f t="shared" si="51"/>
        <v>0</v>
      </c>
      <c r="I120" s="1">
        <f t="shared" si="51"/>
        <v>0</v>
      </c>
      <c r="J120" s="1">
        <f t="shared" si="51"/>
        <v>0</v>
      </c>
      <c r="K120" s="1">
        <v>0</v>
      </c>
      <c r="L120" s="1">
        <f t="shared" si="51"/>
        <v>0</v>
      </c>
      <c r="M120" s="1">
        <f t="shared" si="51"/>
        <v>0</v>
      </c>
      <c r="N120" s="1">
        <f t="shared" si="51"/>
        <v>0</v>
      </c>
      <c r="O120" s="1">
        <v>0</v>
      </c>
    </row>
    <row r="121" spans="1:15" ht="31.2" x14ac:dyDescent="0.25">
      <c r="A121" s="105"/>
      <c r="B121" s="104"/>
      <c r="C121" s="74" t="s">
        <v>79</v>
      </c>
      <c r="D121" s="72">
        <f>E121+F121+G121+H121+I121+J121</f>
        <v>619.70000000000005</v>
      </c>
      <c r="E121" s="72">
        <v>619.70000000000005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1">
        <v>0</v>
      </c>
      <c r="L121" s="72">
        <v>0</v>
      </c>
      <c r="M121" s="72">
        <v>0</v>
      </c>
      <c r="N121" s="72">
        <v>0</v>
      </c>
      <c r="O121" s="1">
        <v>0</v>
      </c>
    </row>
    <row r="122" spans="1:15" ht="31.2" x14ac:dyDescent="0.25">
      <c r="A122" s="105"/>
      <c r="B122" s="104"/>
      <c r="C122" s="51" t="s">
        <v>65</v>
      </c>
      <c r="D122" s="1">
        <f>E122+F122+G122+H122+I122+J122</f>
        <v>567</v>
      </c>
      <c r="E122" s="1">
        <v>567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2" x14ac:dyDescent="0.25">
      <c r="A123" s="105"/>
      <c r="B123" s="104"/>
      <c r="C123" s="74" t="s">
        <v>79</v>
      </c>
      <c r="D123" s="72">
        <f>E123</f>
        <v>567</v>
      </c>
      <c r="E123" s="72">
        <v>567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1">
        <v>0</v>
      </c>
      <c r="L123" s="72">
        <v>0</v>
      </c>
      <c r="M123" s="72">
        <v>0</v>
      </c>
      <c r="N123" s="72">
        <v>0</v>
      </c>
      <c r="O123" s="1">
        <v>0</v>
      </c>
    </row>
    <row r="124" spans="1:15" ht="18" customHeight="1" x14ac:dyDescent="0.25">
      <c r="A124" s="105"/>
      <c r="B124" s="104"/>
      <c r="C124" s="51" t="s">
        <v>13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15.6" x14ac:dyDescent="0.25">
      <c r="A125" s="102" t="s">
        <v>107</v>
      </c>
      <c r="B125" s="129" t="s">
        <v>140</v>
      </c>
      <c r="C125" s="51" t="s">
        <v>7</v>
      </c>
      <c r="D125" s="1">
        <f>E125+F125+G125+H125+I125+J125</f>
        <v>25000</v>
      </c>
      <c r="E125" s="1">
        <f>E127+E128+E131+E133</f>
        <v>25000</v>
      </c>
      <c r="F125" s="1">
        <f t="shared" ref="F125:K125" si="52">F127+F128+F131+F133</f>
        <v>0</v>
      </c>
      <c r="G125" s="1">
        <f t="shared" si="52"/>
        <v>0</v>
      </c>
      <c r="H125" s="1">
        <f t="shared" si="52"/>
        <v>0</v>
      </c>
      <c r="I125" s="1">
        <f t="shared" si="52"/>
        <v>0</v>
      </c>
      <c r="J125" s="1">
        <f t="shared" si="52"/>
        <v>0</v>
      </c>
      <c r="K125" s="1">
        <f t="shared" si="52"/>
        <v>0</v>
      </c>
      <c r="L125" s="1">
        <f>L127+L128+L131+L133</f>
        <v>0</v>
      </c>
      <c r="M125" s="1">
        <f>M127+M128+M131+M133</f>
        <v>0</v>
      </c>
      <c r="N125" s="1">
        <f>N127+N128+N131+N133</f>
        <v>0</v>
      </c>
      <c r="O125" s="1">
        <f>O127+O128+O131+O133</f>
        <v>0</v>
      </c>
    </row>
    <row r="126" spans="1:15" ht="31.2" x14ac:dyDescent="0.25">
      <c r="A126" s="117"/>
      <c r="B126" s="129"/>
      <c r="C126" s="74" t="s">
        <v>79</v>
      </c>
      <c r="D126" s="72">
        <f>E126+F126+G126+H126+I126+J126</f>
        <v>15579.7</v>
      </c>
      <c r="E126" s="72">
        <f>E130+E132</f>
        <v>15579.7</v>
      </c>
      <c r="F126" s="72">
        <f t="shared" ref="F126:K126" si="53">F130+F132</f>
        <v>0</v>
      </c>
      <c r="G126" s="72">
        <f t="shared" si="53"/>
        <v>0</v>
      </c>
      <c r="H126" s="72">
        <f t="shared" si="53"/>
        <v>0</v>
      </c>
      <c r="I126" s="72">
        <f t="shared" si="53"/>
        <v>0</v>
      </c>
      <c r="J126" s="72">
        <f t="shared" si="53"/>
        <v>0</v>
      </c>
      <c r="K126" s="72">
        <f t="shared" si="53"/>
        <v>0</v>
      </c>
      <c r="L126" s="72">
        <f>L130+L132</f>
        <v>0</v>
      </c>
      <c r="M126" s="72">
        <f>M130+M132</f>
        <v>0</v>
      </c>
      <c r="N126" s="72">
        <f>N130+N132</f>
        <v>0</v>
      </c>
      <c r="O126" s="72">
        <f>O130+O132</f>
        <v>0</v>
      </c>
    </row>
    <row r="127" spans="1:15" ht="15.6" x14ac:dyDescent="0.25">
      <c r="A127" s="143"/>
      <c r="B127" s="129"/>
      <c r="C127" s="51" t="s">
        <v>10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31.2" x14ac:dyDescent="0.25">
      <c r="A128" s="143"/>
      <c r="B128" s="129"/>
      <c r="C128" s="51" t="s">
        <v>69</v>
      </c>
      <c r="D128" s="1">
        <f>E128+F128+G128+H128+I128+J128</f>
        <v>23141.4</v>
      </c>
      <c r="E128" s="1">
        <f>E130+8045.7</f>
        <v>23141.4</v>
      </c>
      <c r="F128" s="1">
        <f>F130</f>
        <v>0</v>
      </c>
      <c r="G128" s="1">
        <f>G130</f>
        <v>0</v>
      </c>
      <c r="H128" s="1">
        <f>H130</f>
        <v>0</v>
      </c>
      <c r="I128" s="1">
        <f>I130</f>
        <v>0</v>
      </c>
      <c r="J128" s="1">
        <f>J130</f>
        <v>0</v>
      </c>
      <c r="K128" s="1">
        <v>0</v>
      </c>
      <c r="L128" s="1">
        <f>L130</f>
        <v>0</v>
      </c>
      <c r="M128" s="1">
        <f>M130</f>
        <v>0</v>
      </c>
      <c r="N128" s="1">
        <f>N130</f>
        <v>0</v>
      </c>
      <c r="O128" s="1">
        <v>0</v>
      </c>
    </row>
    <row r="129" spans="1:15" ht="31.2" x14ac:dyDescent="0.25">
      <c r="A129" s="143"/>
      <c r="B129" s="129"/>
      <c r="C129" s="74" t="s">
        <v>81</v>
      </c>
      <c r="D129" s="72">
        <f>E129+F129+G129+H129+I129+J129</f>
        <v>8045.7</v>
      </c>
      <c r="E129" s="72">
        <v>8045.7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1">
        <v>0</v>
      </c>
      <c r="L129" s="72">
        <v>0</v>
      </c>
      <c r="M129" s="72">
        <v>0</v>
      </c>
      <c r="N129" s="72">
        <v>0</v>
      </c>
      <c r="O129" s="1">
        <v>0</v>
      </c>
    </row>
    <row r="130" spans="1:15" ht="32.25" customHeight="1" x14ac:dyDescent="0.25">
      <c r="A130" s="143"/>
      <c r="B130" s="129"/>
      <c r="C130" s="74" t="s">
        <v>79</v>
      </c>
      <c r="D130" s="72">
        <f>E130+F130+G130+H130+I130+J130</f>
        <v>15095.7</v>
      </c>
      <c r="E130" s="72">
        <v>15095.7</v>
      </c>
      <c r="F130" s="72">
        <v>0</v>
      </c>
      <c r="G130" s="72">
        <v>0</v>
      </c>
      <c r="H130" s="72">
        <v>0</v>
      </c>
      <c r="I130" s="72">
        <v>0</v>
      </c>
      <c r="J130" s="72">
        <v>0</v>
      </c>
      <c r="K130" s="1">
        <v>0</v>
      </c>
      <c r="L130" s="72">
        <v>0</v>
      </c>
      <c r="M130" s="72">
        <v>0</v>
      </c>
      <c r="N130" s="72">
        <v>0</v>
      </c>
      <c r="O130" s="1">
        <v>0</v>
      </c>
    </row>
    <row r="131" spans="1:15" ht="31.2" x14ac:dyDescent="0.25">
      <c r="A131" s="143"/>
      <c r="B131" s="129"/>
      <c r="C131" s="51" t="s">
        <v>65</v>
      </c>
      <c r="D131" s="1">
        <f>E131+F131+G131+H131+I131+J131</f>
        <v>1858.6</v>
      </c>
      <c r="E131" s="1">
        <f>484+1374.6</f>
        <v>1858.6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ht="31.2" x14ac:dyDescent="0.25">
      <c r="A132" s="143"/>
      <c r="B132" s="129"/>
      <c r="C132" s="74" t="s">
        <v>79</v>
      </c>
      <c r="D132" s="72">
        <f>E132</f>
        <v>484</v>
      </c>
      <c r="E132" s="72">
        <v>484</v>
      </c>
      <c r="F132" s="72">
        <v>0</v>
      </c>
      <c r="G132" s="72">
        <v>0</v>
      </c>
      <c r="H132" s="72">
        <v>0</v>
      </c>
      <c r="I132" s="72">
        <v>0</v>
      </c>
      <c r="J132" s="72">
        <v>0</v>
      </c>
      <c r="K132" s="1">
        <v>0</v>
      </c>
      <c r="L132" s="72">
        <v>0</v>
      </c>
      <c r="M132" s="72">
        <v>0</v>
      </c>
      <c r="N132" s="72">
        <v>0</v>
      </c>
      <c r="O132" s="1">
        <v>0</v>
      </c>
    </row>
    <row r="133" spans="1:15" ht="15.6" x14ac:dyDescent="0.25">
      <c r="A133" s="144"/>
      <c r="B133" s="129"/>
      <c r="C133" s="51" t="s">
        <v>13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ht="15.6" x14ac:dyDescent="0.25">
      <c r="A134" s="104" t="s">
        <v>108</v>
      </c>
      <c r="B134" s="129" t="s">
        <v>74</v>
      </c>
      <c r="C134" s="51" t="s">
        <v>7</v>
      </c>
      <c r="D134" s="1">
        <f>E134+F134+G134+H134+I134+J134</f>
        <v>155</v>
      </c>
      <c r="E134" s="1">
        <f>E136+E137+E138+E140</f>
        <v>155</v>
      </c>
      <c r="F134" s="1">
        <f t="shared" ref="F134:K134" si="54">F136+F137+F138+F140</f>
        <v>0</v>
      </c>
      <c r="G134" s="1">
        <f t="shared" si="54"/>
        <v>0</v>
      </c>
      <c r="H134" s="1">
        <f t="shared" si="54"/>
        <v>0</v>
      </c>
      <c r="I134" s="1">
        <f t="shared" si="54"/>
        <v>0</v>
      </c>
      <c r="J134" s="1">
        <f t="shared" si="54"/>
        <v>0</v>
      </c>
      <c r="K134" s="1">
        <f t="shared" si="54"/>
        <v>0</v>
      </c>
      <c r="L134" s="1">
        <f>L136+L137+L138+L140</f>
        <v>0</v>
      </c>
      <c r="M134" s="1">
        <f>M136+M137+M138+M140</f>
        <v>0</v>
      </c>
      <c r="N134" s="1">
        <f>N136+N137+N138+N140</f>
        <v>0</v>
      </c>
      <c r="O134" s="1">
        <f>O136+O137+O138+O140</f>
        <v>0</v>
      </c>
    </row>
    <row r="135" spans="1:15" ht="31.2" x14ac:dyDescent="0.25">
      <c r="A135" s="104"/>
      <c r="B135" s="129"/>
      <c r="C135" s="74" t="s">
        <v>79</v>
      </c>
      <c r="D135" s="72">
        <f>E135+F135+G135+H135+I135+J135</f>
        <v>155</v>
      </c>
      <c r="E135" s="72">
        <f t="shared" ref="E135:K135" si="55">E139</f>
        <v>155</v>
      </c>
      <c r="F135" s="72">
        <f t="shared" si="55"/>
        <v>0</v>
      </c>
      <c r="G135" s="72">
        <f t="shared" si="55"/>
        <v>0</v>
      </c>
      <c r="H135" s="72">
        <f t="shared" si="55"/>
        <v>0</v>
      </c>
      <c r="I135" s="72">
        <f t="shared" si="55"/>
        <v>0</v>
      </c>
      <c r="J135" s="72">
        <f t="shared" si="55"/>
        <v>0</v>
      </c>
      <c r="K135" s="72">
        <f t="shared" si="55"/>
        <v>0</v>
      </c>
      <c r="L135" s="72">
        <f>L139</f>
        <v>0</v>
      </c>
      <c r="M135" s="72">
        <f>M139</f>
        <v>0</v>
      </c>
      <c r="N135" s="72">
        <f>N139</f>
        <v>0</v>
      </c>
      <c r="O135" s="72">
        <f>O139</f>
        <v>0</v>
      </c>
    </row>
    <row r="136" spans="1:15" ht="18" customHeight="1" x14ac:dyDescent="0.25">
      <c r="A136" s="105"/>
      <c r="B136" s="129"/>
      <c r="C136" s="51" t="s">
        <v>10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6" x14ac:dyDescent="0.25">
      <c r="A137" s="105"/>
      <c r="B137" s="129"/>
      <c r="C137" s="51" t="s">
        <v>11</v>
      </c>
      <c r="D137" s="1">
        <f>E137+F137+G137+H137+I137+J137</f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31.2" x14ac:dyDescent="0.25">
      <c r="A138" s="105"/>
      <c r="B138" s="129"/>
      <c r="C138" s="51" t="s">
        <v>65</v>
      </c>
      <c r="D138" s="1">
        <f>E138+F138+G138+H138+I138+J138</f>
        <v>155</v>
      </c>
      <c r="E138" s="1">
        <f>E139</f>
        <v>155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32.25" customHeight="1" x14ac:dyDescent="0.25">
      <c r="A139" s="105"/>
      <c r="B139" s="129"/>
      <c r="C139" s="74" t="s">
        <v>79</v>
      </c>
      <c r="D139" s="72">
        <f>E139</f>
        <v>155</v>
      </c>
      <c r="E139" s="72">
        <v>155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1">
        <v>0</v>
      </c>
      <c r="L139" s="72">
        <v>0</v>
      </c>
      <c r="M139" s="72">
        <v>0</v>
      </c>
      <c r="N139" s="72">
        <v>0</v>
      </c>
      <c r="O139" s="1">
        <v>0</v>
      </c>
    </row>
    <row r="140" spans="1:15" ht="18" customHeight="1" x14ac:dyDescent="0.25">
      <c r="A140" s="105"/>
      <c r="B140" s="129"/>
      <c r="C140" s="51" t="s">
        <v>13</v>
      </c>
      <c r="D140" s="72">
        <f>E140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6" x14ac:dyDescent="0.25">
      <c r="A141" s="138" t="s">
        <v>109</v>
      </c>
      <c r="B141" s="137" t="s">
        <v>73</v>
      </c>
      <c r="C141" s="51" t="s">
        <v>7</v>
      </c>
      <c r="D141" s="1">
        <f>E141+F141+G141+H141+I141+J141</f>
        <v>9590.7999999999993</v>
      </c>
      <c r="E141" s="1">
        <f>E143+E144+E146+E148</f>
        <v>9590.7999999999993</v>
      </c>
      <c r="F141" s="1">
        <f t="shared" ref="F141:K141" si="56">F143+F144+F146+F148</f>
        <v>0</v>
      </c>
      <c r="G141" s="1">
        <f t="shared" si="56"/>
        <v>0</v>
      </c>
      <c r="H141" s="1">
        <f t="shared" si="56"/>
        <v>0</v>
      </c>
      <c r="I141" s="1">
        <f t="shared" si="56"/>
        <v>0</v>
      </c>
      <c r="J141" s="1">
        <f t="shared" si="56"/>
        <v>0</v>
      </c>
      <c r="K141" s="1">
        <f t="shared" si="56"/>
        <v>0</v>
      </c>
      <c r="L141" s="1">
        <f>L143+L144+L146+L148</f>
        <v>0</v>
      </c>
      <c r="M141" s="1">
        <f>M143+M144+M146+M148</f>
        <v>0</v>
      </c>
      <c r="N141" s="1">
        <f>N143+N144+N146+N148</f>
        <v>0</v>
      </c>
      <c r="O141" s="1">
        <f>O143+O144+O146+O148</f>
        <v>0</v>
      </c>
    </row>
    <row r="142" spans="1:15" ht="31.2" x14ac:dyDescent="0.25">
      <c r="A142" s="138"/>
      <c r="B142" s="137"/>
      <c r="C142" s="74" t="s">
        <v>79</v>
      </c>
      <c r="D142" s="72">
        <f>E142+F142+G142+H142+I142+J142</f>
        <v>9590.7999999999993</v>
      </c>
      <c r="E142" s="72">
        <f t="shared" ref="E142:K142" si="57">E145+E147</f>
        <v>9590.7999999999993</v>
      </c>
      <c r="F142" s="72">
        <f t="shared" si="57"/>
        <v>0</v>
      </c>
      <c r="G142" s="72">
        <f t="shared" si="57"/>
        <v>0</v>
      </c>
      <c r="H142" s="72">
        <f t="shared" si="57"/>
        <v>0</v>
      </c>
      <c r="I142" s="72">
        <f t="shared" si="57"/>
        <v>0</v>
      </c>
      <c r="J142" s="72">
        <f t="shared" si="57"/>
        <v>0</v>
      </c>
      <c r="K142" s="72">
        <f t="shared" si="57"/>
        <v>0</v>
      </c>
      <c r="L142" s="72">
        <f>L145+L147</f>
        <v>0</v>
      </c>
      <c r="M142" s="72">
        <f>M145+M147</f>
        <v>0</v>
      </c>
      <c r="N142" s="72">
        <f>N145+N147</f>
        <v>0</v>
      </c>
      <c r="O142" s="72">
        <f>O145+O147</f>
        <v>0</v>
      </c>
    </row>
    <row r="143" spans="1:15" ht="16.5" customHeight="1" x14ac:dyDescent="0.25">
      <c r="A143" s="139"/>
      <c r="B143" s="137"/>
      <c r="C143" s="51" t="s">
        <v>10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30.75" customHeight="1" x14ac:dyDescent="0.25">
      <c r="A144" s="139"/>
      <c r="B144" s="137"/>
      <c r="C144" s="51" t="s">
        <v>69</v>
      </c>
      <c r="D144" s="1">
        <f>E144+F144+G144+H144+I144+J144</f>
        <v>9111.2999999999993</v>
      </c>
      <c r="E144" s="1">
        <f t="shared" ref="E144:N144" si="58">E145</f>
        <v>9111.2999999999993</v>
      </c>
      <c r="F144" s="1">
        <f t="shared" si="58"/>
        <v>0</v>
      </c>
      <c r="G144" s="1">
        <f t="shared" si="58"/>
        <v>0</v>
      </c>
      <c r="H144" s="1">
        <f t="shared" si="58"/>
        <v>0</v>
      </c>
      <c r="I144" s="1">
        <f t="shared" si="58"/>
        <v>0</v>
      </c>
      <c r="J144" s="1">
        <f t="shared" si="58"/>
        <v>0</v>
      </c>
      <c r="K144" s="1">
        <v>0</v>
      </c>
      <c r="L144" s="1">
        <f t="shared" si="58"/>
        <v>0</v>
      </c>
      <c r="M144" s="1">
        <f t="shared" si="58"/>
        <v>0</v>
      </c>
      <c r="N144" s="1">
        <f t="shared" si="58"/>
        <v>0</v>
      </c>
      <c r="O144" s="1">
        <v>0</v>
      </c>
    </row>
    <row r="145" spans="1:15" ht="31.2" x14ac:dyDescent="0.25">
      <c r="A145" s="139"/>
      <c r="B145" s="137"/>
      <c r="C145" s="74" t="s">
        <v>79</v>
      </c>
      <c r="D145" s="72">
        <f>E145+F145+G145+H145+I145+J145</f>
        <v>9111.2999999999993</v>
      </c>
      <c r="E145" s="72">
        <v>9111.2999999999993</v>
      </c>
      <c r="F145" s="72">
        <v>0</v>
      </c>
      <c r="G145" s="72">
        <v>0</v>
      </c>
      <c r="H145" s="72">
        <v>0</v>
      </c>
      <c r="I145" s="72">
        <v>0</v>
      </c>
      <c r="J145" s="72">
        <v>0</v>
      </c>
      <c r="K145" s="1">
        <v>0</v>
      </c>
      <c r="L145" s="72">
        <v>0</v>
      </c>
      <c r="M145" s="72">
        <v>0</v>
      </c>
      <c r="N145" s="72">
        <v>0</v>
      </c>
      <c r="O145" s="1">
        <v>0</v>
      </c>
    </row>
    <row r="146" spans="1:15" ht="31.2" x14ac:dyDescent="0.25">
      <c r="A146" s="139"/>
      <c r="B146" s="137"/>
      <c r="C146" s="51" t="s">
        <v>65</v>
      </c>
      <c r="D146" s="1">
        <f>E146+F146+G146+H146+I146+J146</f>
        <v>479.5</v>
      </c>
      <c r="E146" s="1">
        <f>E147</f>
        <v>479.5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5">
      <c r="A147" s="139"/>
      <c r="B147" s="137"/>
      <c r="C147" s="74" t="s">
        <v>79</v>
      </c>
      <c r="D147" s="72">
        <f>E147</f>
        <v>479.5</v>
      </c>
      <c r="E147" s="72">
        <v>479.5</v>
      </c>
      <c r="F147" s="72">
        <v>0</v>
      </c>
      <c r="G147" s="72">
        <v>0</v>
      </c>
      <c r="H147" s="72">
        <v>0</v>
      </c>
      <c r="I147" s="72">
        <v>0</v>
      </c>
      <c r="J147" s="72">
        <v>0</v>
      </c>
      <c r="K147" s="1">
        <v>0</v>
      </c>
      <c r="L147" s="72">
        <v>0</v>
      </c>
      <c r="M147" s="72">
        <v>0</v>
      </c>
      <c r="N147" s="72">
        <v>0</v>
      </c>
      <c r="O147" s="1">
        <v>0</v>
      </c>
    </row>
    <row r="148" spans="1:15" ht="15.6" x14ac:dyDescent="0.25">
      <c r="A148" s="139"/>
      <c r="B148" s="137"/>
      <c r="C148" s="51" t="s">
        <v>13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6" x14ac:dyDescent="0.25">
      <c r="A149" s="104" t="s">
        <v>110</v>
      </c>
      <c r="B149" s="130" t="s">
        <v>67</v>
      </c>
      <c r="C149" s="51" t="s">
        <v>7</v>
      </c>
      <c r="D149" s="1">
        <f>D150+D151+D152+D154</f>
        <v>1600.3</v>
      </c>
      <c r="E149" s="1">
        <f t="shared" ref="E149:K149" si="59">E150+E151+E152+E154</f>
        <v>1600.3</v>
      </c>
      <c r="F149" s="1">
        <f t="shared" si="59"/>
        <v>0</v>
      </c>
      <c r="G149" s="1">
        <f t="shared" si="59"/>
        <v>0</v>
      </c>
      <c r="H149" s="1">
        <f t="shared" si="59"/>
        <v>0</v>
      </c>
      <c r="I149" s="1">
        <f t="shared" si="59"/>
        <v>0</v>
      </c>
      <c r="J149" s="1">
        <f t="shared" si="59"/>
        <v>0</v>
      </c>
      <c r="K149" s="1">
        <f t="shared" si="59"/>
        <v>0</v>
      </c>
      <c r="L149" s="1">
        <f>L150+L151+L152+L154</f>
        <v>0</v>
      </c>
      <c r="M149" s="1">
        <f>M150+M151+M152+M154</f>
        <v>0</v>
      </c>
      <c r="N149" s="1">
        <f>N150+N151+N152+N154</f>
        <v>0</v>
      </c>
      <c r="O149" s="1">
        <f>O150+O151+O152+O154</f>
        <v>0</v>
      </c>
    </row>
    <row r="150" spans="1:15" ht="15.6" x14ac:dyDescent="0.25">
      <c r="A150" s="105"/>
      <c r="B150" s="131"/>
      <c r="C150" s="51" t="s">
        <v>10</v>
      </c>
      <c r="D150" s="1">
        <f>E150+F150+G150+H150+I150+J150</f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6" x14ac:dyDescent="0.25">
      <c r="A151" s="105"/>
      <c r="B151" s="131"/>
      <c r="C151" s="51" t="s">
        <v>11</v>
      </c>
      <c r="D151" s="1">
        <f>E151+F151+G151+H151+I151+J151</f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31.2" x14ac:dyDescent="0.25">
      <c r="A152" s="105"/>
      <c r="B152" s="131"/>
      <c r="C152" s="51" t="s">
        <v>65</v>
      </c>
      <c r="D152" s="1">
        <f>E152+F152+G152+H152+I152+J152</f>
        <v>1600.3</v>
      </c>
      <c r="E152" s="1">
        <v>1600.3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31.2" x14ac:dyDescent="0.25">
      <c r="A153" s="105"/>
      <c r="B153" s="131"/>
      <c r="C153" s="74" t="s">
        <v>79</v>
      </c>
      <c r="D153" s="72">
        <f>E153</f>
        <v>1600.3</v>
      </c>
      <c r="E153" s="72">
        <v>1600.3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1">
        <v>0</v>
      </c>
      <c r="L153" s="72">
        <v>0</v>
      </c>
      <c r="M153" s="72">
        <v>0</v>
      </c>
      <c r="N153" s="72">
        <v>0</v>
      </c>
      <c r="O153" s="1">
        <v>0</v>
      </c>
    </row>
    <row r="154" spans="1:15" ht="21.75" customHeight="1" x14ac:dyDescent="0.25">
      <c r="A154" s="105"/>
      <c r="B154" s="132"/>
      <c r="C154" s="51" t="s">
        <v>13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8" customHeight="1" x14ac:dyDescent="0.25">
      <c r="A155" s="104" t="s">
        <v>111</v>
      </c>
      <c r="B155" s="129" t="s">
        <v>141</v>
      </c>
      <c r="C155" s="51" t="s">
        <v>7</v>
      </c>
      <c r="D155" s="1">
        <f>D156+D157+D159+D160</f>
        <v>3488.1</v>
      </c>
      <c r="E155" s="1">
        <f t="shared" ref="E155:K155" si="60">E156+E157+E159+E160</f>
        <v>3088.1</v>
      </c>
      <c r="F155" s="1">
        <f t="shared" si="60"/>
        <v>0</v>
      </c>
      <c r="G155" s="1">
        <f t="shared" si="60"/>
        <v>0</v>
      </c>
      <c r="H155" s="1">
        <f t="shared" si="60"/>
        <v>400</v>
      </c>
      <c r="I155" s="1">
        <f t="shared" si="60"/>
        <v>0</v>
      </c>
      <c r="J155" s="1">
        <f t="shared" si="60"/>
        <v>0</v>
      </c>
      <c r="K155" s="1">
        <f t="shared" si="60"/>
        <v>0</v>
      </c>
      <c r="L155" s="1">
        <f>L156+L157+L159+L160</f>
        <v>0</v>
      </c>
      <c r="M155" s="1">
        <f>M156+M157+M159+M160</f>
        <v>0</v>
      </c>
      <c r="N155" s="1">
        <f>N156+N157+N159+N160</f>
        <v>0</v>
      </c>
      <c r="O155" s="1">
        <f>O156+O157+O159+O160</f>
        <v>0</v>
      </c>
    </row>
    <row r="156" spans="1:15" ht="15.6" x14ac:dyDescent="0.25">
      <c r="A156" s="105"/>
      <c r="B156" s="129"/>
      <c r="C156" s="51" t="s">
        <v>10</v>
      </c>
      <c r="D156" s="1">
        <f>E156+F156+G156+H156+I156+J156</f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.75" customHeight="1" x14ac:dyDescent="0.25">
      <c r="A157" s="105"/>
      <c r="B157" s="129"/>
      <c r="C157" s="51" t="s">
        <v>69</v>
      </c>
      <c r="D157" s="1">
        <f>D158</f>
        <v>2692</v>
      </c>
      <c r="E157" s="1">
        <f t="shared" ref="E157:M157" si="61">E158</f>
        <v>2692</v>
      </c>
      <c r="F157" s="1">
        <f t="shared" si="61"/>
        <v>0</v>
      </c>
      <c r="G157" s="1">
        <f t="shared" si="61"/>
        <v>0</v>
      </c>
      <c r="H157" s="1">
        <f t="shared" si="61"/>
        <v>0</v>
      </c>
      <c r="I157" s="1">
        <f t="shared" si="61"/>
        <v>0</v>
      </c>
      <c r="J157" s="1">
        <f t="shared" si="61"/>
        <v>0</v>
      </c>
      <c r="K157" s="1">
        <v>0</v>
      </c>
      <c r="L157" s="1">
        <f t="shared" si="61"/>
        <v>0</v>
      </c>
      <c r="M157" s="1">
        <f t="shared" si="61"/>
        <v>0</v>
      </c>
      <c r="N157" s="1">
        <v>0</v>
      </c>
      <c r="O157" s="1">
        <v>0</v>
      </c>
    </row>
    <row r="158" spans="1:15" ht="31.2" x14ac:dyDescent="0.25">
      <c r="A158" s="105"/>
      <c r="B158" s="129"/>
      <c r="C158" s="74" t="s">
        <v>81</v>
      </c>
      <c r="D158" s="72">
        <f>E158+F158+G158+H158+I158+J158</f>
        <v>2692</v>
      </c>
      <c r="E158" s="72">
        <v>2692</v>
      </c>
      <c r="F158" s="72">
        <v>0</v>
      </c>
      <c r="G158" s="72">
        <v>0</v>
      </c>
      <c r="H158" s="72">
        <v>0</v>
      </c>
      <c r="I158" s="72">
        <v>0</v>
      </c>
      <c r="J158" s="72">
        <v>0</v>
      </c>
      <c r="K158" s="1">
        <v>0</v>
      </c>
      <c r="L158" s="72">
        <v>0</v>
      </c>
      <c r="M158" s="72">
        <v>0</v>
      </c>
      <c r="N158" s="1">
        <v>0</v>
      </c>
      <c r="O158" s="1">
        <v>0</v>
      </c>
    </row>
    <row r="159" spans="1:15" ht="15.6" x14ac:dyDescent="0.25">
      <c r="A159" s="105"/>
      <c r="B159" s="129"/>
      <c r="C159" s="51" t="s">
        <v>12</v>
      </c>
      <c r="D159" s="1">
        <f>E159+F159+G159+H159+I159+J159</f>
        <v>796.1</v>
      </c>
      <c r="E159" s="1">
        <v>396.1</v>
      </c>
      <c r="F159" s="1">
        <v>0</v>
      </c>
      <c r="G159" s="1">
        <v>0</v>
      </c>
      <c r="H159" s="1">
        <v>400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15.6" x14ac:dyDescent="0.25">
      <c r="A160" s="105"/>
      <c r="B160" s="129"/>
      <c r="C160" s="51" t="s">
        <v>13</v>
      </c>
      <c r="D160" s="1">
        <f>E160+F160+G160+H160+I160+J160</f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8" ht="15.6" x14ac:dyDescent="0.25">
      <c r="A161" s="104" t="s">
        <v>112</v>
      </c>
      <c r="B161" s="130" t="s">
        <v>75</v>
      </c>
      <c r="C161" s="58" t="s">
        <v>7</v>
      </c>
      <c r="D161" s="1">
        <f t="shared" ref="D161:D167" si="62">E161+F161+G161+H161+I161+J161</f>
        <v>123.9</v>
      </c>
      <c r="E161" s="1">
        <f t="shared" ref="E161:O161" si="63">E163+E164+E165+E167</f>
        <v>123.9</v>
      </c>
      <c r="F161" s="1">
        <f t="shared" si="63"/>
        <v>0</v>
      </c>
      <c r="G161" s="1">
        <f t="shared" si="63"/>
        <v>0</v>
      </c>
      <c r="H161" s="1">
        <f t="shared" si="63"/>
        <v>0</v>
      </c>
      <c r="I161" s="1">
        <f t="shared" si="63"/>
        <v>0</v>
      </c>
      <c r="J161" s="1">
        <f t="shared" si="63"/>
        <v>0</v>
      </c>
      <c r="K161" s="1">
        <f t="shared" si="63"/>
        <v>0</v>
      </c>
      <c r="L161" s="1">
        <f t="shared" si="63"/>
        <v>0</v>
      </c>
      <c r="M161" s="1">
        <f t="shared" si="63"/>
        <v>0</v>
      </c>
      <c r="N161" s="1">
        <f t="shared" si="63"/>
        <v>0</v>
      </c>
      <c r="O161" s="1">
        <f t="shared" si="63"/>
        <v>0</v>
      </c>
    </row>
    <row r="162" spans="1:18" ht="31.2" x14ac:dyDescent="0.25">
      <c r="A162" s="104"/>
      <c r="B162" s="131"/>
      <c r="C162" s="75" t="s">
        <v>79</v>
      </c>
      <c r="D162" s="72">
        <f t="shared" si="62"/>
        <v>123.9</v>
      </c>
      <c r="E162" s="72">
        <f t="shared" ref="E162:O162" si="64">E166</f>
        <v>123.9</v>
      </c>
      <c r="F162" s="72">
        <f t="shared" si="64"/>
        <v>0</v>
      </c>
      <c r="G162" s="72">
        <f t="shared" si="64"/>
        <v>0</v>
      </c>
      <c r="H162" s="72">
        <f t="shared" si="64"/>
        <v>0</v>
      </c>
      <c r="I162" s="72">
        <f t="shared" si="64"/>
        <v>0</v>
      </c>
      <c r="J162" s="72">
        <f t="shared" si="64"/>
        <v>0</v>
      </c>
      <c r="K162" s="72">
        <f t="shared" si="64"/>
        <v>0</v>
      </c>
      <c r="L162" s="72">
        <f t="shared" si="64"/>
        <v>0</v>
      </c>
      <c r="M162" s="72">
        <f t="shared" si="64"/>
        <v>0</v>
      </c>
      <c r="N162" s="72">
        <f t="shared" si="64"/>
        <v>0</v>
      </c>
      <c r="O162" s="72">
        <f t="shared" si="64"/>
        <v>0</v>
      </c>
    </row>
    <row r="163" spans="1:18" ht="15.6" x14ac:dyDescent="0.25">
      <c r="A163" s="104"/>
      <c r="B163" s="131"/>
      <c r="C163" s="58" t="s">
        <v>10</v>
      </c>
      <c r="D163" s="1">
        <f t="shared" si="62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6" x14ac:dyDescent="0.25">
      <c r="A164" s="104"/>
      <c r="B164" s="131"/>
      <c r="C164" s="58" t="s">
        <v>11</v>
      </c>
      <c r="D164" s="1">
        <f t="shared" si="62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8" ht="31.2" x14ac:dyDescent="0.25">
      <c r="A165" s="104"/>
      <c r="B165" s="131"/>
      <c r="C165" s="51" t="s">
        <v>65</v>
      </c>
      <c r="D165" s="1">
        <f t="shared" si="62"/>
        <v>123.9</v>
      </c>
      <c r="E165" s="1">
        <f>E166</f>
        <v>123.9</v>
      </c>
      <c r="F165" s="1">
        <f>F166</f>
        <v>0</v>
      </c>
      <c r="G165" s="1">
        <f>G166</f>
        <v>0</v>
      </c>
      <c r="H165" s="1">
        <f>H166</f>
        <v>0</v>
      </c>
      <c r="I165" s="1">
        <f>I166</f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8" ht="31.2" x14ac:dyDescent="0.25">
      <c r="A166" s="104"/>
      <c r="B166" s="131"/>
      <c r="C166" s="75" t="s">
        <v>79</v>
      </c>
      <c r="D166" s="72">
        <f t="shared" si="62"/>
        <v>123.9</v>
      </c>
      <c r="E166" s="72">
        <v>123.9</v>
      </c>
      <c r="F166" s="72">
        <v>0</v>
      </c>
      <c r="G166" s="72">
        <v>0</v>
      </c>
      <c r="H166" s="72">
        <v>0</v>
      </c>
      <c r="I166" s="72">
        <v>0</v>
      </c>
      <c r="J166" s="72">
        <v>0</v>
      </c>
      <c r="K166" s="72">
        <v>0</v>
      </c>
      <c r="L166" s="72">
        <v>0</v>
      </c>
      <c r="M166" s="72">
        <v>0</v>
      </c>
      <c r="N166" s="72">
        <v>0</v>
      </c>
      <c r="O166" s="72">
        <v>0</v>
      </c>
      <c r="P166" s="67"/>
      <c r="Q166" s="67"/>
      <c r="R166" s="67"/>
    </row>
    <row r="167" spans="1:18" ht="20.25" customHeight="1" x14ac:dyDescent="0.25">
      <c r="A167" s="104"/>
      <c r="B167" s="132"/>
      <c r="C167" s="58" t="s">
        <v>13</v>
      </c>
      <c r="D167" s="1">
        <f t="shared" si="62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67"/>
      <c r="Q167" s="67"/>
      <c r="R167" s="67"/>
    </row>
    <row r="168" spans="1:18" ht="17.25" customHeight="1" x14ac:dyDescent="0.25">
      <c r="A168" s="104" t="s">
        <v>113</v>
      </c>
      <c r="B168" s="129" t="s">
        <v>78</v>
      </c>
      <c r="C168" s="51" t="s">
        <v>7</v>
      </c>
      <c r="D168" s="1">
        <f t="shared" ref="D168:D174" si="65">E168+F168+G168+H168+I168+J168</f>
        <v>1187</v>
      </c>
      <c r="E168" s="1">
        <f t="shared" ref="E168:K168" si="66">E170+E171+E172+E174</f>
        <v>1187</v>
      </c>
      <c r="F168" s="1">
        <f t="shared" si="66"/>
        <v>0</v>
      </c>
      <c r="G168" s="1">
        <f t="shared" si="66"/>
        <v>0</v>
      </c>
      <c r="H168" s="1">
        <f t="shared" si="66"/>
        <v>0</v>
      </c>
      <c r="I168" s="1">
        <f t="shared" si="66"/>
        <v>0</v>
      </c>
      <c r="J168" s="1">
        <f t="shared" si="66"/>
        <v>0</v>
      </c>
      <c r="K168" s="1">
        <f t="shared" si="66"/>
        <v>0</v>
      </c>
      <c r="L168" s="1">
        <f>L170+L171+L172+L174</f>
        <v>0</v>
      </c>
      <c r="M168" s="1">
        <f>M170+M171+M172+M174</f>
        <v>0</v>
      </c>
      <c r="N168" s="1">
        <f>N170+N171+N172+N174</f>
        <v>0</v>
      </c>
      <c r="O168" s="1">
        <f>O170+O171+O172+O174</f>
        <v>0</v>
      </c>
      <c r="P168" s="76"/>
      <c r="Q168" s="76"/>
      <c r="R168" s="67"/>
    </row>
    <row r="169" spans="1:18" ht="31.2" x14ac:dyDescent="0.25">
      <c r="A169" s="105"/>
      <c r="B169" s="133"/>
      <c r="C169" s="74" t="s">
        <v>79</v>
      </c>
      <c r="D169" s="72">
        <f t="shared" si="65"/>
        <v>1187</v>
      </c>
      <c r="E169" s="72">
        <f t="shared" ref="E169:K169" si="67">E173</f>
        <v>1187</v>
      </c>
      <c r="F169" s="72">
        <f t="shared" si="67"/>
        <v>0</v>
      </c>
      <c r="G169" s="72">
        <f t="shared" si="67"/>
        <v>0</v>
      </c>
      <c r="H169" s="72">
        <f t="shared" si="67"/>
        <v>0</v>
      </c>
      <c r="I169" s="72">
        <f t="shared" si="67"/>
        <v>0</v>
      </c>
      <c r="J169" s="72">
        <f t="shared" si="67"/>
        <v>0</v>
      </c>
      <c r="K169" s="72">
        <f t="shared" si="67"/>
        <v>0</v>
      </c>
      <c r="L169" s="72">
        <f>L173</f>
        <v>0</v>
      </c>
      <c r="M169" s="72">
        <f>M173</f>
        <v>0</v>
      </c>
      <c r="N169" s="72">
        <f>N173</f>
        <v>0</v>
      </c>
      <c r="O169" s="72">
        <f>O173</f>
        <v>0</v>
      </c>
      <c r="P169" s="77"/>
      <c r="Q169" s="77"/>
      <c r="R169" s="67"/>
    </row>
    <row r="170" spans="1:18" ht="15.6" x14ac:dyDescent="0.25">
      <c r="A170" s="105"/>
      <c r="B170" s="133"/>
      <c r="C170" s="51" t="s">
        <v>10</v>
      </c>
      <c r="D170" s="1">
        <f t="shared" si="65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76"/>
      <c r="Q170" s="76"/>
      <c r="R170" s="67"/>
    </row>
    <row r="171" spans="1:18" ht="15.6" x14ac:dyDescent="0.25">
      <c r="A171" s="105"/>
      <c r="B171" s="133"/>
      <c r="C171" s="51" t="s">
        <v>11</v>
      </c>
      <c r="D171" s="1">
        <f t="shared" si="65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76"/>
      <c r="Q171" s="76"/>
      <c r="R171" s="67"/>
    </row>
    <row r="172" spans="1:18" ht="32.25" customHeight="1" x14ac:dyDescent="0.25">
      <c r="A172" s="105"/>
      <c r="B172" s="133"/>
      <c r="C172" s="51" t="s">
        <v>65</v>
      </c>
      <c r="D172" s="1">
        <f t="shared" si="65"/>
        <v>1187</v>
      </c>
      <c r="E172" s="1">
        <f t="shared" ref="E172:O172" si="68">E173</f>
        <v>1187</v>
      </c>
      <c r="F172" s="1">
        <f t="shared" si="68"/>
        <v>0</v>
      </c>
      <c r="G172" s="1">
        <f t="shared" si="68"/>
        <v>0</v>
      </c>
      <c r="H172" s="1">
        <f t="shared" si="68"/>
        <v>0</v>
      </c>
      <c r="I172" s="1">
        <f t="shared" si="68"/>
        <v>0</v>
      </c>
      <c r="J172" s="1">
        <f t="shared" si="68"/>
        <v>0</v>
      </c>
      <c r="K172" s="1">
        <v>0</v>
      </c>
      <c r="L172" s="1">
        <f t="shared" si="68"/>
        <v>0</v>
      </c>
      <c r="M172" s="1">
        <f t="shared" si="68"/>
        <v>0</v>
      </c>
      <c r="N172" s="1">
        <f t="shared" si="68"/>
        <v>0</v>
      </c>
      <c r="O172" s="1">
        <f t="shared" si="68"/>
        <v>0</v>
      </c>
      <c r="P172" s="76"/>
      <c r="Q172" s="76"/>
      <c r="R172" s="67"/>
    </row>
    <row r="173" spans="1:18" ht="32.25" customHeight="1" x14ac:dyDescent="0.25">
      <c r="A173" s="105"/>
      <c r="B173" s="133"/>
      <c r="C173" s="74" t="s">
        <v>79</v>
      </c>
      <c r="D173" s="72">
        <f t="shared" si="65"/>
        <v>1187</v>
      </c>
      <c r="E173" s="72">
        <v>1187</v>
      </c>
      <c r="F173" s="72">
        <v>0</v>
      </c>
      <c r="G173" s="72">
        <v>0</v>
      </c>
      <c r="H173" s="72">
        <v>0</v>
      </c>
      <c r="I173" s="72">
        <v>0</v>
      </c>
      <c r="J173" s="72">
        <v>0</v>
      </c>
      <c r="K173" s="1">
        <v>0</v>
      </c>
      <c r="L173" s="72">
        <v>0</v>
      </c>
      <c r="M173" s="72">
        <v>0</v>
      </c>
      <c r="N173" s="72">
        <v>0</v>
      </c>
      <c r="O173" s="72">
        <v>0</v>
      </c>
      <c r="P173" s="76"/>
      <c r="Q173" s="76"/>
      <c r="R173" s="67"/>
    </row>
    <row r="174" spans="1:18" ht="18" customHeight="1" x14ac:dyDescent="0.25">
      <c r="A174" s="105"/>
      <c r="B174" s="133"/>
      <c r="C174" s="51" t="s">
        <v>13</v>
      </c>
      <c r="D174" s="1">
        <f t="shared" si="65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6"/>
      <c r="Q174" s="76"/>
      <c r="R174" s="67"/>
    </row>
    <row r="175" spans="1:18" ht="15.6" x14ac:dyDescent="0.25">
      <c r="A175" s="104" t="s">
        <v>114</v>
      </c>
      <c r="B175" s="104" t="s">
        <v>213</v>
      </c>
      <c r="C175" s="51" t="s">
        <v>7</v>
      </c>
      <c r="D175" s="1">
        <f t="shared" ref="D175:D180" si="69">E175+F175+G175+H175+I175+J175</f>
        <v>3590.6</v>
      </c>
      <c r="E175" s="1">
        <f>E176+E177+E178+E180</f>
        <v>2639.6</v>
      </c>
      <c r="F175" s="1">
        <f t="shared" ref="F175:K175" si="70">F176+F177+F178+F180</f>
        <v>951</v>
      </c>
      <c r="G175" s="1">
        <f t="shared" si="70"/>
        <v>0</v>
      </c>
      <c r="H175" s="1">
        <f t="shared" si="70"/>
        <v>0</v>
      </c>
      <c r="I175" s="1">
        <f t="shared" si="70"/>
        <v>0</v>
      </c>
      <c r="J175" s="1">
        <f t="shared" si="70"/>
        <v>0</v>
      </c>
      <c r="K175" s="1">
        <f t="shared" si="70"/>
        <v>0</v>
      </c>
      <c r="L175" s="1">
        <f>L176+L177+L178+L180</f>
        <v>0</v>
      </c>
      <c r="M175" s="1">
        <f>M176+M177+M178+M180</f>
        <v>0</v>
      </c>
      <c r="N175" s="1">
        <f>N176+N177+N178+N180</f>
        <v>0</v>
      </c>
      <c r="O175" s="1">
        <f>O176+O177+O178+O180</f>
        <v>0</v>
      </c>
      <c r="P175" s="67"/>
      <c r="Q175" s="67"/>
      <c r="R175" s="67"/>
    </row>
    <row r="176" spans="1:18" ht="15.6" x14ac:dyDescent="0.25">
      <c r="A176" s="105"/>
      <c r="B176" s="104"/>
      <c r="C176" s="51" t="s">
        <v>10</v>
      </c>
      <c r="D176" s="1">
        <f t="shared" si="69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6" x14ac:dyDescent="0.25">
      <c r="A177" s="105"/>
      <c r="B177" s="104"/>
      <c r="C177" s="51" t="s">
        <v>11</v>
      </c>
      <c r="D177" s="1">
        <f t="shared" si="69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31.2" x14ac:dyDescent="0.25">
      <c r="A178" s="105"/>
      <c r="B178" s="104"/>
      <c r="C178" s="51" t="s">
        <v>65</v>
      </c>
      <c r="D178" s="1">
        <f t="shared" si="69"/>
        <v>3590.6</v>
      </c>
      <c r="E178" s="1">
        <v>2639.6</v>
      </c>
      <c r="F178" s="1">
        <v>951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31.2" x14ac:dyDescent="0.25">
      <c r="A179" s="105"/>
      <c r="B179" s="104"/>
      <c r="C179" s="74" t="s">
        <v>79</v>
      </c>
      <c r="D179" s="72">
        <f t="shared" si="69"/>
        <v>3590.6</v>
      </c>
      <c r="E179" s="72">
        <f>E178</f>
        <v>2639.6</v>
      </c>
      <c r="F179" s="72">
        <v>951</v>
      </c>
      <c r="G179" s="72">
        <v>0</v>
      </c>
      <c r="H179" s="72">
        <v>0</v>
      </c>
      <c r="I179" s="72">
        <v>0</v>
      </c>
      <c r="J179" s="72">
        <v>0</v>
      </c>
      <c r="K179" s="1">
        <v>0</v>
      </c>
      <c r="L179" s="72">
        <v>0</v>
      </c>
      <c r="M179" s="72">
        <v>0</v>
      </c>
      <c r="N179" s="72">
        <v>0</v>
      </c>
      <c r="O179" s="1">
        <v>0</v>
      </c>
    </row>
    <row r="180" spans="1:15" ht="21" customHeight="1" x14ac:dyDescent="0.25">
      <c r="A180" s="105"/>
      <c r="B180" s="104"/>
      <c r="C180" s="51" t="s">
        <v>13</v>
      </c>
      <c r="D180" s="1">
        <f t="shared" si="69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 ht="15.6" x14ac:dyDescent="0.25">
      <c r="A181" s="104" t="s">
        <v>115</v>
      </c>
      <c r="B181" s="104" t="s">
        <v>217</v>
      </c>
      <c r="C181" s="51" t="s">
        <v>7</v>
      </c>
      <c r="D181" s="1">
        <f>E181+F181+G181+H181+I181+J181+K181+L181+M181+N181+O181</f>
        <v>5050.3999999999996</v>
      </c>
      <c r="E181" s="1">
        <f t="shared" ref="E181:O181" si="71">E182+E183+E184+E185</f>
        <v>0</v>
      </c>
      <c r="F181" s="1">
        <f t="shared" si="71"/>
        <v>0</v>
      </c>
      <c r="G181" s="1">
        <f t="shared" si="71"/>
        <v>332.6</v>
      </c>
      <c r="H181" s="1">
        <f>H182+H183+H184+H185</f>
        <v>984.5</v>
      </c>
      <c r="I181" s="1">
        <f t="shared" si="71"/>
        <v>690</v>
      </c>
      <c r="J181" s="1">
        <f t="shared" si="71"/>
        <v>160</v>
      </c>
      <c r="K181" s="1">
        <f t="shared" si="71"/>
        <v>450</v>
      </c>
      <c r="L181" s="1">
        <f t="shared" si="71"/>
        <v>0</v>
      </c>
      <c r="M181" s="1">
        <f t="shared" si="71"/>
        <v>0</v>
      </c>
      <c r="N181" s="1">
        <f t="shared" si="71"/>
        <v>0</v>
      </c>
      <c r="O181" s="1">
        <f t="shared" si="71"/>
        <v>2433.3000000000002</v>
      </c>
    </row>
    <row r="182" spans="1:15" ht="15.6" x14ac:dyDescent="0.25">
      <c r="A182" s="105"/>
      <c r="B182" s="104"/>
      <c r="C182" s="51" t="s">
        <v>10</v>
      </c>
      <c r="D182" s="1">
        <f>E182+F182+G182+H182+I182+J182+K182+L182+M182+N182+O182</f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6" x14ac:dyDescent="0.25">
      <c r="A183" s="105"/>
      <c r="B183" s="104"/>
      <c r="C183" s="51" t="s">
        <v>11</v>
      </c>
      <c r="D183" s="1">
        <f>E183+F183+G183+H183+I183+J183+K183+L183+M183+N183+O183</f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6" x14ac:dyDescent="0.25">
      <c r="A184" s="105"/>
      <c r="B184" s="104"/>
      <c r="C184" s="51" t="s">
        <v>12</v>
      </c>
      <c r="D184" s="1">
        <f>E184+F184+G184+H184+I184+J184+K184+L184+M184+N184+O184</f>
        <v>5050.3999999999996</v>
      </c>
      <c r="E184" s="1">
        <v>0</v>
      </c>
      <c r="F184" s="1">
        <v>0</v>
      </c>
      <c r="G184" s="1">
        <v>332.6</v>
      </c>
      <c r="H184" s="1">
        <v>984.5</v>
      </c>
      <c r="I184" s="1">
        <v>690</v>
      </c>
      <c r="J184" s="1">
        <f>2000-1800-40</f>
        <v>160</v>
      </c>
      <c r="K184" s="1">
        <f>2000-1550</f>
        <v>450</v>
      </c>
      <c r="L184" s="1">
        <v>0</v>
      </c>
      <c r="M184" s="1">
        <v>0</v>
      </c>
      <c r="N184" s="1">
        <v>0</v>
      </c>
      <c r="O184" s="1">
        <v>2433.3000000000002</v>
      </c>
    </row>
    <row r="185" spans="1:15" ht="27" customHeight="1" x14ac:dyDescent="0.25">
      <c r="A185" s="105"/>
      <c r="B185" s="104"/>
      <c r="C185" s="51" t="s">
        <v>13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 ht="15.6" x14ac:dyDescent="0.25">
      <c r="A186" s="104" t="s">
        <v>116</v>
      </c>
      <c r="B186" s="104" t="s">
        <v>224</v>
      </c>
      <c r="C186" s="51" t="s">
        <v>7</v>
      </c>
      <c r="D186" s="1">
        <f t="shared" ref="D186:D195" si="72">E186+F186+G186+H186+I186+J186</f>
        <v>3968.3</v>
      </c>
      <c r="E186" s="1">
        <f t="shared" ref="E186:J186" si="73">E187+E188+E189+E190</f>
        <v>0</v>
      </c>
      <c r="F186" s="1">
        <f t="shared" si="73"/>
        <v>0</v>
      </c>
      <c r="G186" s="1">
        <f t="shared" si="73"/>
        <v>0</v>
      </c>
      <c r="H186" s="1">
        <f t="shared" si="73"/>
        <v>3968.3</v>
      </c>
      <c r="I186" s="1">
        <f t="shared" si="73"/>
        <v>0</v>
      </c>
      <c r="J186" s="1">
        <f t="shared" si="73"/>
        <v>0</v>
      </c>
      <c r="K186" s="1">
        <v>0</v>
      </c>
      <c r="L186" s="1">
        <f>L187+L188+L189+L190</f>
        <v>0</v>
      </c>
      <c r="M186" s="1">
        <f>M187+M188+M189+M190</f>
        <v>0</v>
      </c>
      <c r="N186" s="1">
        <f>N187+N188+N189+N190</f>
        <v>0</v>
      </c>
      <c r="O186" s="1">
        <f>O187+O188+O189+O190</f>
        <v>0</v>
      </c>
    </row>
    <row r="187" spans="1:15" ht="15.6" x14ac:dyDescent="0.25">
      <c r="A187" s="105"/>
      <c r="B187" s="104"/>
      <c r="C187" s="51" t="s">
        <v>10</v>
      </c>
      <c r="D187" s="1">
        <f t="shared" si="72"/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6" x14ac:dyDescent="0.25">
      <c r="A188" s="105"/>
      <c r="B188" s="104"/>
      <c r="C188" s="51" t="s">
        <v>11</v>
      </c>
      <c r="D188" s="1">
        <f t="shared" si="72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6" x14ac:dyDescent="0.25">
      <c r="A189" s="105"/>
      <c r="B189" s="104"/>
      <c r="C189" s="51" t="s">
        <v>12</v>
      </c>
      <c r="D189" s="1">
        <f t="shared" si="72"/>
        <v>3968.3</v>
      </c>
      <c r="E189" s="1">
        <v>0</v>
      </c>
      <c r="F189" s="1">
        <v>0</v>
      </c>
      <c r="G189" s="1">
        <v>0</v>
      </c>
      <c r="H189" s="1">
        <v>3968.3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24" customHeight="1" x14ac:dyDescent="0.25">
      <c r="A190" s="105"/>
      <c r="B190" s="104"/>
      <c r="C190" s="51" t="s">
        <v>13</v>
      </c>
      <c r="D190" s="1">
        <f t="shared" si="72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 ht="15.6" x14ac:dyDescent="0.25">
      <c r="A191" s="104" t="s">
        <v>117</v>
      </c>
      <c r="B191" s="104" t="s">
        <v>225</v>
      </c>
      <c r="C191" s="51" t="s">
        <v>7</v>
      </c>
      <c r="D191" s="1">
        <f t="shared" si="72"/>
        <v>15790</v>
      </c>
      <c r="E191" s="1">
        <f t="shared" ref="E191:K191" si="74">E192+E193+E194+E195</f>
        <v>0</v>
      </c>
      <c r="F191" s="1">
        <f t="shared" si="74"/>
        <v>15790</v>
      </c>
      <c r="G191" s="1">
        <f t="shared" si="74"/>
        <v>0</v>
      </c>
      <c r="H191" s="1">
        <f t="shared" si="74"/>
        <v>0</v>
      </c>
      <c r="I191" s="1">
        <f t="shared" si="74"/>
        <v>0</v>
      </c>
      <c r="J191" s="1">
        <f t="shared" si="74"/>
        <v>0</v>
      </c>
      <c r="K191" s="1">
        <f t="shared" si="74"/>
        <v>0</v>
      </c>
      <c r="L191" s="1">
        <f>L192+L193+L194+L195</f>
        <v>0</v>
      </c>
      <c r="M191" s="1">
        <f>M192+M193+M194+M195</f>
        <v>0</v>
      </c>
      <c r="N191" s="1">
        <f>N192+N193+N194+N195</f>
        <v>0</v>
      </c>
      <c r="O191" s="1">
        <f>O192+O193+O194+O195</f>
        <v>0</v>
      </c>
    </row>
    <row r="192" spans="1:15" ht="18" customHeight="1" x14ac:dyDescent="0.25">
      <c r="A192" s="105"/>
      <c r="B192" s="104"/>
      <c r="C192" s="58" t="s">
        <v>10</v>
      </c>
      <c r="D192" s="1">
        <f t="shared" si="72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18" customHeight="1" x14ac:dyDescent="0.25">
      <c r="A193" s="105"/>
      <c r="B193" s="104"/>
      <c r="C193" s="58" t="s">
        <v>11</v>
      </c>
      <c r="D193" s="1">
        <f t="shared" si="72"/>
        <v>15000</v>
      </c>
      <c r="E193" s="1">
        <v>0</v>
      </c>
      <c r="F193" s="1">
        <v>15000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6" x14ac:dyDescent="0.25">
      <c r="A194" s="105"/>
      <c r="B194" s="104"/>
      <c r="C194" s="58" t="s">
        <v>12</v>
      </c>
      <c r="D194" s="1">
        <f t="shared" si="72"/>
        <v>790</v>
      </c>
      <c r="E194" s="1">
        <v>0</v>
      </c>
      <c r="F194" s="1">
        <v>790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20" ht="21.75" customHeight="1" x14ac:dyDescent="0.25">
      <c r="A195" s="105"/>
      <c r="B195" s="104"/>
      <c r="C195" s="58" t="s">
        <v>13</v>
      </c>
      <c r="D195" s="1">
        <f t="shared" si="72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5.6" x14ac:dyDescent="0.25">
      <c r="A196" s="104" t="s">
        <v>118</v>
      </c>
      <c r="B196" s="104" t="s">
        <v>380</v>
      </c>
      <c r="C196" s="51" t="s">
        <v>7</v>
      </c>
      <c r="D196" s="1">
        <f>E196+F196+G196+H196+I196+J196+J196+K196+L196+M196+N196+O196</f>
        <v>2833187.8</v>
      </c>
      <c r="E196" s="1">
        <f t="shared" ref="E196:M196" si="75">E197+E198+E199+E200</f>
        <v>0</v>
      </c>
      <c r="F196" s="1">
        <f t="shared" si="75"/>
        <v>0</v>
      </c>
      <c r="G196" s="1">
        <f t="shared" si="75"/>
        <v>27664</v>
      </c>
      <c r="H196" s="1">
        <f t="shared" si="75"/>
        <v>50456.399999999994</v>
      </c>
      <c r="I196" s="1">
        <f t="shared" si="75"/>
        <v>17092.099999999999</v>
      </c>
      <c r="J196" s="1">
        <f t="shared" si="75"/>
        <v>373247.1</v>
      </c>
      <c r="K196" s="1">
        <f t="shared" si="75"/>
        <v>886803.5</v>
      </c>
      <c r="L196" s="1">
        <f t="shared" si="75"/>
        <v>632677.6</v>
      </c>
      <c r="M196" s="1">
        <f t="shared" si="75"/>
        <v>236000</v>
      </c>
      <c r="N196" s="1">
        <f>N197+N198+N199+N200</f>
        <v>236000</v>
      </c>
      <c r="O196" s="1">
        <f>O197+O198+O199+O200</f>
        <v>0</v>
      </c>
      <c r="P196" s="60"/>
      <c r="Q196" s="69"/>
      <c r="R196" s="78"/>
      <c r="T196" s="79"/>
    </row>
    <row r="197" spans="1:20" ht="15.6" x14ac:dyDescent="0.25">
      <c r="A197" s="105"/>
      <c r="B197" s="104"/>
      <c r="C197" s="58" t="s">
        <v>10</v>
      </c>
      <c r="D197" s="1">
        <f>E197+F197+G197+H197+I197+J197+K197+L197+M197+N197+O197</f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15.6" x14ac:dyDescent="0.25">
      <c r="A198" s="105"/>
      <c r="B198" s="104"/>
      <c r="C198" s="58" t="s">
        <v>11</v>
      </c>
      <c r="D198" s="1">
        <f>E198+F198+G198+H198+I198+J198+K198+L198+M198+N198+O198</f>
        <v>2306161.6</v>
      </c>
      <c r="E198" s="1">
        <v>0</v>
      </c>
      <c r="F198" s="1">
        <v>0</v>
      </c>
      <c r="G198" s="1">
        <v>26276.799999999999</v>
      </c>
      <c r="H198" s="1">
        <v>47416.2</v>
      </c>
      <c r="I198" s="1">
        <v>16128.9</v>
      </c>
      <c r="J198" s="1">
        <v>350852.3</v>
      </c>
      <c r="K198" s="1">
        <v>827090.5</v>
      </c>
      <c r="L198" s="1">
        <f>90675.1+341780.4+162261.4</f>
        <v>594716.9</v>
      </c>
      <c r="M198" s="1">
        <f>221840</f>
        <v>221840</v>
      </c>
      <c r="N198" s="1">
        <v>221840</v>
      </c>
      <c r="O198" s="1">
        <v>0</v>
      </c>
      <c r="P198" s="80"/>
      <c r="Q198" s="67"/>
    </row>
    <row r="199" spans="1:20" ht="15.6" x14ac:dyDescent="0.25">
      <c r="A199" s="105"/>
      <c r="B199" s="104"/>
      <c r="C199" s="58" t="s">
        <v>12</v>
      </c>
      <c r="D199" s="1">
        <f>E199+F199+G199+H199+I199+J199+K199+L199+M199+N199+O199</f>
        <v>153779.09999999998</v>
      </c>
      <c r="E199" s="1">
        <v>0</v>
      </c>
      <c r="F199" s="1">
        <v>0</v>
      </c>
      <c r="G199" s="1">
        <v>1387.2</v>
      </c>
      <c r="H199" s="1">
        <v>3040.2</v>
      </c>
      <c r="I199" s="1">
        <v>963.2</v>
      </c>
      <c r="J199" s="1">
        <v>22394.799999999999</v>
      </c>
      <c r="K199" s="1">
        <v>59713</v>
      </c>
      <c r="L199" s="1">
        <f>24355.9+3247.6+10357.2</f>
        <v>37960.699999999997</v>
      </c>
      <c r="M199" s="1">
        <v>14160</v>
      </c>
      <c r="N199" s="1">
        <v>14160</v>
      </c>
      <c r="O199" s="1">
        <v>0</v>
      </c>
      <c r="P199" s="80"/>
      <c r="Q199" s="67"/>
    </row>
    <row r="200" spans="1:20" ht="28.5" customHeight="1" x14ac:dyDescent="0.25">
      <c r="A200" s="105"/>
      <c r="B200" s="104"/>
      <c r="C200" s="58" t="s">
        <v>13</v>
      </c>
      <c r="D200" s="1">
        <f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62"/>
      <c r="Q200" s="62"/>
    </row>
    <row r="201" spans="1:20" ht="15.6" x14ac:dyDescent="0.25">
      <c r="A201" s="104" t="s">
        <v>212</v>
      </c>
      <c r="B201" s="104" t="s">
        <v>298</v>
      </c>
      <c r="C201" s="51" t="s">
        <v>7</v>
      </c>
      <c r="D201" s="1">
        <f>D202+D203+D204+D205</f>
        <v>11112.500000000002</v>
      </c>
      <c r="E201" s="1">
        <f t="shared" ref="E201:K201" si="76">E202+E203+E204+E205</f>
        <v>0</v>
      </c>
      <c r="F201" s="1">
        <f t="shared" si="76"/>
        <v>0</v>
      </c>
      <c r="G201" s="1">
        <f t="shared" si="76"/>
        <v>0</v>
      </c>
      <c r="H201" s="1">
        <f t="shared" si="76"/>
        <v>0</v>
      </c>
      <c r="I201" s="1">
        <f t="shared" si="76"/>
        <v>1845.8</v>
      </c>
      <c r="J201" s="1">
        <f t="shared" si="76"/>
        <v>4535.2</v>
      </c>
      <c r="K201" s="1">
        <f t="shared" si="76"/>
        <v>599.90000000000146</v>
      </c>
      <c r="L201" s="1">
        <f>L202+L203+L204+L205</f>
        <v>4131.6000000000004</v>
      </c>
      <c r="M201" s="1">
        <f>M202+M203+M204+M205</f>
        <v>0</v>
      </c>
      <c r="N201" s="1">
        <f>N202+N203+N204+N205</f>
        <v>0</v>
      </c>
      <c r="O201" s="1">
        <f>O202+O203+O204+O205</f>
        <v>0</v>
      </c>
      <c r="P201" s="60" t="s">
        <v>354</v>
      </c>
      <c r="Q201" s="69"/>
      <c r="T201" s="79"/>
    </row>
    <row r="202" spans="1:20" ht="15.6" x14ac:dyDescent="0.25">
      <c r="A202" s="105"/>
      <c r="B202" s="105"/>
      <c r="C202" s="51" t="s">
        <v>10</v>
      </c>
      <c r="D202" s="1">
        <f t="shared" ref="D202:D233" si="77">E202+F202+G202+H202+I202+J202+K202+L202+M202+N202+O202</f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20" ht="15.6" x14ac:dyDescent="0.25">
      <c r="A203" s="105"/>
      <c r="B203" s="105"/>
      <c r="C203" s="51" t="s">
        <v>11</v>
      </c>
      <c r="D203" s="1">
        <f t="shared" si="77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62"/>
      <c r="Q203" s="62"/>
    </row>
    <row r="204" spans="1:20" ht="15.6" x14ac:dyDescent="0.25">
      <c r="A204" s="105"/>
      <c r="B204" s="105"/>
      <c r="C204" s="51" t="s">
        <v>12</v>
      </c>
      <c r="D204" s="1">
        <f t="shared" si="77"/>
        <v>11112.500000000002</v>
      </c>
      <c r="E204" s="1">
        <v>0</v>
      </c>
      <c r="F204" s="1">
        <v>0</v>
      </c>
      <c r="G204" s="1">
        <v>0</v>
      </c>
      <c r="H204" s="1">
        <v>0</v>
      </c>
      <c r="I204" s="1">
        <v>1845.8</v>
      </c>
      <c r="J204" s="1">
        <f>4243-69.6+361.8</f>
        <v>4535.2</v>
      </c>
      <c r="K204" s="1">
        <f>14535.2-13935.3</f>
        <v>599.90000000000146</v>
      </c>
      <c r="L204" s="1">
        <v>4131.6000000000004</v>
      </c>
      <c r="M204" s="1">
        <v>0</v>
      </c>
      <c r="N204" s="1">
        <v>0</v>
      </c>
      <c r="O204" s="1">
        <v>0</v>
      </c>
    </row>
    <row r="205" spans="1:20" ht="24" customHeight="1" x14ac:dyDescent="0.25">
      <c r="A205" s="105"/>
      <c r="B205" s="105"/>
      <c r="C205" s="51" t="s">
        <v>13</v>
      </c>
      <c r="D205" s="1">
        <f t="shared" si="77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</row>
    <row r="206" spans="1:20" ht="15.6" x14ac:dyDescent="0.25">
      <c r="A206" s="104" t="s">
        <v>252</v>
      </c>
      <c r="B206" s="104" t="s">
        <v>256</v>
      </c>
      <c r="C206" s="51" t="s">
        <v>7</v>
      </c>
      <c r="D206" s="1">
        <f t="shared" si="77"/>
        <v>379.3</v>
      </c>
      <c r="E206" s="1">
        <f t="shared" ref="E206:J206" si="78">E207+E208+E209+E210</f>
        <v>0</v>
      </c>
      <c r="F206" s="1">
        <f t="shared" si="78"/>
        <v>0</v>
      </c>
      <c r="G206" s="1">
        <f t="shared" si="78"/>
        <v>0</v>
      </c>
      <c r="H206" s="1">
        <f t="shared" si="78"/>
        <v>0</v>
      </c>
      <c r="I206" s="1">
        <f t="shared" si="78"/>
        <v>10.3</v>
      </c>
      <c r="J206" s="1">
        <f t="shared" si="78"/>
        <v>0</v>
      </c>
      <c r="K206" s="1">
        <f>K207+K208+K209+K210</f>
        <v>369</v>
      </c>
      <c r="L206" s="1">
        <f>L207+L208+L209+L210</f>
        <v>0</v>
      </c>
      <c r="M206" s="1">
        <f>M207+M208+M209+M210</f>
        <v>0</v>
      </c>
      <c r="N206" s="1">
        <f>N207+N208+N209+N210</f>
        <v>0</v>
      </c>
      <c r="O206" s="1">
        <f>O207+O208+O209+O210</f>
        <v>0</v>
      </c>
      <c r="P206" s="64" t="s">
        <v>354</v>
      </c>
    </row>
    <row r="207" spans="1:20" ht="15.6" x14ac:dyDescent="0.25">
      <c r="A207" s="105"/>
      <c r="B207" s="105"/>
      <c r="C207" s="51" t="s">
        <v>10</v>
      </c>
      <c r="D207" s="1">
        <f t="shared" si="77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6" x14ac:dyDescent="0.25">
      <c r="A208" s="105"/>
      <c r="B208" s="105"/>
      <c r="C208" s="51" t="s">
        <v>11</v>
      </c>
      <c r="D208" s="1">
        <f t="shared" si="77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6" ht="15.6" x14ac:dyDescent="0.25">
      <c r="A209" s="105"/>
      <c r="B209" s="105"/>
      <c r="C209" s="51" t="s">
        <v>12</v>
      </c>
      <c r="D209" s="1">
        <f t="shared" si="77"/>
        <v>379.3</v>
      </c>
      <c r="E209" s="1">
        <v>0</v>
      </c>
      <c r="F209" s="1">
        <v>0</v>
      </c>
      <c r="G209" s="1">
        <v>0</v>
      </c>
      <c r="H209" s="1">
        <v>0</v>
      </c>
      <c r="I209" s="1">
        <v>10.3</v>
      </c>
      <c r="J209" s="1">
        <f>10000-10000</f>
        <v>0</v>
      </c>
      <c r="K209" s="1">
        <f>10000-1800-110-137.5-7583.5</f>
        <v>369</v>
      </c>
      <c r="L209" s="1">
        <v>0</v>
      </c>
      <c r="M209" s="1">
        <v>0</v>
      </c>
      <c r="N209" s="1">
        <v>0</v>
      </c>
      <c r="O209" s="1">
        <v>0</v>
      </c>
    </row>
    <row r="210" spans="1:16" ht="18.75" customHeight="1" x14ac:dyDescent="0.25">
      <c r="A210" s="105"/>
      <c r="B210" s="105"/>
      <c r="C210" s="58" t="s">
        <v>13</v>
      </c>
      <c r="D210" s="1">
        <f t="shared" si="77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6" x14ac:dyDescent="0.25">
      <c r="A211" s="104" t="s">
        <v>253</v>
      </c>
      <c r="B211" s="104" t="s">
        <v>292</v>
      </c>
      <c r="C211" s="51" t="s">
        <v>7</v>
      </c>
      <c r="D211" s="1">
        <f t="shared" si="77"/>
        <v>5482.5</v>
      </c>
      <c r="E211" s="1">
        <f t="shared" ref="E211:J211" si="79">E212+E213+E214+E215</f>
        <v>0</v>
      </c>
      <c r="F211" s="1">
        <f t="shared" si="79"/>
        <v>0</v>
      </c>
      <c r="G211" s="1">
        <f t="shared" si="79"/>
        <v>0</v>
      </c>
      <c r="H211" s="1">
        <f t="shared" si="79"/>
        <v>0</v>
      </c>
      <c r="I211" s="1">
        <f t="shared" si="79"/>
        <v>0</v>
      </c>
      <c r="J211" s="1">
        <f t="shared" si="79"/>
        <v>2736.5</v>
      </c>
      <c r="K211" s="1">
        <f>K212+K213+K214+K215</f>
        <v>2746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4" t="s">
        <v>354</v>
      </c>
    </row>
    <row r="212" spans="1:16" ht="15.6" x14ac:dyDescent="0.25">
      <c r="A212" s="105"/>
      <c r="B212" s="105"/>
      <c r="C212" s="51" t="s">
        <v>10</v>
      </c>
      <c r="D212" s="1">
        <f t="shared" si="77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6" x14ac:dyDescent="0.25">
      <c r="A213" s="105"/>
      <c r="B213" s="105"/>
      <c r="C213" s="51" t="s">
        <v>11</v>
      </c>
      <c r="D213" s="1">
        <f t="shared" si="77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6" x14ac:dyDescent="0.25">
      <c r="A214" s="105"/>
      <c r="B214" s="105"/>
      <c r="C214" s="51" t="s">
        <v>12</v>
      </c>
      <c r="D214" s="1">
        <f t="shared" si="77"/>
        <v>5482.5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f>2800-63.5</f>
        <v>2736.5</v>
      </c>
      <c r="K214" s="1">
        <v>2746</v>
      </c>
      <c r="L214" s="1">
        <v>0</v>
      </c>
      <c r="M214" s="1">
        <v>0</v>
      </c>
      <c r="N214" s="1">
        <v>0</v>
      </c>
      <c r="O214" s="1">
        <v>0</v>
      </c>
    </row>
    <row r="215" spans="1:16" ht="17.25" customHeight="1" x14ac:dyDescent="0.25">
      <c r="A215" s="105"/>
      <c r="B215" s="105"/>
      <c r="C215" s="58" t="s">
        <v>13</v>
      </c>
      <c r="D215" s="1">
        <f t="shared" si="77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6" x14ac:dyDescent="0.25">
      <c r="A216" s="104" t="s">
        <v>254</v>
      </c>
      <c r="B216" s="104" t="s">
        <v>416</v>
      </c>
      <c r="C216" s="51" t="s">
        <v>7</v>
      </c>
      <c r="D216" s="1">
        <f t="shared" si="77"/>
        <v>241</v>
      </c>
      <c r="E216" s="1">
        <f t="shared" ref="E216:J216" si="80">E217+E218+E219+E220</f>
        <v>0</v>
      </c>
      <c r="F216" s="1">
        <f t="shared" si="80"/>
        <v>0</v>
      </c>
      <c r="G216" s="1">
        <f t="shared" si="80"/>
        <v>0</v>
      </c>
      <c r="H216" s="1">
        <f t="shared" si="80"/>
        <v>0</v>
      </c>
      <c r="I216" s="1">
        <f t="shared" si="80"/>
        <v>0</v>
      </c>
      <c r="J216" s="1">
        <f t="shared" si="80"/>
        <v>230</v>
      </c>
      <c r="K216" s="1">
        <f>K217+K218+K219+K220</f>
        <v>0</v>
      </c>
      <c r="L216" s="1">
        <f>L217+L218+L219+L220</f>
        <v>11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</row>
    <row r="217" spans="1:16" ht="15.6" x14ac:dyDescent="0.25">
      <c r="A217" s="105"/>
      <c r="B217" s="105"/>
      <c r="C217" s="51" t="s">
        <v>10</v>
      </c>
      <c r="D217" s="1">
        <f t="shared" si="77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6" x14ac:dyDescent="0.25">
      <c r="A218" s="105"/>
      <c r="B218" s="105"/>
      <c r="C218" s="51" t="s">
        <v>11</v>
      </c>
      <c r="D218" s="1">
        <f t="shared" si="77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6" x14ac:dyDescent="0.25">
      <c r="A219" s="105"/>
      <c r="B219" s="105"/>
      <c r="C219" s="51" t="s">
        <v>12</v>
      </c>
      <c r="D219" s="1">
        <f t="shared" si="77"/>
        <v>241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8500-8500+300-65.1-4.9</f>
        <v>230</v>
      </c>
      <c r="K219" s="1">
        <v>0</v>
      </c>
      <c r="L219" s="1">
        <v>11</v>
      </c>
      <c r="M219" s="1">
        <v>0</v>
      </c>
      <c r="N219" s="1">
        <v>0</v>
      </c>
      <c r="O219" s="1">
        <v>0</v>
      </c>
    </row>
    <row r="220" spans="1:16" ht="17.25" customHeight="1" x14ac:dyDescent="0.25">
      <c r="A220" s="105"/>
      <c r="B220" s="105"/>
      <c r="C220" s="51" t="s">
        <v>13</v>
      </c>
      <c r="D220" s="1">
        <f t="shared" si="77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6" x14ac:dyDescent="0.25">
      <c r="A221" s="104" t="s">
        <v>255</v>
      </c>
      <c r="B221" s="104" t="s">
        <v>257</v>
      </c>
      <c r="C221" s="51" t="s">
        <v>7</v>
      </c>
      <c r="D221" s="1">
        <f t="shared" si="77"/>
        <v>159.99999999999997</v>
      </c>
      <c r="E221" s="1">
        <f t="shared" ref="E221:J221" si="81">E222+E223+E224+E225</f>
        <v>0</v>
      </c>
      <c r="F221" s="1">
        <f t="shared" si="81"/>
        <v>0</v>
      </c>
      <c r="G221" s="1">
        <f t="shared" si="81"/>
        <v>0</v>
      </c>
      <c r="H221" s="1">
        <f t="shared" si="81"/>
        <v>0</v>
      </c>
      <c r="I221" s="1">
        <f t="shared" si="81"/>
        <v>160</v>
      </c>
      <c r="J221" s="1">
        <f t="shared" si="81"/>
        <v>0</v>
      </c>
      <c r="K221" s="1">
        <f>K222+K223+K224+K225</f>
        <v>-2.2648549702353193E-14</v>
      </c>
      <c r="L221" s="1">
        <f>L222+L223+L224+L225</f>
        <v>0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6" x14ac:dyDescent="0.25">
      <c r="A222" s="105"/>
      <c r="B222" s="105"/>
      <c r="C222" s="51" t="s">
        <v>10</v>
      </c>
      <c r="D222" s="1">
        <f t="shared" si="77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6" x14ac:dyDescent="0.25">
      <c r="A223" s="105"/>
      <c r="B223" s="105"/>
      <c r="C223" s="51" t="s">
        <v>11</v>
      </c>
      <c r="D223" s="1">
        <f t="shared" si="77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6" x14ac:dyDescent="0.25">
      <c r="A224" s="105"/>
      <c r="B224" s="105"/>
      <c r="C224" s="51" t="s">
        <v>12</v>
      </c>
      <c r="D224" s="1">
        <f t="shared" si="77"/>
        <v>159.99999999999997</v>
      </c>
      <c r="E224" s="1">
        <v>0</v>
      </c>
      <c r="F224" s="1">
        <v>0</v>
      </c>
      <c r="G224" s="1">
        <v>0</v>
      </c>
      <c r="H224" s="1">
        <v>0</v>
      </c>
      <c r="I224" s="1">
        <v>160</v>
      </c>
      <c r="J224" s="1">
        <f>2000-600-1400</f>
        <v>0</v>
      </c>
      <c r="K224" s="1">
        <f>454.9-451-3.9</f>
        <v>-2.2648549702353193E-14</v>
      </c>
      <c r="L224" s="1">
        <v>0</v>
      </c>
      <c r="M224" s="1">
        <v>0</v>
      </c>
      <c r="N224" s="1">
        <v>0</v>
      </c>
      <c r="O224" s="1">
        <v>0</v>
      </c>
    </row>
    <row r="225" spans="1:24" ht="24" customHeight="1" x14ac:dyDescent="0.25">
      <c r="A225" s="105"/>
      <c r="B225" s="105"/>
      <c r="C225" s="58" t="s">
        <v>13</v>
      </c>
      <c r="D225" s="1">
        <f t="shared" si="77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24" ht="15.6" x14ac:dyDescent="0.25">
      <c r="A226" s="104" t="s">
        <v>271</v>
      </c>
      <c r="B226" s="102" t="s">
        <v>272</v>
      </c>
      <c r="C226" s="51" t="s">
        <v>7</v>
      </c>
      <c r="D226" s="1">
        <f t="shared" si="77"/>
        <v>1402.5</v>
      </c>
      <c r="E226" s="1">
        <f t="shared" ref="E226:J226" si="82">E227+E228+E229+E230</f>
        <v>0</v>
      </c>
      <c r="F226" s="1">
        <f t="shared" si="82"/>
        <v>0</v>
      </c>
      <c r="G226" s="1">
        <f t="shared" si="82"/>
        <v>0</v>
      </c>
      <c r="H226" s="1">
        <f t="shared" si="82"/>
        <v>0</v>
      </c>
      <c r="I226" s="1">
        <f t="shared" si="82"/>
        <v>1402.5</v>
      </c>
      <c r="J226" s="1">
        <f t="shared" si="82"/>
        <v>0</v>
      </c>
      <c r="K226" s="1">
        <f>K227+K228+K229+K230</f>
        <v>0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24" ht="15.6" x14ac:dyDescent="0.25">
      <c r="A227" s="105"/>
      <c r="B227" s="143"/>
      <c r="C227" s="51" t="s">
        <v>10</v>
      </c>
      <c r="D227" s="1">
        <f t="shared" si="77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24" ht="15.6" x14ac:dyDescent="0.25">
      <c r="A228" s="105"/>
      <c r="B228" s="143"/>
      <c r="C228" s="51" t="s">
        <v>11</v>
      </c>
      <c r="D228" s="1">
        <f t="shared" si="77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24" ht="15.6" x14ac:dyDescent="0.25">
      <c r="A229" s="105"/>
      <c r="B229" s="143"/>
      <c r="C229" s="51" t="s">
        <v>12</v>
      </c>
      <c r="D229" s="1">
        <f t="shared" si="77"/>
        <v>1402.5</v>
      </c>
      <c r="E229" s="1">
        <v>0</v>
      </c>
      <c r="F229" s="1">
        <v>0</v>
      </c>
      <c r="G229" s="1">
        <v>0</v>
      </c>
      <c r="H229" s="1">
        <v>0</v>
      </c>
      <c r="I229" s="1">
        <v>1402.5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24" ht="21.75" customHeight="1" x14ac:dyDescent="0.25">
      <c r="A230" s="105"/>
      <c r="B230" s="144"/>
      <c r="C230" s="58" t="s">
        <v>13</v>
      </c>
      <c r="D230" s="1">
        <f t="shared" si="77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24" ht="15.6" x14ac:dyDescent="0.25">
      <c r="A231" s="104" t="s">
        <v>279</v>
      </c>
      <c r="B231" s="102" t="s">
        <v>280</v>
      </c>
      <c r="C231" s="51" t="s">
        <v>7</v>
      </c>
      <c r="D231" s="1">
        <f t="shared" si="77"/>
        <v>4280.7</v>
      </c>
      <c r="E231" s="1">
        <f t="shared" ref="E231:J231" si="83">E232+E233+E234+E235</f>
        <v>0</v>
      </c>
      <c r="F231" s="1">
        <f t="shared" si="83"/>
        <v>0</v>
      </c>
      <c r="G231" s="1">
        <f t="shared" si="83"/>
        <v>0</v>
      </c>
      <c r="H231" s="1">
        <f t="shared" si="83"/>
        <v>0</v>
      </c>
      <c r="I231" s="1">
        <f t="shared" si="83"/>
        <v>4280.7</v>
      </c>
      <c r="J231" s="1">
        <f t="shared" si="83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24" ht="15.6" x14ac:dyDescent="0.25">
      <c r="A232" s="105"/>
      <c r="B232" s="143"/>
      <c r="C232" s="51" t="s">
        <v>10</v>
      </c>
      <c r="D232" s="1">
        <f t="shared" si="77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24" ht="15.6" x14ac:dyDescent="0.25">
      <c r="A233" s="105"/>
      <c r="B233" s="143"/>
      <c r="C233" s="51" t="s">
        <v>11</v>
      </c>
      <c r="D233" s="1">
        <f t="shared" si="77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24" ht="15.6" x14ac:dyDescent="0.25">
      <c r="A234" s="105"/>
      <c r="B234" s="143"/>
      <c r="C234" s="51" t="s">
        <v>12</v>
      </c>
      <c r="D234" s="1">
        <f t="shared" ref="D234:D265" si="84">E234+F234+G234+H234+I234+J234+K234+L234+M234+N234+O234</f>
        <v>4280.7</v>
      </c>
      <c r="E234" s="1">
        <v>0</v>
      </c>
      <c r="F234" s="1">
        <v>0</v>
      </c>
      <c r="G234" s="1">
        <v>0</v>
      </c>
      <c r="H234" s="1">
        <v>0</v>
      </c>
      <c r="I234" s="1">
        <v>4280.7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24" ht="23.25" customHeight="1" x14ac:dyDescent="0.25">
      <c r="A235" s="105"/>
      <c r="B235" s="144"/>
      <c r="C235" s="51" t="s">
        <v>13</v>
      </c>
      <c r="D235" s="1">
        <f t="shared" si="84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24" ht="15.6" x14ac:dyDescent="0.25">
      <c r="A236" s="104" t="s">
        <v>293</v>
      </c>
      <c r="B236" s="102" t="s">
        <v>367</v>
      </c>
      <c r="C236" s="51" t="s">
        <v>43</v>
      </c>
      <c r="D236" s="1">
        <f t="shared" si="84"/>
        <v>279696.09999999998</v>
      </c>
      <c r="E236" s="1">
        <f t="shared" ref="E236:J236" si="85">E237+E238+E239+E240</f>
        <v>0</v>
      </c>
      <c r="F236" s="1">
        <f t="shared" si="85"/>
        <v>0</v>
      </c>
      <c r="G236" s="1">
        <f t="shared" si="85"/>
        <v>0</v>
      </c>
      <c r="H236" s="1">
        <f t="shared" si="85"/>
        <v>0</v>
      </c>
      <c r="I236" s="1">
        <f t="shared" si="85"/>
        <v>0</v>
      </c>
      <c r="J236" s="1">
        <f t="shared" si="85"/>
        <v>159665.60000000001</v>
      </c>
      <c r="K236" s="1">
        <f>K237+K238+K239+K240</f>
        <v>120030.5</v>
      </c>
      <c r="L236" s="1">
        <f>L237+L238+L239+L240</f>
        <v>0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  <c r="X236" s="62"/>
    </row>
    <row r="237" spans="1:24" ht="15.6" x14ac:dyDescent="0.25">
      <c r="A237" s="105"/>
      <c r="B237" s="143"/>
      <c r="C237" s="51" t="s">
        <v>10</v>
      </c>
      <c r="D237" s="1">
        <f t="shared" si="84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24" ht="15.6" x14ac:dyDescent="0.25">
      <c r="A238" s="105"/>
      <c r="B238" s="143"/>
      <c r="C238" s="51" t="s">
        <v>11</v>
      </c>
      <c r="D238" s="1">
        <f t="shared" si="84"/>
        <v>279696.09999999998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159665.60000000001</v>
      </c>
      <c r="K238" s="1">
        <f>173506.2-22060.2-31415.5</f>
        <v>120030.5</v>
      </c>
      <c r="L238" s="1">
        <f>151446-151446</f>
        <v>0</v>
      </c>
      <c r="M238" s="1">
        <f t="shared" ref="M238:N238" si="86">151446-151446</f>
        <v>0</v>
      </c>
      <c r="N238" s="1">
        <f t="shared" si="86"/>
        <v>0</v>
      </c>
      <c r="O238" s="1">
        <v>0</v>
      </c>
    </row>
    <row r="239" spans="1:24" ht="15.6" x14ac:dyDescent="0.25">
      <c r="A239" s="105"/>
      <c r="B239" s="143"/>
      <c r="C239" s="51" t="s">
        <v>12</v>
      </c>
      <c r="D239" s="1">
        <f t="shared" si="84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24" ht="24" customHeight="1" x14ac:dyDescent="0.25">
      <c r="A240" s="105"/>
      <c r="B240" s="144"/>
      <c r="C240" s="58" t="s">
        <v>13</v>
      </c>
      <c r="D240" s="1">
        <f t="shared" si="84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 ht="15.6" x14ac:dyDescent="0.25">
      <c r="A241" s="104" t="s">
        <v>299</v>
      </c>
      <c r="B241" s="104" t="s">
        <v>305</v>
      </c>
      <c r="C241" s="51" t="s">
        <v>7</v>
      </c>
      <c r="D241" s="1">
        <f t="shared" si="84"/>
        <v>1528</v>
      </c>
      <c r="E241" s="1">
        <f t="shared" ref="E241:J241" si="87">E242+E243+E244+E245</f>
        <v>0</v>
      </c>
      <c r="F241" s="1">
        <f t="shared" si="87"/>
        <v>0</v>
      </c>
      <c r="G241" s="1">
        <f t="shared" si="87"/>
        <v>0</v>
      </c>
      <c r="H241" s="1">
        <f t="shared" si="87"/>
        <v>0</v>
      </c>
      <c r="I241" s="1">
        <f t="shared" si="87"/>
        <v>1528</v>
      </c>
      <c r="J241" s="1">
        <f t="shared" si="87"/>
        <v>0</v>
      </c>
      <c r="K241" s="1">
        <f>K242+K243+K244+K245</f>
        <v>0</v>
      </c>
      <c r="L241" s="1">
        <f>L242+L243+L244+L245</f>
        <v>0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</row>
    <row r="242" spans="1:15" ht="15.6" x14ac:dyDescent="0.25">
      <c r="A242" s="105"/>
      <c r="B242" s="105"/>
      <c r="C242" s="51" t="s">
        <v>10</v>
      </c>
      <c r="D242" s="1">
        <f t="shared" si="84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15.6" x14ac:dyDescent="0.25">
      <c r="A243" s="105"/>
      <c r="B243" s="105"/>
      <c r="C243" s="51" t="s">
        <v>11</v>
      </c>
      <c r="D243" s="1">
        <f t="shared" si="84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</row>
    <row r="244" spans="1:15" ht="15.6" x14ac:dyDescent="0.25">
      <c r="A244" s="105"/>
      <c r="B244" s="105"/>
      <c r="C244" s="51" t="s">
        <v>12</v>
      </c>
      <c r="D244" s="1">
        <f t="shared" si="84"/>
        <v>1528</v>
      </c>
      <c r="E244" s="1">
        <v>0</v>
      </c>
      <c r="F244" s="1">
        <v>0</v>
      </c>
      <c r="G244" s="1">
        <v>0</v>
      </c>
      <c r="H244" s="1">
        <v>0</v>
      </c>
      <c r="I244" s="1">
        <v>1528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24.75" customHeight="1" x14ac:dyDescent="0.25">
      <c r="A245" s="105"/>
      <c r="B245" s="105"/>
      <c r="C245" s="58" t="s">
        <v>13</v>
      </c>
      <c r="D245" s="1">
        <f t="shared" si="84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ht="42" customHeight="1" x14ac:dyDescent="0.25">
      <c r="A246" s="104" t="s">
        <v>301</v>
      </c>
      <c r="B246" s="104" t="s">
        <v>372</v>
      </c>
      <c r="C246" s="51" t="s">
        <v>7</v>
      </c>
      <c r="D246" s="1">
        <f t="shared" si="84"/>
        <v>50891.799999999996</v>
      </c>
      <c r="E246" s="1">
        <f t="shared" ref="E246:J246" si="88">E247+E248+E249+E250</f>
        <v>0</v>
      </c>
      <c r="F246" s="1">
        <f t="shared" si="88"/>
        <v>0</v>
      </c>
      <c r="G246" s="1">
        <f t="shared" si="88"/>
        <v>0</v>
      </c>
      <c r="H246" s="1">
        <f t="shared" si="88"/>
        <v>0</v>
      </c>
      <c r="I246" s="1">
        <f t="shared" si="88"/>
        <v>0</v>
      </c>
      <c r="J246" s="1">
        <f t="shared" si="88"/>
        <v>50891.799999999996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15" ht="19.5" customHeight="1" x14ac:dyDescent="0.25">
      <c r="A247" s="105"/>
      <c r="B247" s="105"/>
      <c r="C247" s="51" t="s">
        <v>10</v>
      </c>
      <c r="D247" s="1">
        <f t="shared" si="84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ht="15.6" x14ac:dyDescent="0.25">
      <c r="A248" s="105"/>
      <c r="B248" s="105"/>
      <c r="C248" s="51" t="s">
        <v>11</v>
      </c>
      <c r="D248" s="1">
        <f t="shared" si="84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 ht="15.6" x14ac:dyDescent="0.25">
      <c r="A249" s="105"/>
      <c r="B249" s="105"/>
      <c r="C249" s="51" t="s">
        <v>12</v>
      </c>
      <c r="D249" s="1">
        <f t="shared" si="84"/>
        <v>50891.799999999996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f>58078.1-10000+10000-9132.4+146.1+1800</f>
        <v>50891.799999999996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29.25" customHeight="1" x14ac:dyDescent="0.25">
      <c r="A250" s="105"/>
      <c r="B250" s="105"/>
      <c r="C250" s="58" t="s">
        <v>13</v>
      </c>
      <c r="D250" s="1">
        <f t="shared" si="84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ht="15.6" hidden="1" x14ac:dyDescent="0.25">
      <c r="A251" s="104"/>
      <c r="B251" s="102" t="s">
        <v>320</v>
      </c>
      <c r="C251" s="51" t="s">
        <v>7</v>
      </c>
      <c r="D251" s="1">
        <f t="shared" si="84"/>
        <v>0</v>
      </c>
      <c r="E251" s="1">
        <f t="shared" ref="E251:J251" si="89">E252+E253+E254+E255</f>
        <v>0</v>
      </c>
      <c r="F251" s="1">
        <f t="shared" si="89"/>
        <v>0</v>
      </c>
      <c r="G251" s="1">
        <f t="shared" si="89"/>
        <v>0</v>
      </c>
      <c r="H251" s="1">
        <f t="shared" si="89"/>
        <v>0</v>
      </c>
      <c r="I251" s="1">
        <f t="shared" si="89"/>
        <v>0</v>
      </c>
      <c r="J251" s="1">
        <f t="shared" si="89"/>
        <v>0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15" ht="15.6" hidden="1" x14ac:dyDescent="0.25">
      <c r="A252" s="105"/>
      <c r="B252" s="143"/>
      <c r="C252" s="51" t="s">
        <v>10</v>
      </c>
      <c r="D252" s="1">
        <f t="shared" si="84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ht="15.6" hidden="1" x14ac:dyDescent="0.25">
      <c r="A253" s="105"/>
      <c r="B253" s="143"/>
      <c r="C253" s="51" t="s">
        <v>11</v>
      </c>
      <c r="D253" s="1">
        <f t="shared" si="84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15" ht="15.6" hidden="1" x14ac:dyDescent="0.25">
      <c r="A254" s="105"/>
      <c r="B254" s="143"/>
      <c r="C254" s="51" t="s">
        <v>12</v>
      </c>
      <c r="D254" s="1">
        <f t="shared" si="84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21.75" hidden="1" customHeight="1" x14ac:dyDescent="0.25">
      <c r="A255" s="105"/>
      <c r="B255" s="144"/>
      <c r="C255" s="58" t="s">
        <v>13</v>
      </c>
      <c r="D255" s="1">
        <f t="shared" si="84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5.6" x14ac:dyDescent="0.25">
      <c r="A256" s="104" t="s">
        <v>304</v>
      </c>
      <c r="B256" s="102" t="s">
        <v>323</v>
      </c>
      <c r="C256" s="58" t="s">
        <v>7</v>
      </c>
      <c r="D256" s="1">
        <f t="shared" si="84"/>
        <v>1919</v>
      </c>
      <c r="E256" s="1">
        <f t="shared" ref="E256:J256" si="90">E257+E258+E259+E260</f>
        <v>0</v>
      </c>
      <c r="F256" s="1">
        <f t="shared" si="90"/>
        <v>0</v>
      </c>
      <c r="G256" s="1">
        <f t="shared" si="90"/>
        <v>0</v>
      </c>
      <c r="H256" s="1">
        <f t="shared" si="90"/>
        <v>0</v>
      </c>
      <c r="I256" s="1">
        <f t="shared" si="90"/>
        <v>0</v>
      </c>
      <c r="J256" s="1">
        <f t="shared" si="90"/>
        <v>1919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6" ht="15.6" x14ac:dyDescent="0.25">
      <c r="A257" s="105"/>
      <c r="B257" s="143"/>
      <c r="C257" s="58" t="s">
        <v>10</v>
      </c>
      <c r="D257" s="1">
        <f t="shared" si="84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6" ht="15.6" x14ac:dyDescent="0.25">
      <c r="A258" s="105"/>
      <c r="B258" s="143"/>
      <c r="C258" s="58" t="s">
        <v>11</v>
      </c>
      <c r="D258" s="1">
        <f t="shared" si="84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6" ht="15.6" x14ac:dyDescent="0.25">
      <c r="A259" s="105"/>
      <c r="B259" s="143"/>
      <c r="C259" s="58" t="s">
        <v>12</v>
      </c>
      <c r="D259" s="1">
        <f t="shared" si="84"/>
        <v>1919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f>2000-81</f>
        <v>1919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23.25" customHeight="1" x14ac:dyDescent="0.25">
      <c r="A260" s="105"/>
      <c r="B260" s="144"/>
      <c r="C260" s="58" t="s">
        <v>13</v>
      </c>
      <c r="D260" s="1">
        <f t="shared" si="84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6" ht="15.6" x14ac:dyDescent="0.25">
      <c r="A261" s="104" t="s">
        <v>319</v>
      </c>
      <c r="B261" s="102" t="s">
        <v>324</v>
      </c>
      <c r="C261" s="58" t="s">
        <v>7</v>
      </c>
      <c r="D261" s="1">
        <f t="shared" si="84"/>
        <v>15546.3</v>
      </c>
      <c r="E261" s="1">
        <f t="shared" ref="E261:J261" si="91">E262+E263+E264+E265</f>
        <v>0</v>
      </c>
      <c r="F261" s="1">
        <f t="shared" si="91"/>
        <v>0</v>
      </c>
      <c r="G261" s="1">
        <f t="shared" si="91"/>
        <v>0</v>
      </c>
      <c r="H261" s="1">
        <f t="shared" si="91"/>
        <v>0</v>
      </c>
      <c r="I261" s="1">
        <f t="shared" si="91"/>
        <v>0</v>
      </c>
      <c r="J261" s="1">
        <f t="shared" si="91"/>
        <v>7794.2999999999993</v>
      </c>
      <c r="K261" s="1">
        <f>K262+K263+K264+K265</f>
        <v>7752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6" ht="16.5" customHeight="1" x14ac:dyDescent="0.25">
      <c r="A262" s="105"/>
      <c r="B262" s="143"/>
      <c r="C262" s="51" t="s">
        <v>10</v>
      </c>
      <c r="D262" s="1">
        <f t="shared" si="84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6" ht="16.5" customHeight="1" x14ac:dyDescent="0.25">
      <c r="A263" s="105"/>
      <c r="B263" s="143"/>
      <c r="C263" s="51" t="s">
        <v>11</v>
      </c>
      <c r="D263" s="1">
        <f t="shared" si="84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6" ht="16.5" customHeight="1" x14ac:dyDescent="0.25">
      <c r="A264" s="105"/>
      <c r="B264" s="143"/>
      <c r="C264" s="51" t="s">
        <v>12</v>
      </c>
      <c r="D264" s="1">
        <f t="shared" si="84"/>
        <v>15546.3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8000-205.6-0.1</f>
        <v>7794.2999999999993</v>
      </c>
      <c r="K264" s="1">
        <f>8000-300+52</f>
        <v>7752</v>
      </c>
      <c r="L264" s="1">
        <v>0</v>
      </c>
      <c r="M264" s="1">
        <v>0</v>
      </c>
      <c r="N264" s="1">
        <v>0</v>
      </c>
      <c r="O264" s="1">
        <v>0</v>
      </c>
    </row>
    <row r="265" spans="1:16" ht="27.75" customHeight="1" x14ac:dyDescent="0.25">
      <c r="A265" s="105"/>
      <c r="B265" s="144"/>
      <c r="C265" s="58" t="s">
        <v>13</v>
      </c>
      <c r="D265" s="1">
        <f t="shared" si="84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6" ht="15.6" x14ac:dyDescent="0.25">
      <c r="A266" s="104" t="s">
        <v>321</v>
      </c>
      <c r="B266" s="104" t="s">
        <v>339</v>
      </c>
      <c r="C266" s="58" t="s">
        <v>7</v>
      </c>
      <c r="D266" s="1">
        <f t="shared" ref="D266:D275" si="92">E266+F266+G266+H266+I266+J266+K266+L266+M266+N266+O266</f>
        <v>9202</v>
      </c>
      <c r="E266" s="1">
        <f t="shared" ref="E266:J266" si="93">E267+E268+E269+E270</f>
        <v>0</v>
      </c>
      <c r="F266" s="1">
        <f t="shared" si="93"/>
        <v>0</v>
      </c>
      <c r="G266" s="1">
        <f t="shared" si="93"/>
        <v>0</v>
      </c>
      <c r="H266" s="1">
        <f t="shared" si="93"/>
        <v>0</v>
      </c>
      <c r="I266" s="1">
        <f t="shared" si="93"/>
        <v>0</v>
      </c>
      <c r="J266" s="1">
        <f t="shared" si="93"/>
        <v>9202</v>
      </c>
      <c r="K266" s="1">
        <f>K267+K268+K269+K270</f>
        <v>0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6" ht="16.5" customHeight="1" x14ac:dyDescent="0.25">
      <c r="A267" s="105"/>
      <c r="B267" s="105"/>
      <c r="C267" s="51" t="s">
        <v>10</v>
      </c>
      <c r="D267" s="1">
        <f t="shared" si="92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6" ht="16.5" customHeight="1" x14ac:dyDescent="0.25">
      <c r="A268" s="105"/>
      <c r="B268" s="105"/>
      <c r="C268" s="51" t="s">
        <v>11</v>
      </c>
      <c r="D268" s="1">
        <f t="shared" si="92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6" ht="16.5" customHeight="1" x14ac:dyDescent="0.25">
      <c r="A269" s="105"/>
      <c r="B269" s="105"/>
      <c r="C269" s="51" t="s">
        <v>12</v>
      </c>
      <c r="D269" s="1">
        <f t="shared" si="92"/>
        <v>9202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10000-798</f>
        <v>9202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6" ht="24.75" customHeight="1" x14ac:dyDescent="0.25">
      <c r="A270" s="105"/>
      <c r="B270" s="105"/>
      <c r="C270" s="58" t="s">
        <v>13</v>
      </c>
      <c r="D270" s="1">
        <f t="shared" si="92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6" ht="41.25" customHeight="1" x14ac:dyDescent="0.25">
      <c r="A271" s="104" t="s">
        <v>322</v>
      </c>
      <c r="B271" s="104" t="s">
        <v>373</v>
      </c>
      <c r="C271" s="58" t="s">
        <v>7</v>
      </c>
      <c r="D271" s="1">
        <f t="shared" si="92"/>
        <v>8744.6</v>
      </c>
      <c r="E271" s="1">
        <f t="shared" ref="E271:J271" si="94">E272+E273+E274+E275</f>
        <v>0</v>
      </c>
      <c r="F271" s="1">
        <f t="shared" si="94"/>
        <v>0</v>
      </c>
      <c r="G271" s="1">
        <f t="shared" si="94"/>
        <v>0</v>
      </c>
      <c r="H271" s="1">
        <f>H272+H273+H274+H275</f>
        <v>0</v>
      </c>
      <c r="I271" s="1">
        <f t="shared" si="94"/>
        <v>0</v>
      </c>
      <c r="J271" s="1">
        <f t="shared" si="94"/>
        <v>8679.5</v>
      </c>
      <c r="K271" s="1">
        <f>K272+K273+K274+K275</f>
        <v>65.099999999999994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  <c r="P271" s="64" t="s">
        <v>348</v>
      </c>
    </row>
    <row r="272" spans="1:16" ht="16.5" customHeight="1" x14ac:dyDescent="0.25">
      <c r="A272" s="105"/>
      <c r="B272" s="105"/>
      <c r="C272" s="51" t="s">
        <v>10</v>
      </c>
      <c r="D272" s="1">
        <f t="shared" si="92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5">
      <c r="A273" s="105"/>
      <c r="B273" s="105"/>
      <c r="C273" s="51" t="s">
        <v>11</v>
      </c>
      <c r="D273" s="1">
        <f t="shared" si="92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5">
      <c r="A274" s="105"/>
      <c r="B274" s="105"/>
      <c r="C274" s="51" t="s">
        <v>12</v>
      </c>
      <c r="D274" s="1">
        <f t="shared" si="92"/>
        <v>8744.6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8846.9-23.4-144</f>
        <v>8679.5</v>
      </c>
      <c r="K274" s="1">
        <f>0+65.1</f>
        <v>65.099999999999994</v>
      </c>
      <c r="L274" s="1">
        <v>0</v>
      </c>
      <c r="M274" s="1">
        <v>0</v>
      </c>
      <c r="N274" s="1">
        <v>0</v>
      </c>
      <c r="O274" s="1">
        <v>0</v>
      </c>
    </row>
    <row r="275" spans="1:24" ht="16.5" customHeight="1" x14ac:dyDescent="0.25">
      <c r="A275" s="105"/>
      <c r="B275" s="105"/>
      <c r="C275" s="58" t="s">
        <v>13</v>
      </c>
      <c r="D275" s="1">
        <f t="shared" si="92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2" hidden="1" customHeight="1" x14ac:dyDescent="0.25">
      <c r="A276" s="104" t="s">
        <v>429</v>
      </c>
      <c r="B276" s="104" t="s">
        <v>379</v>
      </c>
      <c r="C276" s="58" t="s">
        <v>7</v>
      </c>
      <c r="D276" s="1">
        <f t="shared" ref="D276:D297" si="95">E276+F276+G276+H276+I276+J276+K276+L276+M276+N276+O276</f>
        <v>0</v>
      </c>
      <c r="E276" s="1">
        <f t="shared" ref="E276:O276" si="96">E277+E278+E279+E280</f>
        <v>0</v>
      </c>
      <c r="F276" s="1">
        <f t="shared" si="96"/>
        <v>0</v>
      </c>
      <c r="G276" s="1">
        <f t="shared" si="96"/>
        <v>0</v>
      </c>
      <c r="H276" s="1">
        <f t="shared" si="96"/>
        <v>0</v>
      </c>
      <c r="I276" s="1">
        <f t="shared" si="96"/>
        <v>0</v>
      </c>
      <c r="J276" s="1">
        <f t="shared" si="96"/>
        <v>0</v>
      </c>
      <c r="K276" s="1">
        <f t="shared" si="96"/>
        <v>0</v>
      </c>
      <c r="L276" s="1">
        <f t="shared" si="96"/>
        <v>0</v>
      </c>
      <c r="M276" s="1">
        <f t="shared" si="96"/>
        <v>0</v>
      </c>
      <c r="N276" s="1">
        <f t="shared" si="96"/>
        <v>0</v>
      </c>
      <c r="O276" s="1">
        <f t="shared" si="96"/>
        <v>0</v>
      </c>
    </row>
    <row r="277" spans="1:24" ht="16.5" hidden="1" customHeight="1" x14ac:dyDescent="0.25">
      <c r="A277" s="105"/>
      <c r="B277" s="105"/>
      <c r="C277" s="51" t="s">
        <v>10</v>
      </c>
      <c r="D277" s="1">
        <f t="shared" si="95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hidden="1" customHeight="1" x14ac:dyDescent="0.25">
      <c r="A278" s="105"/>
      <c r="B278" s="105"/>
      <c r="C278" s="51" t="s">
        <v>11</v>
      </c>
      <c r="D278" s="1">
        <f t="shared" si="95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f>23500-23500</f>
        <v>0</v>
      </c>
      <c r="M278" s="1">
        <v>0</v>
      </c>
      <c r="N278" s="1">
        <v>0</v>
      </c>
      <c r="O278" s="1">
        <v>0</v>
      </c>
      <c r="X278" s="64" t="s">
        <v>427</v>
      </c>
    </row>
    <row r="279" spans="1:24" ht="16.5" hidden="1" customHeight="1" x14ac:dyDescent="0.25">
      <c r="A279" s="105"/>
      <c r="B279" s="105"/>
      <c r="C279" s="51" t="s">
        <v>12</v>
      </c>
      <c r="D279" s="1">
        <f t="shared" si="95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f>1500-1500</f>
        <v>0</v>
      </c>
      <c r="M279" s="1">
        <v>0</v>
      </c>
      <c r="N279" s="1">
        <v>0</v>
      </c>
      <c r="O279" s="1">
        <v>0</v>
      </c>
    </row>
    <row r="280" spans="1:24" ht="23.25" hidden="1" customHeight="1" x14ac:dyDescent="0.25">
      <c r="A280" s="105"/>
      <c r="B280" s="105"/>
      <c r="C280" s="58" t="s">
        <v>13</v>
      </c>
      <c r="D280" s="1">
        <f t="shared" si="95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15.6" x14ac:dyDescent="0.25">
      <c r="A281" s="104" t="s">
        <v>336</v>
      </c>
      <c r="B281" s="104" t="s">
        <v>366</v>
      </c>
      <c r="C281" s="58" t="s">
        <v>7</v>
      </c>
      <c r="D281" s="1">
        <f t="shared" si="95"/>
        <v>589.1</v>
      </c>
      <c r="E281" s="1">
        <f t="shared" ref="E281:O281" si="97">E282+E283+E284+E285</f>
        <v>0</v>
      </c>
      <c r="F281" s="1">
        <f t="shared" si="97"/>
        <v>0</v>
      </c>
      <c r="G281" s="1">
        <f t="shared" si="97"/>
        <v>0</v>
      </c>
      <c r="H281" s="1">
        <f t="shared" si="97"/>
        <v>0</v>
      </c>
      <c r="I281" s="1">
        <f t="shared" si="97"/>
        <v>0</v>
      </c>
      <c r="J281" s="1">
        <f t="shared" si="97"/>
        <v>0</v>
      </c>
      <c r="K281" s="1">
        <f t="shared" si="97"/>
        <v>589.1</v>
      </c>
      <c r="L281" s="1">
        <f t="shared" si="97"/>
        <v>0</v>
      </c>
      <c r="M281" s="1">
        <f t="shared" si="97"/>
        <v>0</v>
      </c>
      <c r="N281" s="1">
        <f t="shared" si="97"/>
        <v>0</v>
      </c>
      <c r="O281" s="1">
        <f t="shared" si="97"/>
        <v>0</v>
      </c>
    </row>
    <row r="282" spans="1:24" ht="16.5" customHeight="1" x14ac:dyDescent="0.25">
      <c r="A282" s="105"/>
      <c r="B282" s="105"/>
      <c r="C282" s="51" t="s">
        <v>10</v>
      </c>
      <c r="D282" s="1">
        <f t="shared" si="95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customHeight="1" x14ac:dyDescent="0.25">
      <c r="A283" s="105"/>
      <c r="B283" s="105"/>
      <c r="C283" s="51" t="s">
        <v>11</v>
      </c>
      <c r="D283" s="1">
        <f t="shared" si="95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24" ht="16.5" customHeight="1" x14ac:dyDescent="0.25">
      <c r="A284" s="105"/>
      <c r="B284" s="105"/>
      <c r="C284" s="51" t="s">
        <v>12</v>
      </c>
      <c r="D284" s="1">
        <f t="shared" si="95"/>
        <v>589.1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f>2000-65.1-1345.7-0.1</f>
        <v>589.1</v>
      </c>
      <c r="L284" s="1">
        <v>0</v>
      </c>
      <c r="M284" s="1">
        <v>0</v>
      </c>
      <c r="N284" s="1">
        <v>0</v>
      </c>
      <c r="O284" s="1">
        <v>0</v>
      </c>
    </row>
    <row r="285" spans="1:24" ht="24" customHeight="1" x14ac:dyDescent="0.25">
      <c r="A285" s="105"/>
      <c r="B285" s="105"/>
      <c r="C285" s="58" t="s">
        <v>13</v>
      </c>
      <c r="D285" s="1">
        <f t="shared" si="95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6" hidden="1" x14ac:dyDescent="0.25">
      <c r="A286" s="104"/>
      <c r="B286" s="104" t="s">
        <v>390</v>
      </c>
      <c r="C286" s="58" t="s">
        <v>7</v>
      </c>
      <c r="D286" s="1">
        <f t="shared" si="95"/>
        <v>0</v>
      </c>
      <c r="E286" s="1">
        <f t="shared" ref="E286:O287" si="98">E287+E288+E289+E290</f>
        <v>0</v>
      </c>
      <c r="F286" s="1">
        <f t="shared" si="98"/>
        <v>0</v>
      </c>
      <c r="G286" s="1">
        <f t="shared" si="98"/>
        <v>0</v>
      </c>
      <c r="H286" s="1">
        <f t="shared" si="98"/>
        <v>0</v>
      </c>
      <c r="I286" s="1">
        <f t="shared" si="98"/>
        <v>0</v>
      </c>
      <c r="J286" s="1">
        <f t="shared" si="98"/>
        <v>0</v>
      </c>
      <c r="K286" s="1">
        <f t="shared" si="98"/>
        <v>0</v>
      </c>
      <c r="L286" s="1">
        <f t="shared" si="98"/>
        <v>0</v>
      </c>
      <c r="M286" s="1">
        <f t="shared" si="98"/>
        <v>0</v>
      </c>
      <c r="N286" s="1">
        <f t="shared" si="98"/>
        <v>0</v>
      </c>
      <c r="O286" s="1">
        <f t="shared" si="98"/>
        <v>0</v>
      </c>
    </row>
    <row r="287" spans="1:24" ht="16.5" hidden="1" customHeight="1" x14ac:dyDescent="0.25">
      <c r="A287" s="105"/>
      <c r="B287" s="105"/>
      <c r="C287" s="51" t="s">
        <v>10</v>
      </c>
      <c r="D287" s="1">
        <f t="shared" si="95"/>
        <v>0</v>
      </c>
      <c r="E287" s="1">
        <f t="shared" si="98"/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hidden="1" customHeight="1" x14ac:dyDescent="0.25">
      <c r="A288" s="105"/>
      <c r="B288" s="105"/>
      <c r="C288" s="51" t="s">
        <v>11</v>
      </c>
      <c r="D288" s="1">
        <f t="shared" si="95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hidden="1" customHeight="1" x14ac:dyDescent="0.25">
      <c r="A289" s="105"/>
      <c r="B289" s="105"/>
      <c r="C289" s="51" t="s">
        <v>12</v>
      </c>
      <c r="D289" s="1">
        <f t="shared" si="95"/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24" ht="21.75" hidden="1" customHeight="1" x14ac:dyDescent="0.25">
      <c r="A290" s="105"/>
      <c r="B290" s="105"/>
      <c r="C290" s="58" t="s">
        <v>13</v>
      </c>
      <c r="D290" s="1">
        <f t="shared" si="95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6" hidden="1" x14ac:dyDescent="0.25">
      <c r="A291" s="104"/>
      <c r="B291" s="104" t="s">
        <v>300</v>
      </c>
      <c r="C291" s="58" t="s">
        <v>7</v>
      </c>
      <c r="D291" s="1">
        <f t="shared" si="95"/>
        <v>0</v>
      </c>
      <c r="E291" s="1">
        <f t="shared" ref="E291:O291" si="99">E292+E293+E294+E295</f>
        <v>0</v>
      </c>
      <c r="F291" s="1">
        <f t="shared" si="99"/>
        <v>0</v>
      </c>
      <c r="G291" s="1">
        <f t="shared" si="99"/>
        <v>0</v>
      </c>
      <c r="H291" s="1">
        <f t="shared" si="99"/>
        <v>0</v>
      </c>
      <c r="I291" s="1">
        <f t="shared" si="99"/>
        <v>0</v>
      </c>
      <c r="J291" s="1">
        <f t="shared" si="99"/>
        <v>0</v>
      </c>
      <c r="K291" s="1">
        <f t="shared" si="99"/>
        <v>0</v>
      </c>
      <c r="L291" s="1">
        <f t="shared" si="99"/>
        <v>0</v>
      </c>
      <c r="M291" s="1">
        <f t="shared" si="99"/>
        <v>0</v>
      </c>
      <c r="N291" s="1">
        <f t="shared" si="99"/>
        <v>0</v>
      </c>
      <c r="O291" s="1">
        <f t="shared" si="99"/>
        <v>0</v>
      </c>
    </row>
    <row r="292" spans="1:24" ht="16.5" hidden="1" customHeight="1" x14ac:dyDescent="0.25">
      <c r="A292" s="105"/>
      <c r="B292" s="105"/>
      <c r="C292" s="51" t="s">
        <v>10</v>
      </c>
      <c r="D292" s="1">
        <f t="shared" si="95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5">
      <c r="A293" s="105"/>
      <c r="B293" s="105"/>
      <c r="C293" s="51" t="s">
        <v>11</v>
      </c>
      <c r="D293" s="1">
        <f t="shared" si="95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5">
      <c r="A294" s="105"/>
      <c r="B294" s="105"/>
      <c r="C294" s="51" t="s">
        <v>12</v>
      </c>
      <c r="D294" s="1">
        <f t="shared" si="95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f>4000-4000</f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4" hidden="1" customHeight="1" x14ac:dyDescent="0.25">
      <c r="A295" s="105"/>
      <c r="B295" s="105"/>
      <c r="C295" s="58" t="s">
        <v>13</v>
      </c>
      <c r="D295" s="1">
        <f t="shared" si="95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s="8" customFormat="1" ht="24.75" customHeight="1" x14ac:dyDescent="0.25">
      <c r="A296" s="102" t="s">
        <v>338</v>
      </c>
      <c r="B296" s="102" t="s">
        <v>375</v>
      </c>
      <c r="C296" s="58" t="s">
        <v>7</v>
      </c>
      <c r="D296" s="1">
        <f t="shared" si="95"/>
        <v>75259.7</v>
      </c>
      <c r="E296" s="1">
        <f>E297+E298+E299+E300</f>
        <v>0</v>
      </c>
      <c r="F296" s="1">
        <f t="shared" ref="F296:O296" si="100">F297+F298+F299+F300</f>
        <v>0</v>
      </c>
      <c r="G296" s="1">
        <f t="shared" si="100"/>
        <v>0</v>
      </c>
      <c r="H296" s="1">
        <f t="shared" si="100"/>
        <v>0</v>
      </c>
      <c r="I296" s="1">
        <f t="shared" si="100"/>
        <v>0</v>
      </c>
      <c r="J296" s="1">
        <f t="shared" si="100"/>
        <v>0</v>
      </c>
      <c r="K296" s="1">
        <f t="shared" si="100"/>
        <v>75259.7</v>
      </c>
      <c r="L296" s="1">
        <f t="shared" si="100"/>
        <v>0</v>
      </c>
      <c r="M296" s="1">
        <f t="shared" si="100"/>
        <v>0</v>
      </c>
      <c r="N296" s="1">
        <f t="shared" si="100"/>
        <v>0</v>
      </c>
      <c r="O296" s="1">
        <f t="shared" si="100"/>
        <v>0</v>
      </c>
    </row>
    <row r="297" spans="1:24" s="8" customFormat="1" ht="24.75" customHeight="1" x14ac:dyDescent="0.25">
      <c r="A297" s="117"/>
      <c r="B297" s="117"/>
      <c r="C297" s="51" t="s">
        <v>10</v>
      </c>
      <c r="D297" s="1">
        <f t="shared" si="95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s="8" customFormat="1" ht="24.75" customHeight="1" x14ac:dyDescent="0.25">
      <c r="A298" s="117"/>
      <c r="B298" s="117"/>
      <c r="C298" s="51" t="s">
        <v>11</v>
      </c>
      <c r="D298" s="1">
        <f>E298+F298+G298+H298+I298+J298+K298+L298+M298+N298+O298</f>
        <v>75259.7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f>139260-42274.5-21725.8</f>
        <v>75259.7</v>
      </c>
      <c r="L298" s="1">
        <f>44738.1-44738.1</f>
        <v>0</v>
      </c>
      <c r="M298" s="1">
        <f t="shared" ref="M298:N298" si="101">44738.1-44738.1</f>
        <v>0</v>
      </c>
      <c r="N298" s="1">
        <f t="shared" si="101"/>
        <v>0</v>
      </c>
      <c r="O298" s="1">
        <v>0</v>
      </c>
      <c r="X298" s="81"/>
    </row>
    <row r="299" spans="1:24" s="8" customFormat="1" ht="24.75" customHeight="1" x14ac:dyDescent="0.25">
      <c r="A299" s="117"/>
      <c r="B299" s="117"/>
      <c r="C299" s="51" t="s">
        <v>12</v>
      </c>
      <c r="D299" s="1">
        <f t="shared" ref="D299:D305" si="102">E299+F299+G299+H299+I299+J299+K299+L299+M299+N299+O299</f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s="8" customFormat="1" ht="24.75" customHeight="1" x14ac:dyDescent="0.25">
      <c r="A300" s="103"/>
      <c r="B300" s="103"/>
      <c r="C300" s="58" t="s">
        <v>13</v>
      </c>
      <c r="D300" s="1">
        <f t="shared" si="102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2.5" customHeight="1" x14ac:dyDescent="0.25">
      <c r="A301" s="104" t="s">
        <v>345</v>
      </c>
      <c r="B301" s="104" t="s">
        <v>382</v>
      </c>
      <c r="C301" s="51" t="s">
        <v>7</v>
      </c>
      <c r="D301" s="1">
        <f t="shared" si="102"/>
        <v>553.4</v>
      </c>
      <c r="E301" s="1">
        <f>E302+E303+E304+E305</f>
        <v>0</v>
      </c>
      <c r="F301" s="1">
        <f t="shared" ref="F301:L301" si="103">F302+F303+F304+F305</f>
        <v>0</v>
      </c>
      <c r="G301" s="1">
        <f t="shared" si="103"/>
        <v>0</v>
      </c>
      <c r="H301" s="1">
        <f t="shared" si="103"/>
        <v>0</v>
      </c>
      <c r="I301" s="1">
        <f t="shared" si="103"/>
        <v>0</v>
      </c>
      <c r="J301" s="1">
        <f t="shared" si="103"/>
        <v>0</v>
      </c>
      <c r="K301" s="1">
        <f t="shared" si="103"/>
        <v>553.4</v>
      </c>
      <c r="L301" s="1">
        <f t="shared" si="103"/>
        <v>0</v>
      </c>
      <c r="M301" s="1">
        <f t="shared" ref="M301" si="104">M302+M303+M304+M305</f>
        <v>0</v>
      </c>
      <c r="N301" s="1">
        <f t="shared" ref="N301" si="105">N302+N303+N304+N305</f>
        <v>0</v>
      </c>
      <c r="O301" s="1">
        <f t="shared" ref="O301" si="106">O302+O303+O304+O305</f>
        <v>0</v>
      </c>
    </row>
    <row r="302" spans="1:24" s="8" customFormat="1" ht="22.5" customHeight="1" x14ac:dyDescent="0.25">
      <c r="A302" s="105"/>
      <c r="B302" s="104"/>
      <c r="C302" s="58" t="s">
        <v>10</v>
      </c>
      <c r="D302" s="1">
        <f t="shared" si="102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2.5" customHeight="1" x14ac:dyDescent="0.25">
      <c r="A303" s="105"/>
      <c r="B303" s="104"/>
      <c r="C303" s="58" t="s">
        <v>11</v>
      </c>
      <c r="D303" s="1">
        <f>E303+F303+G303+H303+I303+J303+K303+L303+M303+N303+O303</f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24" s="8" customFormat="1" ht="22.5" customHeight="1" x14ac:dyDescent="0.25">
      <c r="A304" s="105"/>
      <c r="B304" s="104"/>
      <c r="C304" s="58" t="s">
        <v>12</v>
      </c>
      <c r="D304" s="1">
        <f t="shared" si="102"/>
        <v>553.4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553.4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2.5" customHeight="1" x14ac:dyDescent="0.25">
      <c r="A305" s="105"/>
      <c r="B305" s="104"/>
      <c r="C305" s="58" t="s">
        <v>13</v>
      </c>
      <c r="D305" s="1">
        <f t="shared" si="102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18.75" customHeight="1" x14ac:dyDescent="0.25">
      <c r="A306" s="104" t="s">
        <v>347</v>
      </c>
      <c r="B306" s="104" t="s">
        <v>385</v>
      </c>
      <c r="C306" s="51" t="s">
        <v>7</v>
      </c>
      <c r="D306" s="1">
        <f t="shared" ref="D306:D307" si="107">E306+F306+G306+H306+I306+J306+K306+L306+M306+N306+O306</f>
        <v>4316.6000000000004</v>
      </c>
      <c r="E306" s="1">
        <f>E307+E308+E309+E310</f>
        <v>0</v>
      </c>
      <c r="F306" s="1">
        <f t="shared" ref="F306:O306" si="108">F307+F308+F309+F310</f>
        <v>0</v>
      </c>
      <c r="G306" s="1">
        <f t="shared" si="108"/>
        <v>0</v>
      </c>
      <c r="H306" s="1">
        <f t="shared" si="108"/>
        <v>0</v>
      </c>
      <c r="I306" s="1">
        <f t="shared" si="108"/>
        <v>0</v>
      </c>
      <c r="J306" s="1">
        <f t="shared" si="108"/>
        <v>0</v>
      </c>
      <c r="K306" s="1">
        <f t="shared" si="108"/>
        <v>2648</v>
      </c>
      <c r="L306" s="1">
        <f t="shared" si="108"/>
        <v>1668.6</v>
      </c>
      <c r="M306" s="1">
        <f t="shared" si="108"/>
        <v>0</v>
      </c>
      <c r="N306" s="1">
        <f t="shared" si="108"/>
        <v>0</v>
      </c>
      <c r="O306" s="1">
        <f t="shared" si="108"/>
        <v>0</v>
      </c>
    </row>
    <row r="307" spans="1:15" s="8" customFormat="1" ht="18.75" customHeight="1" x14ac:dyDescent="0.25">
      <c r="A307" s="105"/>
      <c r="B307" s="104"/>
      <c r="C307" s="58" t="s">
        <v>10</v>
      </c>
      <c r="D307" s="1">
        <f t="shared" si="107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18.75" customHeight="1" x14ac:dyDescent="0.25">
      <c r="A308" s="105"/>
      <c r="B308" s="104"/>
      <c r="C308" s="58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18.75" customHeight="1" x14ac:dyDescent="0.25">
      <c r="A309" s="105"/>
      <c r="B309" s="104"/>
      <c r="C309" s="58" t="s">
        <v>12</v>
      </c>
      <c r="D309" s="1">
        <f t="shared" ref="D309:D310" si="109">E309+F309+G309+H309+I309+J309+K309+L309+M309+N309+O309</f>
        <v>4316.6000000000004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2648</v>
      </c>
      <c r="L309" s="94">
        <v>1668.6</v>
      </c>
      <c r="M309" s="1">
        <v>0</v>
      </c>
      <c r="N309" s="1">
        <v>0</v>
      </c>
      <c r="O309" s="1">
        <v>0</v>
      </c>
    </row>
    <row r="310" spans="1:15" s="8" customFormat="1" ht="18.75" customHeight="1" x14ac:dyDescent="0.25">
      <c r="A310" s="105"/>
      <c r="B310" s="104"/>
      <c r="C310" s="58" t="s">
        <v>13</v>
      </c>
      <c r="D310" s="1">
        <f t="shared" si="109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5">
      <c r="A311" s="102" t="s">
        <v>410</v>
      </c>
      <c r="B311" s="102" t="s">
        <v>391</v>
      </c>
      <c r="C311" s="51" t="s">
        <v>7</v>
      </c>
      <c r="D311" s="1">
        <f>SUM(D312:D315)</f>
        <v>251.1</v>
      </c>
      <c r="E311" s="1">
        <f t="shared" ref="E311:J311" si="110">SUM(E312:E315)</f>
        <v>0</v>
      </c>
      <c r="F311" s="1">
        <f t="shared" si="110"/>
        <v>0</v>
      </c>
      <c r="G311" s="1">
        <f t="shared" si="110"/>
        <v>0</v>
      </c>
      <c r="H311" s="1">
        <f t="shared" si="110"/>
        <v>0</v>
      </c>
      <c r="I311" s="1">
        <f t="shared" si="110"/>
        <v>0</v>
      </c>
      <c r="J311" s="1">
        <f t="shared" si="110"/>
        <v>0</v>
      </c>
      <c r="K311" s="1">
        <f>SUM(K312:K315)</f>
        <v>251.1</v>
      </c>
      <c r="L311" s="1">
        <v>0</v>
      </c>
      <c r="M311" s="1">
        <v>0</v>
      </c>
      <c r="N311" s="1">
        <v>0</v>
      </c>
      <c r="O311" s="1">
        <v>0</v>
      </c>
    </row>
    <row r="312" spans="1:15" s="8" customFormat="1" ht="18.75" customHeight="1" x14ac:dyDescent="0.25">
      <c r="A312" s="117"/>
      <c r="B312" s="117"/>
      <c r="C312" s="58" t="s">
        <v>10</v>
      </c>
      <c r="D312" s="1">
        <f>SUM(E312:O312)</f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5">
      <c r="A313" s="117"/>
      <c r="B313" s="117"/>
      <c r="C313" s="58" t="s">
        <v>11</v>
      </c>
      <c r="D313" s="1">
        <f t="shared" ref="D313:D315" si="111">SUM(E313:O313)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5">
      <c r="A314" s="117"/>
      <c r="B314" s="117"/>
      <c r="C314" s="58" t="s">
        <v>12</v>
      </c>
      <c r="D314" s="1">
        <f t="shared" si="111"/>
        <v>251.1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f>451-199.9</f>
        <v>251.1</v>
      </c>
      <c r="L314" s="1">
        <v>0</v>
      </c>
      <c r="M314" s="1">
        <v>0</v>
      </c>
      <c r="N314" s="1">
        <v>0</v>
      </c>
      <c r="O314" s="1">
        <v>0</v>
      </c>
    </row>
    <row r="315" spans="1:15" s="8" customFormat="1" ht="18.75" customHeight="1" x14ac:dyDescent="0.25">
      <c r="A315" s="103"/>
      <c r="B315" s="103"/>
      <c r="C315" s="58" t="s">
        <v>13</v>
      </c>
      <c r="D315" s="1">
        <f t="shared" si="111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hidden="1" customHeight="1" x14ac:dyDescent="0.25">
      <c r="A316" s="102"/>
      <c r="B316" s="102" t="s">
        <v>403</v>
      </c>
      <c r="C316" s="51" t="s">
        <v>7</v>
      </c>
      <c r="D316" s="1">
        <f>SUM(D317:D320)</f>
        <v>0</v>
      </c>
      <c r="E316" s="1">
        <f t="shared" ref="E316:J316" si="112">SUM(E317:E320)</f>
        <v>0</v>
      </c>
      <c r="F316" s="1">
        <f t="shared" si="112"/>
        <v>0</v>
      </c>
      <c r="G316" s="1">
        <f t="shared" si="112"/>
        <v>0</v>
      </c>
      <c r="H316" s="1">
        <f t="shared" si="112"/>
        <v>0</v>
      </c>
      <c r="I316" s="1">
        <f t="shared" si="112"/>
        <v>0</v>
      </c>
      <c r="J316" s="1">
        <f t="shared" si="112"/>
        <v>0</v>
      </c>
      <c r="K316" s="1">
        <f>SUM(K317:K320)</f>
        <v>0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hidden="1" customHeight="1" x14ac:dyDescent="0.25">
      <c r="A317" s="117"/>
      <c r="B317" s="117"/>
      <c r="C317" s="58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hidden="1" customHeight="1" x14ac:dyDescent="0.25">
      <c r="A318" s="117"/>
      <c r="B318" s="117"/>
      <c r="C318" s="58" t="s">
        <v>11</v>
      </c>
      <c r="D318" s="1">
        <f t="shared" ref="D318:D320" si="113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hidden="1" customHeight="1" x14ac:dyDescent="0.25">
      <c r="A319" s="117"/>
      <c r="B319" s="117"/>
      <c r="C319" s="58" t="s">
        <v>12</v>
      </c>
      <c r="D319" s="1">
        <f t="shared" si="113"/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3553.2-3553.2</f>
        <v>0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18.75" hidden="1" customHeight="1" x14ac:dyDescent="0.25">
      <c r="A320" s="103"/>
      <c r="B320" s="103"/>
      <c r="C320" s="58" t="s">
        <v>13</v>
      </c>
      <c r="D320" s="1">
        <f t="shared" si="113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customHeight="1" x14ac:dyDescent="0.25">
      <c r="A321" s="102" t="s">
        <v>408</v>
      </c>
      <c r="B321" s="102" t="s">
        <v>409</v>
      </c>
      <c r="C321" s="51" t="s">
        <v>7</v>
      </c>
      <c r="D321" s="1">
        <f>SUM(D322:D325)</f>
        <v>994.1</v>
      </c>
      <c r="E321" s="1">
        <f t="shared" ref="E321:J321" si="114">SUM(E322:E325)</f>
        <v>0</v>
      </c>
      <c r="F321" s="1">
        <f t="shared" si="114"/>
        <v>0</v>
      </c>
      <c r="G321" s="1">
        <f t="shared" si="114"/>
        <v>0</v>
      </c>
      <c r="H321" s="1">
        <f t="shared" si="114"/>
        <v>0</v>
      </c>
      <c r="I321" s="1">
        <f t="shared" si="114"/>
        <v>0</v>
      </c>
      <c r="J321" s="1">
        <f t="shared" si="114"/>
        <v>0</v>
      </c>
      <c r="K321" s="1">
        <f>SUM(K322:K325)</f>
        <v>994.1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customHeight="1" x14ac:dyDescent="0.25">
      <c r="A322" s="117"/>
      <c r="B322" s="117"/>
      <c r="C322" s="58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</row>
    <row r="323" spans="1:22" s="8" customFormat="1" ht="18.75" customHeight="1" x14ac:dyDescent="0.25">
      <c r="A323" s="117"/>
      <c r="B323" s="117"/>
      <c r="C323" s="58" t="s">
        <v>11</v>
      </c>
      <c r="D323" s="1">
        <f t="shared" ref="D323:D325" si="115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</row>
    <row r="324" spans="1:22" s="8" customFormat="1" ht="18.75" customHeight="1" x14ac:dyDescent="0.25">
      <c r="A324" s="117"/>
      <c r="B324" s="117"/>
      <c r="C324" s="58" t="s">
        <v>12</v>
      </c>
      <c r="D324" s="1">
        <f t="shared" si="115"/>
        <v>994.1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994.1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</row>
    <row r="325" spans="1:22" s="8" customFormat="1" ht="18.75" customHeight="1" x14ac:dyDescent="0.25">
      <c r="A325" s="103"/>
      <c r="B325" s="103"/>
      <c r="C325" s="58" t="s">
        <v>13</v>
      </c>
      <c r="D325" s="1">
        <f t="shared" si="115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</row>
    <row r="326" spans="1:22" s="8" customFormat="1" ht="18.75" customHeight="1" x14ac:dyDescent="0.25">
      <c r="A326" s="102" t="s">
        <v>383</v>
      </c>
      <c r="B326" s="102" t="s">
        <v>422</v>
      </c>
      <c r="C326" s="51" t="s">
        <v>7</v>
      </c>
      <c r="D326" s="1">
        <f>SUM(D327:D330)</f>
        <v>1269013.2000000002</v>
      </c>
      <c r="E326" s="1">
        <f t="shared" ref="E326:J326" si="116">SUM(E327:E330)</f>
        <v>0</v>
      </c>
      <c r="F326" s="1">
        <f t="shared" si="116"/>
        <v>0</v>
      </c>
      <c r="G326" s="1">
        <f t="shared" si="116"/>
        <v>0</v>
      </c>
      <c r="H326" s="1">
        <f t="shared" si="116"/>
        <v>0</v>
      </c>
      <c r="I326" s="1">
        <f t="shared" si="116"/>
        <v>0</v>
      </c>
      <c r="J326" s="1">
        <f t="shared" si="116"/>
        <v>0</v>
      </c>
      <c r="K326" s="1">
        <f>SUM(K327:K330)</f>
        <v>0</v>
      </c>
      <c r="L326" s="1">
        <f t="shared" ref="L326:O326" si="117">SUM(L327:L330)</f>
        <v>429013.19999999995</v>
      </c>
      <c r="M326" s="1">
        <f t="shared" si="117"/>
        <v>840000</v>
      </c>
      <c r="N326" s="1">
        <f t="shared" si="117"/>
        <v>0</v>
      </c>
      <c r="O326" s="1">
        <f t="shared" si="117"/>
        <v>0</v>
      </c>
      <c r="P326" s="76"/>
      <c r="Q326" s="76"/>
      <c r="R326" s="76"/>
      <c r="S326" s="76"/>
      <c r="T326" s="76"/>
      <c r="U326" s="76"/>
      <c r="V326" s="76"/>
    </row>
    <row r="327" spans="1:22" s="8" customFormat="1" ht="18.75" customHeight="1" x14ac:dyDescent="0.25">
      <c r="A327" s="117"/>
      <c r="B327" s="117"/>
      <c r="C327" s="58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76"/>
      <c r="Q327" s="76"/>
      <c r="R327" s="76"/>
      <c r="S327" s="76"/>
      <c r="T327" s="76"/>
      <c r="U327" s="76"/>
      <c r="V327" s="76"/>
    </row>
    <row r="328" spans="1:22" s="8" customFormat="1" ht="18.75" customHeight="1" x14ac:dyDescent="0.25">
      <c r="A328" s="117"/>
      <c r="B328" s="117"/>
      <c r="C328" s="58" t="s">
        <v>11</v>
      </c>
      <c r="D328" s="1">
        <f t="shared" ref="D328:D330" si="118">SUM(E328:O328)</f>
        <v>1256323.1000000001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f>L333+L338</f>
        <v>424723.1</v>
      </c>
      <c r="M328" s="1">
        <f t="shared" ref="M328:V328" si="119">M333+M338</f>
        <v>831600</v>
      </c>
      <c r="N328" s="1">
        <f t="shared" si="119"/>
        <v>0</v>
      </c>
      <c r="O328" s="1">
        <f t="shared" si="119"/>
        <v>0</v>
      </c>
      <c r="P328" s="1">
        <f t="shared" si="119"/>
        <v>0</v>
      </c>
      <c r="Q328" s="1">
        <f t="shared" si="119"/>
        <v>0</v>
      </c>
      <c r="R328" s="1">
        <f t="shared" si="119"/>
        <v>0</v>
      </c>
      <c r="S328" s="1">
        <f t="shared" si="119"/>
        <v>0</v>
      </c>
      <c r="T328" s="1">
        <f t="shared" si="119"/>
        <v>0</v>
      </c>
      <c r="U328" s="1">
        <f t="shared" si="119"/>
        <v>0</v>
      </c>
      <c r="V328" s="1">
        <f t="shared" si="119"/>
        <v>0</v>
      </c>
    </row>
    <row r="329" spans="1:22" s="8" customFormat="1" ht="18.75" customHeight="1" x14ac:dyDescent="0.25">
      <c r="A329" s="117"/>
      <c r="B329" s="117"/>
      <c r="C329" s="58" t="s">
        <v>12</v>
      </c>
      <c r="D329" s="1">
        <f t="shared" si="118"/>
        <v>12690.1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f>L334++L339</f>
        <v>4290.1000000000004</v>
      </c>
      <c r="M329" s="1">
        <f t="shared" ref="M329:O329" si="120">M334++M339</f>
        <v>8400</v>
      </c>
      <c r="N329" s="1">
        <f t="shared" si="120"/>
        <v>0</v>
      </c>
      <c r="O329" s="1">
        <f t="shared" si="120"/>
        <v>0</v>
      </c>
      <c r="P329" s="76"/>
      <c r="Q329" s="76"/>
      <c r="R329" s="76"/>
      <c r="S329" s="76"/>
      <c r="T329" s="76"/>
      <c r="U329" s="76"/>
      <c r="V329" s="76"/>
    </row>
    <row r="330" spans="1:22" s="8" customFormat="1" ht="36.75" customHeight="1" x14ac:dyDescent="0.25">
      <c r="A330" s="103"/>
      <c r="B330" s="103"/>
      <c r="C330" s="58" t="s">
        <v>13</v>
      </c>
      <c r="D330" s="1">
        <f t="shared" si="118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76"/>
      <c r="Q330" s="76"/>
      <c r="R330" s="76"/>
      <c r="S330" s="76"/>
      <c r="T330" s="76"/>
      <c r="U330" s="76"/>
      <c r="V330" s="76"/>
    </row>
    <row r="331" spans="1:22" s="8" customFormat="1" ht="21" customHeight="1" x14ac:dyDescent="0.25">
      <c r="A331" s="102" t="s">
        <v>430</v>
      </c>
      <c r="B331" s="102" t="s">
        <v>421</v>
      </c>
      <c r="C331" s="51" t="s">
        <v>7</v>
      </c>
      <c r="D331" s="1">
        <f>SUM(D332:D335)</f>
        <v>1200000</v>
      </c>
      <c r="E331" s="1">
        <f t="shared" ref="E331:J331" si="121">SUM(E332:E335)</f>
        <v>0</v>
      </c>
      <c r="F331" s="1">
        <f t="shared" si="121"/>
        <v>0</v>
      </c>
      <c r="G331" s="1">
        <f t="shared" si="121"/>
        <v>0</v>
      </c>
      <c r="H331" s="1">
        <f t="shared" si="121"/>
        <v>0</v>
      </c>
      <c r="I331" s="1">
        <f t="shared" si="121"/>
        <v>0</v>
      </c>
      <c r="J331" s="1">
        <f t="shared" si="121"/>
        <v>0</v>
      </c>
      <c r="K331" s="1">
        <f>SUM(K332:K335)</f>
        <v>0</v>
      </c>
      <c r="L331" s="1">
        <f t="shared" ref="L331:O331" si="122">SUM(L332:L335)</f>
        <v>360000</v>
      </c>
      <c r="M331" s="1">
        <f t="shared" si="122"/>
        <v>840000</v>
      </c>
      <c r="N331" s="1">
        <f t="shared" si="122"/>
        <v>0</v>
      </c>
      <c r="O331" s="1">
        <f t="shared" si="122"/>
        <v>0</v>
      </c>
      <c r="P331" s="76"/>
      <c r="Q331" s="76"/>
      <c r="R331" s="76"/>
      <c r="S331" s="76"/>
      <c r="T331" s="76"/>
      <c r="U331" s="76"/>
      <c r="V331" s="76"/>
    </row>
    <row r="332" spans="1:22" s="8" customFormat="1" ht="21" customHeight="1" x14ac:dyDescent="0.25">
      <c r="A332" s="117"/>
      <c r="B332" s="117"/>
      <c r="C332" s="58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6"/>
      <c r="Q332" s="76"/>
      <c r="R332" s="76"/>
      <c r="S332" s="76"/>
      <c r="T332" s="76"/>
      <c r="U332" s="76"/>
      <c r="V332" s="76"/>
    </row>
    <row r="333" spans="1:22" s="8" customFormat="1" ht="21" customHeight="1" x14ac:dyDescent="0.25">
      <c r="A333" s="117"/>
      <c r="B333" s="117"/>
      <c r="C333" s="58" t="s">
        <v>11</v>
      </c>
      <c r="D333" s="1">
        <f t="shared" ref="D333:D335" si="123">SUM(E333:O333)</f>
        <v>1188000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356400</v>
      </c>
      <c r="M333" s="1">
        <v>831600</v>
      </c>
      <c r="N333" s="1">
        <v>0</v>
      </c>
      <c r="O333" s="1">
        <v>0</v>
      </c>
      <c r="P333" s="76"/>
      <c r="Q333" s="76"/>
      <c r="R333" s="76"/>
      <c r="S333" s="76"/>
      <c r="T333" s="76"/>
      <c r="U333" s="76"/>
      <c r="V333" s="76"/>
    </row>
    <row r="334" spans="1:22" s="8" customFormat="1" ht="21" customHeight="1" x14ac:dyDescent="0.25">
      <c r="A334" s="117"/>
      <c r="B334" s="117"/>
      <c r="C334" s="58" t="s">
        <v>12</v>
      </c>
      <c r="D334" s="1">
        <f t="shared" si="123"/>
        <v>12000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3600</v>
      </c>
      <c r="M334" s="1">
        <v>8400</v>
      </c>
      <c r="N334" s="1">
        <v>0</v>
      </c>
      <c r="O334" s="1">
        <v>0</v>
      </c>
      <c r="P334" s="76"/>
      <c r="Q334" s="76"/>
      <c r="R334" s="76"/>
      <c r="S334" s="76"/>
      <c r="T334" s="76"/>
      <c r="U334" s="76"/>
      <c r="V334" s="76"/>
    </row>
    <row r="335" spans="1:22" s="8" customFormat="1" ht="21" customHeight="1" x14ac:dyDescent="0.25">
      <c r="A335" s="103"/>
      <c r="B335" s="103"/>
      <c r="C335" s="58" t="s">
        <v>13</v>
      </c>
      <c r="D335" s="1">
        <f t="shared" si="123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6"/>
      <c r="Q335" s="76"/>
      <c r="R335" s="76"/>
      <c r="S335" s="76"/>
      <c r="T335" s="76"/>
      <c r="U335" s="76"/>
      <c r="V335" s="76"/>
    </row>
    <row r="336" spans="1:22" s="8" customFormat="1" ht="21" customHeight="1" x14ac:dyDescent="0.25">
      <c r="A336" s="102" t="s">
        <v>431</v>
      </c>
      <c r="B336" s="102" t="s">
        <v>418</v>
      </c>
      <c r="C336" s="51" t="s">
        <v>7</v>
      </c>
      <c r="D336" s="1">
        <f>SUM(D337:D340)</f>
        <v>69013.200000000012</v>
      </c>
      <c r="E336" s="1">
        <f t="shared" ref="E336:J336" si="124">SUM(E337:E340)</f>
        <v>0</v>
      </c>
      <c r="F336" s="1">
        <f t="shared" si="124"/>
        <v>0</v>
      </c>
      <c r="G336" s="1">
        <f t="shared" si="124"/>
        <v>0</v>
      </c>
      <c r="H336" s="1">
        <f t="shared" si="124"/>
        <v>0</v>
      </c>
      <c r="I336" s="1">
        <f t="shared" si="124"/>
        <v>0</v>
      </c>
      <c r="J336" s="1">
        <f t="shared" si="124"/>
        <v>0</v>
      </c>
      <c r="K336" s="1">
        <f>SUM(K337:K340)</f>
        <v>0</v>
      </c>
      <c r="L336" s="1">
        <f t="shared" ref="L336:O336" si="125">SUM(L337:L340)</f>
        <v>69013.200000000012</v>
      </c>
      <c r="M336" s="1">
        <f t="shared" si="125"/>
        <v>0</v>
      </c>
      <c r="N336" s="1">
        <f t="shared" si="125"/>
        <v>0</v>
      </c>
      <c r="O336" s="1">
        <f t="shared" si="125"/>
        <v>0</v>
      </c>
      <c r="P336" s="76"/>
      <c r="Q336" s="76"/>
      <c r="R336" s="76"/>
      <c r="S336" s="76"/>
      <c r="T336" s="76"/>
      <c r="U336" s="76"/>
      <c r="V336" s="76"/>
    </row>
    <row r="337" spans="1:22" s="8" customFormat="1" ht="21" customHeight="1" x14ac:dyDescent="0.25">
      <c r="A337" s="117"/>
      <c r="B337" s="117"/>
      <c r="C337" s="58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6"/>
      <c r="Q337" s="76"/>
      <c r="R337" s="76"/>
      <c r="S337" s="76"/>
      <c r="T337" s="76"/>
      <c r="U337" s="76"/>
      <c r="V337" s="76"/>
    </row>
    <row r="338" spans="1:22" s="8" customFormat="1" ht="21" customHeight="1" x14ac:dyDescent="0.25">
      <c r="A338" s="117"/>
      <c r="B338" s="117"/>
      <c r="C338" s="58" t="s">
        <v>11</v>
      </c>
      <c r="D338" s="1">
        <f t="shared" ref="D338:D340" si="126">SUM(E338:O338)</f>
        <v>68323.100000000006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f>68322.8 - 1.7+2</f>
        <v>68323.100000000006</v>
      </c>
      <c r="M338" s="1">
        <v>0</v>
      </c>
      <c r="N338" s="1">
        <v>0</v>
      </c>
      <c r="O338" s="1">
        <v>0</v>
      </c>
      <c r="P338" s="76"/>
      <c r="Q338" s="76"/>
      <c r="R338" s="76"/>
      <c r="S338" s="76"/>
      <c r="T338" s="76"/>
      <c r="U338" s="76"/>
      <c r="V338" s="76"/>
    </row>
    <row r="339" spans="1:22" s="8" customFormat="1" ht="21" customHeight="1" x14ac:dyDescent="0.25">
      <c r="A339" s="117"/>
      <c r="B339" s="117"/>
      <c r="C339" s="58" t="s">
        <v>12</v>
      </c>
      <c r="D339" s="1">
        <f t="shared" si="126"/>
        <v>690.1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690.1</v>
      </c>
      <c r="M339" s="1">
        <v>0</v>
      </c>
      <c r="N339" s="1">
        <v>0</v>
      </c>
      <c r="O339" s="1">
        <v>0</v>
      </c>
      <c r="P339" s="76"/>
      <c r="Q339" s="76"/>
      <c r="R339" s="76"/>
      <c r="S339" s="76"/>
      <c r="T339" s="76"/>
      <c r="U339" s="76"/>
      <c r="V339" s="76"/>
    </row>
    <row r="340" spans="1:22" s="8" customFormat="1" ht="21" customHeight="1" x14ac:dyDescent="0.25">
      <c r="A340" s="103"/>
      <c r="B340" s="103"/>
      <c r="C340" s="58" t="s">
        <v>13</v>
      </c>
      <c r="D340" s="1">
        <f t="shared" si="126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6"/>
      <c r="Q340" s="76"/>
      <c r="R340" s="76"/>
      <c r="S340" s="76"/>
      <c r="T340" s="76"/>
      <c r="U340" s="76"/>
      <c r="V340" s="76"/>
    </row>
    <row r="341" spans="1:22" s="8" customFormat="1" ht="18.75" customHeight="1" x14ac:dyDescent="0.25">
      <c r="A341" s="102" t="s">
        <v>384</v>
      </c>
      <c r="B341" s="102" t="s">
        <v>413</v>
      </c>
      <c r="C341" s="51" t="s">
        <v>7</v>
      </c>
      <c r="D341" s="1">
        <f>SUM(D342:D345)</f>
        <v>393917.30000000005</v>
      </c>
      <c r="E341" s="1">
        <f t="shared" ref="E341:J341" si="127">SUM(E342:E345)</f>
        <v>0</v>
      </c>
      <c r="F341" s="1">
        <f t="shared" si="127"/>
        <v>0</v>
      </c>
      <c r="G341" s="1">
        <f t="shared" si="127"/>
        <v>0</v>
      </c>
      <c r="H341" s="1">
        <f t="shared" si="127"/>
        <v>0</v>
      </c>
      <c r="I341" s="1">
        <f t="shared" si="127"/>
        <v>0</v>
      </c>
      <c r="J341" s="1">
        <f t="shared" si="127"/>
        <v>0</v>
      </c>
      <c r="K341" s="1">
        <f>SUM(K342:K345)</f>
        <v>0</v>
      </c>
      <c r="L341" s="1">
        <f t="shared" ref="L341:O341" si="128">SUM(L342:L345)</f>
        <v>156560.20000000001</v>
      </c>
      <c r="M341" s="1">
        <f>SUM(M342:M345)</f>
        <v>115502.20000000001</v>
      </c>
      <c r="N341" s="1">
        <f t="shared" si="128"/>
        <v>121854.90000000001</v>
      </c>
      <c r="O341" s="1">
        <f t="shared" si="128"/>
        <v>0</v>
      </c>
      <c r="P341" s="76"/>
      <c r="Q341" s="76"/>
      <c r="R341" s="76"/>
      <c r="S341" s="76"/>
      <c r="T341" s="76"/>
      <c r="U341" s="76"/>
      <c r="V341" s="76"/>
    </row>
    <row r="342" spans="1:22" s="8" customFormat="1" ht="18.75" customHeight="1" x14ac:dyDescent="0.25">
      <c r="A342" s="117"/>
      <c r="B342" s="117"/>
      <c r="C342" s="58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6"/>
      <c r="Q342" s="76"/>
      <c r="R342" s="76"/>
      <c r="S342" s="76"/>
      <c r="T342" s="76"/>
      <c r="U342" s="76"/>
      <c r="V342" s="76"/>
    </row>
    <row r="343" spans="1:22" s="8" customFormat="1" ht="18.75" customHeight="1" x14ac:dyDescent="0.25">
      <c r="A343" s="117"/>
      <c r="B343" s="117"/>
      <c r="C343" s="58" t="s">
        <v>11</v>
      </c>
      <c r="D343" s="1">
        <f t="shared" ref="D343:D345" si="129">SUM(E343:O343)</f>
        <v>370282.30000000005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v>147166.6</v>
      </c>
      <c r="M343" s="1">
        <v>108572.1</v>
      </c>
      <c r="N343" s="1">
        <v>114543.6</v>
      </c>
      <c r="O343" s="1">
        <v>0</v>
      </c>
      <c r="P343" s="76"/>
      <c r="Q343" s="76"/>
      <c r="R343" s="76"/>
      <c r="S343" s="76"/>
      <c r="T343" s="76"/>
      <c r="U343" s="76"/>
      <c r="V343" s="76"/>
    </row>
    <row r="344" spans="1:22" s="8" customFormat="1" ht="18.75" customHeight="1" x14ac:dyDescent="0.25">
      <c r="A344" s="117"/>
      <c r="B344" s="117"/>
      <c r="C344" s="58" t="s">
        <v>12</v>
      </c>
      <c r="D344" s="1">
        <f t="shared" si="129"/>
        <v>23635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9393.6</v>
      </c>
      <c r="M344" s="1">
        <v>6930.1</v>
      </c>
      <c r="N344" s="1">
        <v>7311.3</v>
      </c>
      <c r="O344" s="1">
        <v>0</v>
      </c>
      <c r="P344" s="76"/>
      <c r="Q344" s="76"/>
      <c r="R344" s="76"/>
      <c r="S344" s="76"/>
      <c r="T344" s="76"/>
      <c r="U344" s="76"/>
      <c r="V344" s="76"/>
    </row>
    <row r="345" spans="1:22" s="8" customFormat="1" ht="18.75" customHeight="1" x14ac:dyDescent="0.25">
      <c r="A345" s="103"/>
      <c r="B345" s="103"/>
      <c r="C345" s="58" t="s">
        <v>13</v>
      </c>
      <c r="D345" s="1">
        <f t="shared" si="129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6"/>
      <c r="Q345" s="76"/>
      <c r="R345" s="76"/>
      <c r="S345" s="76"/>
      <c r="T345" s="76"/>
      <c r="U345" s="76"/>
      <c r="V345" s="76"/>
    </row>
    <row r="346" spans="1:22" s="8" customFormat="1" ht="18.75" customHeight="1" x14ac:dyDescent="0.25">
      <c r="A346" s="102" t="s">
        <v>412</v>
      </c>
      <c r="B346" s="102" t="s">
        <v>415</v>
      </c>
      <c r="C346" s="51" t="s">
        <v>7</v>
      </c>
      <c r="D346" s="1">
        <f>SUM(D347:D350)</f>
        <v>2577072.7000000002</v>
      </c>
      <c r="E346" s="1">
        <f t="shared" ref="E346:J346" si="130">SUM(E347:E350)</f>
        <v>0</v>
      </c>
      <c r="F346" s="1">
        <f t="shared" si="130"/>
        <v>0</v>
      </c>
      <c r="G346" s="1">
        <f t="shared" si="130"/>
        <v>0</v>
      </c>
      <c r="H346" s="1">
        <f t="shared" si="130"/>
        <v>0</v>
      </c>
      <c r="I346" s="1">
        <f t="shared" si="130"/>
        <v>0</v>
      </c>
      <c r="J346" s="1">
        <f t="shared" si="130"/>
        <v>0</v>
      </c>
      <c r="K346" s="1">
        <f>SUM(K347:K350)</f>
        <v>0</v>
      </c>
      <c r="L346" s="1">
        <f t="shared" ref="L346:O346" si="131">SUM(L347:L350)</f>
        <v>808080.8</v>
      </c>
      <c r="M346" s="1">
        <f t="shared" si="131"/>
        <v>1768991.9</v>
      </c>
      <c r="N346" s="1">
        <f t="shared" si="131"/>
        <v>0</v>
      </c>
      <c r="O346" s="1">
        <f t="shared" si="131"/>
        <v>0</v>
      </c>
      <c r="P346" s="76"/>
      <c r="Q346" s="76"/>
      <c r="R346" s="76"/>
      <c r="S346" s="76"/>
      <c r="T346" s="76"/>
      <c r="U346" s="76"/>
      <c r="V346" s="76"/>
    </row>
    <row r="347" spans="1:22" s="8" customFormat="1" ht="18.75" customHeight="1" x14ac:dyDescent="0.25">
      <c r="A347" s="117"/>
      <c r="B347" s="117"/>
      <c r="C347" s="58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6"/>
      <c r="Q347" s="76"/>
      <c r="R347" s="76"/>
      <c r="S347" s="76"/>
      <c r="T347" s="76"/>
      <c r="U347" s="76"/>
      <c r="V347" s="76"/>
    </row>
    <row r="348" spans="1:22" s="8" customFormat="1" ht="18.75" customHeight="1" x14ac:dyDescent="0.25">
      <c r="A348" s="117"/>
      <c r="B348" s="117"/>
      <c r="C348" s="58" t="s">
        <v>11</v>
      </c>
      <c r="D348" s="1">
        <f t="shared" ref="D348:D350" si="132">SUM(E348:O348)</f>
        <v>2551302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800000</v>
      </c>
      <c r="M348" s="1">
        <v>1751302</v>
      </c>
      <c r="N348" s="1">
        <v>0</v>
      </c>
      <c r="O348" s="1">
        <v>0</v>
      </c>
      <c r="P348" s="76"/>
      <c r="Q348" s="76"/>
      <c r="R348" s="76"/>
      <c r="S348" s="76"/>
      <c r="T348" s="76"/>
      <c r="U348" s="76"/>
      <c r="V348" s="76"/>
    </row>
    <row r="349" spans="1:22" s="8" customFormat="1" ht="18.75" customHeight="1" x14ac:dyDescent="0.25">
      <c r="A349" s="117"/>
      <c r="B349" s="117"/>
      <c r="C349" s="58" t="s">
        <v>12</v>
      </c>
      <c r="D349" s="1">
        <f t="shared" si="132"/>
        <v>25770.7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8080.8</v>
      </c>
      <c r="M349" s="1">
        <v>17689.900000000001</v>
      </c>
      <c r="N349" s="1">
        <v>0</v>
      </c>
      <c r="O349" s="1">
        <v>0</v>
      </c>
      <c r="P349" s="76"/>
      <c r="Q349" s="76"/>
      <c r="R349" s="76"/>
      <c r="S349" s="76"/>
      <c r="T349" s="76"/>
      <c r="U349" s="76"/>
      <c r="V349" s="76"/>
    </row>
    <row r="350" spans="1:22" s="8" customFormat="1" ht="18.75" customHeight="1" x14ac:dyDescent="0.25">
      <c r="A350" s="103"/>
      <c r="B350" s="103"/>
      <c r="C350" s="58" t="s">
        <v>13</v>
      </c>
      <c r="D350" s="1">
        <f t="shared" si="132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6"/>
      <c r="Q350" s="76"/>
      <c r="R350" s="76"/>
      <c r="S350" s="76"/>
      <c r="T350" s="76"/>
      <c r="U350" s="76"/>
      <c r="V350" s="76"/>
    </row>
    <row r="351" spans="1:22" s="8" customFormat="1" ht="18.75" customHeight="1" x14ac:dyDescent="0.25">
      <c r="A351" s="102" t="s">
        <v>414</v>
      </c>
      <c r="B351" s="102" t="s">
        <v>426</v>
      </c>
      <c r="C351" s="51" t="s">
        <v>7</v>
      </c>
      <c r="D351" s="1">
        <f>SUM(D352:D355)</f>
        <v>2.5</v>
      </c>
      <c r="E351" s="1">
        <f t="shared" ref="E351:J351" si="133">SUM(E352:E355)</f>
        <v>0</v>
      </c>
      <c r="F351" s="1">
        <f t="shared" si="133"/>
        <v>0</v>
      </c>
      <c r="G351" s="1">
        <f t="shared" si="133"/>
        <v>0</v>
      </c>
      <c r="H351" s="1">
        <f t="shared" si="133"/>
        <v>0</v>
      </c>
      <c r="I351" s="1">
        <f t="shared" si="133"/>
        <v>0</v>
      </c>
      <c r="J351" s="1">
        <f t="shared" si="133"/>
        <v>0</v>
      </c>
      <c r="K351" s="1">
        <f>SUM(K352:K355)</f>
        <v>0</v>
      </c>
      <c r="L351" s="1">
        <f t="shared" ref="L351:O351" si="134">SUM(L352:L355)</f>
        <v>2.5</v>
      </c>
      <c r="M351" s="1">
        <f t="shared" si="134"/>
        <v>0</v>
      </c>
      <c r="N351" s="1">
        <f t="shared" si="134"/>
        <v>0</v>
      </c>
      <c r="O351" s="1">
        <f t="shared" si="134"/>
        <v>0</v>
      </c>
      <c r="P351" s="76"/>
      <c r="Q351" s="76"/>
      <c r="R351" s="76"/>
      <c r="S351" s="76"/>
      <c r="T351" s="76"/>
      <c r="U351" s="76"/>
      <c r="V351" s="76"/>
    </row>
    <row r="352" spans="1:22" s="8" customFormat="1" ht="18.75" customHeight="1" x14ac:dyDescent="0.25">
      <c r="A352" s="117"/>
      <c r="B352" s="117"/>
      <c r="C352" s="58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6"/>
      <c r="Q352" s="76"/>
      <c r="R352" s="76"/>
      <c r="S352" s="76"/>
      <c r="T352" s="76"/>
      <c r="U352" s="76"/>
      <c r="V352" s="76"/>
    </row>
    <row r="353" spans="1:22" s="8" customFormat="1" ht="18.75" customHeight="1" x14ac:dyDescent="0.25">
      <c r="A353" s="117"/>
      <c r="B353" s="117"/>
      <c r="C353" s="58" t="s">
        <v>11</v>
      </c>
      <c r="D353" s="1">
        <f t="shared" ref="D353:D355" si="135">SUM(E353:O353)</f>
        <v>0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76"/>
      <c r="Q353" s="76"/>
      <c r="R353" s="76"/>
      <c r="S353" s="76"/>
      <c r="T353" s="76"/>
      <c r="U353" s="76"/>
      <c r="V353" s="76"/>
    </row>
    <row r="354" spans="1:22" s="8" customFormat="1" ht="18.75" customHeight="1" x14ac:dyDescent="0.25">
      <c r="A354" s="117"/>
      <c r="B354" s="117"/>
      <c r="C354" s="58" t="s">
        <v>12</v>
      </c>
      <c r="D354" s="1">
        <f t="shared" si="135"/>
        <v>2.5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2.5</v>
      </c>
      <c r="M354" s="1">
        <v>0</v>
      </c>
      <c r="N354" s="1">
        <v>0</v>
      </c>
      <c r="O354" s="1">
        <v>0</v>
      </c>
      <c r="P354" s="76"/>
      <c r="Q354" s="76"/>
      <c r="R354" s="76"/>
      <c r="S354" s="76"/>
      <c r="T354" s="76"/>
      <c r="U354" s="76"/>
      <c r="V354" s="76"/>
    </row>
    <row r="355" spans="1:22" s="8" customFormat="1" ht="18.75" customHeight="1" x14ac:dyDescent="0.25">
      <c r="A355" s="103"/>
      <c r="B355" s="103"/>
      <c r="C355" s="58" t="s">
        <v>13</v>
      </c>
      <c r="D355" s="1">
        <f t="shared" si="135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6"/>
      <c r="Q355" s="76"/>
      <c r="R355" s="76"/>
      <c r="S355" s="76"/>
      <c r="T355" s="76"/>
      <c r="U355" s="76"/>
      <c r="V355" s="76"/>
    </row>
    <row r="356" spans="1:22" s="8" customFormat="1" ht="18.75" customHeight="1" x14ac:dyDescent="0.25">
      <c r="A356" s="159" t="s">
        <v>433</v>
      </c>
      <c r="B356" s="102" t="s">
        <v>432</v>
      </c>
      <c r="C356" s="96" t="s">
        <v>7</v>
      </c>
      <c r="D356" s="1">
        <f>SUM(D357:D360)</f>
        <v>4394382.7</v>
      </c>
      <c r="E356" s="1">
        <f t="shared" ref="E356:J356" si="136">SUM(E357:E360)</f>
        <v>0</v>
      </c>
      <c r="F356" s="1">
        <f t="shared" si="136"/>
        <v>0</v>
      </c>
      <c r="G356" s="1">
        <f t="shared" si="136"/>
        <v>0</v>
      </c>
      <c r="H356" s="1">
        <f t="shared" si="136"/>
        <v>0</v>
      </c>
      <c r="I356" s="1">
        <f t="shared" si="136"/>
        <v>0</v>
      </c>
      <c r="J356" s="1">
        <f t="shared" si="136"/>
        <v>0</v>
      </c>
      <c r="K356" s="1">
        <f>SUM(K357:K360)</f>
        <v>0</v>
      </c>
      <c r="L356" s="1">
        <f t="shared" ref="L356:O356" si="137">SUM(L357:L360)</f>
        <v>1044585.9</v>
      </c>
      <c r="M356" s="1">
        <f t="shared" si="137"/>
        <v>804898.4</v>
      </c>
      <c r="N356" s="1">
        <f t="shared" si="137"/>
        <v>2544898.4</v>
      </c>
      <c r="O356" s="1">
        <f t="shared" si="137"/>
        <v>0</v>
      </c>
      <c r="P356" s="76"/>
      <c r="Q356" s="76"/>
      <c r="R356" s="76"/>
      <c r="S356" s="76"/>
      <c r="T356" s="76"/>
      <c r="U356" s="76"/>
      <c r="V356" s="76"/>
    </row>
    <row r="357" spans="1:22" s="8" customFormat="1" ht="18.75" customHeight="1" x14ac:dyDescent="0.25">
      <c r="A357" s="160"/>
      <c r="B357" s="117"/>
      <c r="C357" s="95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f>L362+L367</f>
        <v>0</v>
      </c>
      <c r="M357" s="1">
        <f t="shared" ref="M357:O357" si="138">M362+M367</f>
        <v>0</v>
      </c>
      <c r="N357" s="1">
        <f t="shared" si="138"/>
        <v>0</v>
      </c>
      <c r="O357" s="1">
        <f t="shared" si="138"/>
        <v>0</v>
      </c>
      <c r="P357" s="76"/>
      <c r="Q357" s="76"/>
      <c r="R357" s="76"/>
      <c r="S357" s="76"/>
      <c r="T357" s="76"/>
      <c r="U357" s="76"/>
      <c r="V357" s="76"/>
    </row>
    <row r="358" spans="1:22" s="8" customFormat="1" ht="18.75" customHeight="1" x14ac:dyDescent="0.25">
      <c r="A358" s="160"/>
      <c r="B358" s="117"/>
      <c r="C358" s="95" t="s">
        <v>11</v>
      </c>
      <c r="D358" s="1">
        <f t="shared" ref="D358:D360" si="139">SUM(E358:O358)</f>
        <v>4350438.8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f>L363+L368</f>
        <v>1034140</v>
      </c>
      <c r="M358" s="1">
        <f t="shared" ref="M358:O358" si="140">M363+M368</f>
        <v>796849.4</v>
      </c>
      <c r="N358" s="1">
        <f t="shared" si="140"/>
        <v>2519449.4</v>
      </c>
      <c r="O358" s="1">
        <f t="shared" si="140"/>
        <v>0</v>
      </c>
      <c r="P358" s="76"/>
      <c r="Q358" s="76"/>
      <c r="R358" s="76"/>
      <c r="S358" s="76"/>
      <c r="T358" s="76"/>
      <c r="U358" s="76"/>
      <c r="V358" s="76"/>
    </row>
    <row r="359" spans="1:22" s="8" customFormat="1" ht="18.75" customHeight="1" x14ac:dyDescent="0.25">
      <c r="A359" s="160"/>
      <c r="B359" s="117"/>
      <c r="C359" s="95" t="s">
        <v>12</v>
      </c>
      <c r="D359" s="1">
        <f t="shared" si="139"/>
        <v>43943.9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f>L369+L364</f>
        <v>10445.9</v>
      </c>
      <c r="M359" s="1">
        <f t="shared" ref="M359:V359" si="141">M369+M364</f>
        <v>8049</v>
      </c>
      <c r="N359" s="1">
        <f t="shared" si="141"/>
        <v>25449</v>
      </c>
      <c r="O359" s="1">
        <f t="shared" si="141"/>
        <v>0</v>
      </c>
      <c r="P359" s="1">
        <f t="shared" si="141"/>
        <v>0</v>
      </c>
      <c r="Q359" s="1">
        <f t="shared" si="141"/>
        <v>0</v>
      </c>
      <c r="R359" s="1">
        <f t="shared" si="141"/>
        <v>0</v>
      </c>
      <c r="S359" s="1">
        <f t="shared" si="141"/>
        <v>0</v>
      </c>
      <c r="T359" s="1">
        <f t="shared" si="141"/>
        <v>0</v>
      </c>
      <c r="U359" s="1">
        <f t="shared" si="141"/>
        <v>0</v>
      </c>
      <c r="V359" s="1">
        <f t="shared" si="141"/>
        <v>0</v>
      </c>
    </row>
    <row r="360" spans="1:22" s="8" customFormat="1" ht="38.25" customHeight="1" x14ac:dyDescent="0.25">
      <c r="A360" s="161"/>
      <c r="B360" s="103"/>
      <c r="C360" s="95" t="s">
        <v>13</v>
      </c>
      <c r="D360" s="1">
        <f t="shared" si="139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f>L365+L370</f>
        <v>0</v>
      </c>
      <c r="M360" s="1">
        <f t="shared" ref="M360:O360" si="142">M365+M370</f>
        <v>0</v>
      </c>
      <c r="N360" s="1">
        <f t="shared" si="142"/>
        <v>0</v>
      </c>
      <c r="O360" s="1">
        <f t="shared" si="142"/>
        <v>0</v>
      </c>
      <c r="P360" s="76"/>
      <c r="Q360" s="76"/>
      <c r="R360" s="76"/>
      <c r="S360" s="76"/>
      <c r="T360" s="76"/>
      <c r="U360" s="76"/>
      <c r="V360" s="76"/>
    </row>
    <row r="361" spans="1:22" s="8" customFormat="1" ht="18.75" customHeight="1" x14ac:dyDescent="0.25">
      <c r="A361" s="102" t="s">
        <v>434</v>
      </c>
      <c r="B361" s="102" t="s">
        <v>417</v>
      </c>
      <c r="C361" s="96" t="s">
        <v>7</v>
      </c>
      <c r="D361" s="1">
        <f>SUM(D362:D365)</f>
        <v>3140000</v>
      </c>
      <c r="E361" s="1">
        <f t="shared" ref="E361:J361" si="143">SUM(E362:E365)</f>
        <v>0</v>
      </c>
      <c r="F361" s="1">
        <f t="shared" si="143"/>
        <v>0</v>
      </c>
      <c r="G361" s="1">
        <f t="shared" si="143"/>
        <v>0</v>
      </c>
      <c r="H361" s="1">
        <f t="shared" si="143"/>
        <v>0</v>
      </c>
      <c r="I361" s="1">
        <f t="shared" si="143"/>
        <v>0</v>
      </c>
      <c r="J361" s="1">
        <f t="shared" si="143"/>
        <v>0</v>
      </c>
      <c r="K361" s="1">
        <f>SUM(K362:K365)</f>
        <v>0</v>
      </c>
      <c r="L361" s="1">
        <f t="shared" ref="L361:O361" si="144">SUM(L362:L365)</f>
        <v>1000000</v>
      </c>
      <c r="M361" s="1">
        <f t="shared" si="144"/>
        <v>200000</v>
      </c>
      <c r="N361" s="1">
        <f t="shared" si="144"/>
        <v>1940000</v>
      </c>
      <c r="O361" s="1">
        <f t="shared" si="144"/>
        <v>0</v>
      </c>
      <c r="P361" s="76"/>
      <c r="Q361" s="76"/>
      <c r="R361" s="76"/>
      <c r="S361" s="76"/>
      <c r="T361" s="76"/>
      <c r="U361" s="76"/>
      <c r="V361" s="76"/>
    </row>
    <row r="362" spans="1:22" s="8" customFormat="1" ht="18.75" customHeight="1" x14ac:dyDescent="0.25">
      <c r="A362" s="117"/>
      <c r="B362" s="117"/>
      <c r="C362" s="95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76"/>
      <c r="Q362" s="76"/>
      <c r="R362" s="76"/>
      <c r="S362" s="76"/>
      <c r="T362" s="76"/>
      <c r="U362" s="76"/>
      <c r="V362" s="76"/>
    </row>
    <row r="363" spans="1:22" s="8" customFormat="1" ht="18.75" customHeight="1" x14ac:dyDescent="0.25">
      <c r="A363" s="117"/>
      <c r="B363" s="117"/>
      <c r="C363" s="95" t="s">
        <v>11</v>
      </c>
      <c r="D363" s="1">
        <f t="shared" ref="D363:D365" si="145">SUM(E363:O363)</f>
        <v>3108600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990000</v>
      </c>
      <c r="M363" s="1">
        <v>198000</v>
      </c>
      <c r="N363" s="1">
        <v>1920600</v>
      </c>
      <c r="O363" s="1">
        <v>0</v>
      </c>
      <c r="P363" s="76"/>
      <c r="Q363" s="76"/>
      <c r="R363" s="76"/>
      <c r="S363" s="76"/>
      <c r="T363" s="76"/>
      <c r="U363" s="76"/>
      <c r="V363" s="76"/>
    </row>
    <row r="364" spans="1:22" s="8" customFormat="1" ht="18.75" customHeight="1" x14ac:dyDescent="0.25">
      <c r="A364" s="117"/>
      <c r="B364" s="117"/>
      <c r="C364" s="95" t="s">
        <v>12</v>
      </c>
      <c r="D364" s="1">
        <f t="shared" si="145"/>
        <v>31400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10000</v>
      </c>
      <c r="M364" s="1">
        <v>2000</v>
      </c>
      <c r="N364" s="1">
        <v>19400</v>
      </c>
      <c r="O364" s="1">
        <v>0</v>
      </c>
      <c r="P364" s="76"/>
      <c r="Q364" s="76"/>
      <c r="R364" s="76"/>
      <c r="S364" s="76"/>
      <c r="T364" s="76"/>
      <c r="U364" s="76"/>
      <c r="V364" s="76"/>
    </row>
    <row r="365" spans="1:22" s="8" customFormat="1" ht="18.75" customHeight="1" x14ac:dyDescent="0.25">
      <c r="A365" s="103"/>
      <c r="B365" s="103"/>
      <c r="C365" s="95" t="s">
        <v>13</v>
      </c>
      <c r="D365" s="1">
        <f t="shared" si="145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76"/>
      <c r="Q365" s="76"/>
      <c r="R365" s="76"/>
      <c r="S365" s="76"/>
      <c r="T365" s="76"/>
      <c r="U365" s="76"/>
      <c r="V365" s="76"/>
    </row>
    <row r="366" spans="1:22" s="8" customFormat="1" ht="18.75" customHeight="1" x14ac:dyDescent="0.25">
      <c r="A366" s="102" t="s">
        <v>435</v>
      </c>
      <c r="B366" s="102" t="s">
        <v>423</v>
      </c>
      <c r="C366" s="96" t="s">
        <v>7</v>
      </c>
      <c r="D366" s="1">
        <f>SUM(D367:D370)</f>
        <v>1254382.7</v>
      </c>
      <c r="E366" s="1">
        <f t="shared" ref="E366:J366" si="146">SUM(E367:E370)</f>
        <v>0</v>
      </c>
      <c r="F366" s="1">
        <f t="shared" si="146"/>
        <v>0</v>
      </c>
      <c r="G366" s="1">
        <f t="shared" si="146"/>
        <v>0</v>
      </c>
      <c r="H366" s="1">
        <f t="shared" si="146"/>
        <v>0</v>
      </c>
      <c r="I366" s="1">
        <f t="shared" si="146"/>
        <v>0</v>
      </c>
      <c r="J366" s="1">
        <f t="shared" si="146"/>
        <v>0</v>
      </c>
      <c r="K366" s="1">
        <f>SUM(K367:K370)</f>
        <v>0</v>
      </c>
      <c r="L366" s="1">
        <f t="shared" ref="L366:O366" si="147">SUM(L367:L370)</f>
        <v>44585.9</v>
      </c>
      <c r="M366" s="1">
        <f t="shared" si="147"/>
        <v>604898.4</v>
      </c>
      <c r="N366" s="1">
        <f t="shared" si="147"/>
        <v>604898.4</v>
      </c>
      <c r="O366" s="1">
        <f t="shared" si="147"/>
        <v>0</v>
      </c>
      <c r="P366" s="76"/>
      <c r="Q366" s="76"/>
      <c r="R366" s="76"/>
      <c r="S366" s="76"/>
      <c r="T366" s="76"/>
      <c r="U366" s="76"/>
      <c r="V366" s="76"/>
    </row>
    <row r="367" spans="1:22" s="8" customFormat="1" ht="18.75" customHeight="1" x14ac:dyDescent="0.25">
      <c r="A367" s="117"/>
      <c r="B367" s="117"/>
      <c r="C367" s="95" t="s">
        <v>10</v>
      </c>
      <c r="D367" s="1">
        <f>SUM(E367:O367)</f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76"/>
      <c r="Q367" s="76"/>
      <c r="R367" s="76"/>
      <c r="S367" s="76"/>
      <c r="T367" s="76"/>
      <c r="U367" s="76"/>
      <c r="V367" s="76"/>
    </row>
    <row r="368" spans="1:22" s="8" customFormat="1" ht="18.75" customHeight="1" x14ac:dyDescent="0.25">
      <c r="A368" s="117"/>
      <c r="B368" s="117"/>
      <c r="C368" s="95" t="s">
        <v>11</v>
      </c>
      <c r="D368" s="1">
        <f t="shared" ref="D368:D370" si="148">SUM(E368:O368)</f>
        <v>1241838.8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44140</v>
      </c>
      <c r="M368" s="1">
        <v>598849.4</v>
      </c>
      <c r="N368" s="1">
        <v>598849.4</v>
      </c>
      <c r="O368" s="1">
        <v>0</v>
      </c>
      <c r="P368" s="76"/>
      <c r="Q368" s="76"/>
      <c r="R368" s="76"/>
      <c r="S368" s="76"/>
      <c r="T368" s="76"/>
      <c r="U368" s="76"/>
      <c r="V368" s="76"/>
    </row>
    <row r="369" spans="1:25" s="8" customFormat="1" ht="18.75" customHeight="1" x14ac:dyDescent="0.25">
      <c r="A369" s="117"/>
      <c r="B369" s="117"/>
      <c r="C369" s="95" t="s">
        <v>12</v>
      </c>
      <c r="D369" s="1">
        <f t="shared" si="148"/>
        <v>12543.9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94">
        <f>446-0.1</f>
        <v>445.9</v>
      </c>
      <c r="M369" s="1">
        <v>6049</v>
      </c>
      <c r="N369" s="1">
        <v>6049</v>
      </c>
      <c r="O369" s="1">
        <v>0</v>
      </c>
      <c r="P369" s="76"/>
      <c r="Q369" s="76"/>
      <c r="R369" s="76"/>
      <c r="S369" s="76"/>
      <c r="T369" s="76"/>
      <c r="U369" s="76"/>
      <c r="V369" s="76"/>
    </row>
    <row r="370" spans="1:25" s="8" customFormat="1" ht="18.75" customHeight="1" x14ac:dyDescent="0.25">
      <c r="A370" s="103"/>
      <c r="B370" s="103"/>
      <c r="C370" s="95" t="s">
        <v>13</v>
      </c>
      <c r="D370" s="1">
        <f t="shared" si="148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76"/>
      <c r="Q370" s="76"/>
      <c r="R370" s="76"/>
      <c r="S370" s="76"/>
      <c r="T370" s="76"/>
      <c r="U370" s="76"/>
      <c r="V370" s="76"/>
    </row>
    <row r="371" spans="1:25" ht="15.6" x14ac:dyDescent="0.25">
      <c r="A371" s="104" t="s">
        <v>145</v>
      </c>
      <c r="B371" s="129" t="s">
        <v>204</v>
      </c>
      <c r="C371" s="51" t="s">
        <v>7</v>
      </c>
      <c r="D371" s="1">
        <f>D372+D373+D374+D375</f>
        <v>227015.2</v>
      </c>
      <c r="E371" s="1">
        <f>E372+E373+E374+E375</f>
        <v>24704.6</v>
      </c>
      <c r="F371" s="1">
        <f t="shared" ref="F371:O371" si="149">F372+F373+F374+F375</f>
        <v>23418.400000000001</v>
      </c>
      <c r="G371" s="1">
        <f t="shared" si="149"/>
        <v>28089.699999999997</v>
      </c>
      <c r="H371" s="1">
        <f t="shared" si="149"/>
        <v>23411.7</v>
      </c>
      <c r="I371" s="1">
        <f t="shared" si="149"/>
        <v>24700.5</v>
      </c>
      <c r="J371" s="1">
        <f t="shared" si="149"/>
        <v>23045.699999999997</v>
      </c>
      <c r="K371" s="1">
        <f t="shared" si="149"/>
        <v>23013.5</v>
      </c>
      <c r="L371" s="1">
        <f t="shared" si="149"/>
        <v>10634.1</v>
      </c>
      <c r="M371" s="1">
        <f t="shared" si="149"/>
        <v>10178.400000000001</v>
      </c>
      <c r="N371" s="1">
        <f t="shared" si="149"/>
        <v>11331.099999999999</v>
      </c>
      <c r="O371" s="1">
        <f t="shared" si="149"/>
        <v>24487.5</v>
      </c>
    </row>
    <row r="372" spans="1:25" ht="16.5" customHeight="1" x14ac:dyDescent="0.25">
      <c r="A372" s="104"/>
      <c r="B372" s="129"/>
      <c r="C372" s="51" t="s">
        <v>10</v>
      </c>
      <c r="D372" s="1">
        <f t="shared" ref="D372:D417" si="150">E372+F372+G372+H372+I372+J372+K372+L372+M372+N372+O372</f>
        <v>0</v>
      </c>
      <c r="E372" s="1">
        <f>E377+E387+E397</f>
        <v>0</v>
      </c>
      <c r="F372" s="1">
        <f t="shared" ref="F372:O372" si="151">F377+F387+F397</f>
        <v>0</v>
      </c>
      <c r="G372" s="1">
        <f t="shared" si="151"/>
        <v>0</v>
      </c>
      <c r="H372" s="1">
        <f t="shared" si="151"/>
        <v>0</v>
      </c>
      <c r="I372" s="1">
        <f t="shared" si="151"/>
        <v>0</v>
      </c>
      <c r="J372" s="1">
        <f t="shared" si="151"/>
        <v>0</v>
      </c>
      <c r="K372" s="1">
        <f t="shared" si="151"/>
        <v>0</v>
      </c>
      <c r="L372" s="1">
        <f t="shared" si="151"/>
        <v>0</v>
      </c>
      <c r="M372" s="1">
        <f t="shared" si="151"/>
        <v>0</v>
      </c>
      <c r="N372" s="1">
        <f t="shared" si="151"/>
        <v>0</v>
      </c>
      <c r="O372" s="1">
        <f t="shared" si="151"/>
        <v>0</v>
      </c>
      <c r="P372" s="62"/>
      <c r="Q372" s="62"/>
    </row>
    <row r="373" spans="1:25" ht="18" customHeight="1" x14ac:dyDescent="0.25">
      <c r="A373" s="104"/>
      <c r="B373" s="129"/>
      <c r="C373" s="51" t="s">
        <v>11</v>
      </c>
      <c r="D373" s="1">
        <f t="shared" si="150"/>
        <v>23608.400000000001</v>
      </c>
      <c r="E373" s="1">
        <f>E378+E383+E388+E393+E398</f>
        <v>0</v>
      </c>
      <c r="F373" s="1">
        <f t="shared" ref="F373:O373" si="152">F378+F383+F388+F393+F398</f>
        <v>0</v>
      </c>
      <c r="G373" s="1">
        <f t="shared" si="152"/>
        <v>0</v>
      </c>
      <c r="H373" s="1">
        <f t="shared" si="152"/>
        <v>0</v>
      </c>
      <c r="I373" s="1">
        <f t="shared" si="152"/>
        <v>16106.5</v>
      </c>
      <c r="J373" s="1">
        <f>J378+J383+J388+J393+J398</f>
        <v>7501.9</v>
      </c>
      <c r="K373" s="1">
        <f t="shared" si="152"/>
        <v>0</v>
      </c>
      <c r="L373" s="1">
        <f t="shared" si="152"/>
        <v>0</v>
      </c>
      <c r="M373" s="1">
        <f t="shared" si="152"/>
        <v>0</v>
      </c>
      <c r="N373" s="1">
        <f t="shared" si="152"/>
        <v>0</v>
      </c>
      <c r="O373" s="1">
        <f t="shared" si="152"/>
        <v>0</v>
      </c>
    </row>
    <row r="374" spans="1:25" ht="18" customHeight="1" x14ac:dyDescent="0.25">
      <c r="A374" s="104"/>
      <c r="B374" s="129"/>
      <c r="C374" s="51" t="s">
        <v>12</v>
      </c>
      <c r="D374" s="1">
        <f t="shared" si="150"/>
        <v>203406.80000000002</v>
      </c>
      <c r="E374" s="1">
        <f>E379+E389+E399+E404+E384+E394</f>
        <v>24704.6</v>
      </c>
      <c r="F374" s="1">
        <f t="shared" ref="F374:I374" si="153">F379+F389+F399+F404+F384+F394</f>
        <v>23418.400000000001</v>
      </c>
      <c r="G374" s="1">
        <f t="shared" si="153"/>
        <v>28089.699999999997</v>
      </c>
      <c r="H374" s="1">
        <f t="shared" si="153"/>
        <v>23411.7</v>
      </c>
      <c r="I374" s="1">
        <f t="shared" si="153"/>
        <v>8594</v>
      </c>
      <c r="J374" s="1">
        <f>J379+J389+J399+J404+J384+J394</f>
        <v>15543.8</v>
      </c>
      <c r="K374" s="1">
        <f>K379+K389+K399+K404+K384+K394+K409</f>
        <v>23013.5</v>
      </c>
      <c r="L374" s="1">
        <f t="shared" ref="L374:O374" si="154">L379+L389+L399+L404+L384+L394+L409</f>
        <v>10634.1</v>
      </c>
      <c r="M374" s="1">
        <f t="shared" si="154"/>
        <v>10178.400000000001</v>
      </c>
      <c r="N374" s="1">
        <f t="shared" si="154"/>
        <v>11331.099999999999</v>
      </c>
      <c r="O374" s="1">
        <f t="shared" si="154"/>
        <v>24487.5</v>
      </c>
    </row>
    <row r="375" spans="1:25" ht="18" customHeight="1" x14ac:dyDescent="0.25">
      <c r="A375" s="104"/>
      <c r="B375" s="129"/>
      <c r="C375" s="51" t="s">
        <v>13</v>
      </c>
      <c r="D375" s="1">
        <f t="shared" si="150"/>
        <v>0</v>
      </c>
      <c r="E375" s="1">
        <f>E380+E390+E400</f>
        <v>0</v>
      </c>
      <c r="F375" s="1">
        <f t="shared" ref="F375:O375" si="155">F380+F390+F400</f>
        <v>0</v>
      </c>
      <c r="G375" s="1">
        <f t="shared" si="155"/>
        <v>0</v>
      </c>
      <c r="H375" s="1">
        <f t="shared" si="155"/>
        <v>0</v>
      </c>
      <c r="I375" s="1">
        <f t="shared" si="155"/>
        <v>0</v>
      </c>
      <c r="J375" s="1">
        <f t="shared" si="155"/>
        <v>0</v>
      </c>
      <c r="K375" s="1">
        <f t="shared" si="155"/>
        <v>0</v>
      </c>
      <c r="L375" s="1">
        <f t="shared" si="155"/>
        <v>0</v>
      </c>
      <c r="M375" s="1">
        <f t="shared" si="155"/>
        <v>0</v>
      </c>
      <c r="N375" s="1">
        <f t="shared" si="155"/>
        <v>0</v>
      </c>
      <c r="O375" s="1">
        <f t="shared" si="155"/>
        <v>0</v>
      </c>
    </row>
    <row r="376" spans="1:25" ht="15.6" x14ac:dyDescent="0.25">
      <c r="A376" s="104" t="s">
        <v>146</v>
      </c>
      <c r="B376" s="129" t="s">
        <v>52</v>
      </c>
      <c r="C376" s="51" t="s">
        <v>7</v>
      </c>
      <c r="D376" s="1">
        <f t="shared" si="150"/>
        <v>86139.900000000009</v>
      </c>
      <c r="E376" s="1">
        <f t="shared" ref="E376:O376" si="156">E377+E378+E379+E380</f>
        <v>5089.5</v>
      </c>
      <c r="F376" s="1">
        <f t="shared" si="156"/>
        <v>6465</v>
      </c>
      <c r="G376" s="1">
        <f t="shared" si="156"/>
        <v>8661.7999999999993</v>
      </c>
      <c r="H376" s="1">
        <f t="shared" si="156"/>
        <v>9358.2000000000007</v>
      </c>
      <c r="I376" s="1">
        <f t="shared" si="156"/>
        <v>8594</v>
      </c>
      <c r="J376" s="1">
        <f>J377+J378+J379+J380</f>
        <v>7198.9000000000005</v>
      </c>
      <c r="K376" s="1">
        <f t="shared" si="156"/>
        <v>12364.6</v>
      </c>
      <c r="L376" s="1">
        <f t="shared" si="156"/>
        <v>5576.5</v>
      </c>
      <c r="M376" s="1">
        <f t="shared" si="156"/>
        <v>5913.1</v>
      </c>
      <c r="N376" s="1">
        <f t="shared" si="156"/>
        <v>5942</v>
      </c>
      <c r="O376" s="1">
        <f t="shared" si="156"/>
        <v>10976.3</v>
      </c>
    </row>
    <row r="377" spans="1:25" ht="15.6" x14ac:dyDescent="0.25">
      <c r="A377" s="104"/>
      <c r="B377" s="129"/>
      <c r="C377" s="51" t="s">
        <v>10</v>
      </c>
      <c r="D377" s="1">
        <f t="shared" si="150"/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</row>
    <row r="378" spans="1:25" ht="15.6" x14ac:dyDescent="0.25">
      <c r="A378" s="104"/>
      <c r="B378" s="129"/>
      <c r="C378" s="51" t="s">
        <v>11</v>
      </c>
      <c r="D378" s="1">
        <f t="shared" si="150"/>
        <v>0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</row>
    <row r="379" spans="1:25" ht="15.6" x14ac:dyDescent="0.25">
      <c r="A379" s="104"/>
      <c r="B379" s="129"/>
      <c r="C379" s="51" t="s">
        <v>12</v>
      </c>
      <c r="D379" s="1">
        <f t="shared" si="150"/>
        <v>86139.900000000009</v>
      </c>
      <c r="E379" s="1">
        <v>5089.5</v>
      </c>
      <c r="F379" s="1">
        <v>6465</v>
      </c>
      <c r="G379" s="1">
        <v>8661.7999999999993</v>
      </c>
      <c r="H379" s="1">
        <v>9358.2000000000007</v>
      </c>
      <c r="I379" s="1">
        <v>8594</v>
      </c>
      <c r="J379" s="1">
        <f>2886.8+1860.3+2451.8</f>
        <v>7198.9000000000005</v>
      </c>
      <c r="K379" s="1">
        <f>8859.6+1000+555+1950</f>
        <v>12364.6</v>
      </c>
      <c r="L379" s="1">
        <f>5576.5</f>
        <v>5576.5</v>
      </c>
      <c r="M379" s="1">
        <f>5913.1</f>
        <v>5913.1</v>
      </c>
      <c r="N379" s="1">
        <v>5942</v>
      </c>
      <c r="O379" s="1">
        <v>10976.3</v>
      </c>
      <c r="W379" s="62"/>
      <c r="X379" s="62"/>
      <c r="Y379" s="62"/>
    </row>
    <row r="380" spans="1:25" ht="15.6" x14ac:dyDescent="0.25">
      <c r="A380" s="104"/>
      <c r="B380" s="129"/>
      <c r="C380" s="58" t="s">
        <v>13</v>
      </c>
      <c r="D380" s="1">
        <f t="shared" si="150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</row>
    <row r="381" spans="1:25" ht="15.6" x14ac:dyDescent="0.25">
      <c r="A381" s="104" t="s">
        <v>147</v>
      </c>
      <c r="B381" s="129" t="s">
        <v>365</v>
      </c>
      <c r="C381" s="51" t="s">
        <v>7</v>
      </c>
      <c r="D381" s="1">
        <f t="shared" si="150"/>
        <v>11065.3</v>
      </c>
      <c r="E381" s="1">
        <f t="shared" ref="E381:O381" si="157">E382+E383+E384+E385</f>
        <v>0</v>
      </c>
      <c r="F381" s="1">
        <f t="shared" si="157"/>
        <v>0</v>
      </c>
      <c r="G381" s="1">
        <f t="shared" si="157"/>
        <v>0</v>
      </c>
      <c r="H381" s="1">
        <f t="shared" si="157"/>
        <v>0</v>
      </c>
      <c r="I381" s="1">
        <f t="shared" si="157"/>
        <v>7430.4</v>
      </c>
      <c r="J381" s="1">
        <f t="shared" si="157"/>
        <v>3634.8999999999996</v>
      </c>
      <c r="K381" s="1">
        <f t="shared" si="157"/>
        <v>0</v>
      </c>
      <c r="L381" s="1">
        <f t="shared" si="157"/>
        <v>0</v>
      </c>
      <c r="M381" s="1">
        <f t="shared" si="157"/>
        <v>0</v>
      </c>
      <c r="N381" s="1">
        <f t="shared" si="157"/>
        <v>0</v>
      </c>
      <c r="O381" s="1">
        <f t="shared" si="157"/>
        <v>0</v>
      </c>
    </row>
    <row r="382" spans="1:25" ht="21" customHeight="1" x14ac:dyDescent="0.25">
      <c r="A382" s="104"/>
      <c r="B382" s="129"/>
      <c r="C382" s="51" t="s">
        <v>10</v>
      </c>
      <c r="D382" s="1">
        <f t="shared" si="150"/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</row>
    <row r="383" spans="1:25" ht="15.6" x14ac:dyDescent="0.25">
      <c r="A383" s="104"/>
      <c r="B383" s="129"/>
      <c r="C383" s="51" t="s">
        <v>11</v>
      </c>
      <c r="D383" s="1">
        <f t="shared" si="150"/>
        <v>11065.3</v>
      </c>
      <c r="E383" s="1">
        <v>0</v>
      </c>
      <c r="F383" s="1">
        <v>0</v>
      </c>
      <c r="G383" s="1">
        <v>0</v>
      </c>
      <c r="H383" s="1">
        <v>0</v>
      </c>
      <c r="I383" s="1">
        <f>6602.5+827.9</f>
        <v>7430.4</v>
      </c>
      <c r="J383" s="1">
        <f>6521.7-2886.8</f>
        <v>3634.8999999999996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</row>
    <row r="384" spans="1:25" ht="15.6" x14ac:dyDescent="0.25">
      <c r="A384" s="104"/>
      <c r="B384" s="129"/>
      <c r="C384" s="51" t="s">
        <v>12</v>
      </c>
      <c r="D384" s="1">
        <f t="shared" si="150"/>
        <v>0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</row>
    <row r="385" spans="1:25" ht="21.75" customHeight="1" x14ac:dyDescent="0.25">
      <c r="A385" s="104"/>
      <c r="B385" s="129"/>
      <c r="C385" s="58" t="s">
        <v>13</v>
      </c>
      <c r="D385" s="1">
        <f t="shared" si="150"/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</row>
    <row r="386" spans="1:25" ht="15.75" customHeight="1" x14ac:dyDescent="0.25">
      <c r="A386" s="104" t="s">
        <v>148</v>
      </c>
      <c r="B386" s="129" t="s">
        <v>58</v>
      </c>
      <c r="C386" s="51" t="s">
        <v>7</v>
      </c>
      <c r="D386" s="1">
        <f t="shared" si="150"/>
        <v>112218.40000000001</v>
      </c>
      <c r="E386" s="1">
        <f t="shared" ref="E386:O386" si="158">E387+E388+E390+E389</f>
        <v>17919.099999999999</v>
      </c>
      <c r="F386" s="1">
        <f t="shared" si="158"/>
        <v>16953.400000000001</v>
      </c>
      <c r="G386" s="1">
        <f t="shared" si="158"/>
        <v>16137.9</v>
      </c>
      <c r="H386" s="1">
        <f t="shared" si="158"/>
        <v>14053.5</v>
      </c>
      <c r="I386" s="1">
        <f t="shared" si="158"/>
        <v>0</v>
      </c>
      <c r="J386" s="1">
        <f t="shared" si="158"/>
        <v>8344.9</v>
      </c>
      <c r="K386" s="1">
        <f t="shared" si="158"/>
        <v>10648.9</v>
      </c>
      <c r="L386" s="1">
        <f t="shared" si="158"/>
        <v>5037.6000000000004</v>
      </c>
      <c r="M386" s="1">
        <f t="shared" si="158"/>
        <v>4244.1000000000004</v>
      </c>
      <c r="N386" s="1">
        <f t="shared" si="158"/>
        <v>5367.8</v>
      </c>
      <c r="O386" s="1">
        <f t="shared" si="158"/>
        <v>13511.2</v>
      </c>
    </row>
    <row r="387" spans="1:25" ht="15.75" customHeight="1" x14ac:dyDescent="0.25">
      <c r="A387" s="104"/>
      <c r="B387" s="129"/>
      <c r="C387" s="51" t="s">
        <v>10</v>
      </c>
      <c r="D387" s="1">
        <f t="shared" si="150"/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</row>
    <row r="388" spans="1:25" ht="15.75" customHeight="1" x14ac:dyDescent="0.25">
      <c r="A388" s="104"/>
      <c r="B388" s="129"/>
      <c r="C388" s="51" t="s">
        <v>11</v>
      </c>
      <c r="D388" s="1">
        <f t="shared" si="150"/>
        <v>0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</row>
    <row r="389" spans="1:25" ht="15.75" customHeight="1" x14ac:dyDescent="0.25">
      <c r="A389" s="104"/>
      <c r="B389" s="129"/>
      <c r="C389" s="51" t="s">
        <v>12</v>
      </c>
      <c r="D389" s="1">
        <f t="shared" si="150"/>
        <v>112218.40000000001</v>
      </c>
      <c r="E389" s="1">
        <v>17919.099999999999</v>
      </c>
      <c r="F389" s="1">
        <v>16953.400000000001</v>
      </c>
      <c r="G389" s="1">
        <v>16137.9</v>
      </c>
      <c r="H389" s="1">
        <v>14053.5</v>
      </c>
      <c r="I389" s="1">
        <v>0</v>
      </c>
      <c r="J389" s="1">
        <f>0+2600+6251.4-506.5</f>
        <v>8344.9</v>
      </c>
      <c r="K389" s="1">
        <f>13474.9-2900+74</f>
        <v>10648.9</v>
      </c>
      <c r="L389" s="1">
        <f>5037.6</f>
        <v>5037.6000000000004</v>
      </c>
      <c r="M389" s="1">
        <f>5341.7-1097.6</f>
        <v>4244.1000000000004</v>
      </c>
      <c r="N389" s="1">
        <v>5367.8</v>
      </c>
      <c r="O389" s="1">
        <v>13511.2</v>
      </c>
      <c r="X389" s="62"/>
      <c r="Y389" s="62"/>
    </row>
    <row r="390" spans="1:25" ht="22.5" customHeight="1" x14ac:dyDescent="0.25">
      <c r="A390" s="104"/>
      <c r="B390" s="129"/>
      <c r="C390" s="58" t="s">
        <v>13</v>
      </c>
      <c r="D390" s="1">
        <f t="shared" si="150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3">
        <v>0</v>
      </c>
      <c r="K390" s="3">
        <v>0</v>
      </c>
      <c r="L390" s="3">
        <v>0</v>
      </c>
      <c r="M390" s="3">
        <v>0</v>
      </c>
      <c r="N390" s="3">
        <v>0</v>
      </c>
      <c r="O390" s="3">
        <v>0</v>
      </c>
    </row>
    <row r="391" spans="1:25" ht="18.75" customHeight="1" x14ac:dyDescent="0.25">
      <c r="A391" s="104" t="s">
        <v>209</v>
      </c>
      <c r="B391" s="129" t="s">
        <v>264</v>
      </c>
      <c r="C391" s="58" t="s">
        <v>7</v>
      </c>
      <c r="D391" s="1">
        <f t="shared" si="150"/>
        <v>12543.1</v>
      </c>
      <c r="E391" s="1">
        <f t="shared" ref="E391:O391" si="159">E392+E393+E395+E394</f>
        <v>0</v>
      </c>
      <c r="F391" s="1">
        <f t="shared" si="159"/>
        <v>0</v>
      </c>
      <c r="G391" s="1">
        <f t="shared" si="159"/>
        <v>0</v>
      </c>
      <c r="H391" s="1">
        <f t="shared" si="159"/>
        <v>0</v>
      </c>
      <c r="I391" s="1">
        <f t="shared" si="159"/>
        <v>8676.1</v>
      </c>
      <c r="J391" s="1">
        <f t="shared" si="159"/>
        <v>3867</v>
      </c>
      <c r="K391" s="1">
        <f t="shared" si="159"/>
        <v>0</v>
      </c>
      <c r="L391" s="1">
        <f t="shared" si="159"/>
        <v>0</v>
      </c>
      <c r="M391" s="1">
        <f t="shared" si="159"/>
        <v>0</v>
      </c>
      <c r="N391" s="1">
        <f t="shared" si="159"/>
        <v>0</v>
      </c>
      <c r="O391" s="1">
        <f t="shared" si="159"/>
        <v>0</v>
      </c>
    </row>
    <row r="392" spans="1:25" ht="18.75" customHeight="1" x14ac:dyDescent="0.25">
      <c r="A392" s="104"/>
      <c r="B392" s="129"/>
      <c r="C392" s="58" t="s">
        <v>10</v>
      </c>
      <c r="D392" s="1">
        <f t="shared" si="150"/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</row>
    <row r="393" spans="1:25" ht="18.75" customHeight="1" x14ac:dyDescent="0.25">
      <c r="A393" s="104"/>
      <c r="B393" s="129"/>
      <c r="C393" s="58" t="s">
        <v>11</v>
      </c>
      <c r="D393" s="1">
        <f t="shared" si="150"/>
        <v>12543.1</v>
      </c>
      <c r="E393" s="1">
        <v>0</v>
      </c>
      <c r="F393" s="1">
        <v>0</v>
      </c>
      <c r="G393" s="1">
        <v>0</v>
      </c>
      <c r="H393" s="1">
        <v>0</v>
      </c>
      <c r="I393" s="1">
        <f>10280.7-1604.6</f>
        <v>8676.1</v>
      </c>
      <c r="J393" s="1">
        <f>10118.4-6251.4</f>
        <v>3867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</row>
    <row r="394" spans="1:25" ht="18.75" customHeight="1" x14ac:dyDescent="0.25">
      <c r="A394" s="104"/>
      <c r="B394" s="129"/>
      <c r="C394" s="58" t="s">
        <v>12</v>
      </c>
      <c r="D394" s="1">
        <f t="shared" si="150"/>
        <v>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</row>
    <row r="395" spans="1:25" ht="18.75" customHeight="1" x14ac:dyDescent="0.25">
      <c r="A395" s="104"/>
      <c r="B395" s="129"/>
      <c r="C395" s="58" t="s">
        <v>13</v>
      </c>
      <c r="D395" s="1">
        <f t="shared" si="150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3">
        <v>0</v>
      </c>
      <c r="K395" s="3">
        <v>0</v>
      </c>
      <c r="L395" s="1">
        <v>0</v>
      </c>
      <c r="M395" s="1">
        <v>0</v>
      </c>
      <c r="N395" s="1">
        <v>0</v>
      </c>
      <c r="O395" s="1">
        <v>0</v>
      </c>
    </row>
    <row r="396" spans="1:25" ht="15.75" customHeight="1" x14ac:dyDescent="0.25">
      <c r="A396" s="104" t="s">
        <v>269</v>
      </c>
      <c r="B396" s="129" t="s">
        <v>22</v>
      </c>
      <c r="C396" s="51" t="s">
        <v>7</v>
      </c>
      <c r="D396" s="1">
        <f t="shared" si="150"/>
        <v>1696</v>
      </c>
      <c r="E396" s="1">
        <f t="shared" ref="E396:K396" si="160">E397+E398+E399+E400</f>
        <v>1696</v>
      </c>
      <c r="F396" s="1">
        <f t="shared" si="160"/>
        <v>0</v>
      </c>
      <c r="G396" s="1">
        <f t="shared" si="160"/>
        <v>0</v>
      </c>
      <c r="H396" s="1">
        <f t="shared" si="160"/>
        <v>0</v>
      </c>
      <c r="I396" s="1">
        <f t="shared" si="160"/>
        <v>0</v>
      </c>
      <c r="J396" s="1">
        <f t="shared" si="160"/>
        <v>0</v>
      </c>
      <c r="K396" s="1">
        <f t="shared" si="160"/>
        <v>0</v>
      </c>
      <c r="L396" s="1">
        <f>L397+L398+L399+L400</f>
        <v>0</v>
      </c>
      <c r="M396" s="1">
        <f>M397+M398+M399+M400</f>
        <v>0</v>
      </c>
      <c r="N396" s="1">
        <f>N397+N398+N399+N400</f>
        <v>0</v>
      </c>
      <c r="O396" s="1">
        <f>O397+O398+O399+O400</f>
        <v>0</v>
      </c>
    </row>
    <row r="397" spans="1:25" ht="15.75" customHeight="1" x14ac:dyDescent="0.25">
      <c r="A397" s="104"/>
      <c r="B397" s="129"/>
      <c r="C397" s="51" t="s">
        <v>10</v>
      </c>
      <c r="D397" s="1">
        <f t="shared" si="150"/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</row>
    <row r="398" spans="1:25" ht="15.75" customHeight="1" x14ac:dyDescent="0.25">
      <c r="A398" s="104"/>
      <c r="B398" s="129"/>
      <c r="C398" s="51" t="s">
        <v>11</v>
      </c>
      <c r="D398" s="1">
        <f t="shared" si="150"/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</row>
    <row r="399" spans="1:25" ht="15.75" customHeight="1" x14ac:dyDescent="0.25">
      <c r="A399" s="104"/>
      <c r="B399" s="129"/>
      <c r="C399" s="51" t="s">
        <v>12</v>
      </c>
      <c r="D399" s="1">
        <f t="shared" si="150"/>
        <v>1696</v>
      </c>
      <c r="E399" s="1">
        <v>1696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</row>
    <row r="400" spans="1:25" ht="18" customHeight="1" x14ac:dyDescent="0.25">
      <c r="A400" s="104"/>
      <c r="B400" s="129"/>
      <c r="C400" s="58" t="s">
        <v>13</v>
      </c>
      <c r="D400" s="1">
        <f t="shared" si="150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</row>
    <row r="401" spans="1:15" ht="15.6" x14ac:dyDescent="0.25">
      <c r="A401" s="104" t="s">
        <v>270</v>
      </c>
      <c r="B401" s="104" t="s">
        <v>237</v>
      </c>
      <c r="C401" s="51" t="s">
        <v>7</v>
      </c>
      <c r="D401" s="1">
        <f t="shared" si="150"/>
        <v>3290</v>
      </c>
      <c r="E401" s="1">
        <f>E402+E403+E404+E405</f>
        <v>0</v>
      </c>
      <c r="F401" s="1">
        <f t="shared" ref="F401:K401" si="161">F402+F403+F404+F405</f>
        <v>0</v>
      </c>
      <c r="G401" s="1">
        <f t="shared" si="161"/>
        <v>3290</v>
      </c>
      <c r="H401" s="1">
        <f t="shared" si="161"/>
        <v>0</v>
      </c>
      <c r="I401" s="1">
        <f t="shared" si="161"/>
        <v>0</v>
      </c>
      <c r="J401" s="1">
        <f t="shared" si="161"/>
        <v>0</v>
      </c>
      <c r="K401" s="1">
        <f t="shared" si="161"/>
        <v>0</v>
      </c>
      <c r="L401" s="1">
        <f>L402+L403+L404+L405</f>
        <v>0</v>
      </c>
      <c r="M401" s="1">
        <f>M402+M403+M404+M405</f>
        <v>0</v>
      </c>
      <c r="N401" s="1">
        <f>N402+N403+N404+N405</f>
        <v>0</v>
      </c>
      <c r="O401" s="1">
        <f>O402+O403+O404+O405</f>
        <v>0</v>
      </c>
    </row>
    <row r="402" spans="1:15" ht="15.6" x14ac:dyDescent="0.25">
      <c r="A402" s="104"/>
      <c r="B402" s="104"/>
      <c r="C402" s="51" t="s">
        <v>10</v>
      </c>
      <c r="D402" s="1">
        <f t="shared" si="150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15" ht="15.6" x14ac:dyDescent="0.25">
      <c r="A403" s="104"/>
      <c r="B403" s="104"/>
      <c r="C403" s="51" t="s">
        <v>11</v>
      </c>
      <c r="D403" s="1">
        <f t="shared" si="150"/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15" ht="15.6" x14ac:dyDescent="0.25">
      <c r="A404" s="104"/>
      <c r="B404" s="104"/>
      <c r="C404" s="51" t="s">
        <v>12</v>
      </c>
      <c r="D404" s="1">
        <f t="shared" si="150"/>
        <v>3290</v>
      </c>
      <c r="E404" s="1">
        <v>0</v>
      </c>
      <c r="F404" s="1">
        <v>0</v>
      </c>
      <c r="G404" s="1">
        <v>3290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</row>
    <row r="405" spans="1:15" ht="23.25" customHeight="1" x14ac:dyDescent="0.25">
      <c r="A405" s="104"/>
      <c r="B405" s="104"/>
      <c r="C405" s="58" t="s">
        <v>13</v>
      </c>
      <c r="D405" s="1">
        <f t="shared" si="150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</row>
    <row r="406" spans="1:15" ht="23.25" customHeight="1" x14ac:dyDescent="0.25">
      <c r="A406" s="104" t="s">
        <v>388</v>
      </c>
      <c r="B406" s="104" t="s">
        <v>398</v>
      </c>
      <c r="C406" s="51" t="s">
        <v>7</v>
      </c>
      <c r="D406" s="1">
        <f>E406+F406+G406+H406+I406+J406+K406+L406+M406+N406+O406</f>
        <v>62.5</v>
      </c>
      <c r="E406" s="1">
        <f>SUM(E407:E410)</f>
        <v>0</v>
      </c>
      <c r="F406" s="1">
        <f t="shared" ref="F406:O406" si="162">SUM(F407:F410)</f>
        <v>0</v>
      </c>
      <c r="G406" s="1">
        <f t="shared" si="162"/>
        <v>0</v>
      </c>
      <c r="H406" s="1">
        <f t="shared" si="162"/>
        <v>0</v>
      </c>
      <c r="I406" s="1">
        <f t="shared" si="162"/>
        <v>0</v>
      </c>
      <c r="J406" s="1">
        <f t="shared" si="162"/>
        <v>0</v>
      </c>
      <c r="K406" s="1">
        <f t="shared" si="162"/>
        <v>0</v>
      </c>
      <c r="L406" s="1">
        <f t="shared" si="162"/>
        <v>20</v>
      </c>
      <c r="M406" s="1">
        <f t="shared" si="162"/>
        <v>21.2</v>
      </c>
      <c r="N406" s="1">
        <f t="shared" si="162"/>
        <v>21.3</v>
      </c>
      <c r="O406" s="1">
        <f t="shared" si="162"/>
        <v>0</v>
      </c>
    </row>
    <row r="407" spans="1:15" ht="23.25" customHeight="1" x14ac:dyDescent="0.25">
      <c r="A407" s="104"/>
      <c r="B407" s="104"/>
      <c r="C407" s="51" t="s">
        <v>10</v>
      </c>
      <c r="D407" s="1">
        <f t="shared" ref="D407:D410" si="163">E407+F407+G407+H407+I407+J407+K407+L407+M407+N407+O407</f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15" ht="23.25" customHeight="1" x14ac:dyDescent="0.25">
      <c r="A408" s="104"/>
      <c r="B408" s="104"/>
      <c r="C408" s="51" t="s">
        <v>11</v>
      </c>
      <c r="D408" s="1">
        <f t="shared" si="163"/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15" ht="23.25" customHeight="1" x14ac:dyDescent="0.25">
      <c r="A409" s="104"/>
      <c r="B409" s="104"/>
      <c r="C409" s="51" t="s">
        <v>12</v>
      </c>
      <c r="D409" s="1">
        <f t="shared" si="163"/>
        <v>62.5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f>550.5-550.5</f>
        <v>0</v>
      </c>
      <c r="L409" s="1">
        <f>20</f>
        <v>20</v>
      </c>
      <c r="M409" s="1">
        <f>21.2</f>
        <v>21.2</v>
      </c>
      <c r="N409" s="1">
        <v>21.3</v>
      </c>
      <c r="O409" s="1">
        <v>0</v>
      </c>
    </row>
    <row r="410" spans="1:15" ht="23.25" customHeight="1" x14ac:dyDescent="0.25">
      <c r="A410" s="104"/>
      <c r="B410" s="104"/>
      <c r="C410" s="58" t="s">
        <v>13</v>
      </c>
      <c r="D410" s="1">
        <f t="shared" si="163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15" ht="15.6" x14ac:dyDescent="0.25">
      <c r="A411" s="104" t="s">
        <v>149</v>
      </c>
      <c r="B411" s="129" t="s">
        <v>381</v>
      </c>
      <c r="C411" s="51" t="s">
        <v>7</v>
      </c>
      <c r="D411" s="1">
        <f>E411+F411+G411+H411+I411+J411+K411+L411+M411+N411+O411</f>
        <v>39737.699999999997</v>
      </c>
      <c r="E411" s="1">
        <f>E412+E413+E414+E416</f>
        <v>3741.9</v>
      </c>
      <c r="F411" s="1">
        <f t="shared" ref="F411:O411" si="164">F412+F413+F414+F416</f>
        <v>2450</v>
      </c>
      <c r="G411" s="1">
        <f t="shared" si="164"/>
        <v>2262.1</v>
      </c>
      <c r="H411" s="1">
        <f t="shared" si="164"/>
        <v>1999</v>
      </c>
      <c r="I411" s="1">
        <f t="shared" si="164"/>
        <v>13558.599999999999</v>
      </c>
      <c r="J411" s="1">
        <f>J412+J413+J414+J416</f>
        <v>8475.2999999999993</v>
      </c>
      <c r="K411" s="1">
        <f t="shared" si="164"/>
        <v>5424.9</v>
      </c>
      <c r="L411" s="1">
        <f t="shared" si="164"/>
        <v>299.2</v>
      </c>
      <c r="M411" s="1">
        <f t="shared" si="164"/>
        <v>267.3</v>
      </c>
      <c r="N411" s="1">
        <f t="shared" si="164"/>
        <v>253.60000000000002</v>
      </c>
      <c r="O411" s="1">
        <f t="shared" si="164"/>
        <v>1005.8</v>
      </c>
    </row>
    <row r="412" spans="1:15" ht="15.6" x14ac:dyDescent="0.25">
      <c r="A412" s="104"/>
      <c r="B412" s="129"/>
      <c r="C412" s="51" t="s">
        <v>10</v>
      </c>
      <c r="D412" s="1">
        <f t="shared" si="150"/>
        <v>0</v>
      </c>
      <c r="E412" s="1">
        <f>E418+E425+E430</f>
        <v>0</v>
      </c>
      <c r="F412" s="1">
        <f t="shared" ref="F412:O412" si="165">F418+F425+F430</f>
        <v>0</v>
      </c>
      <c r="G412" s="1">
        <f t="shared" si="165"/>
        <v>0</v>
      </c>
      <c r="H412" s="1">
        <f t="shared" si="165"/>
        <v>0</v>
      </c>
      <c r="I412" s="1">
        <f t="shared" si="165"/>
        <v>0</v>
      </c>
      <c r="J412" s="1">
        <f t="shared" si="165"/>
        <v>0</v>
      </c>
      <c r="K412" s="1">
        <f t="shared" si="165"/>
        <v>0</v>
      </c>
      <c r="L412" s="1">
        <f t="shared" si="165"/>
        <v>0</v>
      </c>
      <c r="M412" s="1">
        <f t="shared" si="165"/>
        <v>0</v>
      </c>
      <c r="N412" s="1">
        <f t="shared" si="165"/>
        <v>0</v>
      </c>
      <c r="O412" s="1">
        <f t="shared" si="165"/>
        <v>0</v>
      </c>
    </row>
    <row r="413" spans="1:15" ht="15.6" x14ac:dyDescent="0.25">
      <c r="A413" s="104"/>
      <c r="B413" s="129"/>
      <c r="C413" s="51" t="s">
        <v>11</v>
      </c>
      <c r="D413" s="1">
        <f t="shared" si="150"/>
        <v>22235.8</v>
      </c>
      <c r="E413" s="1">
        <f t="shared" ref="E413:O413" si="166">E419+E426+E431</f>
        <v>0</v>
      </c>
      <c r="F413" s="1">
        <f t="shared" si="166"/>
        <v>0</v>
      </c>
      <c r="G413" s="1">
        <f t="shared" si="166"/>
        <v>0</v>
      </c>
      <c r="H413" s="1">
        <f t="shared" si="166"/>
        <v>0</v>
      </c>
      <c r="I413" s="1">
        <f>I419+I426+I431</f>
        <v>11234.3</v>
      </c>
      <c r="J413" s="1">
        <f>J419+J426+J431+J436</f>
        <v>7403.7</v>
      </c>
      <c r="K413" s="1">
        <f t="shared" si="166"/>
        <v>3597.8</v>
      </c>
      <c r="L413" s="1">
        <f t="shared" si="166"/>
        <v>0</v>
      </c>
      <c r="M413" s="1">
        <f t="shared" si="166"/>
        <v>0</v>
      </c>
      <c r="N413" s="1">
        <f t="shared" si="166"/>
        <v>0</v>
      </c>
      <c r="O413" s="1">
        <f t="shared" si="166"/>
        <v>0</v>
      </c>
    </row>
    <row r="414" spans="1:15" ht="31.2" x14ac:dyDescent="0.25">
      <c r="A414" s="104"/>
      <c r="B414" s="129"/>
      <c r="C414" s="51" t="s">
        <v>65</v>
      </c>
      <c r="D414" s="1">
        <f t="shared" si="150"/>
        <v>17501.899999999998</v>
      </c>
      <c r="E414" s="1">
        <f>E420+E427+E432+E437</f>
        <v>3741.9</v>
      </c>
      <c r="F414" s="1">
        <f t="shared" ref="F414:J414" si="167">F420+F427+F432+F437</f>
        <v>2450</v>
      </c>
      <c r="G414" s="1">
        <f t="shared" si="167"/>
        <v>2262.1</v>
      </c>
      <c r="H414" s="1">
        <f t="shared" si="167"/>
        <v>1999</v>
      </c>
      <c r="I414" s="1">
        <f>I420+I427+I432+I437</f>
        <v>2324.3000000000002</v>
      </c>
      <c r="J414" s="1">
        <f t="shared" si="167"/>
        <v>1071.5999999999999</v>
      </c>
      <c r="K414" s="1">
        <f>K420+K427+K432+K437+K442</f>
        <v>1827.1</v>
      </c>
      <c r="L414" s="1">
        <f t="shared" ref="L414:O414" si="168">L420+L427+L432+L437+L442</f>
        <v>299.2</v>
      </c>
      <c r="M414" s="1">
        <f t="shared" si="168"/>
        <v>267.3</v>
      </c>
      <c r="N414" s="1">
        <f t="shared" si="168"/>
        <v>253.60000000000002</v>
      </c>
      <c r="O414" s="1">
        <f t="shared" si="168"/>
        <v>1005.8</v>
      </c>
    </row>
    <row r="415" spans="1:15" ht="31.2" x14ac:dyDescent="0.25">
      <c r="A415" s="104"/>
      <c r="B415" s="129"/>
      <c r="C415" s="74" t="s">
        <v>79</v>
      </c>
      <c r="D415" s="1">
        <f t="shared" si="150"/>
        <v>3631.3</v>
      </c>
      <c r="E415" s="1">
        <f t="shared" ref="E415:K415" si="169">E421+E428+E433</f>
        <v>2932.6</v>
      </c>
      <c r="F415" s="1">
        <f t="shared" si="169"/>
        <v>0</v>
      </c>
      <c r="G415" s="1">
        <f t="shared" si="169"/>
        <v>0</v>
      </c>
      <c r="H415" s="1">
        <f t="shared" si="169"/>
        <v>0</v>
      </c>
      <c r="I415" s="1">
        <f>I421+I428+I433</f>
        <v>698.7</v>
      </c>
      <c r="J415" s="1">
        <f t="shared" si="169"/>
        <v>0</v>
      </c>
      <c r="K415" s="1">
        <f t="shared" si="169"/>
        <v>0</v>
      </c>
      <c r="L415" s="1">
        <f>L421+L428+L433</f>
        <v>0</v>
      </c>
      <c r="M415" s="1">
        <f>M421+M428+M433</f>
        <v>0</v>
      </c>
      <c r="N415" s="1">
        <f>N421+N428+N433</f>
        <v>0</v>
      </c>
      <c r="O415" s="1">
        <f>O421+O428+O433</f>
        <v>0</v>
      </c>
    </row>
    <row r="416" spans="1:15" ht="24" customHeight="1" x14ac:dyDescent="0.25">
      <c r="A416" s="104"/>
      <c r="B416" s="129"/>
      <c r="C416" s="51" t="s">
        <v>13</v>
      </c>
      <c r="D416" s="1">
        <f t="shared" si="150"/>
        <v>0</v>
      </c>
      <c r="E416" s="1">
        <v>0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</row>
    <row r="417" spans="1:15" ht="15.6" x14ac:dyDescent="0.25">
      <c r="A417" s="104" t="s">
        <v>150</v>
      </c>
      <c r="B417" s="129" t="s">
        <v>45</v>
      </c>
      <c r="C417" s="51" t="s">
        <v>7</v>
      </c>
      <c r="D417" s="1">
        <f t="shared" si="150"/>
        <v>12619.199999999999</v>
      </c>
      <c r="E417" s="1">
        <f t="shared" ref="E417:O417" si="170">E418+E419+E420+E423</f>
        <v>3437.4</v>
      </c>
      <c r="F417" s="1">
        <f t="shared" si="170"/>
        <v>2000</v>
      </c>
      <c r="G417" s="1">
        <f t="shared" si="170"/>
        <v>2000</v>
      </c>
      <c r="H417" s="1">
        <f t="shared" si="170"/>
        <v>1905.6</v>
      </c>
      <c r="I417" s="1">
        <f t="shared" si="170"/>
        <v>698.69999999999993</v>
      </c>
      <c r="J417" s="1">
        <f t="shared" si="170"/>
        <v>599</v>
      </c>
      <c r="K417" s="1">
        <f t="shared" si="170"/>
        <v>544.9</v>
      </c>
      <c r="L417" s="1">
        <f t="shared" si="170"/>
        <v>181.4</v>
      </c>
      <c r="M417" s="1">
        <f t="shared" si="170"/>
        <v>192.3</v>
      </c>
      <c r="N417" s="1">
        <f t="shared" si="170"/>
        <v>193.3</v>
      </c>
      <c r="O417" s="1">
        <f t="shared" si="170"/>
        <v>866.6</v>
      </c>
    </row>
    <row r="418" spans="1:15" ht="15.75" customHeight="1" x14ac:dyDescent="0.25">
      <c r="A418" s="104"/>
      <c r="B418" s="129"/>
      <c r="C418" s="51" t="s">
        <v>10</v>
      </c>
      <c r="D418" s="1">
        <f t="shared" ref="D418:D423" si="171">E418+F418+G418+H418+I418+J418+K418+L418+M418+N418+O418</f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 ht="15.75" customHeight="1" x14ac:dyDescent="0.25">
      <c r="A419" s="104"/>
      <c r="B419" s="129"/>
      <c r="C419" s="51" t="s">
        <v>11</v>
      </c>
      <c r="D419" s="1">
        <f t="shared" si="171"/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</row>
    <row r="420" spans="1:15" ht="31.2" x14ac:dyDescent="0.25">
      <c r="A420" s="104"/>
      <c r="B420" s="129"/>
      <c r="C420" s="51" t="s">
        <v>65</v>
      </c>
      <c r="D420" s="1">
        <f t="shared" si="171"/>
        <v>12619.199999999999</v>
      </c>
      <c r="E420" s="1">
        <v>3437.4</v>
      </c>
      <c r="F420" s="1">
        <v>2000</v>
      </c>
      <c r="G420" s="1">
        <v>2000</v>
      </c>
      <c r="H420" s="1">
        <v>1905.6</v>
      </c>
      <c r="I420" s="1">
        <f>734.4-35.7</f>
        <v>698.69999999999993</v>
      </c>
      <c r="J420" s="1">
        <f>1907.8-800-508.8</f>
        <v>599</v>
      </c>
      <c r="K420" s="1">
        <f>775.5-230.6</f>
        <v>544.9</v>
      </c>
      <c r="L420" s="1">
        <f>181.4</f>
        <v>181.4</v>
      </c>
      <c r="M420" s="1">
        <f>192.3</f>
        <v>192.3</v>
      </c>
      <c r="N420" s="1">
        <v>193.3</v>
      </c>
      <c r="O420" s="1">
        <v>866.6</v>
      </c>
    </row>
    <row r="421" spans="1:15" ht="31.2" x14ac:dyDescent="0.25">
      <c r="A421" s="104"/>
      <c r="B421" s="129"/>
      <c r="C421" s="74" t="s">
        <v>79</v>
      </c>
      <c r="D421" s="1">
        <f t="shared" si="171"/>
        <v>3631.3</v>
      </c>
      <c r="E421" s="72">
        <v>2932.6</v>
      </c>
      <c r="F421" s="72">
        <v>0</v>
      </c>
      <c r="G421" s="72">
        <v>0</v>
      </c>
      <c r="H421" s="72">
        <v>0</v>
      </c>
      <c r="I421" s="72">
        <v>698.7</v>
      </c>
      <c r="J421" s="72">
        <v>0</v>
      </c>
      <c r="K421" s="72">
        <v>0</v>
      </c>
      <c r="L421" s="72">
        <v>0</v>
      </c>
      <c r="M421" s="72">
        <v>0</v>
      </c>
      <c r="N421" s="72">
        <v>0</v>
      </c>
      <c r="O421" s="72">
        <v>0</v>
      </c>
    </row>
    <row r="422" spans="1:15" ht="31.2" x14ac:dyDescent="0.25">
      <c r="A422" s="104"/>
      <c r="B422" s="129"/>
      <c r="C422" s="74" t="s">
        <v>81</v>
      </c>
      <c r="D422" s="1">
        <f t="shared" si="171"/>
        <v>475.5</v>
      </c>
      <c r="E422" s="1">
        <v>0</v>
      </c>
      <c r="F422" s="1">
        <v>0</v>
      </c>
      <c r="G422" s="1">
        <v>0</v>
      </c>
      <c r="H422" s="1">
        <v>475.5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</row>
    <row r="423" spans="1:15" ht="18.75" customHeight="1" x14ac:dyDescent="0.25">
      <c r="A423" s="104"/>
      <c r="B423" s="129"/>
      <c r="C423" s="51" t="s">
        <v>13</v>
      </c>
      <c r="D423" s="1">
        <f t="shared" si="171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</row>
    <row r="424" spans="1:15" ht="21" customHeight="1" x14ac:dyDescent="0.25">
      <c r="A424" s="104" t="s">
        <v>151</v>
      </c>
      <c r="B424" s="129" t="s">
        <v>50</v>
      </c>
      <c r="C424" s="51" t="s">
        <v>7</v>
      </c>
      <c r="D424" s="1">
        <f t="shared" ref="D424:D470" si="172">E424+F424+G424+H424+I424+J424+K424+L424+M424+N424+O424</f>
        <v>1787.5</v>
      </c>
      <c r="E424" s="1">
        <f t="shared" ref="E424:O424" si="173">E425+E426+E427+E428</f>
        <v>304.5</v>
      </c>
      <c r="F424" s="1">
        <f t="shared" si="173"/>
        <v>450</v>
      </c>
      <c r="G424" s="1">
        <f t="shared" si="173"/>
        <v>262.10000000000002</v>
      </c>
      <c r="H424" s="1">
        <f t="shared" si="173"/>
        <v>93.4</v>
      </c>
      <c r="I424" s="1">
        <f t="shared" si="173"/>
        <v>346.4</v>
      </c>
      <c r="J424" s="1">
        <f t="shared" si="173"/>
        <v>0</v>
      </c>
      <c r="K424" s="1">
        <f t="shared" si="173"/>
        <v>0</v>
      </c>
      <c r="L424" s="1">
        <f t="shared" si="173"/>
        <v>56.6</v>
      </c>
      <c r="M424" s="1">
        <f t="shared" si="173"/>
        <v>75</v>
      </c>
      <c r="N424" s="1">
        <f t="shared" si="173"/>
        <v>60.3</v>
      </c>
      <c r="O424" s="1">
        <f t="shared" si="173"/>
        <v>139.19999999999999</v>
      </c>
    </row>
    <row r="425" spans="1:15" ht="17.25" customHeight="1" x14ac:dyDescent="0.25">
      <c r="A425" s="104"/>
      <c r="B425" s="129"/>
      <c r="C425" s="51" t="s">
        <v>10</v>
      </c>
      <c r="D425" s="1">
        <f t="shared" si="172"/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15" ht="17.25" customHeight="1" x14ac:dyDescent="0.25">
      <c r="A426" s="104"/>
      <c r="B426" s="129"/>
      <c r="C426" s="51" t="s">
        <v>11</v>
      </c>
      <c r="D426" s="1">
        <f t="shared" si="172"/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</row>
    <row r="427" spans="1:15" ht="21" customHeight="1" x14ac:dyDescent="0.25">
      <c r="A427" s="104"/>
      <c r="B427" s="129"/>
      <c r="C427" s="51" t="s">
        <v>12</v>
      </c>
      <c r="D427" s="1">
        <f t="shared" si="172"/>
        <v>1787.5</v>
      </c>
      <c r="E427" s="1">
        <v>304.5</v>
      </c>
      <c r="F427" s="1">
        <v>450</v>
      </c>
      <c r="G427" s="1">
        <v>262.10000000000002</v>
      </c>
      <c r="H427" s="1">
        <v>93.4</v>
      </c>
      <c r="I427" s="1">
        <f>504.9-158.5</f>
        <v>346.4</v>
      </c>
      <c r="J427" s="1">
        <f>227.7-227.7</f>
        <v>0</v>
      </c>
      <c r="K427" s="1">
        <f>420-320-100</f>
        <v>0</v>
      </c>
      <c r="L427" s="1">
        <f>56.6</f>
        <v>56.6</v>
      </c>
      <c r="M427" s="1">
        <f>75</f>
        <v>75</v>
      </c>
      <c r="N427" s="1">
        <v>60.3</v>
      </c>
      <c r="O427" s="1">
        <v>139.19999999999999</v>
      </c>
    </row>
    <row r="428" spans="1:15" ht="24" customHeight="1" x14ac:dyDescent="0.25">
      <c r="A428" s="104"/>
      <c r="B428" s="129"/>
      <c r="C428" s="51" t="s">
        <v>13</v>
      </c>
      <c r="D428" s="1">
        <f t="shared" si="172"/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15" ht="15.6" x14ac:dyDescent="0.25">
      <c r="A429" s="104" t="s">
        <v>276</v>
      </c>
      <c r="B429" s="129" t="s">
        <v>274</v>
      </c>
      <c r="C429" s="82" t="s">
        <v>7</v>
      </c>
      <c r="D429" s="3">
        <f t="shared" si="172"/>
        <v>24278.400000000001</v>
      </c>
      <c r="E429" s="3">
        <f>E430+E431+E432+E433</f>
        <v>0</v>
      </c>
      <c r="F429" s="3">
        <f t="shared" ref="F429:O429" si="174">F430+F431+F432+F433</f>
        <v>0</v>
      </c>
      <c r="G429" s="3">
        <f t="shared" si="174"/>
        <v>0</v>
      </c>
      <c r="H429" s="3">
        <f t="shared" si="174"/>
        <v>0</v>
      </c>
      <c r="I429" s="3">
        <f t="shared" si="174"/>
        <v>12513.5</v>
      </c>
      <c r="J429" s="3">
        <f t="shared" si="174"/>
        <v>7876.2999999999993</v>
      </c>
      <c r="K429" s="3">
        <f t="shared" si="174"/>
        <v>3827.4</v>
      </c>
      <c r="L429" s="3">
        <f t="shared" si="174"/>
        <v>61.2</v>
      </c>
      <c r="M429" s="3">
        <f t="shared" si="174"/>
        <v>0</v>
      </c>
      <c r="N429" s="3">
        <f t="shared" si="174"/>
        <v>0</v>
      </c>
      <c r="O429" s="3">
        <f t="shared" si="174"/>
        <v>0</v>
      </c>
    </row>
    <row r="430" spans="1:15" ht="15.6" x14ac:dyDescent="0.25">
      <c r="A430" s="104"/>
      <c r="B430" s="134"/>
      <c r="C430" s="58" t="s">
        <v>10</v>
      </c>
      <c r="D430" s="3">
        <f t="shared" si="172"/>
        <v>0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  <c r="M430" s="3">
        <v>0</v>
      </c>
      <c r="N430" s="3">
        <v>0</v>
      </c>
      <c r="O430" s="3">
        <v>0</v>
      </c>
    </row>
    <row r="431" spans="1:15" ht="15.6" x14ac:dyDescent="0.25">
      <c r="A431" s="104"/>
      <c r="B431" s="134"/>
      <c r="C431" s="58" t="s">
        <v>11</v>
      </c>
      <c r="D431" s="3">
        <f t="shared" si="172"/>
        <v>22235.8</v>
      </c>
      <c r="E431" s="3">
        <v>0</v>
      </c>
      <c r="F431" s="3">
        <v>0</v>
      </c>
      <c r="G431" s="3">
        <v>0</v>
      </c>
      <c r="H431" s="3">
        <v>0</v>
      </c>
      <c r="I431" s="3">
        <v>11234.3</v>
      </c>
      <c r="J431" s="3">
        <v>7403.7</v>
      </c>
      <c r="K431" s="3">
        <v>3597.8</v>
      </c>
      <c r="L431" s="3">
        <v>0</v>
      </c>
      <c r="M431" s="3">
        <v>0</v>
      </c>
      <c r="N431" s="3">
        <v>0</v>
      </c>
      <c r="O431" s="3">
        <v>0</v>
      </c>
    </row>
    <row r="432" spans="1:15" ht="15.6" x14ac:dyDescent="0.25">
      <c r="A432" s="104"/>
      <c r="B432" s="134"/>
      <c r="C432" s="58" t="s">
        <v>12</v>
      </c>
      <c r="D432" s="3">
        <f t="shared" si="172"/>
        <v>2042.6</v>
      </c>
      <c r="E432" s="3">
        <v>0</v>
      </c>
      <c r="F432" s="3">
        <v>0</v>
      </c>
      <c r="G432" s="3">
        <v>0</v>
      </c>
      <c r="H432" s="3">
        <v>0</v>
      </c>
      <c r="I432" s="3">
        <f>1850-570.8</f>
        <v>1279.2</v>
      </c>
      <c r="J432" s="3">
        <f>3000-545.9-1981.5</f>
        <v>472.59999999999991</v>
      </c>
      <c r="K432" s="3">
        <v>229.6</v>
      </c>
      <c r="L432" s="3">
        <f>61.2</f>
        <v>61.2</v>
      </c>
      <c r="M432" s="3">
        <v>0</v>
      </c>
      <c r="N432" s="3">
        <v>0</v>
      </c>
      <c r="O432" s="3">
        <v>0</v>
      </c>
    </row>
    <row r="433" spans="1:15" ht="15" customHeight="1" x14ac:dyDescent="0.25">
      <c r="A433" s="104"/>
      <c r="B433" s="134"/>
      <c r="C433" s="58" t="s">
        <v>13</v>
      </c>
      <c r="D433" s="3">
        <f t="shared" si="172"/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0</v>
      </c>
      <c r="N433" s="3">
        <v>0</v>
      </c>
      <c r="O433" s="3">
        <v>0</v>
      </c>
    </row>
    <row r="434" spans="1:15" ht="15.6" hidden="1" x14ac:dyDescent="0.25">
      <c r="A434" s="104"/>
      <c r="B434" s="129" t="s">
        <v>289</v>
      </c>
      <c r="C434" s="82" t="s">
        <v>7</v>
      </c>
      <c r="D434" s="3">
        <f t="shared" si="172"/>
        <v>0</v>
      </c>
      <c r="E434" s="3">
        <f>E435+E436+E437+E438</f>
        <v>0</v>
      </c>
      <c r="F434" s="3">
        <f t="shared" ref="F434:O434" si="175">F435+F436+F437+F438</f>
        <v>0</v>
      </c>
      <c r="G434" s="3">
        <f t="shared" si="175"/>
        <v>0</v>
      </c>
      <c r="H434" s="3">
        <f t="shared" si="175"/>
        <v>0</v>
      </c>
      <c r="I434" s="3">
        <f t="shared" si="175"/>
        <v>0</v>
      </c>
      <c r="J434" s="3">
        <f t="shared" si="175"/>
        <v>0</v>
      </c>
      <c r="K434" s="3">
        <f t="shared" si="175"/>
        <v>0</v>
      </c>
      <c r="L434" s="3">
        <f t="shared" si="175"/>
        <v>0</v>
      </c>
      <c r="M434" s="3">
        <f t="shared" si="175"/>
        <v>0</v>
      </c>
      <c r="N434" s="3">
        <f t="shared" si="175"/>
        <v>0</v>
      </c>
      <c r="O434" s="3">
        <f t="shared" si="175"/>
        <v>0</v>
      </c>
    </row>
    <row r="435" spans="1:15" ht="15.6" hidden="1" x14ac:dyDescent="0.25">
      <c r="A435" s="104"/>
      <c r="B435" s="134"/>
      <c r="C435" s="58" t="s">
        <v>10</v>
      </c>
      <c r="D435" s="3">
        <f t="shared" si="172"/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0</v>
      </c>
      <c r="O435" s="3">
        <v>0</v>
      </c>
    </row>
    <row r="436" spans="1:15" ht="15.6" hidden="1" x14ac:dyDescent="0.25">
      <c r="A436" s="104"/>
      <c r="B436" s="134"/>
      <c r="C436" s="58" t="s">
        <v>11</v>
      </c>
      <c r="D436" s="3">
        <f t="shared" si="172"/>
        <v>0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  <c r="O436" s="3">
        <v>0</v>
      </c>
    </row>
    <row r="437" spans="1:15" ht="15.6" hidden="1" x14ac:dyDescent="0.25">
      <c r="A437" s="104"/>
      <c r="B437" s="134"/>
      <c r="C437" s="58" t="s">
        <v>12</v>
      </c>
      <c r="D437" s="3">
        <f t="shared" si="172"/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0</v>
      </c>
      <c r="O437" s="3">
        <f>N437*104%</f>
        <v>0</v>
      </c>
    </row>
    <row r="438" spans="1:15" ht="18" hidden="1" customHeight="1" x14ac:dyDescent="0.25">
      <c r="A438" s="104"/>
      <c r="B438" s="134"/>
      <c r="C438" s="58" t="s">
        <v>13</v>
      </c>
      <c r="D438" s="3">
        <f t="shared" si="172"/>
        <v>0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0</v>
      </c>
      <c r="N438" s="3">
        <v>0</v>
      </c>
      <c r="O438" s="3">
        <v>0</v>
      </c>
    </row>
    <row r="439" spans="1:15" ht="18" customHeight="1" x14ac:dyDescent="0.25">
      <c r="A439" s="104" t="s">
        <v>291</v>
      </c>
      <c r="B439" s="129" t="s">
        <v>406</v>
      </c>
      <c r="C439" s="82" t="s">
        <v>7</v>
      </c>
      <c r="D439" s="3">
        <f t="shared" si="172"/>
        <v>1052.5999999999999</v>
      </c>
      <c r="E439" s="3">
        <f>E440+E441+E442+E443</f>
        <v>0</v>
      </c>
      <c r="F439" s="3">
        <f t="shared" ref="F439:O439" si="176">F440+F441+F442+F443</f>
        <v>0</v>
      </c>
      <c r="G439" s="3">
        <f t="shared" si="176"/>
        <v>0</v>
      </c>
      <c r="H439" s="3">
        <f t="shared" si="176"/>
        <v>0</v>
      </c>
      <c r="I439" s="3">
        <f t="shared" si="176"/>
        <v>0</v>
      </c>
      <c r="J439" s="3">
        <f t="shared" si="176"/>
        <v>0</v>
      </c>
      <c r="K439" s="3">
        <f t="shared" si="176"/>
        <v>1052.5999999999999</v>
      </c>
      <c r="L439" s="3">
        <f t="shared" si="176"/>
        <v>0</v>
      </c>
      <c r="M439" s="3">
        <f t="shared" si="176"/>
        <v>0</v>
      </c>
      <c r="N439" s="3">
        <f t="shared" si="176"/>
        <v>0</v>
      </c>
      <c r="O439" s="3">
        <f t="shared" si="176"/>
        <v>0</v>
      </c>
    </row>
    <row r="440" spans="1:15" ht="18" customHeight="1" x14ac:dyDescent="0.25">
      <c r="A440" s="104"/>
      <c r="B440" s="134"/>
      <c r="C440" s="58" t="s">
        <v>10</v>
      </c>
      <c r="D440" s="3">
        <f t="shared" si="172"/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</row>
    <row r="441" spans="1:15" ht="18" customHeight="1" x14ac:dyDescent="0.25">
      <c r="A441" s="104"/>
      <c r="B441" s="134"/>
      <c r="C441" s="58" t="s">
        <v>11</v>
      </c>
      <c r="D441" s="3">
        <f t="shared" si="172"/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  <c r="O441" s="3">
        <v>0</v>
      </c>
    </row>
    <row r="442" spans="1:15" ht="18" customHeight="1" x14ac:dyDescent="0.25">
      <c r="A442" s="104"/>
      <c r="B442" s="134"/>
      <c r="C442" s="58" t="s">
        <v>12</v>
      </c>
      <c r="D442" s="3">
        <f t="shared" si="172"/>
        <v>1052.5999999999999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1052.5999999999999</v>
      </c>
      <c r="L442" s="3">
        <v>0</v>
      </c>
      <c r="M442" s="3">
        <v>0</v>
      </c>
      <c r="N442" s="3">
        <v>0</v>
      </c>
      <c r="O442" s="3">
        <v>0</v>
      </c>
    </row>
    <row r="443" spans="1:15" ht="18" customHeight="1" x14ac:dyDescent="0.25">
      <c r="A443" s="104"/>
      <c r="B443" s="134"/>
      <c r="C443" s="58" t="s">
        <v>13</v>
      </c>
      <c r="D443" s="3">
        <f t="shared" si="172"/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  <c r="N443" s="3">
        <v>0</v>
      </c>
      <c r="O443" s="3">
        <v>0</v>
      </c>
    </row>
    <row r="444" spans="1:15" ht="15.6" x14ac:dyDescent="0.25">
      <c r="A444" s="104" t="s">
        <v>312</v>
      </c>
      <c r="B444" s="129" t="s">
        <v>369</v>
      </c>
      <c r="C444" s="82" t="s">
        <v>7</v>
      </c>
      <c r="D444" s="3">
        <f t="shared" si="172"/>
        <v>424805.23</v>
      </c>
      <c r="E444" s="3">
        <f>E445+E446+E447+E448</f>
        <v>0</v>
      </c>
      <c r="F444" s="3">
        <f t="shared" ref="F444:O444" si="177">F445+F446+F447+F448</f>
        <v>0</v>
      </c>
      <c r="G444" s="3">
        <f t="shared" si="177"/>
        <v>0</v>
      </c>
      <c r="H444" s="3">
        <f t="shared" si="177"/>
        <v>0</v>
      </c>
      <c r="I444" s="3">
        <f t="shared" si="177"/>
        <v>0</v>
      </c>
      <c r="J444" s="3">
        <f t="shared" si="177"/>
        <v>208238.7</v>
      </c>
      <c r="K444" s="3">
        <f>K445+K446+K447+K448</f>
        <v>216566.53</v>
      </c>
      <c r="L444" s="3">
        <f t="shared" si="177"/>
        <v>0</v>
      </c>
      <c r="M444" s="3">
        <f t="shared" si="177"/>
        <v>0</v>
      </c>
      <c r="N444" s="3">
        <f t="shared" si="177"/>
        <v>0</v>
      </c>
      <c r="O444" s="3">
        <f t="shared" si="177"/>
        <v>0</v>
      </c>
    </row>
    <row r="445" spans="1:15" ht="15.6" x14ac:dyDescent="0.25">
      <c r="A445" s="104"/>
      <c r="B445" s="134"/>
      <c r="C445" s="58" t="s">
        <v>10</v>
      </c>
      <c r="D445" s="3">
        <f t="shared" si="172"/>
        <v>115023.2</v>
      </c>
      <c r="E445" s="3">
        <f t="shared" ref="E445:O445" si="178">E450+E455</f>
        <v>0</v>
      </c>
      <c r="F445" s="3">
        <f t="shared" si="178"/>
        <v>0</v>
      </c>
      <c r="G445" s="3">
        <f t="shared" si="178"/>
        <v>0</v>
      </c>
      <c r="H445" s="3">
        <f t="shared" si="178"/>
        <v>0</v>
      </c>
      <c r="I445" s="3">
        <f t="shared" si="178"/>
        <v>0</v>
      </c>
      <c r="J445" s="3">
        <f t="shared" si="178"/>
        <v>0</v>
      </c>
      <c r="K445" s="3">
        <f t="shared" si="178"/>
        <v>115023.2</v>
      </c>
      <c r="L445" s="3">
        <f t="shared" si="178"/>
        <v>0</v>
      </c>
      <c r="M445" s="3">
        <f t="shared" si="178"/>
        <v>0</v>
      </c>
      <c r="N445" s="3">
        <f t="shared" si="178"/>
        <v>0</v>
      </c>
      <c r="O445" s="3">
        <f t="shared" si="178"/>
        <v>0</v>
      </c>
    </row>
    <row r="446" spans="1:15" ht="15.6" x14ac:dyDescent="0.25">
      <c r="A446" s="104"/>
      <c r="B446" s="134"/>
      <c r="C446" s="58" t="s">
        <v>11</v>
      </c>
      <c r="D446" s="3">
        <f t="shared" si="172"/>
        <v>287838.81</v>
      </c>
      <c r="E446" s="3">
        <f>E451+E456</f>
        <v>0</v>
      </c>
      <c r="F446" s="3">
        <f t="shared" ref="F446:O446" si="179">F451+F456</f>
        <v>0</v>
      </c>
      <c r="G446" s="3">
        <f t="shared" si="179"/>
        <v>0</v>
      </c>
      <c r="H446" s="3">
        <f t="shared" si="179"/>
        <v>0</v>
      </c>
      <c r="I446" s="3">
        <f t="shared" si="179"/>
        <v>0</v>
      </c>
      <c r="J446" s="3">
        <f t="shared" si="179"/>
        <v>193000</v>
      </c>
      <c r="K446" s="3">
        <f t="shared" si="179"/>
        <v>94838.81</v>
      </c>
      <c r="L446" s="3">
        <f t="shared" si="179"/>
        <v>0</v>
      </c>
      <c r="M446" s="3">
        <f t="shared" si="179"/>
        <v>0</v>
      </c>
      <c r="N446" s="3">
        <f t="shared" si="179"/>
        <v>0</v>
      </c>
      <c r="O446" s="3">
        <f t="shared" si="179"/>
        <v>0</v>
      </c>
    </row>
    <row r="447" spans="1:15" ht="15.6" x14ac:dyDescent="0.25">
      <c r="A447" s="104"/>
      <c r="B447" s="134"/>
      <c r="C447" s="58" t="s">
        <v>12</v>
      </c>
      <c r="D447" s="3">
        <f t="shared" si="172"/>
        <v>21943.22</v>
      </c>
      <c r="E447" s="3">
        <f>E452+E457</f>
        <v>0</v>
      </c>
      <c r="F447" s="3">
        <f t="shared" ref="F447:O447" si="180">F452+F457</f>
        <v>0</v>
      </c>
      <c r="G447" s="3">
        <f t="shared" si="180"/>
        <v>0</v>
      </c>
      <c r="H447" s="3">
        <f t="shared" si="180"/>
        <v>0</v>
      </c>
      <c r="I447" s="3">
        <f t="shared" si="180"/>
        <v>0</v>
      </c>
      <c r="J447" s="3">
        <f t="shared" si="180"/>
        <v>15238.7</v>
      </c>
      <c r="K447" s="3">
        <f>K452+K457+K462</f>
        <v>6704.52</v>
      </c>
      <c r="L447" s="3">
        <f t="shared" si="180"/>
        <v>0</v>
      </c>
      <c r="M447" s="3">
        <f t="shared" si="180"/>
        <v>0</v>
      </c>
      <c r="N447" s="3">
        <f t="shared" si="180"/>
        <v>0</v>
      </c>
      <c r="O447" s="3">
        <f t="shared" si="180"/>
        <v>0</v>
      </c>
    </row>
    <row r="448" spans="1:15" ht="15.6" x14ac:dyDescent="0.25">
      <c r="A448" s="104"/>
      <c r="B448" s="134"/>
      <c r="C448" s="58" t="s">
        <v>13</v>
      </c>
      <c r="D448" s="3">
        <f t="shared" si="172"/>
        <v>0</v>
      </c>
      <c r="E448" s="3">
        <f>E453+E458</f>
        <v>0</v>
      </c>
      <c r="F448" s="3">
        <f t="shared" ref="F448:O448" si="181">F453+F458</f>
        <v>0</v>
      </c>
      <c r="G448" s="3">
        <f t="shared" si="181"/>
        <v>0</v>
      </c>
      <c r="H448" s="3">
        <f t="shared" si="181"/>
        <v>0</v>
      </c>
      <c r="I448" s="3">
        <f t="shared" si="181"/>
        <v>0</v>
      </c>
      <c r="J448" s="3">
        <f t="shared" si="181"/>
        <v>0</v>
      </c>
      <c r="K448" s="3">
        <f t="shared" si="181"/>
        <v>0</v>
      </c>
      <c r="L448" s="3">
        <f t="shared" si="181"/>
        <v>0</v>
      </c>
      <c r="M448" s="3">
        <f t="shared" si="181"/>
        <v>0</v>
      </c>
      <c r="N448" s="3">
        <f t="shared" si="181"/>
        <v>0</v>
      </c>
      <c r="O448" s="3">
        <f t="shared" si="181"/>
        <v>0</v>
      </c>
    </row>
    <row r="449" spans="1:15" ht="29.25" customHeight="1" x14ac:dyDescent="0.25">
      <c r="A449" s="104" t="s">
        <v>332</v>
      </c>
      <c r="B449" s="129" t="s">
        <v>401</v>
      </c>
      <c r="C449" s="82" t="s">
        <v>7</v>
      </c>
      <c r="D449" s="1">
        <f t="shared" si="172"/>
        <v>420220.53</v>
      </c>
      <c r="E449" s="1">
        <f>E450+E451+E452+E453</f>
        <v>0</v>
      </c>
      <c r="F449" s="1">
        <f t="shared" ref="F449:O449" si="182">F450+F451+F452+F453</f>
        <v>0</v>
      </c>
      <c r="G449" s="1">
        <f t="shared" si="182"/>
        <v>0</v>
      </c>
      <c r="H449" s="1">
        <f t="shared" si="182"/>
        <v>0</v>
      </c>
      <c r="I449" s="1">
        <f t="shared" si="182"/>
        <v>0</v>
      </c>
      <c r="J449" s="1">
        <f t="shared" si="182"/>
        <v>208238.7</v>
      </c>
      <c r="K449" s="1">
        <f t="shared" si="182"/>
        <v>211981.83000000002</v>
      </c>
      <c r="L449" s="1">
        <f t="shared" si="182"/>
        <v>0</v>
      </c>
      <c r="M449" s="1">
        <f t="shared" si="182"/>
        <v>0</v>
      </c>
      <c r="N449" s="1">
        <f t="shared" si="182"/>
        <v>0</v>
      </c>
      <c r="O449" s="1">
        <f t="shared" si="182"/>
        <v>0</v>
      </c>
    </row>
    <row r="450" spans="1:15" ht="24" customHeight="1" x14ac:dyDescent="0.25">
      <c r="A450" s="104"/>
      <c r="B450" s="134"/>
      <c r="C450" s="58" t="s">
        <v>10</v>
      </c>
      <c r="D450" s="1">
        <f t="shared" si="172"/>
        <v>115023.2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115023.2</v>
      </c>
      <c r="L450" s="1">
        <v>0</v>
      </c>
      <c r="M450" s="1">
        <v>0</v>
      </c>
      <c r="N450" s="1">
        <v>0</v>
      </c>
      <c r="O450" s="1">
        <v>0</v>
      </c>
    </row>
    <row r="451" spans="1:15" ht="24" customHeight="1" x14ac:dyDescent="0.25">
      <c r="A451" s="104"/>
      <c r="B451" s="134"/>
      <c r="C451" s="58" t="s">
        <v>11</v>
      </c>
      <c r="D451" s="1">
        <f t="shared" si="172"/>
        <v>287838.81</v>
      </c>
      <c r="E451" s="1">
        <v>0</v>
      </c>
      <c r="F451" s="1">
        <v>0</v>
      </c>
      <c r="G451" s="1">
        <v>0</v>
      </c>
      <c r="H451" s="1">
        <v>0</v>
      </c>
      <c r="I451" s="1">
        <v>0</v>
      </c>
      <c r="J451" s="1">
        <v>193000</v>
      </c>
      <c r="K451" s="1">
        <v>94838.81</v>
      </c>
      <c r="L451" s="1">
        <v>0</v>
      </c>
      <c r="M451" s="1">
        <v>0</v>
      </c>
      <c r="N451" s="1">
        <v>0</v>
      </c>
      <c r="O451" s="1">
        <v>0</v>
      </c>
    </row>
    <row r="452" spans="1:15" ht="20.25" customHeight="1" x14ac:dyDescent="0.25">
      <c r="A452" s="104"/>
      <c r="B452" s="134"/>
      <c r="C452" s="58" t="s">
        <v>12</v>
      </c>
      <c r="D452" s="1">
        <f t="shared" si="172"/>
        <v>17358.52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f>12319.1+2918+1.6</f>
        <v>15238.7</v>
      </c>
      <c r="K452" s="1">
        <v>2119.8200000000002</v>
      </c>
      <c r="L452" s="1">
        <v>0</v>
      </c>
      <c r="M452" s="1">
        <v>0</v>
      </c>
      <c r="N452" s="1">
        <v>0</v>
      </c>
      <c r="O452" s="1">
        <v>0</v>
      </c>
    </row>
    <row r="453" spans="1:15" ht="30.75" customHeight="1" x14ac:dyDescent="0.25">
      <c r="A453" s="104"/>
      <c r="B453" s="134"/>
      <c r="C453" s="58" t="s">
        <v>13</v>
      </c>
      <c r="D453" s="1">
        <f t="shared" si="172"/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15" ht="25.5" customHeight="1" x14ac:dyDescent="0.25">
      <c r="A454" s="102" t="s">
        <v>378</v>
      </c>
      <c r="B454" s="129" t="s">
        <v>425</v>
      </c>
      <c r="C454" s="82" t="s">
        <v>7</v>
      </c>
      <c r="D454" s="1">
        <f>E454+F454+G454+H454+I454+J454+K454+L454+M454+N454+O454</f>
        <v>4584.7</v>
      </c>
      <c r="E454" s="1">
        <f>E455+E456+E457+E458</f>
        <v>0</v>
      </c>
      <c r="F454" s="1">
        <f t="shared" ref="F454:O454" si="183">F455+F456+F457+F458</f>
        <v>0</v>
      </c>
      <c r="G454" s="1">
        <f t="shared" si="183"/>
        <v>0</v>
      </c>
      <c r="H454" s="1">
        <f t="shared" si="183"/>
        <v>0</v>
      </c>
      <c r="I454" s="1">
        <f t="shared" si="183"/>
        <v>0</v>
      </c>
      <c r="J454" s="1">
        <f t="shared" si="183"/>
        <v>0</v>
      </c>
      <c r="K454" s="1">
        <f t="shared" si="183"/>
        <v>4584.7</v>
      </c>
      <c r="L454" s="1">
        <f t="shared" si="183"/>
        <v>0</v>
      </c>
      <c r="M454" s="1">
        <f t="shared" si="183"/>
        <v>0</v>
      </c>
      <c r="N454" s="1">
        <f t="shared" si="183"/>
        <v>0</v>
      </c>
      <c r="O454" s="1">
        <f t="shared" si="183"/>
        <v>0</v>
      </c>
    </row>
    <row r="455" spans="1:15" ht="25.5" customHeight="1" x14ac:dyDescent="0.25">
      <c r="A455" s="117"/>
      <c r="B455" s="134"/>
      <c r="C455" s="58" t="s">
        <v>10</v>
      </c>
      <c r="D455" s="1">
        <f t="shared" ref="D455:D463" si="184">E455+F455+G455+H455+I455+J455+K455+L455+M455+N455+O455</f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</row>
    <row r="456" spans="1:15" ht="25.5" customHeight="1" x14ac:dyDescent="0.25">
      <c r="A456" s="117"/>
      <c r="B456" s="134"/>
      <c r="C456" s="58" t="s">
        <v>11</v>
      </c>
      <c r="D456" s="1">
        <f t="shared" si="184"/>
        <v>0</v>
      </c>
      <c r="E456" s="1">
        <v>0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</row>
    <row r="457" spans="1:15" ht="25.5" customHeight="1" x14ac:dyDescent="0.25">
      <c r="A457" s="117"/>
      <c r="B457" s="134"/>
      <c r="C457" s="58" t="s">
        <v>12</v>
      </c>
      <c r="D457" s="1">
        <f t="shared" si="184"/>
        <v>4584.7</v>
      </c>
      <c r="E457" s="1">
        <v>0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  <c r="K457" s="1">
        <f>4584.7</f>
        <v>4584.7</v>
      </c>
      <c r="L457" s="1">
        <v>0</v>
      </c>
      <c r="M457" s="1">
        <v>0</v>
      </c>
      <c r="N457" s="1">
        <v>0</v>
      </c>
      <c r="O457" s="1">
        <v>0</v>
      </c>
    </row>
    <row r="458" spans="1:15" ht="25.5" customHeight="1" x14ac:dyDescent="0.25">
      <c r="A458" s="103"/>
      <c r="B458" s="134"/>
      <c r="C458" s="58" t="s">
        <v>13</v>
      </c>
      <c r="D458" s="1">
        <f t="shared" si="184"/>
        <v>0</v>
      </c>
      <c r="E458" s="1">
        <v>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</row>
    <row r="459" spans="1:15" ht="25.5" hidden="1" customHeight="1" x14ac:dyDescent="0.25">
      <c r="A459" s="102"/>
      <c r="B459" s="129" t="s">
        <v>402</v>
      </c>
      <c r="C459" s="82" t="s">
        <v>7</v>
      </c>
      <c r="D459" s="1">
        <f>E459+F459+G459+H459+I459+J459+K459+L459+M459+N459+O459</f>
        <v>0</v>
      </c>
      <c r="E459" s="1">
        <f>E460+E461+E462+E463</f>
        <v>0</v>
      </c>
      <c r="F459" s="1">
        <f t="shared" ref="F459:O459" si="185">F460+F461+F462+F463</f>
        <v>0</v>
      </c>
      <c r="G459" s="1">
        <f t="shared" si="185"/>
        <v>0</v>
      </c>
      <c r="H459" s="1">
        <f t="shared" si="185"/>
        <v>0</v>
      </c>
      <c r="I459" s="1">
        <f t="shared" si="185"/>
        <v>0</v>
      </c>
      <c r="J459" s="1">
        <f t="shared" si="185"/>
        <v>0</v>
      </c>
      <c r="K459" s="1">
        <f t="shared" si="185"/>
        <v>0</v>
      </c>
      <c r="L459" s="1">
        <f t="shared" si="185"/>
        <v>0</v>
      </c>
      <c r="M459" s="1">
        <f t="shared" si="185"/>
        <v>0</v>
      </c>
      <c r="N459" s="1">
        <f t="shared" si="185"/>
        <v>0</v>
      </c>
      <c r="O459" s="1">
        <f t="shared" si="185"/>
        <v>0</v>
      </c>
    </row>
    <row r="460" spans="1:15" ht="25.5" hidden="1" customHeight="1" x14ac:dyDescent="0.25">
      <c r="A460" s="117"/>
      <c r="B460" s="134"/>
      <c r="C460" s="58" t="s">
        <v>10</v>
      </c>
      <c r="D460" s="1">
        <f t="shared" si="184"/>
        <v>0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</row>
    <row r="461" spans="1:15" ht="25.5" hidden="1" customHeight="1" x14ac:dyDescent="0.25">
      <c r="A461" s="117"/>
      <c r="B461" s="134"/>
      <c r="C461" s="58" t="s">
        <v>11</v>
      </c>
      <c r="D461" s="1">
        <f t="shared" si="184"/>
        <v>0</v>
      </c>
      <c r="E461" s="1">
        <v>0</v>
      </c>
      <c r="F461" s="1">
        <v>0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</row>
    <row r="462" spans="1:15" ht="25.5" hidden="1" customHeight="1" x14ac:dyDescent="0.25">
      <c r="A462" s="117"/>
      <c r="B462" s="134"/>
      <c r="C462" s="58" t="s">
        <v>12</v>
      </c>
      <c r="D462" s="1">
        <f t="shared" si="184"/>
        <v>0</v>
      </c>
      <c r="E462" s="1">
        <v>0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  <c r="K462" s="1">
        <f>1800-1800</f>
        <v>0</v>
      </c>
      <c r="L462" s="1">
        <v>0</v>
      </c>
      <c r="M462" s="1">
        <v>0</v>
      </c>
      <c r="N462" s="1">
        <v>0</v>
      </c>
      <c r="O462" s="1">
        <v>0</v>
      </c>
    </row>
    <row r="463" spans="1:15" ht="23.25" hidden="1" customHeight="1" x14ac:dyDescent="0.25">
      <c r="A463" s="103"/>
      <c r="B463" s="134"/>
      <c r="C463" s="58" t="s">
        <v>13</v>
      </c>
      <c r="D463" s="1">
        <f t="shared" si="184"/>
        <v>0</v>
      </c>
      <c r="E463" s="1">
        <v>0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</row>
    <row r="464" spans="1:15" ht="15.6" x14ac:dyDescent="0.25">
      <c r="A464" s="104" t="s">
        <v>317</v>
      </c>
      <c r="B464" s="129" t="s">
        <v>370</v>
      </c>
      <c r="C464" s="82" t="s">
        <v>7</v>
      </c>
      <c r="D464" s="3">
        <f t="shared" si="172"/>
        <v>48813.9</v>
      </c>
      <c r="E464" s="3">
        <f>E465+E466+E467+E468</f>
        <v>0</v>
      </c>
      <c r="F464" s="3">
        <f t="shared" ref="F464:O464" si="186">F465+F466+F467+F468</f>
        <v>0</v>
      </c>
      <c r="G464" s="3">
        <f t="shared" si="186"/>
        <v>0</v>
      </c>
      <c r="H464" s="3">
        <f t="shared" si="186"/>
        <v>0</v>
      </c>
      <c r="I464" s="3">
        <f t="shared" si="186"/>
        <v>0</v>
      </c>
      <c r="J464" s="3">
        <f t="shared" si="186"/>
        <v>0</v>
      </c>
      <c r="K464" s="3">
        <f t="shared" si="186"/>
        <v>25529.200000000001</v>
      </c>
      <c r="L464" s="3">
        <f t="shared" si="186"/>
        <v>23284.7</v>
      </c>
      <c r="M464" s="3">
        <f t="shared" si="186"/>
        <v>0</v>
      </c>
      <c r="N464" s="3">
        <f t="shared" si="186"/>
        <v>0</v>
      </c>
      <c r="O464" s="3">
        <f t="shared" si="186"/>
        <v>0</v>
      </c>
    </row>
    <row r="465" spans="1:23" ht="15.6" x14ac:dyDescent="0.25">
      <c r="A465" s="104"/>
      <c r="B465" s="134"/>
      <c r="C465" s="58" t="s">
        <v>10</v>
      </c>
      <c r="D465" s="3">
        <f t="shared" si="172"/>
        <v>0</v>
      </c>
      <c r="E465" s="3">
        <f>E470+E475</f>
        <v>0</v>
      </c>
      <c r="F465" s="3">
        <f t="shared" ref="F465:O465" si="187">F470+F475</f>
        <v>0</v>
      </c>
      <c r="G465" s="3">
        <f t="shared" si="187"/>
        <v>0</v>
      </c>
      <c r="H465" s="3">
        <f t="shared" si="187"/>
        <v>0</v>
      </c>
      <c r="I465" s="3">
        <f t="shared" si="187"/>
        <v>0</v>
      </c>
      <c r="J465" s="3">
        <f t="shared" si="187"/>
        <v>0</v>
      </c>
      <c r="K465" s="3">
        <f t="shared" si="187"/>
        <v>0</v>
      </c>
      <c r="L465" s="3">
        <f t="shared" si="187"/>
        <v>0</v>
      </c>
      <c r="M465" s="3">
        <f t="shared" si="187"/>
        <v>0</v>
      </c>
      <c r="N465" s="3">
        <f t="shared" si="187"/>
        <v>0</v>
      </c>
      <c r="O465" s="3">
        <f t="shared" si="187"/>
        <v>0</v>
      </c>
    </row>
    <row r="466" spans="1:23" ht="15.6" x14ac:dyDescent="0.25">
      <c r="A466" s="104"/>
      <c r="B466" s="134"/>
      <c r="C466" s="58" t="s">
        <v>11</v>
      </c>
      <c r="D466" s="3">
        <f t="shared" si="172"/>
        <v>45805.4</v>
      </c>
      <c r="E466" s="3">
        <f>E471+E476</f>
        <v>0</v>
      </c>
      <c r="F466" s="3">
        <f t="shared" ref="F466:O466" si="188">F471+F476</f>
        <v>0</v>
      </c>
      <c r="G466" s="3">
        <f t="shared" si="188"/>
        <v>0</v>
      </c>
      <c r="H466" s="3">
        <f t="shared" si="188"/>
        <v>0</v>
      </c>
      <c r="I466" s="3">
        <f t="shared" si="188"/>
        <v>0</v>
      </c>
      <c r="J466" s="3">
        <f t="shared" si="188"/>
        <v>0</v>
      </c>
      <c r="K466" s="3">
        <f t="shared" si="188"/>
        <v>23997.4</v>
      </c>
      <c r="L466" s="3">
        <f t="shared" si="188"/>
        <v>21808</v>
      </c>
      <c r="M466" s="3">
        <f t="shared" si="188"/>
        <v>0</v>
      </c>
      <c r="N466" s="3">
        <f t="shared" si="188"/>
        <v>0</v>
      </c>
      <c r="O466" s="3">
        <f t="shared" si="188"/>
        <v>0</v>
      </c>
    </row>
    <row r="467" spans="1:23" ht="15.6" x14ac:dyDescent="0.25">
      <c r="A467" s="104"/>
      <c r="B467" s="134"/>
      <c r="C467" s="58" t="s">
        <v>12</v>
      </c>
      <c r="D467" s="3">
        <f t="shared" si="172"/>
        <v>3008.5</v>
      </c>
      <c r="E467" s="3">
        <f>E472+E477</f>
        <v>0</v>
      </c>
      <c r="F467" s="3">
        <f t="shared" ref="F467:O467" si="189">F472+F477</f>
        <v>0</v>
      </c>
      <c r="G467" s="3">
        <f t="shared" si="189"/>
        <v>0</v>
      </c>
      <c r="H467" s="3">
        <f t="shared" si="189"/>
        <v>0</v>
      </c>
      <c r="I467" s="3">
        <f t="shared" si="189"/>
        <v>0</v>
      </c>
      <c r="J467" s="3">
        <f t="shared" si="189"/>
        <v>0</v>
      </c>
      <c r="K467" s="3">
        <f t="shared" si="189"/>
        <v>1531.8</v>
      </c>
      <c r="L467" s="3">
        <f t="shared" si="189"/>
        <v>1476.7</v>
      </c>
      <c r="M467" s="3">
        <f t="shared" si="189"/>
        <v>0</v>
      </c>
      <c r="N467" s="3">
        <f t="shared" si="189"/>
        <v>0</v>
      </c>
      <c r="O467" s="3">
        <f t="shared" si="189"/>
        <v>0</v>
      </c>
    </row>
    <row r="468" spans="1:23" ht="18.75" customHeight="1" x14ac:dyDescent="0.25">
      <c r="A468" s="104"/>
      <c r="B468" s="134"/>
      <c r="C468" s="58" t="s">
        <v>13</v>
      </c>
      <c r="D468" s="3">
        <f t="shared" si="172"/>
        <v>0</v>
      </c>
      <c r="E468" s="3">
        <f>E473+E478</f>
        <v>0</v>
      </c>
      <c r="F468" s="3">
        <f t="shared" ref="F468:O468" si="190">F473+F478</f>
        <v>0</v>
      </c>
      <c r="G468" s="3">
        <f t="shared" si="190"/>
        <v>0</v>
      </c>
      <c r="H468" s="3">
        <f t="shared" si="190"/>
        <v>0</v>
      </c>
      <c r="I468" s="3">
        <f t="shared" si="190"/>
        <v>0</v>
      </c>
      <c r="J468" s="3">
        <f t="shared" si="190"/>
        <v>0</v>
      </c>
      <c r="K468" s="3">
        <f t="shared" si="190"/>
        <v>0</v>
      </c>
      <c r="L468" s="3">
        <f t="shared" si="190"/>
        <v>0</v>
      </c>
      <c r="M468" s="3">
        <f t="shared" si="190"/>
        <v>0</v>
      </c>
      <c r="N468" s="3">
        <f t="shared" si="190"/>
        <v>0</v>
      </c>
      <c r="O468" s="3">
        <f t="shared" si="190"/>
        <v>0</v>
      </c>
    </row>
    <row r="469" spans="1:23" ht="15.6" x14ac:dyDescent="0.25">
      <c r="A469" s="104" t="s">
        <v>333</v>
      </c>
      <c r="B469" s="129" t="s">
        <v>318</v>
      </c>
      <c r="C469" s="82" t="s">
        <v>7</v>
      </c>
      <c r="D469" s="1">
        <f t="shared" si="172"/>
        <v>84.7</v>
      </c>
      <c r="E469" s="1">
        <f t="shared" ref="E469:J469" si="191">E470+E471+E472+E473</f>
        <v>0</v>
      </c>
      <c r="F469" s="1">
        <f t="shared" si="191"/>
        <v>0</v>
      </c>
      <c r="G469" s="1">
        <f t="shared" si="191"/>
        <v>0</v>
      </c>
      <c r="H469" s="1">
        <f t="shared" si="191"/>
        <v>0</v>
      </c>
      <c r="I469" s="1">
        <f t="shared" si="191"/>
        <v>0</v>
      </c>
      <c r="J469" s="1">
        <f t="shared" si="191"/>
        <v>0</v>
      </c>
      <c r="K469" s="1">
        <f>K470+K471+K472+K473</f>
        <v>0</v>
      </c>
      <c r="L469" s="1">
        <f>L470+L471+L472+L473</f>
        <v>84.7</v>
      </c>
      <c r="M469" s="1">
        <f>M470+M471+M472+M473</f>
        <v>0</v>
      </c>
      <c r="N469" s="1">
        <f>N470+N471+N472+N473</f>
        <v>0</v>
      </c>
      <c r="O469" s="1">
        <f>O470+O471+O472+O473</f>
        <v>0</v>
      </c>
      <c r="W469" s="83"/>
    </row>
    <row r="470" spans="1:23" ht="15.6" x14ac:dyDescent="0.25">
      <c r="A470" s="104"/>
      <c r="B470" s="134"/>
      <c r="C470" s="58" t="s">
        <v>10</v>
      </c>
      <c r="D470" s="1">
        <f t="shared" si="172"/>
        <v>0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W470" s="83"/>
    </row>
    <row r="471" spans="1:23" ht="15.6" x14ac:dyDescent="0.25">
      <c r="A471" s="104"/>
      <c r="B471" s="134"/>
      <c r="C471" s="58" t="s">
        <v>11</v>
      </c>
      <c r="D471" s="1">
        <f t="shared" ref="D471:D504" si="192">E471+F471+G471+H471+I471+J471+K471+L471+M471+N471+O471</f>
        <v>0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W471" s="83"/>
    </row>
    <row r="472" spans="1:23" ht="15.6" x14ac:dyDescent="0.25">
      <c r="A472" s="104"/>
      <c r="B472" s="134"/>
      <c r="C472" s="58" t="s">
        <v>12</v>
      </c>
      <c r="D472" s="1">
        <f t="shared" si="192"/>
        <v>84.7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v>0</v>
      </c>
      <c r="L472" s="1">
        <f>98.2-11-2.5</f>
        <v>84.7</v>
      </c>
      <c r="M472" s="1">
        <f>416.2-416.2</f>
        <v>0</v>
      </c>
      <c r="N472" s="1">
        <v>0</v>
      </c>
      <c r="O472" s="1">
        <v>0</v>
      </c>
      <c r="W472" s="83"/>
    </row>
    <row r="473" spans="1:23" ht="17.25" customHeight="1" x14ac:dyDescent="0.25">
      <c r="A473" s="104"/>
      <c r="B473" s="134"/>
      <c r="C473" s="58" t="s">
        <v>13</v>
      </c>
      <c r="D473" s="1">
        <f t="shared" si="192"/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  <c r="W473" s="83"/>
    </row>
    <row r="474" spans="1:23" ht="17.25" customHeight="1" x14ac:dyDescent="0.25">
      <c r="A474" s="102" t="s">
        <v>376</v>
      </c>
      <c r="B474" s="102" t="s">
        <v>377</v>
      </c>
      <c r="C474" s="82" t="s">
        <v>7</v>
      </c>
      <c r="D474" s="1">
        <f>E474+F474+G474+H474+I474+J474+K474+L474+M474+N474+O474</f>
        <v>48729.2</v>
      </c>
      <c r="E474" s="1">
        <f>E475+E476+E477+E478</f>
        <v>0</v>
      </c>
      <c r="F474" s="1">
        <f t="shared" ref="F474:O474" si="193">F475+F476+F477+F478</f>
        <v>0</v>
      </c>
      <c r="G474" s="1">
        <f t="shared" si="193"/>
        <v>0</v>
      </c>
      <c r="H474" s="1">
        <f t="shared" si="193"/>
        <v>0</v>
      </c>
      <c r="I474" s="1">
        <f t="shared" si="193"/>
        <v>0</v>
      </c>
      <c r="J474" s="1">
        <f t="shared" si="193"/>
        <v>0</v>
      </c>
      <c r="K474" s="1">
        <f>K475+K476+K477+K478</f>
        <v>25529.200000000001</v>
      </c>
      <c r="L474" s="1">
        <f t="shared" si="193"/>
        <v>23200</v>
      </c>
      <c r="M474" s="1">
        <f t="shared" si="193"/>
        <v>0</v>
      </c>
      <c r="N474" s="1">
        <f t="shared" si="193"/>
        <v>0</v>
      </c>
      <c r="O474" s="1">
        <f t="shared" si="193"/>
        <v>0</v>
      </c>
      <c r="W474" s="83"/>
    </row>
    <row r="475" spans="1:23" ht="17.25" customHeight="1" x14ac:dyDescent="0.25">
      <c r="A475" s="117"/>
      <c r="B475" s="117"/>
      <c r="C475" s="58" t="s">
        <v>10</v>
      </c>
      <c r="D475" s="1">
        <f t="shared" ref="D475:D478" si="194">E475+F475+G475+H475+I475+J475+K475+L475+M475+N475+O475</f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W475" s="83"/>
    </row>
    <row r="476" spans="1:23" ht="17.25" customHeight="1" x14ac:dyDescent="0.25">
      <c r="A476" s="117"/>
      <c r="B476" s="117"/>
      <c r="C476" s="58" t="s">
        <v>11</v>
      </c>
      <c r="D476" s="1">
        <f t="shared" si="194"/>
        <v>45805.4</v>
      </c>
      <c r="E476" s="1">
        <v>0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23997.4</v>
      </c>
      <c r="L476" s="1">
        <v>21808</v>
      </c>
      <c r="M476" s="1">
        <v>0</v>
      </c>
      <c r="N476" s="1">
        <v>0</v>
      </c>
      <c r="O476" s="1">
        <v>0</v>
      </c>
      <c r="W476" s="83"/>
    </row>
    <row r="477" spans="1:23" ht="17.25" customHeight="1" x14ac:dyDescent="0.25">
      <c r="A477" s="117"/>
      <c r="B477" s="117"/>
      <c r="C477" s="58" t="s">
        <v>12</v>
      </c>
      <c r="D477" s="1">
        <f t="shared" si="194"/>
        <v>2923.8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f>1531.8</f>
        <v>1531.8</v>
      </c>
      <c r="L477" s="1">
        <v>1392</v>
      </c>
      <c r="M477" s="1">
        <v>0</v>
      </c>
      <c r="N477" s="1">
        <v>0</v>
      </c>
      <c r="O477" s="1">
        <v>0</v>
      </c>
      <c r="W477" s="83"/>
    </row>
    <row r="478" spans="1:23" ht="17.25" customHeight="1" x14ac:dyDescent="0.25">
      <c r="A478" s="103"/>
      <c r="B478" s="103"/>
      <c r="C478" s="58" t="s">
        <v>13</v>
      </c>
      <c r="D478" s="1">
        <f t="shared" si="194"/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W478" s="83"/>
    </row>
    <row r="479" spans="1:23" ht="15.75" customHeight="1" x14ac:dyDescent="0.25">
      <c r="A479" s="109" t="s">
        <v>33</v>
      </c>
      <c r="B479" s="136" t="s">
        <v>46</v>
      </c>
      <c r="C479" s="51" t="s">
        <v>7</v>
      </c>
      <c r="D479" s="2">
        <f t="shared" si="192"/>
        <v>33183.800000000003</v>
      </c>
      <c r="E479" s="2">
        <f>E480+E481+E482+E483</f>
        <v>20400</v>
      </c>
      <c r="F479" s="2">
        <f t="shared" ref="F479:O479" si="195">F480+F481+F482+F483</f>
        <v>3430</v>
      </c>
      <c r="G479" s="2">
        <f t="shared" si="195"/>
        <v>2049.1999999999998</v>
      </c>
      <c r="H479" s="2">
        <f t="shared" si="195"/>
        <v>3688.6</v>
      </c>
      <c r="I479" s="2">
        <f t="shared" si="195"/>
        <v>2475</v>
      </c>
      <c r="J479" s="2">
        <f>J480+J481+J482+J483</f>
        <v>227.4</v>
      </c>
      <c r="K479" s="2">
        <f t="shared" si="195"/>
        <v>251</v>
      </c>
      <c r="L479" s="2">
        <f t="shared" si="195"/>
        <v>157.5</v>
      </c>
      <c r="M479" s="2">
        <f>M480+M481+M482+M483</f>
        <v>167</v>
      </c>
      <c r="N479" s="2">
        <f t="shared" si="195"/>
        <v>167.8</v>
      </c>
      <c r="O479" s="2">
        <f t="shared" si="195"/>
        <v>170.3</v>
      </c>
      <c r="P479" s="62"/>
      <c r="Q479" s="62"/>
      <c r="W479" s="83"/>
    </row>
    <row r="480" spans="1:23" ht="15.75" customHeight="1" x14ac:dyDescent="0.25">
      <c r="A480" s="109"/>
      <c r="B480" s="129"/>
      <c r="C480" s="51" t="s">
        <v>10</v>
      </c>
      <c r="D480" s="1">
        <f t="shared" si="192"/>
        <v>0</v>
      </c>
      <c r="E480" s="1">
        <f>E485</f>
        <v>0</v>
      </c>
      <c r="F480" s="1">
        <f t="shared" ref="F480:O480" si="196">F485</f>
        <v>0</v>
      </c>
      <c r="G480" s="1">
        <f t="shared" si="196"/>
        <v>0</v>
      </c>
      <c r="H480" s="1">
        <f t="shared" si="196"/>
        <v>0</v>
      </c>
      <c r="I480" s="1">
        <f t="shared" si="196"/>
        <v>0</v>
      </c>
      <c r="J480" s="1">
        <f t="shared" si="196"/>
        <v>0</v>
      </c>
      <c r="K480" s="1">
        <f t="shared" si="196"/>
        <v>0</v>
      </c>
      <c r="L480" s="1">
        <f t="shared" si="196"/>
        <v>0</v>
      </c>
      <c r="M480" s="1">
        <f t="shared" si="196"/>
        <v>0</v>
      </c>
      <c r="N480" s="1">
        <f t="shared" si="196"/>
        <v>0</v>
      </c>
      <c r="O480" s="1">
        <f t="shared" si="196"/>
        <v>0</v>
      </c>
      <c r="W480" s="83"/>
    </row>
    <row r="481" spans="1:23" ht="15.75" customHeight="1" x14ac:dyDescent="0.25">
      <c r="A481" s="109"/>
      <c r="B481" s="129"/>
      <c r="C481" s="51" t="s">
        <v>11</v>
      </c>
      <c r="D481" s="1">
        <f t="shared" si="192"/>
        <v>0</v>
      </c>
      <c r="E481" s="1">
        <f>E486</f>
        <v>0</v>
      </c>
      <c r="F481" s="1">
        <f t="shared" ref="F481:O481" si="197">F495</f>
        <v>0</v>
      </c>
      <c r="G481" s="1">
        <f t="shared" si="197"/>
        <v>0</v>
      </c>
      <c r="H481" s="1">
        <f t="shared" si="197"/>
        <v>0</v>
      </c>
      <c r="I481" s="1">
        <f t="shared" si="197"/>
        <v>0</v>
      </c>
      <c r="J481" s="1">
        <f t="shared" si="197"/>
        <v>0</v>
      </c>
      <c r="K481" s="1">
        <f t="shared" si="197"/>
        <v>0</v>
      </c>
      <c r="L481" s="1">
        <f t="shared" si="197"/>
        <v>0</v>
      </c>
      <c r="M481" s="1">
        <f t="shared" si="197"/>
        <v>0</v>
      </c>
      <c r="N481" s="1">
        <f t="shared" si="197"/>
        <v>0</v>
      </c>
      <c r="O481" s="1">
        <f t="shared" si="197"/>
        <v>0</v>
      </c>
    </row>
    <row r="482" spans="1:23" ht="15.75" customHeight="1" x14ac:dyDescent="0.25">
      <c r="A482" s="109"/>
      <c r="B482" s="129"/>
      <c r="C482" s="51" t="s">
        <v>12</v>
      </c>
      <c r="D482" s="1">
        <f t="shared" si="192"/>
        <v>2918.8000000000006</v>
      </c>
      <c r="E482" s="1">
        <f>E487</f>
        <v>400</v>
      </c>
      <c r="F482" s="1">
        <f>F487</f>
        <v>430</v>
      </c>
      <c r="G482" s="1">
        <f t="shared" ref="G482:O482" si="198">G487</f>
        <v>449.2</v>
      </c>
      <c r="H482" s="1">
        <f t="shared" si="198"/>
        <v>235</v>
      </c>
      <c r="I482" s="1">
        <f t="shared" si="198"/>
        <v>263.60000000000002</v>
      </c>
      <c r="J482" s="1">
        <f t="shared" si="198"/>
        <v>227.4</v>
      </c>
      <c r="K482" s="1">
        <f t="shared" si="198"/>
        <v>251</v>
      </c>
      <c r="L482" s="1">
        <f t="shared" si="198"/>
        <v>157.5</v>
      </c>
      <c r="M482" s="1">
        <f t="shared" si="198"/>
        <v>167</v>
      </c>
      <c r="N482" s="1">
        <f t="shared" si="198"/>
        <v>167.8</v>
      </c>
      <c r="O482" s="1">
        <f t="shared" si="198"/>
        <v>170.3</v>
      </c>
    </row>
    <row r="483" spans="1:23" ht="15.6" x14ac:dyDescent="0.25">
      <c r="A483" s="109"/>
      <c r="B483" s="129"/>
      <c r="C483" s="51" t="s">
        <v>13</v>
      </c>
      <c r="D483" s="1">
        <f t="shared" si="192"/>
        <v>30265</v>
      </c>
      <c r="E483" s="1">
        <f>E488</f>
        <v>20000</v>
      </c>
      <c r="F483" s="1">
        <f t="shared" ref="F483:O483" si="199">F488</f>
        <v>3000</v>
      </c>
      <c r="G483" s="1">
        <f t="shared" si="199"/>
        <v>1600</v>
      </c>
      <c r="H483" s="1">
        <f t="shared" si="199"/>
        <v>3453.6</v>
      </c>
      <c r="I483" s="1">
        <f t="shared" si="199"/>
        <v>2211.4</v>
      </c>
      <c r="J483" s="1">
        <f t="shared" si="199"/>
        <v>0</v>
      </c>
      <c r="K483" s="1">
        <f t="shared" si="199"/>
        <v>0</v>
      </c>
      <c r="L483" s="1">
        <f t="shared" si="199"/>
        <v>0</v>
      </c>
      <c r="M483" s="1">
        <f t="shared" si="199"/>
        <v>0</v>
      </c>
      <c r="N483" s="1">
        <f t="shared" si="199"/>
        <v>0</v>
      </c>
      <c r="O483" s="1">
        <f t="shared" si="199"/>
        <v>0</v>
      </c>
    </row>
    <row r="484" spans="1:23" ht="19.5" customHeight="1" x14ac:dyDescent="0.25">
      <c r="A484" s="104" t="s">
        <v>132</v>
      </c>
      <c r="B484" s="129" t="s">
        <v>119</v>
      </c>
      <c r="C484" s="51" t="s">
        <v>7</v>
      </c>
      <c r="D484" s="1">
        <f t="shared" si="192"/>
        <v>33183.800000000003</v>
      </c>
      <c r="E484" s="1">
        <f t="shared" ref="E484:O484" si="200">E485+E486+E487+E488</f>
        <v>20400</v>
      </c>
      <c r="F484" s="1">
        <f t="shared" si="200"/>
        <v>3430</v>
      </c>
      <c r="G484" s="1">
        <f t="shared" si="200"/>
        <v>2049.1999999999998</v>
      </c>
      <c r="H484" s="1">
        <f t="shared" si="200"/>
        <v>3688.6</v>
      </c>
      <c r="I484" s="1">
        <f t="shared" si="200"/>
        <v>2475</v>
      </c>
      <c r="J484" s="1">
        <f t="shared" si="200"/>
        <v>227.4</v>
      </c>
      <c r="K484" s="1">
        <f t="shared" si="200"/>
        <v>251</v>
      </c>
      <c r="L484" s="1">
        <f t="shared" si="200"/>
        <v>157.5</v>
      </c>
      <c r="M484" s="1">
        <f t="shared" si="200"/>
        <v>167</v>
      </c>
      <c r="N484" s="1">
        <f t="shared" si="200"/>
        <v>167.8</v>
      </c>
      <c r="O484" s="1">
        <f t="shared" si="200"/>
        <v>170.3</v>
      </c>
      <c r="W484" s="64" t="s">
        <v>411</v>
      </c>
    </row>
    <row r="485" spans="1:23" ht="23.25" customHeight="1" x14ac:dyDescent="0.25">
      <c r="A485" s="104"/>
      <c r="B485" s="129"/>
      <c r="C485" s="51" t="s">
        <v>10</v>
      </c>
      <c r="D485" s="1">
        <f t="shared" si="192"/>
        <v>0</v>
      </c>
      <c r="E485" s="1">
        <f t="shared" ref="E485:O485" si="201">E490+E495+E500</f>
        <v>0</v>
      </c>
      <c r="F485" s="1">
        <f t="shared" si="201"/>
        <v>0</v>
      </c>
      <c r="G485" s="1">
        <f t="shared" si="201"/>
        <v>0</v>
      </c>
      <c r="H485" s="1">
        <f t="shared" si="201"/>
        <v>0</v>
      </c>
      <c r="I485" s="1">
        <f t="shared" si="201"/>
        <v>0</v>
      </c>
      <c r="J485" s="1">
        <f t="shared" si="201"/>
        <v>0</v>
      </c>
      <c r="K485" s="1">
        <f t="shared" si="201"/>
        <v>0</v>
      </c>
      <c r="L485" s="1">
        <f t="shared" si="201"/>
        <v>0</v>
      </c>
      <c r="M485" s="1">
        <f t="shared" si="201"/>
        <v>0</v>
      </c>
      <c r="N485" s="1">
        <f t="shared" si="201"/>
        <v>0</v>
      </c>
      <c r="O485" s="1">
        <f t="shared" si="201"/>
        <v>0</v>
      </c>
    </row>
    <row r="486" spans="1:23" ht="23.25" customHeight="1" x14ac:dyDescent="0.25">
      <c r="A486" s="104"/>
      <c r="B486" s="129"/>
      <c r="C486" s="51" t="s">
        <v>11</v>
      </c>
      <c r="D486" s="1">
        <f t="shared" si="192"/>
        <v>0</v>
      </c>
      <c r="E486" s="1">
        <f t="shared" ref="E486:O486" si="202">E491+E496+E501</f>
        <v>0</v>
      </c>
      <c r="F486" s="1">
        <f t="shared" si="202"/>
        <v>0</v>
      </c>
      <c r="G486" s="1">
        <f t="shared" si="202"/>
        <v>0</v>
      </c>
      <c r="H486" s="1">
        <f t="shared" si="202"/>
        <v>0</v>
      </c>
      <c r="I486" s="1">
        <f t="shared" si="202"/>
        <v>0</v>
      </c>
      <c r="J486" s="1">
        <f t="shared" si="202"/>
        <v>0</v>
      </c>
      <c r="K486" s="1">
        <f t="shared" si="202"/>
        <v>0</v>
      </c>
      <c r="L486" s="1">
        <f t="shared" si="202"/>
        <v>0</v>
      </c>
      <c r="M486" s="1">
        <f t="shared" si="202"/>
        <v>0</v>
      </c>
      <c r="N486" s="1">
        <f t="shared" si="202"/>
        <v>0</v>
      </c>
      <c r="O486" s="1">
        <f t="shared" si="202"/>
        <v>0</v>
      </c>
    </row>
    <row r="487" spans="1:23" ht="23.25" customHeight="1" x14ac:dyDescent="0.25">
      <c r="A487" s="104"/>
      <c r="B487" s="129"/>
      <c r="C487" s="51" t="s">
        <v>12</v>
      </c>
      <c r="D487" s="1">
        <f t="shared" si="192"/>
        <v>2918.8000000000006</v>
      </c>
      <c r="E487" s="1">
        <f t="shared" ref="E487:O487" si="203">E492+E497+E502</f>
        <v>400</v>
      </c>
      <c r="F487" s="1">
        <f t="shared" si="203"/>
        <v>430</v>
      </c>
      <c r="G487" s="1">
        <f t="shared" si="203"/>
        <v>449.2</v>
      </c>
      <c r="H487" s="1">
        <f t="shared" si="203"/>
        <v>235</v>
      </c>
      <c r="I487" s="1">
        <f>I492+I497+I502</f>
        <v>263.60000000000002</v>
      </c>
      <c r="J487" s="1">
        <f t="shared" si="203"/>
        <v>227.4</v>
      </c>
      <c r="K487" s="1">
        <f t="shared" si="203"/>
        <v>251</v>
      </c>
      <c r="L487" s="1">
        <f t="shared" si="203"/>
        <v>157.5</v>
      </c>
      <c r="M487" s="1">
        <f t="shared" si="203"/>
        <v>167</v>
      </c>
      <c r="N487" s="1">
        <f t="shared" si="203"/>
        <v>167.8</v>
      </c>
      <c r="O487" s="1">
        <f t="shared" si="203"/>
        <v>170.3</v>
      </c>
    </row>
    <row r="488" spans="1:23" ht="23.25" customHeight="1" x14ac:dyDescent="0.25">
      <c r="A488" s="104"/>
      <c r="B488" s="129"/>
      <c r="C488" s="51" t="s">
        <v>13</v>
      </c>
      <c r="D488" s="1">
        <f t="shared" si="192"/>
        <v>30265</v>
      </c>
      <c r="E488" s="1">
        <f t="shared" ref="E488:O488" si="204">E493+E498+E503</f>
        <v>20000</v>
      </c>
      <c r="F488" s="1">
        <f t="shared" si="204"/>
        <v>3000</v>
      </c>
      <c r="G488" s="1">
        <f t="shared" si="204"/>
        <v>1600</v>
      </c>
      <c r="H488" s="1">
        <f t="shared" si="204"/>
        <v>3453.6</v>
      </c>
      <c r="I488" s="1">
        <f t="shared" si="204"/>
        <v>2211.4</v>
      </c>
      <c r="J488" s="1">
        <f t="shared" si="204"/>
        <v>0</v>
      </c>
      <c r="K488" s="1">
        <f t="shared" si="204"/>
        <v>0</v>
      </c>
      <c r="L488" s="1">
        <f t="shared" si="204"/>
        <v>0</v>
      </c>
      <c r="M488" s="1">
        <f t="shared" si="204"/>
        <v>0</v>
      </c>
      <c r="N488" s="1">
        <f t="shared" si="204"/>
        <v>0</v>
      </c>
      <c r="O488" s="1">
        <f t="shared" si="204"/>
        <v>0</v>
      </c>
    </row>
    <row r="489" spans="1:23" ht="15.6" x14ac:dyDescent="0.25">
      <c r="A489" s="104" t="s">
        <v>120</v>
      </c>
      <c r="B489" s="129" t="s">
        <v>85</v>
      </c>
      <c r="C489" s="58" t="s">
        <v>7</v>
      </c>
      <c r="D489" s="1">
        <f t="shared" si="192"/>
        <v>3933.4</v>
      </c>
      <c r="E489" s="1">
        <f t="shared" ref="E489:J489" si="205">E490+E491+E492+E493</f>
        <v>0</v>
      </c>
      <c r="F489" s="1">
        <f t="shared" si="205"/>
        <v>0</v>
      </c>
      <c r="G489" s="1">
        <f t="shared" si="205"/>
        <v>0</v>
      </c>
      <c r="H489" s="1">
        <f t="shared" si="205"/>
        <v>2662</v>
      </c>
      <c r="I489" s="1">
        <f t="shared" si="205"/>
        <v>1271.4000000000001</v>
      </c>
      <c r="J489" s="1">
        <f t="shared" si="205"/>
        <v>0</v>
      </c>
      <c r="K489" s="1">
        <f>K490+K491+K492+K493</f>
        <v>0</v>
      </c>
      <c r="L489" s="1">
        <f>L490+L491+L492+L493</f>
        <v>0</v>
      </c>
      <c r="M489" s="1">
        <f>M490+M491+M492+M493</f>
        <v>0</v>
      </c>
      <c r="N489" s="1">
        <f>N490+N491+N492+N493</f>
        <v>0</v>
      </c>
      <c r="O489" s="1">
        <f>O490+O491+O492+O493</f>
        <v>0</v>
      </c>
    </row>
    <row r="490" spans="1:23" ht="15.75" customHeight="1" x14ac:dyDescent="0.25">
      <c r="A490" s="104"/>
      <c r="B490" s="129"/>
      <c r="C490" s="58" t="s">
        <v>10</v>
      </c>
      <c r="D490" s="1">
        <f t="shared" si="192"/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</row>
    <row r="491" spans="1:23" ht="15.75" customHeight="1" x14ac:dyDescent="0.25">
      <c r="A491" s="104"/>
      <c r="B491" s="129"/>
      <c r="C491" s="58" t="s">
        <v>11</v>
      </c>
      <c r="D491" s="1">
        <f t="shared" si="192"/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</row>
    <row r="492" spans="1:23" ht="15.75" customHeight="1" x14ac:dyDescent="0.25">
      <c r="A492" s="104"/>
      <c r="B492" s="129"/>
      <c r="C492" s="58" t="s">
        <v>12</v>
      </c>
      <c r="D492" s="1">
        <f t="shared" si="192"/>
        <v>0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</row>
    <row r="493" spans="1:23" ht="15.6" x14ac:dyDescent="0.25">
      <c r="A493" s="104"/>
      <c r="B493" s="129"/>
      <c r="C493" s="58" t="s">
        <v>13</v>
      </c>
      <c r="D493" s="1">
        <f t="shared" si="192"/>
        <v>3933.4</v>
      </c>
      <c r="E493" s="1">
        <v>0</v>
      </c>
      <c r="F493" s="1">
        <v>0</v>
      </c>
      <c r="G493" s="1">
        <v>0</v>
      </c>
      <c r="H493" s="1">
        <v>2662</v>
      </c>
      <c r="I493" s="1">
        <f>837+48.7+385.7</f>
        <v>1271.4000000000001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</row>
    <row r="494" spans="1:23" ht="15.6" x14ac:dyDescent="0.25">
      <c r="A494" s="104" t="s">
        <v>121</v>
      </c>
      <c r="B494" s="129" t="s">
        <v>32</v>
      </c>
      <c r="C494" s="58" t="s">
        <v>7</v>
      </c>
      <c r="D494" s="1">
        <f t="shared" si="192"/>
        <v>2918.8000000000006</v>
      </c>
      <c r="E494" s="1">
        <f t="shared" ref="E494:J494" si="206">E495+E496+E497+E498</f>
        <v>400</v>
      </c>
      <c r="F494" s="1">
        <f t="shared" si="206"/>
        <v>430</v>
      </c>
      <c r="G494" s="1">
        <f t="shared" si="206"/>
        <v>449.2</v>
      </c>
      <c r="H494" s="1">
        <f t="shared" si="206"/>
        <v>235</v>
      </c>
      <c r="I494" s="1">
        <f t="shared" si="206"/>
        <v>263.60000000000002</v>
      </c>
      <c r="J494" s="1">
        <f t="shared" si="206"/>
        <v>227.4</v>
      </c>
      <c r="K494" s="1">
        <f>K495+K496+K497+K498</f>
        <v>251</v>
      </c>
      <c r="L494" s="1">
        <f>L495+L496+L497+L498</f>
        <v>157.5</v>
      </c>
      <c r="M494" s="1">
        <f>M495+M496+M497+M498</f>
        <v>167</v>
      </c>
      <c r="N494" s="1">
        <f>N495+N496+N497+N498</f>
        <v>167.8</v>
      </c>
      <c r="O494" s="1">
        <f>O495+O496+O497+O498</f>
        <v>170.3</v>
      </c>
    </row>
    <row r="495" spans="1:23" ht="15.6" x14ac:dyDescent="0.25">
      <c r="A495" s="104"/>
      <c r="B495" s="129"/>
      <c r="C495" s="51" t="s">
        <v>10</v>
      </c>
      <c r="D495" s="1">
        <f t="shared" si="192"/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</row>
    <row r="496" spans="1:23" ht="15.6" x14ac:dyDescent="0.25">
      <c r="A496" s="104"/>
      <c r="B496" s="129"/>
      <c r="C496" s="51" t="s">
        <v>11</v>
      </c>
      <c r="D496" s="1">
        <f t="shared" si="192"/>
        <v>0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</row>
    <row r="497" spans="1:17" ht="15.6" x14ac:dyDescent="0.25">
      <c r="A497" s="104"/>
      <c r="B497" s="129"/>
      <c r="C497" s="51" t="s">
        <v>12</v>
      </c>
      <c r="D497" s="1">
        <f t="shared" si="192"/>
        <v>2918.8000000000006</v>
      </c>
      <c r="E497" s="1">
        <v>400</v>
      </c>
      <c r="F497" s="1">
        <v>430</v>
      </c>
      <c r="G497" s="1">
        <v>449.2</v>
      </c>
      <c r="H497" s="1">
        <v>235</v>
      </c>
      <c r="I497" s="1">
        <f>251.9+11.7</f>
        <v>263.60000000000002</v>
      </c>
      <c r="J497" s="3">
        <f>278.5-51.1</f>
        <v>227.4</v>
      </c>
      <c r="K497" s="3">
        <f>278.5-27.5</f>
        <v>251</v>
      </c>
      <c r="L497" s="3">
        <f>157.5</f>
        <v>157.5</v>
      </c>
      <c r="M497" s="3">
        <f>167</f>
        <v>167</v>
      </c>
      <c r="N497" s="1">
        <v>167.8</v>
      </c>
      <c r="O497" s="1">
        <v>170.3</v>
      </c>
    </row>
    <row r="498" spans="1:17" ht="15.6" x14ac:dyDescent="0.25">
      <c r="A498" s="104"/>
      <c r="B498" s="129"/>
      <c r="C498" s="51" t="s">
        <v>13</v>
      </c>
      <c r="D498" s="1">
        <f t="shared" si="192"/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</row>
    <row r="499" spans="1:17" ht="15.6" x14ac:dyDescent="0.3">
      <c r="A499" s="104" t="s">
        <v>246</v>
      </c>
      <c r="B499" s="129" t="s">
        <v>57</v>
      </c>
      <c r="C499" s="84" t="s">
        <v>7</v>
      </c>
      <c r="D499" s="1">
        <f t="shared" si="192"/>
        <v>26331.599999999999</v>
      </c>
      <c r="E499" s="1">
        <f>E503+E502+E501</f>
        <v>20000</v>
      </c>
      <c r="F499" s="1">
        <f t="shared" ref="F499:O499" si="207">F500+F501+F502+F503</f>
        <v>3000</v>
      </c>
      <c r="G499" s="1">
        <f t="shared" si="207"/>
        <v>1600</v>
      </c>
      <c r="H499" s="1">
        <f t="shared" si="207"/>
        <v>791.6</v>
      </c>
      <c r="I499" s="1">
        <f t="shared" si="207"/>
        <v>940</v>
      </c>
      <c r="J499" s="1">
        <f t="shared" si="207"/>
        <v>0</v>
      </c>
      <c r="K499" s="1">
        <f t="shared" si="207"/>
        <v>0</v>
      </c>
      <c r="L499" s="1">
        <f t="shared" si="207"/>
        <v>0</v>
      </c>
      <c r="M499" s="1">
        <f t="shared" si="207"/>
        <v>0</v>
      </c>
      <c r="N499" s="1">
        <f t="shared" si="207"/>
        <v>0</v>
      </c>
      <c r="O499" s="1">
        <f t="shared" si="207"/>
        <v>0</v>
      </c>
    </row>
    <row r="500" spans="1:17" ht="15.6" x14ac:dyDescent="0.25">
      <c r="A500" s="104"/>
      <c r="B500" s="129"/>
      <c r="C500" s="51" t="s">
        <v>10</v>
      </c>
      <c r="D500" s="1">
        <f t="shared" si="192"/>
        <v>0</v>
      </c>
      <c r="E500" s="1">
        <v>0</v>
      </c>
      <c r="F500" s="1">
        <v>0</v>
      </c>
      <c r="G500" s="1">
        <v>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">
        <v>0</v>
      </c>
    </row>
    <row r="501" spans="1:17" ht="15.6" x14ac:dyDescent="0.25">
      <c r="A501" s="104"/>
      <c r="B501" s="129"/>
      <c r="C501" s="51" t="s">
        <v>11</v>
      </c>
      <c r="D501" s="1">
        <f t="shared" si="192"/>
        <v>0</v>
      </c>
      <c r="E501" s="1">
        <v>0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</row>
    <row r="502" spans="1:17" ht="15.6" x14ac:dyDescent="0.25">
      <c r="A502" s="104"/>
      <c r="B502" s="129"/>
      <c r="C502" s="51" t="s">
        <v>12</v>
      </c>
      <c r="D502" s="1">
        <f t="shared" si="192"/>
        <v>0</v>
      </c>
      <c r="E502" s="1">
        <v>0</v>
      </c>
      <c r="F502" s="1">
        <v>0</v>
      </c>
      <c r="G502" s="1">
        <v>0</v>
      </c>
      <c r="H502" s="1">
        <v>0</v>
      </c>
      <c r="I502" s="1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  <c r="O502" s="3">
        <v>0</v>
      </c>
    </row>
    <row r="503" spans="1:17" ht="15.6" x14ac:dyDescent="0.25">
      <c r="A503" s="104"/>
      <c r="B503" s="129"/>
      <c r="C503" s="51" t="s">
        <v>13</v>
      </c>
      <c r="D503" s="1">
        <f t="shared" si="192"/>
        <v>26331.599999999999</v>
      </c>
      <c r="E503" s="1">
        <v>20000</v>
      </c>
      <c r="F503" s="1">
        <v>3000</v>
      </c>
      <c r="G503" s="1">
        <v>1600</v>
      </c>
      <c r="H503" s="1">
        <v>791.6</v>
      </c>
      <c r="I503" s="1">
        <v>940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</row>
    <row r="504" spans="1:17" ht="15.6" x14ac:dyDescent="0.25">
      <c r="A504" s="109" t="s">
        <v>39</v>
      </c>
      <c r="B504" s="140" t="s">
        <v>331</v>
      </c>
      <c r="C504" s="73" t="s">
        <v>7</v>
      </c>
      <c r="D504" s="2">
        <f t="shared" si="192"/>
        <v>153871.69999999998</v>
      </c>
      <c r="E504" s="2">
        <f t="shared" ref="E504:O504" si="208">E506+E507+E508+E510</f>
        <v>13860</v>
      </c>
      <c r="F504" s="2">
        <f t="shared" si="208"/>
        <v>15421.9</v>
      </c>
      <c r="G504" s="2">
        <f t="shared" si="208"/>
        <v>19594</v>
      </c>
      <c r="H504" s="2">
        <f t="shared" si="208"/>
        <v>13152.1</v>
      </c>
      <c r="I504" s="2">
        <f t="shared" si="208"/>
        <v>23011</v>
      </c>
      <c r="J504" s="2">
        <f t="shared" si="208"/>
        <v>14576.6</v>
      </c>
      <c r="K504" s="2">
        <f t="shared" si="208"/>
        <v>18850.3</v>
      </c>
      <c r="L504" s="2">
        <f t="shared" si="208"/>
        <v>7423.7</v>
      </c>
      <c r="M504" s="2">
        <f t="shared" si="208"/>
        <v>7871.8</v>
      </c>
      <c r="N504" s="2">
        <f>N506+N507+N508+N510</f>
        <v>7910.3</v>
      </c>
      <c r="O504" s="2">
        <f t="shared" si="208"/>
        <v>12200</v>
      </c>
      <c r="P504" s="62"/>
      <c r="Q504" s="62"/>
    </row>
    <row r="505" spans="1:17" ht="50.25" customHeight="1" x14ac:dyDescent="0.25">
      <c r="A505" s="109"/>
      <c r="B505" s="141"/>
      <c r="C505" s="74" t="s">
        <v>64</v>
      </c>
      <c r="D505" s="72">
        <f t="shared" ref="D505:D510" si="209">E505+F505+G505+H505+I505+J505+K505+L505+M505+N505+O505</f>
        <v>1971.3999999999999</v>
      </c>
      <c r="E505" s="72">
        <f>E515</f>
        <v>752.3</v>
      </c>
      <c r="F505" s="72">
        <f t="shared" ref="F505:O505" si="210">F515</f>
        <v>0</v>
      </c>
      <c r="G505" s="72">
        <f t="shared" si="210"/>
        <v>1219.0999999999999</v>
      </c>
      <c r="H505" s="72">
        <f t="shared" si="210"/>
        <v>0</v>
      </c>
      <c r="I505" s="72">
        <f t="shared" si="210"/>
        <v>0</v>
      </c>
      <c r="J505" s="72">
        <f t="shared" si="210"/>
        <v>0</v>
      </c>
      <c r="K505" s="72">
        <f t="shared" si="210"/>
        <v>0</v>
      </c>
      <c r="L505" s="72">
        <f t="shared" si="210"/>
        <v>0</v>
      </c>
      <c r="M505" s="72">
        <f t="shared" si="210"/>
        <v>0</v>
      </c>
      <c r="N505" s="72">
        <f t="shared" si="210"/>
        <v>0</v>
      </c>
      <c r="O505" s="72">
        <f t="shared" si="210"/>
        <v>0</v>
      </c>
    </row>
    <row r="506" spans="1:17" ht="18.75" customHeight="1" x14ac:dyDescent="0.25">
      <c r="A506" s="109"/>
      <c r="B506" s="141"/>
      <c r="C506" s="51" t="s">
        <v>10</v>
      </c>
      <c r="D506" s="1">
        <f t="shared" si="209"/>
        <v>0</v>
      </c>
      <c r="E506" s="1">
        <f>E512+E529</f>
        <v>0</v>
      </c>
      <c r="F506" s="1">
        <f t="shared" ref="F506:O506" si="211">F512+F529</f>
        <v>0</v>
      </c>
      <c r="G506" s="1">
        <f t="shared" si="211"/>
        <v>0</v>
      </c>
      <c r="H506" s="1">
        <f t="shared" si="211"/>
        <v>0</v>
      </c>
      <c r="I506" s="1">
        <f t="shared" si="211"/>
        <v>0</v>
      </c>
      <c r="J506" s="1">
        <v>0</v>
      </c>
      <c r="K506" s="1">
        <f t="shared" si="211"/>
        <v>0</v>
      </c>
      <c r="L506" s="1">
        <f t="shared" si="211"/>
        <v>0</v>
      </c>
      <c r="M506" s="1">
        <f t="shared" si="211"/>
        <v>0</v>
      </c>
      <c r="N506" s="1">
        <f t="shared" si="211"/>
        <v>0</v>
      </c>
      <c r="O506" s="1">
        <f t="shared" si="211"/>
        <v>0</v>
      </c>
    </row>
    <row r="507" spans="1:17" ht="16.5" customHeight="1" x14ac:dyDescent="0.25">
      <c r="A507" s="109"/>
      <c r="B507" s="141"/>
      <c r="C507" s="51" t="s">
        <v>11</v>
      </c>
      <c r="D507" s="1">
        <f t="shared" si="209"/>
        <v>708.6</v>
      </c>
      <c r="E507" s="1">
        <f t="shared" ref="E507:O507" si="212">E513+E530</f>
        <v>0</v>
      </c>
      <c r="F507" s="1">
        <f t="shared" si="212"/>
        <v>0</v>
      </c>
      <c r="G507" s="1">
        <f t="shared" si="212"/>
        <v>0</v>
      </c>
      <c r="H507" s="1">
        <f t="shared" si="212"/>
        <v>0</v>
      </c>
      <c r="I507" s="1">
        <f t="shared" si="212"/>
        <v>0</v>
      </c>
      <c r="J507" s="1">
        <v>708.6</v>
      </c>
      <c r="K507" s="1">
        <f t="shared" si="212"/>
        <v>0</v>
      </c>
      <c r="L507" s="1">
        <f t="shared" si="212"/>
        <v>0</v>
      </c>
      <c r="M507" s="1">
        <f t="shared" si="212"/>
        <v>0</v>
      </c>
      <c r="N507" s="1">
        <f t="shared" si="212"/>
        <v>0</v>
      </c>
      <c r="O507" s="1">
        <f t="shared" si="212"/>
        <v>0</v>
      </c>
    </row>
    <row r="508" spans="1:17" ht="32.25" customHeight="1" x14ac:dyDescent="0.25">
      <c r="A508" s="109"/>
      <c r="B508" s="141"/>
      <c r="C508" s="51" t="s">
        <v>65</v>
      </c>
      <c r="D508" s="1">
        <f t="shared" si="209"/>
        <v>153163.09999999998</v>
      </c>
      <c r="E508" s="1">
        <f t="shared" ref="E508:O508" si="213">E514+E531</f>
        <v>13860</v>
      </c>
      <c r="F508" s="1">
        <f t="shared" si="213"/>
        <v>15421.9</v>
      </c>
      <c r="G508" s="1">
        <f t="shared" si="213"/>
        <v>19594</v>
      </c>
      <c r="H508" s="1">
        <f t="shared" si="213"/>
        <v>13152.1</v>
      </c>
      <c r="I508" s="1">
        <f t="shared" si="213"/>
        <v>23011</v>
      </c>
      <c r="J508" s="1">
        <f t="shared" si="213"/>
        <v>13868</v>
      </c>
      <c r="K508" s="1">
        <f t="shared" si="213"/>
        <v>18850.3</v>
      </c>
      <c r="L508" s="1">
        <f t="shared" si="213"/>
        <v>7423.7</v>
      </c>
      <c r="M508" s="1">
        <f t="shared" si="213"/>
        <v>7871.8</v>
      </c>
      <c r="N508" s="1">
        <f t="shared" si="213"/>
        <v>7910.3</v>
      </c>
      <c r="O508" s="1">
        <f t="shared" si="213"/>
        <v>12200</v>
      </c>
    </row>
    <row r="509" spans="1:17" ht="32.25" customHeight="1" x14ac:dyDescent="0.25">
      <c r="A509" s="109"/>
      <c r="B509" s="141"/>
      <c r="C509" s="74" t="s">
        <v>79</v>
      </c>
      <c r="D509" s="72">
        <f t="shared" si="209"/>
        <v>1971.3999999999999</v>
      </c>
      <c r="E509" s="72">
        <f>E515</f>
        <v>752.3</v>
      </c>
      <c r="F509" s="72">
        <f t="shared" ref="F509:O509" si="214">F515</f>
        <v>0</v>
      </c>
      <c r="G509" s="72">
        <f t="shared" si="214"/>
        <v>1219.0999999999999</v>
      </c>
      <c r="H509" s="72">
        <f t="shared" si="214"/>
        <v>0</v>
      </c>
      <c r="I509" s="72">
        <f t="shared" si="214"/>
        <v>0</v>
      </c>
      <c r="J509" s="72">
        <f t="shared" si="214"/>
        <v>0</v>
      </c>
      <c r="K509" s="72">
        <f t="shared" si="214"/>
        <v>0</v>
      </c>
      <c r="L509" s="72">
        <f t="shared" si="214"/>
        <v>0</v>
      </c>
      <c r="M509" s="72">
        <f t="shared" si="214"/>
        <v>0</v>
      </c>
      <c r="N509" s="72">
        <f t="shared" si="214"/>
        <v>0</v>
      </c>
      <c r="O509" s="72">
        <f t="shared" si="214"/>
        <v>0</v>
      </c>
    </row>
    <row r="510" spans="1:17" ht="15.6" x14ac:dyDescent="0.25">
      <c r="A510" s="109"/>
      <c r="B510" s="142"/>
      <c r="C510" s="51" t="s">
        <v>13</v>
      </c>
      <c r="D510" s="1">
        <f t="shared" si="209"/>
        <v>0</v>
      </c>
      <c r="E510" s="1">
        <f>E516+E528</f>
        <v>0</v>
      </c>
      <c r="F510" s="1">
        <f t="shared" ref="F510:O510" si="215">F516</f>
        <v>0</v>
      </c>
      <c r="G510" s="1">
        <f t="shared" si="215"/>
        <v>0</v>
      </c>
      <c r="H510" s="1">
        <f t="shared" si="215"/>
        <v>0</v>
      </c>
      <c r="I510" s="1">
        <f t="shared" si="215"/>
        <v>0</v>
      </c>
      <c r="J510" s="1">
        <f t="shared" si="215"/>
        <v>0</v>
      </c>
      <c r="K510" s="1">
        <f t="shared" si="215"/>
        <v>0</v>
      </c>
      <c r="L510" s="1">
        <f t="shared" si="215"/>
        <v>0</v>
      </c>
      <c r="M510" s="1">
        <f t="shared" si="215"/>
        <v>0</v>
      </c>
      <c r="N510" s="1">
        <f t="shared" si="215"/>
        <v>0</v>
      </c>
      <c r="O510" s="1">
        <f t="shared" si="215"/>
        <v>0</v>
      </c>
    </row>
    <row r="511" spans="1:17" ht="15.6" x14ac:dyDescent="0.25">
      <c r="A511" s="102" t="s">
        <v>353</v>
      </c>
      <c r="B511" s="104" t="s">
        <v>91</v>
      </c>
      <c r="C511" s="51" t="s">
        <v>7</v>
      </c>
      <c r="D511" s="1">
        <f t="shared" ref="D511:D549" si="216">E511+F511+G511+H511+I511+J511+K511+L511+M511+N511+O511</f>
        <v>153163.09999999998</v>
      </c>
      <c r="E511" s="1">
        <f t="shared" ref="E511:O511" si="217">E514+E512+E513+E516</f>
        <v>13860</v>
      </c>
      <c r="F511" s="1">
        <f t="shared" si="217"/>
        <v>15421.9</v>
      </c>
      <c r="G511" s="1">
        <f t="shared" si="217"/>
        <v>19594</v>
      </c>
      <c r="H511" s="1">
        <f t="shared" si="217"/>
        <v>13152.1</v>
      </c>
      <c r="I511" s="1">
        <f t="shared" si="217"/>
        <v>23011</v>
      </c>
      <c r="J511" s="1">
        <f t="shared" si="217"/>
        <v>13868</v>
      </c>
      <c r="K511" s="1">
        <f t="shared" si="217"/>
        <v>18850.3</v>
      </c>
      <c r="L511" s="1">
        <f t="shared" si="217"/>
        <v>7423.7</v>
      </c>
      <c r="M511" s="1">
        <f t="shared" si="217"/>
        <v>7871.8</v>
      </c>
      <c r="N511" s="1">
        <f t="shared" si="217"/>
        <v>7910.3</v>
      </c>
      <c r="O511" s="1">
        <f t="shared" si="217"/>
        <v>12200</v>
      </c>
    </row>
    <row r="512" spans="1:17" ht="15.6" x14ac:dyDescent="0.25">
      <c r="A512" s="143"/>
      <c r="B512" s="104"/>
      <c r="C512" s="51" t="s">
        <v>10</v>
      </c>
      <c r="D512" s="1">
        <f t="shared" si="216"/>
        <v>0</v>
      </c>
      <c r="E512" s="1">
        <f>E518+E524</f>
        <v>0</v>
      </c>
      <c r="F512" s="1">
        <f t="shared" ref="F512:O512" si="218">F518+F524</f>
        <v>0</v>
      </c>
      <c r="G512" s="1">
        <f t="shared" si="218"/>
        <v>0</v>
      </c>
      <c r="H512" s="1">
        <f t="shared" si="218"/>
        <v>0</v>
      </c>
      <c r="I512" s="1">
        <f t="shared" si="218"/>
        <v>0</v>
      </c>
      <c r="J512" s="1">
        <f t="shared" si="218"/>
        <v>0</v>
      </c>
      <c r="K512" s="1">
        <f t="shared" si="218"/>
        <v>0</v>
      </c>
      <c r="L512" s="1">
        <f t="shared" si="218"/>
        <v>0</v>
      </c>
      <c r="M512" s="1">
        <f t="shared" si="218"/>
        <v>0</v>
      </c>
      <c r="N512" s="1">
        <f t="shared" si="218"/>
        <v>0</v>
      </c>
      <c r="O512" s="1">
        <f t="shared" si="218"/>
        <v>0</v>
      </c>
    </row>
    <row r="513" spans="1:24" ht="15.6" x14ac:dyDescent="0.25">
      <c r="A513" s="143"/>
      <c r="B513" s="104"/>
      <c r="C513" s="51" t="s">
        <v>11</v>
      </c>
      <c r="D513" s="1">
        <f t="shared" si="216"/>
        <v>0</v>
      </c>
      <c r="E513" s="1">
        <f t="shared" ref="E513:O513" si="219">E519+E525</f>
        <v>0</v>
      </c>
      <c r="F513" s="1">
        <f t="shared" si="219"/>
        <v>0</v>
      </c>
      <c r="G513" s="1">
        <f t="shared" si="219"/>
        <v>0</v>
      </c>
      <c r="H513" s="1">
        <f t="shared" si="219"/>
        <v>0</v>
      </c>
      <c r="I513" s="1">
        <f t="shared" si="219"/>
        <v>0</v>
      </c>
      <c r="J513" s="1">
        <f t="shared" si="219"/>
        <v>0</v>
      </c>
      <c r="K513" s="1">
        <f t="shared" si="219"/>
        <v>0</v>
      </c>
      <c r="L513" s="1">
        <f t="shared" si="219"/>
        <v>0</v>
      </c>
      <c r="M513" s="1">
        <f t="shared" si="219"/>
        <v>0</v>
      </c>
      <c r="N513" s="1">
        <f t="shared" si="219"/>
        <v>0</v>
      </c>
      <c r="O513" s="1">
        <f t="shared" si="219"/>
        <v>0</v>
      </c>
    </row>
    <row r="514" spans="1:24" ht="31.5" customHeight="1" x14ac:dyDescent="0.25">
      <c r="A514" s="143"/>
      <c r="B514" s="104"/>
      <c r="C514" s="51" t="s">
        <v>65</v>
      </c>
      <c r="D514" s="1">
        <f t="shared" si="216"/>
        <v>153163.09999999998</v>
      </c>
      <c r="E514" s="1">
        <f>E520+E526</f>
        <v>13860</v>
      </c>
      <c r="F514" s="1">
        <f t="shared" ref="F514:O514" si="220">F520+F526</f>
        <v>15421.9</v>
      </c>
      <c r="G514" s="1">
        <f t="shared" si="220"/>
        <v>19594</v>
      </c>
      <c r="H514" s="1">
        <f t="shared" si="220"/>
        <v>13152.1</v>
      </c>
      <c r="I514" s="1">
        <f t="shared" si="220"/>
        <v>23011</v>
      </c>
      <c r="J514" s="1">
        <f>J520+J526</f>
        <v>13868</v>
      </c>
      <c r="K514" s="1">
        <f t="shared" si="220"/>
        <v>18850.3</v>
      </c>
      <c r="L514" s="1">
        <f t="shared" si="220"/>
        <v>7423.7</v>
      </c>
      <c r="M514" s="1">
        <f t="shared" si="220"/>
        <v>7871.8</v>
      </c>
      <c r="N514" s="1">
        <f t="shared" si="220"/>
        <v>7910.3</v>
      </c>
      <c r="O514" s="1">
        <f t="shared" si="220"/>
        <v>12200</v>
      </c>
    </row>
    <row r="515" spans="1:24" ht="33" customHeight="1" x14ac:dyDescent="0.25">
      <c r="A515" s="143"/>
      <c r="B515" s="104"/>
      <c r="C515" s="74" t="s">
        <v>79</v>
      </c>
      <c r="D515" s="1">
        <f t="shared" si="216"/>
        <v>1971.3999999999999</v>
      </c>
      <c r="E515" s="72">
        <f>E521</f>
        <v>752.3</v>
      </c>
      <c r="F515" s="72">
        <f t="shared" ref="F515:O515" si="221">F521</f>
        <v>0</v>
      </c>
      <c r="G515" s="72">
        <f t="shared" si="221"/>
        <v>1219.0999999999999</v>
      </c>
      <c r="H515" s="72">
        <f t="shared" si="221"/>
        <v>0</v>
      </c>
      <c r="I515" s="72">
        <f t="shared" si="221"/>
        <v>0</v>
      </c>
      <c r="J515" s="72">
        <f t="shared" si="221"/>
        <v>0</v>
      </c>
      <c r="K515" s="72">
        <f t="shared" si="221"/>
        <v>0</v>
      </c>
      <c r="L515" s="72">
        <f t="shared" si="221"/>
        <v>0</v>
      </c>
      <c r="M515" s="72">
        <f t="shared" si="221"/>
        <v>0</v>
      </c>
      <c r="N515" s="72">
        <f t="shared" si="221"/>
        <v>0</v>
      </c>
      <c r="O515" s="72">
        <f t="shared" si="221"/>
        <v>0</v>
      </c>
    </row>
    <row r="516" spans="1:24" ht="17.25" customHeight="1" x14ac:dyDescent="0.25">
      <c r="A516" s="144"/>
      <c r="B516" s="104"/>
      <c r="C516" s="51" t="s">
        <v>13</v>
      </c>
      <c r="D516" s="1">
        <f t="shared" si="216"/>
        <v>0</v>
      </c>
      <c r="E516" s="1">
        <f t="shared" ref="E516:O516" si="222">E522+E527</f>
        <v>0</v>
      </c>
      <c r="F516" s="1">
        <f t="shared" si="222"/>
        <v>0</v>
      </c>
      <c r="G516" s="1">
        <f t="shared" si="222"/>
        <v>0</v>
      </c>
      <c r="H516" s="1">
        <f t="shared" si="222"/>
        <v>0</v>
      </c>
      <c r="I516" s="1">
        <f t="shared" si="222"/>
        <v>0</v>
      </c>
      <c r="J516" s="1">
        <f t="shared" si="222"/>
        <v>0</v>
      </c>
      <c r="K516" s="1">
        <f t="shared" si="222"/>
        <v>0</v>
      </c>
      <c r="L516" s="1">
        <f t="shared" si="222"/>
        <v>0</v>
      </c>
      <c r="M516" s="1">
        <f t="shared" si="222"/>
        <v>0</v>
      </c>
      <c r="N516" s="1">
        <f t="shared" si="222"/>
        <v>0</v>
      </c>
      <c r="O516" s="1">
        <f t="shared" si="222"/>
        <v>0</v>
      </c>
    </row>
    <row r="517" spans="1:24" ht="17.25" customHeight="1" x14ac:dyDescent="0.25">
      <c r="A517" s="135" t="s">
        <v>133</v>
      </c>
      <c r="B517" s="129" t="s">
        <v>137</v>
      </c>
      <c r="C517" s="51" t="s">
        <v>7</v>
      </c>
      <c r="D517" s="1">
        <f t="shared" si="216"/>
        <v>31409.299999999996</v>
      </c>
      <c r="E517" s="1">
        <f t="shared" ref="E517:O517" si="223">E518+E519+E520+E522</f>
        <v>6610.3</v>
      </c>
      <c r="F517" s="1">
        <f t="shared" si="223"/>
        <v>5421.9</v>
      </c>
      <c r="G517" s="1">
        <f t="shared" si="223"/>
        <v>1966.9</v>
      </c>
      <c r="H517" s="1">
        <f t="shared" si="223"/>
        <v>945.9</v>
      </c>
      <c r="I517" s="1">
        <f t="shared" si="223"/>
        <v>11181</v>
      </c>
      <c r="J517" s="1">
        <f t="shared" si="223"/>
        <v>2488.6000000000004</v>
      </c>
      <c r="K517" s="1">
        <f t="shared" si="223"/>
        <v>1158.3</v>
      </c>
      <c r="L517" s="1">
        <f t="shared" si="223"/>
        <v>523.5</v>
      </c>
      <c r="M517" s="1">
        <f t="shared" si="223"/>
        <v>555.1</v>
      </c>
      <c r="N517" s="1">
        <f t="shared" si="223"/>
        <v>557.79999999999995</v>
      </c>
      <c r="O517" s="1">
        <f t="shared" si="223"/>
        <v>0</v>
      </c>
    </row>
    <row r="518" spans="1:24" ht="15.6" x14ac:dyDescent="0.25">
      <c r="A518" s="135"/>
      <c r="B518" s="129"/>
      <c r="C518" s="51" t="s">
        <v>10</v>
      </c>
      <c r="D518" s="1">
        <f t="shared" si="216"/>
        <v>0</v>
      </c>
      <c r="E518" s="1">
        <v>0</v>
      </c>
      <c r="F518" s="1">
        <v>0</v>
      </c>
      <c r="G518" s="1">
        <v>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</row>
    <row r="519" spans="1:24" ht="15.6" x14ac:dyDescent="0.25">
      <c r="A519" s="135"/>
      <c r="B519" s="129"/>
      <c r="C519" s="51" t="s">
        <v>11</v>
      </c>
      <c r="D519" s="1">
        <f t="shared" si="216"/>
        <v>0</v>
      </c>
      <c r="E519" s="1">
        <v>0</v>
      </c>
      <c r="F519" s="1">
        <v>0</v>
      </c>
      <c r="G519" s="1">
        <v>0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</row>
    <row r="520" spans="1:24" ht="31.2" x14ac:dyDescent="0.25">
      <c r="A520" s="135"/>
      <c r="B520" s="129"/>
      <c r="C520" s="51" t="s">
        <v>65</v>
      </c>
      <c r="D520" s="1">
        <f t="shared" si="216"/>
        <v>31409.299999999996</v>
      </c>
      <c r="E520" s="1">
        <v>6610.3</v>
      </c>
      <c r="F520" s="1">
        <v>5421.9</v>
      </c>
      <c r="G520" s="1">
        <v>1966.9</v>
      </c>
      <c r="H520" s="1">
        <v>945.9</v>
      </c>
      <c r="I520" s="1">
        <v>11181</v>
      </c>
      <c r="J520" s="1">
        <f>1513.4+227.7+600+147.5</f>
        <v>2488.6000000000004</v>
      </c>
      <c r="K520" s="1">
        <f>1059.4+633.1+454-1078.2+90</f>
        <v>1158.3</v>
      </c>
      <c r="L520" s="1">
        <f>523.5</f>
        <v>523.5</v>
      </c>
      <c r="M520" s="1">
        <f>555.1</f>
        <v>555.1</v>
      </c>
      <c r="N520" s="1">
        <v>557.79999999999995</v>
      </c>
      <c r="O520" s="1">
        <v>0</v>
      </c>
      <c r="X520" s="62"/>
    </row>
    <row r="521" spans="1:24" ht="31.2" x14ac:dyDescent="0.25">
      <c r="A521" s="135"/>
      <c r="B521" s="129"/>
      <c r="C521" s="74" t="s">
        <v>79</v>
      </c>
      <c r="D521" s="72">
        <f t="shared" si="216"/>
        <v>1971.3999999999999</v>
      </c>
      <c r="E521" s="72">
        <v>752.3</v>
      </c>
      <c r="F521" s="72">
        <v>0</v>
      </c>
      <c r="G521" s="72">
        <v>1219.0999999999999</v>
      </c>
      <c r="H521" s="72">
        <v>0</v>
      </c>
      <c r="I521" s="72">
        <v>0</v>
      </c>
      <c r="J521" s="72">
        <v>0</v>
      </c>
      <c r="K521" s="72">
        <v>0</v>
      </c>
      <c r="L521" s="72">
        <v>0</v>
      </c>
      <c r="M521" s="72">
        <v>0</v>
      </c>
      <c r="N521" s="72">
        <v>0</v>
      </c>
      <c r="O521" s="72">
        <v>0</v>
      </c>
    </row>
    <row r="522" spans="1:24" ht="19.5" customHeight="1" x14ac:dyDescent="0.25">
      <c r="A522" s="135"/>
      <c r="B522" s="129"/>
      <c r="C522" s="51" t="s">
        <v>13</v>
      </c>
      <c r="D522" s="1">
        <f t="shared" si="216"/>
        <v>0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</row>
    <row r="523" spans="1:24" ht="15.6" x14ac:dyDescent="0.25">
      <c r="A523" s="135" t="s">
        <v>83</v>
      </c>
      <c r="B523" s="129" t="s">
        <v>59</v>
      </c>
      <c r="C523" s="51" t="s">
        <v>7</v>
      </c>
      <c r="D523" s="1">
        <f t="shared" si="216"/>
        <v>121753.79999999999</v>
      </c>
      <c r="E523" s="1">
        <f t="shared" ref="E523:O523" si="224">E524+E525+E526+E527</f>
        <v>7249.7</v>
      </c>
      <c r="F523" s="1">
        <f t="shared" si="224"/>
        <v>10000</v>
      </c>
      <c r="G523" s="1">
        <f t="shared" si="224"/>
        <v>17627.099999999999</v>
      </c>
      <c r="H523" s="1">
        <f t="shared" si="224"/>
        <v>12206.2</v>
      </c>
      <c r="I523" s="1">
        <f t="shared" si="224"/>
        <v>11830</v>
      </c>
      <c r="J523" s="1">
        <f t="shared" si="224"/>
        <v>11379.4</v>
      </c>
      <c r="K523" s="1">
        <f t="shared" si="224"/>
        <v>17692</v>
      </c>
      <c r="L523" s="1">
        <f t="shared" si="224"/>
        <v>6900.2</v>
      </c>
      <c r="M523" s="1">
        <f t="shared" si="224"/>
        <v>7316.7</v>
      </c>
      <c r="N523" s="1">
        <f t="shared" si="224"/>
        <v>7352.5</v>
      </c>
      <c r="O523" s="1">
        <f t="shared" si="224"/>
        <v>12200</v>
      </c>
      <c r="W523" s="64" t="s">
        <v>411</v>
      </c>
    </row>
    <row r="524" spans="1:24" ht="15.6" x14ac:dyDescent="0.25">
      <c r="A524" s="135"/>
      <c r="B524" s="129"/>
      <c r="C524" s="51" t="s">
        <v>10</v>
      </c>
      <c r="D524" s="1">
        <f t="shared" si="216"/>
        <v>0</v>
      </c>
      <c r="E524" s="1">
        <v>0</v>
      </c>
      <c r="F524" s="1">
        <v>0</v>
      </c>
      <c r="G524" s="1">
        <v>0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1">
        <v>0</v>
      </c>
    </row>
    <row r="525" spans="1:24" ht="15.6" x14ac:dyDescent="0.25">
      <c r="A525" s="135"/>
      <c r="B525" s="129"/>
      <c r="C525" s="51" t="s">
        <v>11</v>
      </c>
      <c r="D525" s="1">
        <f t="shared" si="216"/>
        <v>0</v>
      </c>
      <c r="E525" s="1">
        <v>0</v>
      </c>
      <c r="F525" s="1">
        <v>0</v>
      </c>
      <c r="G525" s="1">
        <v>0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">
        <v>0</v>
      </c>
    </row>
    <row r="526" spans="1:24" ht="15.6" x14ac:dyDescent="0.25">
      <c r="A526" s="135"/>
      <c r="B526" s="129"/>
      <c r="C526" s="51" t="s">
        <v>12</v>
      </c>
      <c r="D526" s="1">
        <f t="shared" si="216"/>
        <v>121753.79999999999</v>
      </c>
      <c r="E526" s="1">
        <v>7249.7</v>
      </c>
      <c r="F526" s="1">
        <v>10000</v>
      </c>
      <c r="G526" s="1">
        <v>17627.099999999999</v>
      </c>
      <c r="H526" s="1">
        <v>12206.2</v>
      </c>
      <c r="I526" s="1">
        <v>11830</v>
      </c>
      <c r="J526" s="1">
        <f>11444.4-65</f>
        <v>11379.4</v>
      </c>
      <c r="K526" s="1">
        <f>8540+1940+2150+143.2+4918.8</f>
        <v>17692</v>
      </c>
      <c r="L526" s="1">
        <f>6900.2</f>
        <v>6900.2</v>
      </c>
      <c r="M526" s="1">
        <f>7316.7</f>
        <v>7316.7</v>
      </c>
      <c r="N526" s="1">
        <v>7352.5</v>
      </c>
      <c r="O526" s="1">
        <v>12200</v>
      </c>
    </row>
    <row r="527" spans="1:24" ht="26.25" customHeight="1" x14ac:dyDescent="0.25">
      <c r="A527" s="135"/>
      <c r="B527" s="129"/>
      <c r="C527" s="58" t="s">
        <v>13</v>
      </c>
      <c r="D527" s="1">
        <f t="shared" si="216"/>
        <v>0</v>
      </c>
      <c r="E527" s="1">
        <v>0</v>
      </c>
      <c r="F527" s="1">
        <v>0</v>
      </c>
      <c r="G527" s="1">
        <v>0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1">
        <v>0</v>
      </c>
    </row>
    <row r="528" spans="1:24" ht="15.6" x14ac:dyDescent="0.25">
      <c r="A528" s="102" t="s">
        <v>355</v>
      </c>
      <c r="B528" s="104" t="s">
        <v>362</v>
      </c>
      <c r="C528" s="51" t="s">
        <v>7</v>
      </c>
      <c r="D528" s="1">
        <f t="shared" si="216"/>
        <v>708.6</v>
      </c>
      <c r="E528" s="1">
        <f t="shared" ref="E528:O528" si="225">E531+E529+E530+E532</f>
        <v>0</v>
      </c>
      <c r="F528" s="1">
        <f t="shared" si="225"/>
        <v>0</v>
      </c>
      <c r="G528" s="1">
        <f t="shared" si="225"/>
        <v>0</v>
      </c>
      <c r="H528" s="1">
        <f t="shared" si="225"/>
        <v>0</v>
      </c>
      <c r="I528" s="1">
        <f t="shared" si="225"/>
        <v>0</v>
      </c>
      <c r="J528" s="1">
        <f t="shared" si="225"/>
        <v>708.6</v>
      </c>
      <c r="K528" s="1">
        <f t="shared" si="225"/>
        <v>0</v>
      </c>
      <c r="L528" s="1">
        <f t="shared" si="225"/>
        <v>0</v>
      </c>
      <c r="M528" s="1">
        <f t="shared" si="225"/>
        <v>0</v>
      </c>
      <c r="N528" s="1">
        <f t="shared" si="225"/>
        <v>0</v>
      </c>
      <c r="O528" s="1">
        <f t="shared" si="225"/>
        <v>0</v>
      </c>
    </row>
    <row r="529" spans="1:17" ht="15.6" x14ac:dyDescent="0.25">
      <c r="A529" s="143"/>
      <c r="B529" s="104"/>
      <c r="C529" s="51" t="s">
        <v>10</v>
      </c>
      <c r="D529" s="1">
        <f t="shared" si="216"/>
        <v>0</v>
      </c>
      <c r="E529" s="1">
        <f>E534</f>
        <v>0</v>
      </c>
      <c r="F529" s="1">
        <f t="shared" ref="F529:O529" si="226">F534</f>
        <v>0</v>
      </c>
      <c r="G529" s="1">
        <f t="shared" si="226"/>
        <v>0</v>
      </c>
      <c r="H529" s="1">
        <f t="shared" si="226"/>
        <v>0</v>
      </c>
      <c r="I529" s="1">
        <f t="shared" si="226"/>
        <v>0</v>
      </c>
      <c r="J529" s="1">
        <f t="shared" si="226"/>
        <v>0</v>
      </c>
      <c r="K529" s="1">
        <f t="shared" si="226"/>
        <v>0</v>
      </c>
      <c r="L529" s="1">
        <f t="shared" si="226"/>
        <v>0</v>
      </c>
      <c r="M529" s="1">
        <f t="shared" si="226"/>
        <v>0</v>
      </c>
      <c r="N529" s="1">
        <f t="shared" si="226"/>
        <v>0</v>
      </c>
      <c r="O529" s="1">
        <f t="shared" si="226"/>
        <v>0</v>
      </c>
    </row>
    <row r="530" spans="1:17" ht="15.6" x14ac:dyDescent="0.25">
      <c r="A530" s="143"/>
      <c r="B530" s="104"/>
      <c r="C530" s="51" t="s">
        <v>11</v>
      </c>
      <c r="D530" s="1">
        <f t="shared" si="216"/>
        <v>708.6</v>
      </c>
      <c r="E530" s="1">
        <f>E535</f>
        <v>0</v>
      </c>
      <c r="F530" s="1">
        <f t="shared" ref="F530:O530" si="227">F535</f>
        <v>0</v>
      </c>
      <c r="G530" s="1">
        <f t="shared" si="227"/>
        <v>0</v>
      </c>
      <c r="H530" s="1">
        <f t="shared" si="227"/>
        <v>0</v>
      </c>
      <c r="I530" s="1">
        <f t="shared" si="227"/>
        <v>0</v>
      </c>
      <c r="J530" s="1">
        <f t="shared" si="227"/>
        <v>708.6</v>
      </c>
      <c r="K530" s="1">
        <f t="shared" si="227"/>
        <v>0</v>
      </c>
      <c r="L530" s="1">
        <f t="shared" si="227"/>
        <v>0</v>
      </c>
      <c r="M530" s="1">
        <f t="shared" si="227"/>
        <v>0</v>
      </c>
      <c r="N530" s="1">
        <f t="shared" si="227"/>
        <v>0</v>
      </c>
      <c r="O530" s="1">
        <f t="shared" si="227"/>
        <v>0</v>
      </c>
    </row>
    <row r="531" spans="1:17" ht="31.5" customHeight="1" x14ac:dyDescent="0.25">
      <c r="A531" s="143"/>
      <c r="B531" s="104"/>
      <c r="C531" s="51" t="s">
        <v>65</v>
      </c>
      <c r="D531" s="1">
        <f t="shared" si="216"/>
        <v>0</v>
      </c>
      <c r="E531" s="1">
        <f>E536</f>
        <v>0</v>
      </c>
      <c r="F531" s="1">
        <f t="shared" ref="F531:O531" si="228">F536</f>
        <v>0</v>
      </c>
      <c r="G531" s="1">
        <f t="shared" si="228"/>
        <v>0</v>
      </c>
      <c r="H531" s="1">
        <f t="shared" si="228"/>
        <v>0</v>
      </c>
      <c r="I531" s="1">
        <f t="shared" si="228"/>
        <v>0</v>
      </c>
      <c r="J531" s="1">
        <f t="shared" si="228"/>
        <v>0</v>
      </c>
      <c r="K531" s="1">
        <f t="shared" si="228"/>
        <v>0</v>
      </c>
      <c r="L531" s="1">
        <f t="shared" si="228"/>
        <v>0</v>
      </c>
      <c r="M531" s="1">
        <f t="shared" si="228"/>
        <v>0</v>
      </c>
      <c r="N531" s="1">
        <f t="shared" si="228"/>
        <v>0</v>
      </c>
      <c r="O531" s="1">
        <f t="shared" si="228"/>
        <v>0</v>
      </c>
    </row>
    <row r="532" spans="1:17" ht="17.25" customHeight="1" x14ac:dyDescent="0.25">
      <c r="A532" s="144"/>
      <c r="B532" s="104"/>
      <c r="C532" s="51" t="s">
        <v>13</v>
      </c>
      <c r="D532" s="1">
        <f t="shared" si="216"/>
        <v>0</v>
      </c>
      <c r="E532" s="1">
        <f>E537</f>
        <v>0</v>
      </c>
      <c r="F532" s="1">
        <f t="shared" ref="F532:O532" si="229">F537</f>
        <v>0</v>
      </c>
      <c r="G532" s="1">
        <f t="shared" si="229"/>
        <v>0</v>
      </c>
      <c r="H532" s="1">
        <f t="shared" si="229"/>
        <v>0</v>
      </c>
      <c r="I532" s="1">
        <f t="shared" si="229"/>
        <v>0</v>
      </c>
      <c r="J532" s="1">
        <f t="shared" si="229"/>
        <v>0</v>
      </c>
      <c r="K532" s="1">
        <f t="shared" si="229"/>
        <v>0</v>
      </c>
      <c r="L532" s="1">
        <f t="shared" si="229"/>
        <v>0</v>
      </c>
      <c r="M532" s="1">
        <f t="shared" si="229"/>
        <v>0</v>
      </c>
      <c r="N532" s="1">
        <f t="shared" si="229"/>
        <v>0</v>
      </c>
      <c r="O532" s="1">
        <f t="shared" si="229"/>
        <v>0</v>
      </c>
    </row>
    <row r="533" spans="1:17" ht="15.6" x14ac:dyDescent="0.25">
      <c r="A533" s="135" t="s">
        <v>356</v>
      </c>
      <c r="B533" s="129" t="s">
        <v>363</v>
      </c>
      <c r="C533" s="51" t="s">
        <v>7</v>
      </c>
      <c r="D533" s="1">
        <f t="shared" si="216"/>
        <v>708.6</v>
      </c>
      <c r="E533" s="1">
        <f t="shared" ref="E533:O533" si="230">E534+E535+E536+E537</f>
        <v>0</v>
      </c>
      <c r="F533" s="1">
        <f t="shared" si="230"/>
        <v>0</v>
      </c>
      <c r="G533" s="1">
        <f t="shared" si="230"/>
        <v>0</v>
      </c>
      <c r="H533" s="1">
        <f t="shared" si="230"/>
        <v>0</v>
      </c>
      <c r="I533" s="1">
        <f t="shared" si="230"/>
        <v>0</v>
      </c>
      <c r="J533" s="1">
        <f t="shared" si="230"/>
        <v>708.6</v>
      </c>
      <c r="K533" s="1">
        <f t="shared" si="230"/>
        <v>0</v>
      </c>
      <c r="L533" s="1">
        <f t="shared" si="230"/>
        <v>0</v>
      </c>
      <c r="M533" s="1">
        <f t="shared" si="230"/>
        <v>0</v>
      </c>
      <c r="N533" s="1">
        <f t="shared" si="230"/>
        <v>0</v>
      </c>
      <c r="O533" s="1">
        <f t="shared" si="230"/>
        <v>0</v>
      </c>
    </row>
    <row r="534" spans="1:17" ht="15.6" x14ac:dyDescent="0.25">
      <c r="A534" s="135"/>
      <c r="B534" s="129"/>
      <c r="C534" s="51" t="s">
        <v>10</v>
      </c>
      <c r="D534" s="1">
        <f t="shared" si="216"/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</row>
    <row r="535" spans="1:17" ht="15.6" x14ac:dyDescent="0.25">
      <c r="A535" s="135"/>
      <c r="B535" s="129"/>
      <c r="C535" s="51" t="s">
        <v>11</v>
      </c>
      <c r="D535" s="1">
        <f t="shared" si="216"/>
        <v>708.6</v>
      </c>
      <c r="E535" s="1">
        <v>0</v>
      </c>
      <c r="F535" s="1">
        <v>0</v>
      </c>
      <c r="G535" s="1">
        <v>0</v>
      </c>
      <c r="H535" s="1">
        <v>0</v>
      </c>
      <c r="I535" s="1">
        <v>0</v>
      </c>
      <c r="J535" s="1">
        <v>708.6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</row>
    <row r="536" spans="1:17" ht="23.25" customHeight="1" x14ac:dyDescent="0.25">
      <c r="A536" s="135"/>
      <c r="B536" s="129"/>
      <c r="C536" s="51" t="s">
        <v>12</v>
      </c>
      <c r="D536" s="1">
        <f t="shared" si="216"/>
        <v>0</v>
      </c>
      <c r="E536" s="1">
        <v>0</v>
      </c>
      <c r="F536" s="1">
        <v>0</v>
      </c>
      <c r="G536" s="1">
        <v>0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</row>
    <row r="537" spans="1:17" ht="24.75" customHeight="1" x14ac:dyDescent="0.25">
      <c r="A537" s="135"/>
      <c r="B537" s="129"/>
      <c r="C537" s="58" t="s">
        <v>13</v>
      </c>
      <c r="D537" s="1">
        <f t="shared" si="216"/>
        <v>0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</row>
    <row r="538" spans="1:17" ht="15.75" customHeight="1" x14ac:dyDescent="0.25">
      <c r="A538" s="109" t="s">
        <v>31</v>
      </c>
      <c r="B538" s="136" t="s">
        <v>330</v>
      </c>
      <c r="C538" s="59" t="s">
        <v>7</v>
      </c>
      <c r="D538" s="2">
        <f t="shared" si="216"/>
        <v>4008548.4620000003</v>
      </c>
      <c r="E538" s="2">
        <f>E539+E540+E541+E543</f>
        <v>228156.69999999998</v>
      </c>
      <c r="F538" s="2">
        <f>F539+F540+F541+F543</f>
        <v>279787.8</v>
      </c>
      <c r="G538" s="2">
        <f t="shared" ref="G538:O538" si="231">SUM(G539:G543)</f>
        <v>257795.10000000003</v>
      </c>
      <c r="H538" s="2">
        <f t="shared" si="231"/>
        <v>267713.5</v>
      </c>
      <c r="I538" s="2">
        <f t="shared" si="231"/>
        <v>352068.4</v>
      </c>
      <c r="J538" s="2">
        <f t="shared" si="231"/>
        <v>478026.3</v>
      </c>
      <c r="K538" s="2">
        <f t="shared" si="231"/>
        <v>781436.36200000008</v>
      </c>
      <c r="L538" s="2">
        <f t="shared" si="231"/>
        <v>458165.59999999992</v>
      </c>
      <c r="M538" s="2">
        <f t="shared" si="231"/>
        <v>298966.60000000003</v>
      </c>
      <c r="N538" s="2">
        <f t="shared" si="231"/>
        <v>331889</v>
      </c>
      <c r="O538" s="2">
        <f t="shared" si="231"/>
        <v>274543.09999999998</v>
      </c>
      <c r="P538" s="60"/>
      <c r="Q538" s="69"/>
    </row>
    <row r="539" spans="1:17" ht="15.6" x14ac:dyDescent="0.25">
      <c r="A539" s="109"/>
      <c r="B539" s="136"/>
      <c r="C539" s="58" t="s">
        <v>10</v>
      </c>
      <c r="D539" s="1">
        <f t="shared" si="216"/>
        <v>0</v>
      </c>
      <c r="E539" s="1">
        <f>E556+E566+E576+E591+E601+E607</f>
        <v>0</v>
      </c>
      <c r="F539" s="1">
        <f t="shared" ref="F539:O539" si="232">F556+F566+F576+F591+F601+F607</f>
        <v>0</v>
      </c>
      <c r="G539" s="1">
        <f t="shared" si="232"/>
        <v>0</v>
      </c>
      <c r="H539" s="1">
        <f t="shared" si="232"/>
        <v>0</v>
      </c>
      <c r="I539" s="1">
        <f>I556+I566+I576+I591+I601+I607</f>
        <v>0</v>
      </c>
      <c r="J539" s="1">
        <f t="shared" si="232"/>
        <v>0</v>
      </c>
      <c r="K539" s="1">
        <f t="shared" si="232"/>
        <v>0</v>
      </c>
      <c r="L539" s="1">
        <f t="shared" si="232"/>
        <v>0</v>
      </c>
      <c r="M539" s="1">
        <f t="shared" si="232"/>
        <v>0</v>
      </c>
      <c r="N539" s="1">
        <f t="shared" si="232"/>
        <v>0</v>
      </c>
      <c r="O539" s="1">
        <f t="shared" si="232"/>
        <v>0</v>
      </c>
      <c r="P539" s="62"/>
      <c r="Q539" s="62"/>
    </row>
    <row r="540" spans="1:17" ht="15.6" x14ac:dyDescent="0.25">
      <c r="A540" s="109"/>
      <c r="B540" s="136"/>
      <c r="C540" s="58" t="s">
        <v>11</v>
      </c>
      <c r="D540" s="1">
        <f t="shared" si="216"/>
        <v>981357</v>
      </c>
      <c r="E540" s="1">
        <f t="shared" ref="E540:H541" si="233">E546+E649</f>
        <v>0</v>
      </c>
      <c r="F540" s="1">
        <f t="shared" si="233"/>
        <v>0</v>
      </c>
      <c r="G540" s="1">
        <f t="shared" si="233"/>
        <v>0</v>
      </c>
      <c r="H540" s="1">
        <f t="shared" si="233"/>
        <v>0</v>
      </c>
      <c r="I540" s="1">
        <f>I546+I649+I659</f>
        <v>159753.70000000001</v>
      </c>
      <c r="J540" s="1">
        <f>J546+J649+J659</f>
        <v>282920.3</v>
      </c>
      <c r="K540" s="1">
        <f>K546+K649</f>
        <v>368985.2</v>
      </c>
      <c r="L540" s="1">
        <f>L546+L649</f>
        <v>169697.8</v>
      </c>
      <c r="M540" s="1">
        <f>M546+M649</f>
        <v>0</v>
      </c>
      <c r="N540" s="1">
        <f>N546+N649</f>
        <v>0</v>
      </c>
      <c r="O540" s="1">
        <f>O546+O649</f>
        <v>0</v>
      </c>
    </row>
    <row r="541" spans="1:17" ht="31.5" customHeight="1" x14ac:dyDescent="0.25">
      <c r="A541" s="109"/>
      <c r="B541" s="136"/>
      <c r="C541" s="58" t="s">
        <v>65</v>
      </c>
      <c r="D541" s="1">
        <f t="shared" si="216"/>
        <v>3027191.4620000003</v>
      </c>
      <c r="E541" s="1">
        <f t="shared" si="233"/>
        <v>228156.69999999998</v>
      </c>
      <c r="F541" s="1">
        <f t="shared" si="233"/>
        <v>279787.8</v>
      </c>
      <c r="G541" s="1">
        <f t="shared" si="233"/>
        <v>257795.10000000003</v>
      </c>
      <c r="H541" s="1">
        <f t="shared" si="233"/>
        <v>267713.5</v>
      </c>
      <c r="I541" s="1">
        <f>I547+I650+I660</f>
        <v>192314.7</v>
      </c>
      <c r="J541" s="1">
        <f>J547+J650+J660</f>
        <v>195106</v>
      </c>
      <c r="K541" s="1">
        <f>K547+K650+K670</f>
        <v>412451.16200000007</v>
      </c>
      <c r="L541" s="1">
        <f>L547+L650+L670</f>
        <v>288467.79999999993</v>
      </c>
      <c r="M541" s="1">
        <f>M547+M650+M670</f>
        <v>298966.60000000003</v>
      </c>
      <c r="N541" s="1">
        <f>N547+N650+N670</f>
        <v>331889</v>
      </c>
      <c r="O541" s="1">
        <f>O547+O650+O670</f>
        <v>274543.09999999998</v>
      </c>
    </row>
    <row r="542" spans="1:17" ht="31.2" x14ac:dyDescent="0.25">
      <c r="A542" s="109"/>
      <c r="B542" s="136"/>
      <c r="C542" s="74" t="s">
        <v>79</v>
      </c>
      <c r="D542" s="72">
        <f t="shared" si="216"/>
        <v>59050</v>
      </c>
      <c r="E542" s="72">
        <f>E548</f>
        <v>30550</v>
      </c>
      <c r="F542" s="72">
        <f>F610</f>
        <v>28500</v>
      </c>
      <c r="G542" s="72">
        <f>G610</f>
        <v>0</v>
      </c>
      <c r="H542" s="72">
        <f>H610</f>
        <v>0</v>
      </c>
      <c r="I542" s="72">
        <f>I610</f>
        <v>0</v>
      </c>
      <c r="J542" s="1">
        <f t="shared" ref="J542:O542" si="234">J559+J569+J579+J594+J604+J610</f>
        <v>0</v>
      </c>
      <c r="K542" s="1">
        <f t="shared" si="234"/>
        <v>0</v>
      </c>
      <c r="L542" s="1">
        <f t="shared" si="234"/>
        <v>0</v>
      </c>
      <c r="M542" s="1">
        <f t="shared" si="234"/>
        <v>0</v>
      </c>
      <c r="N542" s="1">
        <f t="shared" si="234"/>
        <v>0</v>
      </c>
      <c r="O542" s="1">
        <f t="shared" si="234"/>
        <v>0</v>
      </c>
    </row>
    <row r="543" spans="1:17" ht="19.5" customHeight="1" x14ac:dyDescent="0.25">
      <c r="A543" s="109"/>
      <c r="B543" s="136"/>
      <c r="C543" s="58" t="s">
        <v>13</v>
      </c>
      <c r="D543" s="1">
        <f t="shared" si="216"/>
        <v>0</v>
      </c>
      <c r="E543" s="1">
        <f>E559+E569+E579+E594+E605+E611</f>
        <v>0</v>
      </c>
      <c r="F543" s="1">
        <f>F559+F569+F579+F594+F605+F611</f>
        <v>0</v>
      </c>
      <c r="G543" s="1">
        <f>G559+G569+G579+G594+G605+G611</f>
        <v>0</v>
      </c>
      <c r="H543" s="1">
        <v>0</v>
      </c>
      <c r="I543" s="1">
        <f t="shared" ref="I543:O543" si="235">I559+I569+I579+I594+I605+I611</f>
        <v>0</v>
      </c>
      <c r="J543" s="1">
        <f t="shared" si="235"/>
        <v>0</v>
      </c>
      <c r="K543" s="1">
        <f t="shared" si="235"/>
        <v>0</v>
      </c>
      <c r="L543" s="1">
        <f t="shared" si="235"/>
        <v>0</v>
      </c>
      <c r="M543" s="1">
        <f t="shared" si="235"/>
        <v>0</v>
      </c>
      <c r="N543" s="1">
        <f t="shared" si="235"/>
        <v>0</v>
      </c>
      <c r="O543" s="1">
        <f t="shared" si="235"/>
        <v>0</v>
      </c>
    </row>
    <row r="544" spans="1:17" ht="15.6" x14ac:dyDescent="0.25">
      <c r="A544" s="104" t="s">
        <v>34</v>
      </c>
      <c r="B544" s="104" t="s">
        <v>122</v>
      </c>
      <c r="C544" s="58" t="s">
        <v>7</v>
      </c>
      <c r="D544" s="1">
        <f t="shared" si="216"/>
        <v>3134236.0620000004</v>
      </c>
      <c r="E544" s="1">
        <f>E545+E546+E547+E549</f>
        <v>228156.69999999998</v>
      </c>
      <c r="F544" s="1">
        <f t="shared" ref="F544:O544" si="236">F545+F546+F547+F549</f>
        <v>279787.8</v>
      </c>
      <c r="G544" s="1">
        <f t="shared" si="236"/>
        <v>257795.10000000003</v>
      </c>
      <c r="H544" s="1">
        <f t="shared" si="236"/>
        <v>267713.5</v>
      </c>
      <c r="I544" s="1">
        <f t="shared" si="236"/>
        <v>299568.40000000002</v>
      </c>
      <c r="J544" s="1">
        <f>J545+J546+J547+J549</f>
        <v>249909.09999999998</v>
      </c>
      <c r="K544" s="1">
        <f>K545+K546+K547+K549</f>
        <v>373970.76200000005</v>
      </c>
      <c r="L544" s="1">
        <f t="shared" si="236"/>
        <v>271935.99999999994</v>
      </c>
      <c r="M544" s="1">
        <f t="shared" si="236"/>
        <v>298966.60000000003</v>
      </c>
      <c r="N544" s="1">
        <f t="shared" si="236"/>
        <v>331889</v>
      </c>
      <c r="O544" s="1">
        <f t="shared" si="236"/>
        <v>274543.09999999998</v>
      </c>
      <c r="P544" s="60"/>
      <c r="Q544" s="69"/>
    </row>
    <row r="545" spans="1:15" ht="18" customHeight="1" x14ac:dyDescent="0.25">
      <c r="A545" s="105"/>
      <c r="B545" s="133"/>
      <c r="C545" s="58" t="s">
        <v>10</v>
      </c>
      <c r="D545" s="1">
        <f t="shared" si="216"/>
        <v>0</v>
      </c>
      <c r="E545" s="1">
        <f t="shared" ref="E545:O545" si="237">E556+E566+E576+E591+E601+E607</f>
        <v>0</v>
      </c>
      <c r="F545" s="1">
        <f t="shared" si="237"/>
        <v>0</v>
      </c>
      <c r="G545" s="1">
        <f t="shared" si="237"/>
        <v>0</v>
      </c>
      <c r="H545" s="1">
        <f t="shared" si="237"/>
        <v>0</v>
      </c>
      <c r="I545" s="1">
        <f t="shared" si="237"/>
        <v>0</v>
      </c>
      <c r="J545" s="1">
        <f t="shared" si="237"/>
        <v>0</v>
      </c>
      <c r="K545" s="1">
        <f t="shared" si="237"/>
        <v>0</v>
      </c>
      <c r="L545" s="1">
        <f t="shared" si="237"/>
        <v>0</v>
      </c>
      <c r="M545" s="1">
        <f t="shared" si="237"/>
        <v>0</v>
      </c>
      <c r="N545" s="1">
        <f t="shared" si="237"/>
        <v>0</v>
      </c>
      <c r="O545" s="1">
        <f t="shared" si="237"/>
        <v>0</v>
      </c>
    </row>
    <row r="546" spans="1:15" ht="16.5" customHeight="1" x14ac:dyDescent="0.25">
      <c r="A546" s="105"/>
      <c r="B546" s="133"/>
      <c r="C546" s="58" t="s">
        <v>11</v>
      </c>
      <c r="D546" s="1">
        <f t="shared" si="216"/>
        <v>178807.9</v>
      </c>
      <c r="E546" s="1">
        <f>E557+E567+E577+E592+E602+E608+E562+E572+E582+E587+E597+E614+E649</f>
        <v>0</v>
      </c>
      <c r="F546" s="1">
        <f>F557+F567+F577+F592+F602+F608+F562+F572+F582+F587+F597+F614+F649</f>
        <v>0</v>
      </c>
      <c r="G546" s="1">
        <f>G557+G567+G577+G592+G602+G608+G562+G572+G582+G587+G597+G614+G649</f>
        <v>0</v>
      </c>
      <c r="H546" s="1">
        <f>H557+H567+H577+H592+H602+H608+H562+H572+H582+H587+H597+H614+H649</f>
        <v>0</v>
      </c>
      <c r="I546" s="1">
        <f t="shared" ref="I546:O546" si="238">I557+I567+I577+I592+I602+I608+I562+I572+I582+I587+I597+I614</f>
        <v>109753.7</v>
      </c>
      <c r="J546" s="1">
        <f t="shared" si="238"/>
        <v>69054.2</v>
      </c>
      <c r="K546" s="1">
        <f t="shared" si="238"/>
        <v>0</v>
      </c>
      <c r="L546" s="1">
        <f t="shared" si="238"/>
        <v>0</v>
      </c>
      <c r="M546" s="1">
        <f t="shared" si="238"/>
        <v>0</v>
      </c>
      <c r="N546" s="1">
        <f t="shared" si="238"/>
        <v>0</v>
      </c>
      <c r="O546" s="1">
        <f t="shared" si="238"/>
        <v>0</v>
      </c>
    </row>
    <row r="547" spans="1:15" ht="31.2" x14ac:dyDescent="0.25">
      <c r="A547" s="105"/>
      <c r="B547" s="133"/>
      <c r="C547" s="58" t="s">
        <v>65</v>
      </c>
      <c r="D547" s="1">
        <f t="shared" si="216"/>
        <v>2955428.162</v>
      </c>
      <c r="E547" s="1">
        <f>E553+E558+E568+E573+E578+E588+E593+E603+E609+E615++E598+E650+E620</f>
        <v>228156.69999999998</v>
      </c>
      <c r="F547" s="1">
        <f>F553+F558+F568+F573+F578+F588+F593+F603+F609+F615++F598+F650+F620</f>
        <v>279787.8</v>
      </c>
      <c r="G547" s="1">
        <f>G553+G558+G568+G573+G578+G588+G593+G603+G609+G615++G598+G650+G620</f>
        <v>257795.10000000003</v>
      </c>
      <c r="H547" s="1">
        <f>H553+H558+H568+H573+H578+H588+H593+H603+H609+H615++H598+H650+H620</f>
        <v>267713.5</v>
      </c>
      <c r="I547" s="1">
        <f>I553+I558+I568+I573+I578+I588+I593+I603+I609+I615++I598+I620</f>
        <v>189814.7</v>
      </c>
      <c r="J547" s="1">
        <f>J553+J558+J568+J573+J578+J588+J593+J603+J609+J615++J598+J620</f>
        <v>180854.9</v>
      </c>
      <c r="K547" s="1">
        <f>K553+K558+K568+K573+K578+K588+K593+K603+K609+K615++K598+K620+K625+K630+K635+K640+K645</f>
        <v>373970.76200000005</v>
      </c>
      <c r="L547" s="1">
        <f>L553+L558+L568+L573+L578+L588+L593+L603+L609+L615++L598+L620+L625+L630+L635+L640+L645</f>
        <v>271935.99999999994</v>
      </c>
      <c r="M547" s="1">
        <f>M553+M558+M568+M573+M578+M588+M593+M603+M609+M615++M598+M620+M625+M630+M635+M640+M645</f>
        <v>298966.60000000003</v>
      </c>
      <c r="N547" s="1">
        <f>N553+N558+N568+N573+N578+N588+N593+N603+N609+N615++N598+N620+N625+N630+N635+N640+N645</f>
        <v>331889</v>
      </c>
      <c r="O547" s="1">
        <f>O553+O558+O568+O573+O578+O588+O593+O603+O609+O615++O598+O620+O625+O630+O635+O640+O645</f>
        <v>274543.09999999998</v>
      </c>
    </row>
    <row r="548" spans="1:15" ht="31.2" x14ac:dyDescent="0.25">
      <c r="A548" s="105"/>
      <c r="B548" s="133"/>
      <c r="C548" s="74" t="s">
        <v>79</v>
      </c>
      <c r="D548" s="72">
        <f t="shared" si="216"/>
        <v>59050</v>
      </c>
      <c r="E548" s="72">
        <f>E610+E604</f>
        <v>30550</v>
      </c>
      <c r="F548" s="72">
        <f>F610+F604</f>
        <v>28500</v>
      </c>
      <c r="G548" s="72">
        <f>G610+G604</f>
        <v>0</v>
      </c>
      <c r="H548" s="72">
        <f>H610+H604</f>
        <v>0</v>
      </c>
      <c r="I548" s="72">
        <f>I610+I604</f>
        <v>0</v>
      </c>
      <c r="J548" s="1">
        <f t="shared" ref="J548:O548" si="239">J559+J569+J579+J594+J604+J610</f>
        <v>0</v>
      </c>
      <c r="K548" s="1">
        <f t="shared" si="239"/>
        <v>0</v>
      </c>
      <c r="L548" s="1">
        <f t="shared" si="239"/>
        <v>0</v>
      </c>
      <c r="M548" s="1">
        <f t="shared" si="239"/>
        <v>0</v>
      </c>
      <c r="N548" s="1">
        <f t="shared" si="239"/>
        <v>0</v>
      </c>
      <c r="O548" s="1">
        <f t="shared" si="239"/>
        <v>0</v>
      </c>
    </row>
    <row r="549" spans="1:15" ht="17.25" customHeight="1" x14ac:dyDescent="0.25">
      <c r="A549" s="105"/>
      <c r="B549" s="133"/>
      <c r="C549" s="58" t="s">
        <v>13</v>
      </c>
      <c r="D549" s="1">
        <f t="shared" si="216"/>
        <v>0</v>
      </c>
      <c r="E549" s="1">
        <f>E569+E579+E594+E605+E611</f>
        <v>0</v>
      </c>
      <c r="F549" s="1">
        <f>F569+F579+F594+F605+F611</f>
        <v>0</v>
      </c>
      <c r="G549" s="1">
        <f>G569+G579+G594+G605+G611</f>
        <v>0</v>
      </c>
      <c r="H549" s="1">
        <f>H569+H579+H594+H605+H611</f>
        <v>0</v>
      </c>
      <c r="I549" s="1">
        <f>I569+I579+I594+I605+I611</f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">
        <v>0</v>
      </c>
    </row>
    <row r="550" spans="1:15" ht="15.6" x14ac:dyDescent="0.25">
      <c r="A550" s="104" t="s">
        <v>123</v>
      </c>
      <c r="B550" s="129" t="s">
        <v>152</v>
      </c>
      <c r="C550" s="58" t="s">
        <v>7</v>
      </c>
      <c r="D550" s="1">
        <f>SUM(D551:D554)</f>
        <v>42071.3</v>
      </c>
      <c r="E550" s="1">
        <f t="shared" ref="E550:J550" si="240">SUM(E551:E554)</f>
        <v>42071.3</v>
      </c>
      <c r="F550" s="1">
        <f t="shared" si="240"/>
        <v>0</v>
      </c>
      <c r="G550" s="1">
        <f t="shared" si="240"/>
        <v>0</v>
      </c>
      <c r="H550" s="1">
        <f t="shared" si="240"/>
        <v>0</v>
      </c>
      <c r="I550" s="1">
        <f t="shared" si="240"/>
        <v>0</v>
      </c>
      <c r="J550" s="1">
        <f t="shared" si="240"/>
        <v>0</v>
      </c>
      <c r="K550" s="1">
        <v>0</v>
      </c>
      <c r="L550" s="1">
        <f>SUM(L551:L554)</f>
        <v>0</v>
      </c>
      <c r="M550" s="1">
        <f>SUM(M551:M554)</f>
        <v>0</v>
      </c>
      <c r="N550" s="1">
        <f>SUM(N551:N554)</f>
        <v>0</v>
      </c>
      <c r="O550" s="1">
        <v>0</v>
      </c>
    </row>
    <row r="551" spans="1:15" ht="18.75" customHeight="1" x14ac:dyDescent="0.25">
      <c r="A551" s="105"/>
      <c r="B551" s="129"/>
      <c r="C551" s="58" t="s">
        <v>10</v>
      </c>
      <c r="D551" s="1">
        <v>0</v>
      </c>
      <c r="E551" s="1">
        <v>0</v>
      </c>
      <c r="F551" s="1">
        <v>0</v>
      </c>
      <c r="G551" s="1">
        <v>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">
        <v>0</v>
      </c>
    </row>
    <row r="552" spans="1:15" ht="17.25" customHeight="1" x14ac:dyDescent="0.25">
      <c r="A552" s="105"/>
      <c r="B552" s="129"/>
      <c r="C552" s="58" t="s">
        <v>11</v>
      </c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  <c r="N552" s="3">
        <v>0</v>
      </c>
      <c r="O552" s="3">
        <v>0</v>
      </c>
    </row>
    <row r="553" spans="1:15" ht="17.25" customHeight="1" x14ac:dyDescent="0.25">
      <c r="A553" s="105"/>
      <c r="B553" s="129"/>
      <c r="C553" s="58" t="s">
        <v>12</v>
      </c>
      <c r="D553" s="1">
        <f>SUM(E553:J553)</f>
        <v>42071.3</v>
      </c>
      <c r="E553" s="1">
        <v>42071.3</v>
      </c>
      <c r="F553" s="1">
        <v>0</v>
      </c>
      <c r="G553" s="1">
        <v>0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1">
        <v>0</v>
      </c>
    </row>
    <row r="554" spans="1:15" ht="25.5" customHeight="1" x14ac:dyDescent="0.25">
      <c r="A554" s="105"/>
      <c r="B554" s="129"/>
      <c r="C554" s="58" t="s">
        <v>13</v>
      </c>
      <c r="D554" s="1">
        <f>E554+F554+G554+H554+I554+J554</f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</row>
    <row r="555" spans="1:15" ht="15.75" customHeight="1" x14ac:dyDescent="0.25">
      <c r="A555" s="104" t="s">
        <v>124</v>
      </c>
      <c r="B555" s="129" t="s">
        <v>135</v>
      </c>
      <c r="C555" s="58" t="s">
        <v>7</v>
      </c>
      <c r="D555" s="1">
        <f>E555+F555+G555+H555+I555+J555+K555+L555+M555+N555+O555</f>
        <v>224030.40000000002</v>
      </c>
      <c r="E555" s="1">
        <f t="shared" ref="E555:O555" si="241">SUM(E556:E559)</f>
        <v>0</v>
      </c>
      <c r="F555" s="1">
        <f t="shared" si="241"/>
        <v>52211</v>
      </c>
      <c r="G555" s="1">
        <f t="shared" si="241"/>
        <v>40056.800000000003</v>
      </c>
      <c r="H555" s="1">
        <f t="shared" si="241"/>
        <v>54812.9</v>
      </c>
      <c r="I555" s="1">
        <f t="shared" si="241"/>
        <v>33448.6</v>
      </c>
      <c r="J555" s="1">
        <f t="shared" si="241"/>
        <v>10688.6</v>
      </c>
      <c r="K555" s="1">
        <f t="shared" si="241"/>
        <v>32812.5</v>
      </c>
      <c r="L555" s="1">
        <f t="shared" si="241"/>
        <v>0</v>
      </c>
      <c r="M555" s="1">
        <f t="shared" si="241"/>
        <v>0</v>
      </c>
      <c r="N555" s="1">
        <f t="shared" si="241"/>
        <v>0</v>
      </c>
      <c r="O555" s="1">
        <f t="shared" si="241"/>
        <v>0</v>
      </c>
    </row>
    <row r="556" spans="1:15" ht="15.75" customHeight="1" x14ac:dyDescent="0.25">
      <c r="A556" s="105"/>
      <c r="B556" s="129"/>
      <c r="C556" s="58" t="s">
        <v>10</v>
      </c>
      <c r="D556" s="1">
        <f t="shared" ref="D556:D649" si="242">E556+F556+G556+H556+I556+J556+K556+L556+M556+N556+O556</f>
        <v>0</v>
      </c>
      <c r="E556" s="1">
        <v>0</v>
      </c>
      <c r="F556" s="1">
        <v>0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</row>
    <row r="557" spans="1:15" ht="15.75" customHeight="1" x14ac:dyDescent="0.25">
      <c r="A557" s="105"/>
      <c r="B557" s="129"/>
      <c r="C557" s="58" t="s">
        <v>11</v>
      </c>
      <c r="D557" s="1">
        <f t="shared" si="242"/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  <c r="N557" s="3">
        <v>0</v>
      </c>
      <c r="O557" s="3">
        <v>0</v>
      </c>
    </row>
    <row r="558" spans="1:15" ht="15.75" customHeight="1" x14ac:dyDescent="0.25">
      <c r="A558" s="105"/>
      <c r="B558" s="129"/>
      <c r="C558" s="58" t="s">
        <v>12</v>
      </c>
      <c r="D558" s="1">
        <f t="shared" si="242"/>
        <v>224030.40000000002</v>
      </c>
      <c r="E558" s="1">
        <v>0</v>
      </c>
      <c r="F558" s="1">
        <v>52211</v>
      </c>
      <c r="G558" s="1">
        <v>40056.800000000003</v>
      </c>
      <c r="H558" s="1">
        <v>54812.9</v>
      </c>
      <c r="I558" s="1">
        <f>33108.6+340</f>
        <v>33448.6</v>
      </c>
      <c r="J558" s="1">
        <f>10688.6-0.1+0.1</f>
        <v>10688.6</v>
      </c>
      <c r="K558" s="1">
        <f>33518.8-706.3</f>
        <v>32812.5</v>
      </c>
      <c r="L558" s="1">
        <v>0</v>
      </c>
      <c r="M558" s="1">
        <v>0</v>
      </c>
      <c r="N558" s="1">
        <v>0</v>
      </c>
      <c r="O558" s="1">
        <v>0</v>
      </c>
    </row>
    <row r="559" spans="1:15" ht="25.5" customHeight="1" x14ac:dyDescent="0.25">
      <c r="A559" s="105"/>
      <c r="B559" s="129"/>
      <c r="C559" s="58" t="s">
        <v>13</v>
      </c>
      <c r="D559" s="1">
        <f t="shared" si="242"/>
        <v>0</v>
      </c>
      <c r="E559" s="1">
        <v>0</v>
      </c>
      <c r="F559" s="1">
        <v>0</v>
      </c>
      <c r="G559" s="1">
        <v>0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</row>
    <row r="560" spans="1:15" ht="24" customHeight="1" x14ac:dyDescent="0.25">
      <c r="A560" s="104" t="s">
        <v>125</v>
      </c>
      <c r="B560" s="129" t="s">
        <v>265</v>
      </c>
      <c r="C560" s="58" t="s">
        <v>7</v>
      </c>
      <c r="D560" s="1">
        <f t="shared" si="242"/>
        <v>54854.5</v>
      </c>
      <c r="E560" s="1">
        <f t="shared" ref="E560:O560" si="243">SUM(E561:E564)</f>
        <v>0</v>
      </c>
      <c r="F560" s="1">
        <f t="shared" si="243"/>
        <v>0</v>
      </c>
      <c r="G560" s="1">
        <f t="shared" si="243"/>
        <v>0</v>
      </c>
      <c r="H560" s="1">
        <f t="shared" si="243"/>
        <v>0</v>
      </c>
      <c r="I560" s="1">
        <f t="shared" si="243"/>
        <v>26485.599999999999</v>
      </c>
      <c r="J560" s="1">
        <f t="shared" si="243"/>
        <v>28368.9</v>
      </c>
      <c r="K560" s="1">
        <f t="shared" si="243"/>
        <v>0</v>
      </c>
      <c r="L560" s="1">
        <f t="shared" si="243"/>
        <v>0</v>
      </c>
      <c r="M560" s="1">
        <f t="shared" si="243"/>
        <v>0</v>
      </c>
      <c r="N560" s="1">
        <f t="shared" si="243"/>
        <v>0</v>
      </c>
      <c r="O560" s="1">
        <f t="shared" si="243"/>
        <v>0</v>
      </c>
    </row>
    <row r="561" spans="1:15" ht="24" customHeight="1" x14ac:dyDescent="0.25">
      <c r="A561" s="105"/>
      <c r="B561" s="129"/>
      <c r="C561" s="58" t="s">
        <v>10</v>
      </c>
      <c r="D561" s="1">
        <f t="shared" si="242"/>
        <v>0</v>
      </c>
      <c r="E561" s="1">
        <v>0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</row>
    <row r="562" spans="1:15" ht="24" customHeight="1" x14ac:dyDescent="0.25">
      <c r="A562" s="105"/>
      <c r="B562" s="129"/>
      <c r="C562" s="58" t="s">
        <v>11</v>
      </c>
      <c r="D562" s="1">
        <f t="shared" si="242"/>
        <v>54854.5</v>
      </c>
      <c r="E562" s="3">
        <v>0</v>
      </c>
      <c r="F562" s="3">
        <v>0</v>
      </c>
      <c r="G562" s="3">
        <v>0</v>
      </c>
      <c r="H562" s="3">
        <v>0</v>
      </c>
      <c r="I562" s="3">
        <v>26485.599999999999</v>
      </c>
      <c r="J562" s="3">
        <f>39057.5-10688.6</f>
        <v>28368.9</v>
      </c>
      <c r="K562" s="3">
        <v>0</v>
      </c>
      <c r="L562" s="3">
        <v>0</v>
      </c>
      <c r="M562" s="3">
        <v>0</v>
      </c>
      <c r="N562" s="3">
        <v>0</v>
      </c>
      <c r="O562" s="3">
        <v>0</v>
      </c>
    </row>
    <row r="563" spans="1:15" ht="24" customHeight="1" x14ac:dyDescent="0.25">
      <c r="A563" s="105"/>
      <c r="B563" s="129"/>
      <c r="C563" s="58" t="s">
        <v>12</v>
      </c>
      <c r="D563" s="1">
        <f t="shared" si="242"/>
        <v>0</v>
      </c>
      <c r="E563" s="1">
        <v>0</v>
      </c>
      <c r="F563" s="1">
        <v>0</v>
      </c>
      <c r="G563" s="1">
        <v>0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</row>
    <row r="564" spans="1:15" ht="24" customHeight="1" x14ac:dyDescent="0.25">
      <c r="A564" s="105"/>
      <c r="B564" s="129"/>
      <c r="C564" s="58" t="s">
        <v>13</v>
      </c>
      <c r="D564" s="1">
        <f t="shared" si="242"/>
        <v>0</v>
      </c>
      <c r="E564" s="1">
        <v>0</v>
      </c>
      <c r="F564" s="1">
        <v>0</v>
      </c>
      <c r="G564" s="1">
        <v>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</row>
    <row r="565" spans="1:15" ht="15.75" customHeight="1" x14ac:dyDescent="0.3">
      <c r="A565" s="104" t="s">
        <v>126</v>
      </c>
      <c r="B565" s="129" t="s">
        <v>44</v>
      </c>
      <c r="C565" s="85" t="s">
        <v>7</v>
      </c>
      <c r="D565" s="1">
        <f t="shared" si="242"/>
        <v>461326.59999999992</v>
      </c>
      <c r="E565" s="3">
        <f t="shared" ref="E565:O565" si="244">E566+E567+E568+E569</f>
        <v>47997.7</v>
      </c>
      <c r="F565" s="3">
        <f t="shared" si="244"/>
        <v>54818</v>
      </c>
      <c r="G565" s="3">
        <f>G566+G567+G568+G569</f>
        <v>75015.600000000006</v>
      </c>
      <c r="H565" s="3">
        <f t="shared" si="244"/>
        <v>70853</v>
      </c>
      <c r="I565" s="3">
        <f t="shared" si="244"/>
        <v>74592.900000000009</v>
      </c>
      <c r="J565" s="3">
        <f t="shared" si="244"/>
        <v>77207.3</v>
      </c>
      <c r="K565" s="3">
        <f t="shared" si="244"/>
        <v>53504.3</v>
      </c>
      <c r="L565" s="3">
        <f t="shared" si="244"/>
        <v>1664.8</v>
      </c>
      <c r="M565" s="3">
        <f t="shared" si="244"/>
        <v>1835.8</v>
      </c>
      <c r="N565" s="3">
        <f t="shared" si="244"/>
        <v>1918.6</v>
      </c>
      <c r="O565" s="3">
        <f t="shared" si="244"/>
        <v>1918.6</v>
      </c>
    </row>
    <row r="566" spans="1:15" ht="15.75" customHeight="1" x14ac:dyDescent="0.25">
      <c r="A566" s="105"/>
      <c r="B566" s="133"/>
      <c r="C566" s="58" t="s">
        <v>10</v>
      </c>
      <c r="D566" s="1">
        <f t="shared" si="242"/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  <c r="O566" s="3">
        <v>0</v>
      </c>
    </row>
    <row r="567" spans="1:15" ht="15.75" customHeight="1" x14ac:dyDescent="0.25">
      <c r="A567" s="105"/>
      <c r="B567" s="133"/>
      <c r="C567" s="58" t="s">
        <v>11</v>
      </c>
      <c r="D567" s="1">
        <f t="shared" si="242"/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  <c r="O567" s="3">
        <v>0</v>
      </c>
    </row>
    <row r="568" spans="1:15" ht="15.75" customHeight="1" x14ac:dyDescent="0.25">
      <c r="A568" s="105"/>
      <c r="B568" s="133"/>
      <c r="C568" s="58" t="s">
        <v>12</v>
      </c>
      <c r="D568" s="1">
        <f t="shared" si="242"/>
        <v>461326.59999999992</v>
      </c>
      <c r="E568" s="3">
        <v>47997.7</v>
      </c>
      <c r="F568" s="3">
        <v>54818</v>
      </c>
      <c r="G568" s="3">
        <v>75015.600000000006</v>
      </c>
      <c r="H568" s="3">
        <v>70853</v>
      </c>
      <c r="I568" s="3">
        <f>74919.3-326.4</f>
        <v>74592.900000000009</v>
      </c>
      <c r="J568" s="3">
        <f>78197.5-990.2</f>
        <v>77207.3</v>
      </c>
      <c r="K568" s="3">
        <f>83504.3-30000</f>
        <v>53504.3</v>
      </c>
      <c r="L568" s="3">
        <v>1664.8</v>
      </c>
      <c r="M568" s="3">
        <v>1835.8</v>
      </c>
      <c r="N568" s="3">
        <v>1918.6</v>
      </c>
      <c r="O568" s="3">
        <f>N568</f>
        <v>1918.6</v>
      </c>
    </row>
    <row r="569" spans="1:15" ht="15.75" customHeight="1" x14ac:dyDescent="0.25">
      <c r="A569" s="105"/>
      <c r="B569" s="133"/>
      <c r="C569" s="58" t="s">
        <v>13</v>
      </c>
      <c r="D569" s="1">
        <f t="shared" si="242"/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  <c r="O569" s="3">
        <v>0</v>
      </c>
    </row>
    <row r="570" spans="1:15" ht="17.25" customHeight="1" x14ac:dyDescent="0.3">
      <c r="A570" s="102" t="s">
        <v>127</v>
      </c>
      <c r="B570" s="104" t="s">
        <v>153</v>
      </c>
      <c r="C570" s="85" t="s">
        <v>7</v>
      </c>
      <c r="D570" s="1">
        <f t="shared" si="242"/>
        <v>25746.6</v>
      </c>
      <c r="E570" s="3">
        <f t="shared" ref="E570:K570" si="245">E571+E572+E573+E574</f>
        <v>25746.6</v>
      </c>
      <c r="F570" s="3">
        <f t="shared" si="245"/>
        <v>0</v>
      </c>
      <c r="G570" s="3">
        <f t="shared" si="245"/>
        <v>0</v>
      </c>
      <c r="H570" s="3">
        <f t="shared" si="245"/>
        <v>0</v>
      </c>
      <c r="I570" s="3">
        <f t="shared" si="245"/>
        <v>0</v>
      </c>
      <c r="J570" s="3">
        <f t="shared" si="245"/>
        <v>0</v>
      </c>
      <c r="K570" s="3">
        <f t="shared" si="245"/>
        <v>0</v>
      </c>
      <c r="L570" s="3">
        <f>L571+L572+L573+L574</f>
        <v>0</v>
      </c>
      <c r="M570" s="3">
        <f>M571+M572+M573+M574</f>
        <v>0</v>
      </c>
      <c r="N570" s="3">
        <f>N571+N572+N573+N574</f>
        <v>0</v>
      </c>
      <c r="O570" s="3">
        <f>O571+O572+O573+O574</f>
        <v>0</v>
      </c>
    </row>
    <row r="571" spans="1:15" ht="17.25" customHeight="1" x14ac:dyDescent="0.25">
      <c r="A571" s="143"/>
      <c r="B571" s="133"/>
      <c r="C571" s="58" t="s">
        <v>10</v>
      </c>
      <c r="D571" s="1">
        <f t="shared" si="242"/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  <c r="O571" s="3">
        <v>0</v>
      </c>
    </row>
    <row r="572" spans="1:15" ht="18" customHeight="1" x14ac:dyDescent="0.25">
      <c r="A572" s="143"/>
      <c r="B572" s="133"/>
      <c r="C572" s="58" t="s">
        <v>11</v>
      </c>
      <c r="D572" s="1">
        <f t="shared" si="242"/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</row>
    <row r="573" spans="1:15" ht="15.75" customHeight="1" x14ac:dyDescent="0.25">
      <c r="A573" s="143"/>
      <c r="B573" s="133"/>
      <c r="C573" s="58" t="s">
        <v>12</v>
      </c>
      <c r="D573" s="1">
        <f t="shared" si="242"/>
        <v>25746.6</v>
      </c>
      <c r="E573" s="3">
        <v>25746.6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0</v>
      </c>
      <c r="O573" s="3">
        <v>0</v>
      </c>
    </row>
    <row r="574" spans="1:15" ht="33.75" customHeight="1" x14ac:dyDescent="0.25">
      <c r="A574" s="144"/>
      <c r="B574" s="133"/>
      <c r="C574" s="58" t="s">
        <v>13</v>
      </c>
      <c r="D574" s="1">
        <f t="shared" si="242"/>
        <v>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  <c r="O574" s="3">
        <v>0</v>
      </c>
    </row>
    <row r="575" spans="1:15" ht="15.6" x14ac:dyDescent="0.25">
      <c r="A575" s="104" t="s">
        <v>128</v>
      </c>
      <c r="B575" s="129" t="s">
        <v>136</v>
      </c>
      <c r="C575" s="82" t="s">
        <v>7</v>
      </c>
      <c r="D575" s="1">
        <f>E575+F575+G575+H575+I575+J575+K575+L575+M575+N575+O575</f>
        <v>388850.39999999997</v>
      </c>
      <c r="E575" s="3">
        <f t="shared" ref="E575:J575" si="246">SUM(E576:E579)</f>
        <v>0</v>
      </c>
      <c r="F575" s="3">
        <f t="shared" si="246"/>
        <v>36667.5</v>
      </c>
      <c r="G575" s="3">
        <f t="shared" si="246"/>
        <v>33267.5</v>
      </c>
      <c r="H575" s="3">
        <f t="shared" si="246"/>
        <v>35169.599999999999</v>
      </c>
      <c r="I575" s="3">
        <f t="shared" si="246"/>
        <v>22060.600000000002</v>
      </c>
      <c r="J575" s="3">
        <f t="shared" si="246"/>
        <v>19768.5</v>
      </c>
      <c r="K575" s="3">
        <f>SUM(K576:K579)</f>
        <v>46323.700000000004</v>
      </c>
      <c r="L575" s="3">
        <f>SUM(L576:L579)</f>
        <v>34599.800000000003</v>
      </c>
      <c r="M575" s="3">
        <f>SUM(M576:M579)</f>
        <v>35983.800000000003</v>
      </c>
      <c r="N575" s="3">
        <f>SUM(N576:N579)</f>
        <v>37423.1</v>
      </c>
      <c r="O575" s="3">
        <f>SUM(O576:O579)</f>
        <v>87586.3</v>
      </c>
    </row>
    <row r="576" spans="1:15" ht="15.75" customHeight="1" x14ac:dyDescent="0.25">
      <c r="A576" s="105"/>
      <c r="B576" s="134"/>
      <c r="C576" s="58" t="s">
        <v>10</v>
      </c>
      <c r="D576" s="1">
        <f t="shared" si="242"/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  <c r="O576" s="3">
        <v>0</v>
      </c>
    </row>
    <row r="577" spans="1:17" ht="15.75" customHeight="1" x14ac:dyDescent="0.25">
      <c r="A577" s="105"/>
      <c r="B577" s="134"/>
      <c r="C577" s="58" t="s">
        <v>11</v>
      </c>
      <c r="D577" s="1">
        <f t="shared" si="242"/>
        <v>0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  <c r="O577" s="3">
        <v>0</v>
      </c>
    </row>
    <row r="578" spans="1:17" ht="15.75" customHeight="1" x14ac:dyDescent="0.25">
      <c r="A578" s="105"/>
      <c r="B578" s="134"/>
      <c r="C578" s="58" t="s">
        <v>12</v>
      </c>
      <c r="D578" s="1">
        <f t="shared" si="242"/>
        <v>388850.39999999997</v>
      </c>
      <c r="E578" s="3">
        <v>0</v>
      </c>
      <c r="F578" s="3">
        <v>36667.5</v>
      </c>
      <c r="G578" s="3">
        <v>33267.5</v>
      </c>
      <c r="H578" s="3">
        <v>35169.599999999999</v>
      </c>
      <c r="I578" s="3">
        <f>23852.9-1792.3</f>
        <v>22060.600000000002</v>
      </c>
      <c r="J578" s="3">
        <f>28768.5-9000</f>
        <v>19768.5</v>
      </c>
      <c r="K578" s="3">
        <f>29083+5516.8+7690+4019.9+14</f>
        <v>46323.700000000004</v>
      </c>
      <c r="L578" s="3">
        <v>34599.800000000003</v>
      </c>
      <c r="M578" s="3">
        <v>35983.800000000003</v>
      </c>
      <c r="N578" s="3">
        <v>37423.1</v>
      </c>
      <c r="O578" s="3">
        <v>87586.3</v>
      </c>
    </row>
    <row r="579" spans="1:17" ht="21.75" customHeight="1" x14ac:dyDescent="0.25">
      <c r="A579" s="105"/>
      <c r="B579" s="134"/>
      <c r="C579" s="58" t="s">
        <v>13</v>
      </c>
      <c r="D579" s="1">
        <f t="shared" si="242"/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  <c r="N579" s="3">
        <v>0</v>
      </c>
      <c r="O579" s="3">
        <v>0</v>
      </c>
    </row>
    <row r="580" spans="1:17" ht="22.5" customHeight="1" x14ac:dyDescent="0.3">
      <c r="A580" s="104" t="s">
        <v>205</v>
      </c>
      <c r="B580" s="129" t="s">
        <v>364</v>
      </c>
      <c r="C580" s="85" t="s">
        <v>7</v>
      </c>
      <c r="D580" s="1">
        <f>E580+F580+G580+H580+I580+J580+K580+L580+M580+N580+O580</f>
        <v>32005.9</v>
      </c>
      <c r="E580" s="3">
        <f t="shared" ref="E580:K580" si="247">SUM(E581:E584)</f>
        <v>0</v>
      </c>
      <c r="F580" s="3">
        <f t="shared" si="247"/>
        <v>0</v>
      </c>
      <c r="G580" s="3">
        <f t="shared" si="247"/>
        <v>0</v>
      </c>
      <c r="H580" s="3">
        <f t="shared" si="247"/>
        <v>0</v>
      </c>
      <c r="I580" s="3">
        <f t="shared" si="247"/>
        <v>22691.4</v>
      </c>
      <c r="J580" s="3">
        <f t="shared" si="247"/>
        <v>9314.5</v>
      </c>
      <c r="K580" s="3">
        <f t="shared" si="247"/>
        <v>0</v>
      </c>
      <c r="L580" s="3">
        <f>SUM(L581:L584)</f>
        <v>0</v>
      </c>
      <c r="M580" s="3">
        <f>SUM(M581:M584)</f>
        <v>0</v>
      </c>
      <c r="N580" s="3">
        <f>SUM(N581:N584)</f>
        <v>0</v>
      </c>
      <c r="O580" s="3">
        <f>SUM(O581:O584)</f>
        <v>0</v>
      </c>
      <c r="P580" s="62">
        <f>I578+I582</f>
        <v>44752</v>
      </c>
      <c r="Q580" s="62"/>
    </row>
    <row r="581" spans="1:17" ht="22.5" customHeight="1" x14ac:dyDescent="0.25">
      <c r="A581" s="105"/>
      <c r="B581" s="134"/>
      <c r="C581" s="58" t="s">
        <v>10</v>
      </c>
      <c r="D581" s="1">
        <f t="shared" si="242"/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  <c r="O581" s="3">
        <v>0</v>
      </c>
    </row>
    <row r="582" spans="1:17" ht="22.5" customHeight="1" x14ac:dyDescent="0.25">
      <c r="A582" s="105"/>
      <c r="B582" s="134"/>
      <c r="C582" s="58" t="s">
        <v>11</v>
      </c>
      <c r="D582" s="1">
        <f t="shared" si="242"/>
        <v>32005.9</v>
      </c>
      <c r="E582" s="3">
        <v>0</v>
      </c>
      <c r="F582" s="3">
        <v>0</v>
      </c>
      <c r="G582" s="3">
        <v>0</v>
      </c>
      <c r="H582" s="3">
        <v>0</v>
      </c>
      <c r="I582" s="3">
        <v>22691.4</v>
      </c>
      <c r="J582" s="3">
        <f>38083-28768.5</f>
        <v>9314.5</v>
      </c>
      <c r="K582" s="3">
        <v>0</v>
      </c>
      <c r="L582" s="3">
        <v>0</v>
      </c>
      <c r="M582" s="3">
        <v>0</v>
      </c>
      <c r="N582" s="3">
        <v>0</v>
      </c>
      <c r="O582" s="3">
        <v>0</v>
      </c>
    </row>
    <row r="583" spans="1:17" ht="22.5" customHeight="1" x14ac:dyDescent="0.25">
      <c r="A583" s="105"/>
      <c r="B583" s="134"/>
      <c r="C583" s="58" t="s">
        <v>12</v>
      </c>
      <c r="D583" s="1">
        <f t="shared" si="242"/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</row>
    <row r="584" spans="1:17" ht="22.5" customHeight="1" x14ac:dyDescent="0.25">
      <c r="A584" s="105"/>
      <c r="B584" s="134"/>
      <c r="C584" s="58" t="s">
        <v>13</v>
      </c>
      <c r="D584" s="1">
        <f t="shared" si="242"/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</row>
    <row r="585" spans="1:17" ht="23.25" customHeight="1" x14ac:dyDescent="0.25">
      <c r="A585" s="104" t="s">
        <v>206</v>
      </c>
      <c r="B585" s="129" t="s">
        <v>228</v>
      </c>
      <c r="C585" s="58" t="s">
        <v>7</v>
      </c>
      <c r="D585" s="1">
        <f t="shared" si="242"/>
        <v>62441</v>
      </c>
      <c r="E585" s="3">
        <f t="shared" ref="E585:K585" si="248">SUM(E586:E589)</f>
        <v>62441</v>
      </c>
      <c r="F585" s="3">
        <f t="shared" si="248"/>
        <v>0</v>
      </c>
      <c r="G585" s="3">
        <f t="shared" si="248"/>
        <v>0</v>
      </c>
      <c r="H585" s="3">
        <f t="shared" si="248"/>
        <v>0</v>
      </c>
      <c r="I585" s="3">
        <f t="shared" si="248"/>
        <v>0</v>
      </c>
      <c r="J585" s="3">
        <f t="shared" si="248"/>
        <v>0</v>
      </c>
      <c r="K585" s="3">
        <f t="shared" si="248"/>
        <v>0</v>
      </c>
      <c r="L585" s="3">
        <f>SUM(L586:L589)</f>
        <v>0</v>
      </c>
      <c r="M585" s="3">
        <f>SUM(M586:M589)</f>
        <v>0</v>
      </c>
      <c r="N585" s="3">
        <f>SUM(N586:N589)</f>
        <v>0</v>
      </c>
      <c r="O585" s="3">
        <f>SUM(O586:O589)</f>
        <v>0</v>
      </c>
    </row>
    <row r="586" spans="1:17" ht="23.25" customHeight="1" x14ac:dyDescent="0.25">
      <c r="A586" s="105"/>
      <c r="B586" s="129"/>
      <c r="C586" s="58" t="s">
        <v>10</v>
      </c>
      <c r="D586" s="1">
        <f t="shared" si="242"/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</row>
    <row r="587" spans="1:17" ht="23.25" customHeight="1" x14ac:dyDescent="0.25">
      <c r="A587" s="105"/>
      <c r="B587" s="129"/>
      <c r="C587" s="58" t="s">
        <v>11</v>
      </c>
      <c r="D587" s="1">
        <f t="shared" si="242"/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  <c r="O587" s="3">
        <v>0</v>
      </c>
    </row>
    <row r="588" spans="1:17" ht="23.25" customHeight="1" x14ac:dyDescent="0.25">
      <c r="A588" s="105"/>
      <c r="B588" s="129"/>
      <c r="C588" s="58" t="s">
        <v>12</v>
      </c>
      <c r="D588" s="1">
        <f t="shared" si="242"/>
        <v>62441</v>
      </c>
      <c r="E588" s="3">
        <v>62441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  <c r="O588" s="3">
        <v>0</v>
      </c>
    </row>
    <row r="589" spans="1:17" ht="23.25" customHeight="1" x14ac:dyDescent="0.25">
      <c r="A589" s="105"/>
      <c r="B589" s="129"/>
      <c r="C589" s="58" t="s">
        <v>13</v>
      </c>
      <c r="D589" s="1">
        <f t="shared" si="242"/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0</v>
      </c>
    </row>
    <row r="590" spans="1:17" ht="24.75" customHeight="1" x14ac:dyDescent="0.25">
      <c r="A590" s="104" t="s">
        <v>207</v>
      </c>
      <c r="B590" s="129" t="s">
        <v>374</v>
      </c>
      <c r="C590" s="58" t="s">
        <v>7</v>
      </c>
      <c r="D590" s="1">
        <f>E590+F590+G590+H590+I590+J590+K590+L590+M590+N590+O590</f>
        <v>733456.7</v>
      </c>
      <c r="E590" s="3">
        <f t="shared" ref="E590:O590" si="249">SUM(E591:E594)</f>
        <v>1932.4</v>
      </c>
      <c r="F590" s="3">
        <f t="shared" si="249"/>
        <v>76373.399999999994</v>
      </c>
      <c r="G590" s="3">
        <f t="shared" si="249"/>
        <v>73973.399999999994</v>
      </c>
      <c r="H590" s="3">
        <f t="shared" si="249"/>
        <v>75506</v>
      </c>
      <c r="I590" s="3">
        <f t="shared" si="249"/>
        <v>14907.4</v>
      </c>
      <c r="J590" s="3">
        <f t="shared" si="249"/>
        <v>34818.300000000003</v>
      </c>
      <c r="K590" s="3">
        <f t="shared" si="249"/>
        <v>103745.79999999999</v>
      </c>
      <c r="L590" s="3">
        <f t="shared" si="249"/>
        <v>72098</v>
      </c>
      <c r="M590" s="3">
        <f t="shared" si="249"/>
        <v>68051.799999999988</v>
      </c>
      <c r="N590" s="3">
        <f t="shared" si="249"/>
        <v>70669.899999999994</v>
      </c>
      <c r="O590" s="3">
        <f t="shared" si="249"/>
        <v>141380.29999999999</v>
      </c>
    </row>
    <row r="591" spans="1:17" ht="24.75" customHeight="1" x14ac:dyDescent="0.25">
      <c r="A591" s="105"/>
      <c r="B591" s="129"/>
      <c r="C591" s="58" t="s">
        <v>10</v>
      </c>
      <c r="D591" s="1">
        <f t="shared" si="242"/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</row>
    <row r="592" spans="1:17" ht="24.75" customHeight="1" x14ac:dyDescent="0.25">
      <c r="A592" s="105"/>
      <c r="B592" s="129"/>
      <c r="C592" s="58" t="s">
        <v>11</v>
      </c>
      <c r="D592" s="1">
        <f t="shared" si="242"/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</row>
    <row r="593" spans="1:26" ht="24.75" customHeight="1" x14ac:dyDescent="0.25">
      <c r="A593" s="105"/>
      <c r="B593" s="129"/>
      <c r="C593" s="58" t="s">
        <v>12</v>
      </c>
      <c r="D593" s="1">
        <f t="shared" si="242"/>
        <v>733456.7</v>
      </c>
      <c r="E593" s="3">
        <v>1932.4</v>
      </c>
      <c r="F593" s="3">
        <v>76373.399999999994</v>
      </c>
      <c r="G593" s="3">
        <v>73973.399999999994</v>
      </c>
      <c r="H593" s="3">
        <v>75506</v>
      </c>
      <c r="I593" s="3">
        <f>21398.5-6491.1</f>
        <v>14907.4</v>
      </c>
      <c r="J593" s="3">
        <f>42143.1-20000+4043.7+8631.5</f>
        <v>34818.300000000003</v>
      </c>
      <c r="K593" s="3">
        <f>62603+5000+2210.9+4495+16930+12506.9</f>
        <v>103745.79999999999</v>
      </c>
      <c r="L593" s="3">
        <v>72098</v>
      </c>
      <c r="M593" s="3">
        <f>74981.9-6930.1</f>
        <v>68051.799999999988</v>
      </c>
      <c r="N593" s="3">
        <f>77981.2-7311.3</f>
        <v>70669.899999999994</v>
      </c>
      <c r="O593" s="3">
        <v>141380.29999999999</v>
      </c>
    </row>
    <row r="594" spans="1:26" ht="44.25" customHeight="1" x14ac:dyDescent="0.25">
      <c r="A594" s="105"/>
      <c r="B594" s="129"/>
      <c r="C594" s="58" t="s">
        <v>13</v>
      </c>
      <c r="D594" s="1">
        <f t="shared" si="242"/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</row>
    <row r="595" spans="1:26" ht="33" customHeight="1" x14ac:dyDescent="0.25">
      <c r="A595" s="104" t="s">
        <v>231</v>
      </c>
      <c r="B595" s="129" t="s">
        <v>361</v>
      </c>
      <c r="C595" s="58" t="s">
        <v>7</v>
      </c>
      <c r="D595" s="1">
        <f>E595+F595+G595+H595+I595+J595+K595+L595+M595+N595+O595</f>
        <v>91947.5</v>
      </c>
      <c r="E595" s="3">
        <f t="shared" ref="E595:O595" si="250">SUM(E596:E599)</f>
        <v>0</v>
      </c>
      <c r="F595" s="3">
        <f t="shared" si="250"/>
        <v>0</v>
      </c>
      <c r="G595" s="3">
        <f t="shared" si="250"/>
        <v>0</v>
      </c>
      <c r="H595" s="3">
        <f t="shared" si="250"/>
        <v>0</v>
      </c>
      <c r="I595" s="3">
        <f>SUM(I596:I599)</f>
        <v>60576.7</v>
      </c>
      <c r="J595" s="3">
        <f t="shared" si="250"/>
        <v>31370.799999999996</v>
      </c>
      <c r="K595" s="3">
        <f t="shared" si="250"/>
        <v>0</v>
      </c>
      <c r="L595" s="3">
        <f t="shared" si="250"/>
        <v>0</v>
      </c>
      <c r="M595" s="3">
        <f t="shared" si="250"/>
        <v>0</v>
      </c>
      <c r="N595" s="3">
        <f t="shared" si="250"/>
        <v>0</v>
      </c>
      <c r="O595" s="3">
        <f t="shared" si="250"/>
        <v>0</v>
      </c>
    </row>
    <row r="596" spans="1:26" ht="33" customHeight="1" x14ac:dyDescent="0.25">
      <c r="A596" s="105"/>
      <c r="B596" s="129"/>
      <c r="C596" s="58" t="s">
        <v>10</v>
      </c>
      <c r="D596" s="1">
        <f t="shared" si="242"/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  <c r="O596" s="3">
        <v>0</v>
      </c>
    </row>
    <row r="597" spans="1:26" ht="33" customHeight="1" x14ac:dyDescent="0.25">
      <c r="A597" s="105"/>
      <c r="B597" s="129"/>
      <c r="C597" s="58" t="s">
        <v>11</v>
      </c>
      <c r="D597" s="1">
        <f t="shared" si="242"/>
        <v>91947.5</v>
      </c>
      <c r="E597" s="3">
        <v>0</v>
      </c>
      <c r="F597" s="3">
        <v>0</v>
      </c>
      <c r="G597" s="3">
        <v>0</v>
      </c>
      <c r="H597" s="3">
        <v>0</v>
      </c>
      <c r="I597" s="3">
        <v>60576.7</v>
      </c>
      <c r="J597" s="3">
        <f>73513.9-42143.1</f>
        <v>31370.799999999996</v>
      </c>
      <c r="K597" s="3">
        <v>0</v>
      </c>
      <c r="L597" s="3">
        <v>0</v>
      </c>
      <c r="M597" s="3">
        <v>0</v>
      </c>
      <c r="N597" s="3">
        <v>0</v>
      </c>
      <c r="O597" s="3">
        <v>0</v>
      </c>
    </row>
    <row r="598" spans="1:26" ht="33" customHeight="1" x14ac:dyDescent="0.25">
      <c r="A598" s="105"/>
      <c r="B598" s="129"/>
      <c r="C598" s="58" t="s">
        <v>12</v>
      </c>
      <c r="D598" s="1">
        <f t="shared" si="242"/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</row>
    <row r="599" spans="1:26" ht="33" customHeight="1" x14ac:dyDescent="0.25">
      <c r="A599" s="105"/>
      <c r="B599" s="129"/>
      <c r="C599" s="58" t="s">
        <v>13</v>
      </c>
      <c r="D599" s="1">
        <f t="shared" si="242"/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</row>
    <row r="600" spans="1:26" ht="17.25" customHeight="1" x14ac:dyDescent="0.25">
      <c r="A600" s="104" t="s">
        <v>266</v>
      </c>
      <c r="B600" s="130" t="s">
        <v>53</v>
      </c>
      <c r="C600" s="58" t="s">
        <v>7</v>
      </c>
      <c r="D600" s="1">
        <f t="shared" si="242"/>
        <v>235486.462</v>
      </c>
      <c r="E600" s="3">
        <f>E603+E602+E601+E605</f>
        <v>19291.8</v>
      </c>
      <c r="F600" s="3">
        <f t="shared" ref="F600:K600" si="251">SUM(F601:F605)</f>
        <v>23807.200000000001</v>
      </c>
      <c r="G600" s="3">
        <f t="shared" si="251"/>
        <v>28234.6</v>
      </c>
      <c r="H600" s="3">
        <f t="shared" si="251"/>
        <v>22369.4</v>
      </c>
      <c r="I600" s="3">
        <f t="shared" si="251"/>
        <v>22792.7</v>
      </c>
      <c r="J600" s="3">
        <f t="shared" si="251"/>
        <v>25918.3</v>
      </c>
      <c r="K600" s="3">
        <f t="shared" si="251"/>
        <v>42433.862000000001</v>
      </c>
      <c r="L600" s="3">
        <f>SUM(L601:L605)</f>
        <v>12252.7</v>
      </c>
      <c r="M600" s="3">
        <f>SUM(M601:M605)</f>
        <v>205.89999999999964</v>
      </c>
      <c r="N600" s="3">
        <f>SUM(N601:N605)</f>
        <v>9522.1</v>
      </c>
      <c r="O600" s="3">
        <f>SUM(O601:O605)</f>
        <v>28657.9</v>
      </c>
    </row>
    <row r="601" spans="1:26" ht="15.6" x14ac:dyDescent="0.25">
      <c r="A601" s="104"/>
      <c r="B601" s="145"/>
      <c r="C601" s="58" t="s">
        <v>10</v>
      </c>
      <c r="D601" s="1">
        <f t="shared" si="242"/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</row>
    <row r="602" spans="1:26" ht="15.6" x14ac:dyDescent="0.25">
      <c r="A602" s="104"/>
      <c r="B602" s="145"/>
      <c r="C602" s="58" t="s">
        <v>11</v>
      </c>
      <c r="D602" s="1">
        <f t="shared" si="242"/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</row>
    <row r="603" spans="1:26" ht="15.6" x14ac:dyDescent="0.25">
      <c r="A603" s="104"/>
      <c r="B603" s="145"/>
      <c r="C603" s="58" t="s">
        <v>12</v>
      </c>
      <c r="D603" s="1">
        <f t="shared" si="242"/>
        <v>235486.462</v>
      </c>
      <c r="E603" s="3">
        <v>19291.8</v>
      </c>
      <c r="F603" s="3">
        <v>23807.200000000001</v>
      </c>
      <c r="G603" s="3">
        <v>28234.6</v>
      </c>
      <c r="H603" s="3">
        <v>22369.4</v>
      </c>
      <c r="I603" s="3">
        <v>22792.7</v>
      </c>
      <c r="J603" s="3">
        <f>18632.6-10699.7+10699.7+882.9+4000+4000-1000-597.2</f>
        <v>25918.3</v>
      </c>
      <c r="K603" s="3">
        <f>11060+1000+77+720.212+320+757+1740.4+2283.7+17440.1-2283.7-17440.1+5201.8-555.089+0.089+15000+9149.5+77-1950-71.45-90-74+71.4</f>
        <v>42433.862000000001</v>
      </c>
      <c r="L603" s="3">
        <f>8936.4+3316.3</f>
        <v>12252.7</v>
      </c>
      <c r="M603" s="3">
        <f>9475.8-9269.9</f>
        <v>205.89999999999964</v>
      </c>
      <c r="N603" s="3">
        <v>9522.1</v>
      </c>
      <c r="O603" s="3">
        <v>28657.9</v>
      </c>
      <c r="X603" s="62"/>
      <c r="Z603" s="62"/>
    </row>
    <row r="604" spans="1:26" ht="31.5" customHeight="1" x14ac:dyDescent="0.25">
      <c r="A604" s="104"/>
      <c r="B604" s="145"/>
      <c r="C604" s="75" t="s">
        <v>79</v>
      </c>
      <c r="D604" s="72">
        <f t="shared" si="242"/>
        <v>1874.1</v>
      </c>
      <c r="E604" s="86">
        <v>1874.1</v>
      </c>
      <c r="F604" s="86">
        <v>0</v>
      </c>
      <c r="G604" s="86">
        <v>0</v>
      </c>
      <c r="H604" s="86">
        <v>0</v>
      </c>
      <c r="I604" s="86">
        <v>0</v>
      </c>
      <c r="J604" s="86">
        <v>0</v>
      </c>
      <c r="K604" s="86">
        <v>0</v>
      </c>
      <c r="L604" s="86">
        <v>0</v>
      </c>
      <c r="M604" s="86">
        <v>0</v>
      </c>
      <c r="N604" s="86">
        <v>0</v>
      </c>
      <c r="O604" s="86">
        <v>0</v>
      </c>
    </row>
    <row r="605" spans="1:26" ht="15.6" x14ac:dyDescent="0.25">
      <c r="A605" s="104"/>
      <c r="B605" s="146"/>
      <c r="C605" s="58" t="s">
        <v>13</v>
      </c>
      <c r="D605" s="1">
        <f t="shared" si="242"/>
        <v>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  <c r="N605" s="3">
        <v>0</v>
      </c>
      <c r="O605" s="3">
        <v>0</v>
      </c>
    </row>
    <row r="606" spans="1:26" ht="21" customHeight="1" x14ac:dyDescent="0.25">
      <c r="A606" s="104" t="s">
        <v>267</v>
      </c>
      <c r="B606" s="129" t="s">
        <v>250</v>
      </c>
      <c r="C606" s="58" t="s">
        <v>7</v>
      </c>
      <c r="D606" s="1">
        <f t="shared" si="242"/>
        <v>185683.09999999998</v>
      </c>
      <c r="E606" s="3">
        <f t="shared" ref="E606:O606" si="252">E607+E608+E609+E611</f>
        <v>28675.9</v>
      </c>
      <c r="F606" s="3">
        <f t="shared" si="252"/>
        <v>35910.699999999997</v>
      </c>
      <c r="G606" s="3">
        <f t="shared" si="252"/>
        <v>6899.6</v>
      </c>
      <c r="H606" s="3">
        <f t="shared" si="252"/>
        <v>8413.2000000000007</v>
      </c>
      <c r="I606" s="3">
        <f t="shared" si="252"/>
        <v>18601.100000000002</v>
      </c>
      <c r="J606" s="3">
        <f t="shared" si="252"/>
        <v>9981.3000000000011</v>
      </c>
      <c r="K606" s="3">
        <f t="shared" si="252"/>
        <v>18751</v>
      </c>
      <c r="L606" s="3">
        <f t="shared" si="252"/>
        <v>18200</v>
      </c>
      <c r="M606" s="3">
        <f t="shared" si="252"/>
        <v>12594.4</v>
      </c>
      <c r="N606" s="3">
        <f t="shared" si="252"/>
        <v>12655.9</v>
      </c>
      <c r="O606" s="3">
        <f t="shared" si="252"/>
        <v>15000</v>
      </c>
    </row>
    <row r="607" spans="1:26" ht="21" customHeight="1" x14ac:dyDescent="0.25">
      <c r="A607" s="104"/>
      <c r="B607" s="134"/>
      <c r="C607" s="58" t="s">
        <v>10</v>
      </c>
      <c r="D607" s="1">
        <f t="shared" si="242"/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</row>
    <row r="608" spans="1:26" ht="21" customHeight="1" x14ac:dyDescent="0.25">
      <c r="A608" s="104"/>
      <c r="B608" s="134"/>
      <c r="C608" s="58" t="s">
        <v>11</v>
      </c>
      <c r="D608" s="1">
        <f t="shared" si="242"/>
        <v>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  <c r="O608" s="3">
        <v>0</v>
      </c>
    </row>
    <row r="609" spans="1:19" ht="33" customHeight="1" x14ac:dyDescent="0.25">
      <c r="A609" s="104"/>
      <c r="B609" s="134"/>
      <c r="C609" s="58" t="s">
        <v>65</v>
      </c>
      <c r="D609" s="1">
        <f t="shared" si="242"/>
        <v>185683.09999999998</v>
      </c>
      <c r="E609" s="3">
        <f>E610</f>
        <v>28675.9</v>
      </c>
      <c r="F609" s="3">
        <v>35910.699999999997</v>
      </c>
      <c r="G609" s="3">
        <v>6899.6</v>
      </c>
      <c r="H609" s="3">
        <v>8413.2000000000007</v>
      </c>
      <c r="I609" s="3">
        <f>20814-605.6-1607.3</f>
        <v>18601.100000000002</v>
      </c>
      <c r="J609" s="3">
        <f>15000+5950-3250+1905.9-9574.5+50-100.2+0.1</f>
        <v>9981.3000000000011</v>
      </c>
      <c r="K609" s="3">
        <f>20300-1400-149+18659.2-6396.3-12262.8-0.1</f>
        <v>18751</v>
      </c>
      <c r="L609" s="3">
        <f>21000-700*4</f>
        <v>18200</v>
      </c>
      <c r="M609" s="3">
        <v>12594.4</v>
      </c>
      <c r="N609" s="3">
        <v>12655.9</v>
      </c>
      <c r="O609" s="3">
        <v>15000</v>
      </c>
    </row>
    <row r="610" spans="1:19" ht="30.75" customHeight="1" x14ac:dyDescent="0.25">
      <c r="A610" s="104"/>
      <c r="B610" s="134"/>
      <c r="C610" s="74" t="s">
        <v>79</v>
      </c>
      <c r="D610" s="72">
        <f t="shared" si="242"/>
        <v>57175.9</v>
      </c>
      <c r="E610" s="86">
        <v>28675.9</v>
      </c>
      <c r="F610" s="86">
        <v>28500</v>
      </c>
      <c r="G610" s="86">
        <v>0</v>
      </c>
      <c r="H610" s="86">
        <v>0</v>
      </c>
      <c r="I610" s="86">
        <v>0</v>
      </c>
      <c r="J610" s="86">
        <v>0</v>
      </c>
      <c r="K610" s="86">
        <v>0</v>
      </c>
      <c r="L610" s="86">
        <v>0</v>
      </c>
      <c r="M610" s="86">
        <v>0</v>
      </c>
      <c r="N610" s="86">
        <v>0</v>
      </c>
      <c r="O610" s="86">
        <v>0</v>
      </c>
    </row>
    <row r="611" spans="1:19" ht="21" customHeight="1" x14ac:dyDescent="0.25">
      <c r="A611" s="104"/>
      <c r="B611" s="134"/>
      <c r="C611" s="58" t="s">
        <v>13</v>
      </c>
      <c r="D611" s="1">
        <f t="shared" si="242"/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  <c r="O611" s="3">
        <v>0</v>
      </c>
    </row>
    <row r="612" spans="1:19" ht="15.6" x14ac:dyDescent="0.25">
      <c r="A612" s="104" t="s">
        <v>268</v>
      </c>
      <c r="B612" s="104" t="s">
        <v>242</v>
      </c>
      <c r="C612" s="82" t="s">
        <v>7</v>
      </c>
      <c r="D612" s="1">
        <f t="shared" si="242"/>
        <v>951</v>
      </c>
      <c r="E612" s="3">
        <f>E613+E614+E615+E616</f>
        <v>0</v>
      </c>
      <c r="F612" s="3">
        <f t="shared" ref="F612:K612" si="253">F613+F614+F615+F616</f>
        <v>0</v>
      </c>
      <c r="G612" s="3">
        <f t="shared" si="253"/>
        <v>347.6</v>
      </c>
      <c r="H612" s="3">
        <f t="shared" si="253"/>
        <v>589.4</v>
      </c>
      <c r="I612" s="3">
        <f t="shared" si="253"/>
        <v>14</v>
      </c>
      <c r="J612" s="3">
        <f t="shared" si="253"/>
        <v>0</v>
      </c>
      <c r="K612" s="3">
        <f t="shared" si="253"/>
        <v>0</v>
      </c>
      <c r="L612" s="3">
        <f>L613+L614+L615+L616</f>
        <v>0</v>
      </c>
      <c r="M612" s="3">
        <f>M613+M614+M615+M616</f>
        <v>0</v>
      </c>
      <c r="N612" s="3">
        <f>N613+N614+N615+N616</f>
        <v>0</v>
      </c>
      <c r="O612" s="3">
        <f>O613+O614+O615+O616</f>
        <v>0</v>
      </c>
    </row>
    <row r="613" spans="1:19" ht="15.6" x14ac:dyDescent="0.25">
      <c r="A613" s="104"/>
      <c r="B613" s="104"/>
      <c r="C613" s="58" t="s">
        <v>10</v>
      </c>
      <c r="D613" s="1">
        <f t="shared" si="242"/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</row>
    <row r="614" spans="1:19" ht="15.6" x14ac:dyDescent="0.25">
      <c r="A614" s="104"/>
      <c r="B614" s="104"/>
      <c r="C614" s="58" t="s">
        <v>11</v>
      </c>
      <c r="D614" s="1">
        <f t="shared" si="242"/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19" ht="15.6" x14ac:dyDescent="0.25">
      <c r="A615" s="104"/>
      <c r="B615" s="104"/>
      <c r="C615" s="58" t="s">
        <v>12</v>
      </c>
      <c r="D615" s="1">
        <f t="shared" si="242"/>
        <v>951</v>
      </c>
      <c r="E615" s="3">
        <v>0</v>
      </c>
      <c r="F615" s="3">
        <v>0</v>
      </c>
      <c r="G615" s="3">
        <v>347.6</v>
      </c>
      <c r="H615" s="3">
        <v>589.4</v>
      </c>
      <c r="I615" s="3">
        <v>14</v>
      </c>
      <c r="J615" s="3">
        <v>0</v>
      </c>
      <c r="K615" s="3">
        <v>0</v>
      </c>
      <c r="L615" s="3">
        <v>0</v>
      </c>
      <c r="M615" s="3">
        <v>0</v>
      </c>
      <c r="N615" s="3">
        <v>0</v>
      </c>
      <c r="O615" s="3">
        <v>0</v>
      </c>
    </row>
    <row r="616" spans="1:19" ht="18" customHeight="1" x14ac:dyDescent="0.25">
      <c r="A616" s="104"/>
      <c r="B616" s="104"/>
      <c r="C616" s="58" t="s">
        <v>13</v>
      </c>
      <c r="D616" s="1">
        <f t="shared" si="242"/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  <c r="O616" s="3">
        <v>0</v>
      </c>
    </row>
    <row r="617" spans="1:19" ht="15.6" x14ac:dyDescent="0.25">
      <c r="A617" s="104" t="s">
        <v>307</v>
      </c>
      <c r="B617" s="104" t="s">
        <v>308</v>
      </c>
      <c r="C617" s="82" t="s">
        <v>7</v>
      </c>
      <c r="D617" s="1">
        <f t="shared" ref="D617:D646" si="254">E617+F617+G617+H617+I617+J617+K617+L617+M617+N617+O617</f>
        <v>5870</v>
      </c>
      <c r="E617" s="3">
        <f>E618+E619+E620+E621</f>
        <v>0</v>
      </c>
      <c r="F617" s="3">
        <f t="shared" ref="F617:O617" si="255">F618+F619+F620+F621</f>
        <v>0</v>
      </c>
      <c r="G617" s="3">
        <f t="shared" si="255"/>
        <v>0</v>
      </c>
      <c r="H617" s="3">
        <f t="shared" si="255"/>
        <v>0</v>
      </c>
      <c r="I617" s="3">
        <f>I618+I619+I620+I621</f>
        <v>3397.4</v>
      </c>
      <c r="J617" s="3">
        <f t="shared" si="255"/>
        <v>2472.6</v>
      </c>
      <c r="K617" s="3">
        <f t="shared" si="255"/>
        <v>0</v>
      </c>
      <c r="L617" s="3">
        <f t="shared" si="255"/>
        <v>0</v>
      </c>
      <c r="M617" s="3">
        <f t="shared" si="255"/>
        <v>0</v>
      </c>
      <c r="N617" s="3">
        <f t="shared" si="255"/>
        <v>0</v>
      </c>
      <c r="O617" s="3">
        <f t="shared" si="255"/>
        <v>0</v>
      </c>
      <c r="P617" s="60">
        <v>3397.4</v>
      </c>
      <c r="Q617" s="69">
        <f>I617-P617</f>
        <v>0</v>
      </c>
      <c r="S617" s="79"/>
    </row>
    <row r="618" spans="1:19" ht="15.6" x14ac:dyDescent="0.25">
      <c r="A618" s="104"/>
      <c r="B618" s="104"/>
      <c r="C618" s="58" t="s">
        <v>10</v>
      </c>
      <c r="D618" s="1">
        <f t="shared" si="254"/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</row>
    <row r="619" spans="1:19" ht="15.6" x14ac:dyDescent="0.25">
      <c r="A619" s="104"/>
      <c r="B619" s="104"/>
      <c r="C619" s="58" t="s">
        <v>11</v>
      </c>
      <c r="D619" s="1">
        <f t="shared" si="254"/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  <c r="O619" s="3">
        <v>0</v>
      </c>
    </row>
    <row r="620" spans="1:19" ht="15.6" x14ac:dyDescent="0.25">
      <c r="A620" s="104"/>
      <c r="B620" s="104"/>
      <c r="C620" s="58" t="s">
        <v>12</v>
      </c>
      <c r="D620" s="1">
        <f t="shared" si="254"/>
        <v>5870</v>
      </c>
      <c r="E620" s="3">
        <v>0</v>
      </c>
      <c r="F620" s="3">
        <v>0</v>
      </c>
      <c r="G620" s="3">
        <v>0</v>
      </c>
      <c r="H620" s="3">
        <v>0</v>
      </c>
      <c r="I620" s="3">
        <v>3397.4</v>
      </c>
      <c r="J620" s="3">
        <f>3250-648.3-129.1</f>
        <v>2472.6</v>
      </c>
      <c r="K620" s="3">
        <f>5000-5000</f>
        <v>0</v>
      </c>
      <c r="L620" s="3">
        <v>0</v>
      </c>
      <c r="M620" s="3">
        <v>0</v>
      </c>
      <c r="N620" s="3">
        <v>0</v>
      </c>
      <c r="O620" s="3">
        <v>0</v>
      </c>
    </row>
    <row r="621" spans="1:19" ht="15.6" x14ac:dyDescent="0.25">
      <c r="A621" s="104"/>
      <c r="B621" s="104"/>
      <c r="C621" s="58" t="s">
        <v>13</v>
      </c>
      <c r="D621" s="1">
        <f t="shared" si="254"/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0</v>
      </c>
    </row>
    <row r="622" spans="1:19" ht="15.6" x14ac:dyDescent="0.25">
      <c r="A622" s="104" t="s">
        <v>386</v>
      </c>
      <c r="B622" s="104" t="s">
        <v>387</v>
      </c>
      <c r="C622" s="82" t="s">
        <v>7</v>
      </c>
      <c r="D622" s="1">
        <f t="shared" si="254"/>
        <v>2709.3</v>
      </c>
      <c r="E622" s="3">
        <f>E623+E624+E625+E626</f>
        <v>0</v>
      </c>
      <c r="F622" s="3">
        <f t="shared" ref="F622:O622" si="256">F623+F624+F625+F626</f>
        <v>0</v>
      </c>
      <c r="G622" s="3">
        <f t="shared" si="256"/>
        <v>0</v>
      </c>
      <c r="H622" s="3">
        <f t="shared" si="256"/>
        <v>0</v>
      </c>
      <c r="I622" s="3">
        <f>I623+I624+I625+I626</f>
        <v>0</v>
      </c>
      <c r="J622" s="3">
        <f t="shared" si="256"/>
        <v>0</v>
      </c>
      <c r="K622" s="3">
        <f t="shared" si="256"/>
        <v>1215.9000000000001</v>
      </c>
      <c r="L622" s="97">
        <f t="shared" si="256"/>
        <v>1493.4</v>
      </c>
      <c r="M622" s="3">
        <f t="shared" si="256"/>
        <v>0</v>
      </c>
      <c r="N622" s="3">
        <f t="shared" si="256"/>
        <v>0</v>
      </c>
      <c r="O622" s="3">
        <f t="shared" si="256"/>
        <v>0</v>
      </c>
    </row>
    <row r="623" spans="1:19" ht="15.6" x14ac:dyDescent="0.25">
      <c r="A623" s="104"/>
      <c r="B623" s="104"/>
      <c r="C623" s="58" t="s">
        <v>10</v>
      </c>
      <c r="D623" s="1">
        <f t="shared" si="254"/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  <c r="O623" s="3">
        <v>0</v>
      </c>
    </row>
    <row r="624" spans="1:19" ht="15.6" x14ac:dyDescent="0.25">
      <c r="A624" s="104"/>
      <c r="B624" s="104"/>
      <c r="C624" s="58" t="s">
        <v>11</v>
      </c>
      <c r="D624" s="1">
        <f t="shared" si="254"/>
        <v>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</row>
    <row r="625" spans="1:15" ht="15.6" x14ac:dyDescent="0.25">
      <c r="A625" s="104"/>
      <c r="B625" s="104"/>
      <c r="C625" s="58" t="s">
        <v>12</v>
      </c>
      <c r="D625" s="1">
        <f t="shared" si="254"/>
        <v>2709.3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1215.9000000000001</v>
      </c>
      <c r="L625" s="97">
        <v>1493.4</v>
      </c>
      <c r="M625" s="3">
        <v>0</v>
      </c>
      <c r="N625" s="3">
        <v>0</v>
      </c>
      <c r="O625" s="3">
        <v>0</v>
      </c>
    </row>
    <row r="626" spans="1:15" ht="15.6" x14ac:dyDescent="0.25">
      <c r="A626" s="104"/>
      <c r="B626" s="104"/>
      <c r="C626" s="58" t="s">
        <v>13</v>
      </c>
      <c r="D626" s="1">
        <f t="shared" si="254"/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  <c r="O626" s="3">
        <v>0</v>
      </c>
    </row>
    <row r="627" spans="1:15" ht="15.6" x14ac:dyDescent="0.25">
      <c r="A627" s="104" t="s">
        <v>389</v>
      </c>
      <c r="B627" s="104" t="s">
        <v>407</v>
      </c>
      <c r="C627" s="82" t="s">
        <v>7</v>
      </c>
      <c r="D627" s="1">
        <f t="shared" si="254"/>
        <v>558005</v>
      </c>
      <c r="E627" s="3">
        <f>E628+E629+E630+E631</f>
        <v>0</v>
      </c>
      <c r="F627" s="3">
        <f t="shared" ref="F627:O627" si="257">F628+F629+F630+F631</f>
        <v>0</v>
      </c>
      <c r="G627" s="3">
        <f t="shared" si="257"/>
        <v>0</v>
      </c>
      <c r="H627" s="3">
        <f t="shared" si="257"/>
        <v>0</v>
      </c>
      <c r="I627" s="3">
        <f>I628+I629+I630+I631</f>
        <v>0</v>
      </c>
      <c r="J627" s="3">
        <f t="shared" si="257"/>
        <v>0</v>
      </c>
      <c r="K627" s="3">
        <f t="shared" si="257"/>
        <v>52637.4</v>
      </c>
      <c r="L627" s="3">
        <f t="shared" si="257"/>
        <v>126936.5</v>
      </c>
      <c r="M627" s="3">
        <f t="shared" si="257"/>
        <v>179515.2</v>
      </c>
      <c r="N627" s="3">
        <f t="shared" si="257"/>
        <v>198915.9</v>
      </c>
      <c r="O627" s="3">
        <f t="shared" si="257"/>
        <v>0</v>
      </c>
    </row>
    <row r="628" spans="1:15" ht="15.6" x14ac:dyDescent="0.25">
      <c r="A628" s="104"/>
      <c r="B628" s="104"/>
      <c r="C628" s="58" t="s">
        <v>10</v>
      </c>
      <c r="D628" s="1">
        <f t="shared" si="254"/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5" ht="15.6" x14ac:dyDescent="0.25">
      <c r="A629" s="104"/>
      <c r="B629" s="104"/>
      <c r="C629" s="58" t="s">
        <v>11</v>
      </c>
      <c r="D629" s="1">
        <f t="shared" si="254"/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5" ht="15.6" x14ac:dyDescent="0.25">
      <c r="A630" s="104"/>
      <c r="B630" s="104"/>
      <c r="C630" s="58" t="s">
        <v>12</v>
      </c>
      <c r="D630" s="1">
        <f t="shared" si="254"/>
        <v>558005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f>30000+22637.4+2056-2056</f>
        <v>52637.4</v>
      </c>
      <c r="L630" s="3">
        <v>126936.5</v>
      </c>
      <c r="M630" s="3">
        <v>179515.2</v>
      </c>
      <c r="N630" s="3">
        <v>198915.9</v>
      </c>
      <c r="O630" s="3">
        <v>0</v>
      </c>
    </row>
    <row r="631" spans="1:15" ht="15.6" x14ac:dyDescent="0.25">
      <c r="A631" s="104"/>
      <c r="B631" s="104"/>
      <c r="C631" s="58" t="s">
        <v>13</v>
      </c>
      <c r="D631" s="1">
        <f t="shared" si="254"/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</row>
    <row r="632" spans="1:15" ht="15.6" x14ac:dyDescent="0.25">
      <c r="A632" s="104" t="s">
        <v>392</v>
      </c>
      <c r="B632" s="104" t="s">
        <v>399</v>
      </c>
      <c r="C632" s="82" t="s">
        <v>7</v>
      </c>
      <c r="D632" s="1">
        <f t="shared" ref="D632" si="258">E632+F632+G632+H632+I632+J632+K632+L632+M632+N632+O632</f>
        <v>16218.3</v>
      </c>
      <c r="E632" s="3">
        <f>E633+E634+E635+E636</f>
        <v>0</v>
      </c>
      <c r="F632" s="3">
        <f t="shared" ref="F632:O632" si="259">F633+F634+F635+F636</f>
        <v>0</v>
      </c>
      <c r="G632" s="3">
        <f t="shared" si="259"/>
        <v>0</v>
      </c>
      <c r="H632" s="3">
        <f t="shared" si="259"/>
        <v>0</v>
      </c>
      <c r="I632" s="3">
        <f>I633+I634+I635+I636</f>
        <v>0</v>
      </c>
      <c r="J632" s="3">
        <f t="shared" si="259"/>
        <v>0</v>
      </c>
      <c r="K632" s="3">
        <f t="shared" si="259"/>
        <v>12262.8</v>
      </c>
      <c r="L632" s="3">
        <f t="shared" si="259"/>
        <v>3955.5</v>
      </c>
      <c r="M632" s="3">
        <f t="shared" si="259"/>
        <v>0</v>
      </c>
      <c r="N632" s="3">
        <f t="shared" si="259"/>
        <v>0</v>
      </c>
      <c r="O632" s="3">
        <f t="shared" si="259"/>
        <v>0</v>
      </c>
    </row>
    <row r="633" spans="1:15" ht="15.6" x14ac:dyDescent="0.25">
      <c r="A633" s="104"/>
      <c r="B633" s="104"/>
      <c r="C633" s="58" t="s">
        <v>10</v>
      </c>
      <c r="D633" s="1">
        <f t="shared" si="254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5" ht="15.6" x14ac:dyDescent="0.25">
      <c r="A634" s="104"/>
      <c r="B634" s="104"/>
      <c r="C634" s="58" t="s">
        <v>11</v>
      </c>
      <c r="D634" s="1">
        <f>E634+F634+G634+H634+I634+J634+K634+L634+M634+N634+O634</f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</row>
    <row r="635" spans="1:15" ht="15.6" x14ac:dyDescent="0.25">
      <c r="A635" s="104"/>
      <c r="B635" s="104"/>
      <c r="C635" s="58" t="s">
        <v>12</v>
      </c>
      <c r="D635" s="1">
        <f t="shared" si="254"/>
        <v>16218.3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12262.8</v>
      </c>
      <c r="L635" s="3">
        <v>3955.5</v>
      </c>
      <c r="M635" s="3">
        <v>0</v>
      </c>
      <c r="N635" s="3">
        <v>0</v>
      </c>
      <c r="O635" s="3">
        <v>0</v>
      </c>
    </row>
    <row r="636" spans="1:15" ht="15.6" x14ac:dyDescent="0.25">
      <c r="A636" s="104"/>
      <c r="B636" s="104"/>
      <c r="C636" s="58" t="s">
        <v>13</v>
      </c>
      <c r="D636" s="1">
        <f t="shared" si="254"/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0</v>
      </c>
    </row>
    <row r="637" spans="1:15" ht="15.75" customHeight="1" x14ac:dyDescent="0.25">
      <c r="A637" s="104" t="s">
        <v>393</v>
      </c>
      <c r="B637" s="104" t="s">
        <v>428</v>
      </c>
      <c r="C637" s="82" t="s">
        <v>7</v>
      </c>
      <c r="D637" s="1">
        <f t="shared" si="254"/>
        <v>5036.8999999999996</v>
      </c>
      <c r="E637" s="3">
        <f>E638+E639+E640+E641</f>
        <v>0</v>
      </c>
      <c r="F637" s="3">
        <f t="shared" ref="F637:O637" si="260">F638+F639+F640+F641</f>
        <v>0</v>
      </c>
      <c r="G637" s="3">
        <f t="shared" si="260"/>
        <v>0</v>
      </c>
      <c r="H637" s="3">
        <f t="shared" si="260"/>
        <v>0</v>
      </c>
      <c r="I637" s="3">
        <f>I638+I639+I640+I641</f>
        <v>0</v>
      </c>
      <c r="J637" s="3">
        <f t="shared" si="260"/>
        <v>0</v>
      </c>
      <c r="K637" s="3">
        <f t="shared" si="260"/>
        <v>2738.4</v>
      </c>
      <c r="L637" s="3">
        <f t="shared" si="260"/>
        <v>735.3</v>
      </c>
      <c r="M637" s="3">
        <f t="shared" si="260"/>
        <v>779.7</v>
      </c>
      <c r="N637" s="3">
        <f t="shared" si="260"/>
        <v>783.5</v>
      </c>
      <c r="O637" s="3">
        <f t="shared" si="260"/>
        <v>0</v>
      </c>
    </row>
    <row r="638" spans="1:15" ht="15.6" x14ac:dyDescent="0.25">
      <c r="A638" s="104"/>
      <c r="B638" s="104"/>
      <c r="C638" s="58" t="s">
        <v>10</v>
      </c>
      <c r="D638" s="1">
        <f t="shared" si="254"/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5" ht="15.6" x14ac:dyDescent="0.25">
      <c r="A639" s="104"/>
      <c r="B639" s="104"/>
      <c r="C639" s="58" t="s">
        <v>11</v>
      </c>
      <c r="D639" s="1">
        <f>E639+F639+G639+H639+I639+J639+K639+L639+M639+N639+O639</f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5" ht="15.6" x14ac:dyDescent="0.25">
      <c r="A640" s="104"/>
      <c r="B640" s="104"/>
      <c r="C640" s="58" t="s">
        <v>12</v>
      </c>
      <c r="D640" s="1">
        <f t="shared" si="254"/>
        <v>5036.8999999999996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f>5000-2261.6-2056+2056</f>
        <v>2738.4</v>
      </c>
      <c r="L640" s="3">
        <f>735.3</f>
        <v>735.3</v>
      </c>
      <c r="M640" s="3">
        <f>779.7</f>
        <v>779.7</v>
      </c>
      <c r="N640" s="3">
        <f>783.5</f>
        <v>783.5</v>
      </c>
      <c r="O640" s="3">
        <v>0</v>
      </c>
    </row>
    <row r="641" spans="1:15" ht="15.6" x14ac:dyDescent="0.25">
      <c r="A641" s="104"/>
      <c r="B641" s="104"/>
      <c r="C641" s="58" t="s">
        <v>13</v>
      </c>
      <c r="D641" s="1">
        <f t="shared" si="254"/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  <c r="O641" s="3">
        <v>0</v>
      </c>
    </row>
    <row r="642" spans="1:15" ht="15.75" customHeight="1" x14ac:dyDescent="0.25">
      <c r="A642" s="104" t="s">
        <v>400</v>
      </c>
      <c r="B642" s="104" t="s">
        <v>404</v>
      </c>
      <c r="C642" s="82" t="s">
        <v>7</v>
      </c>
      <c r="D642" s="1">
        <f t="shared" ref="D642" si="261">E642+F642+G642+H642+I642+J642+K642+L642+M642+N642+O642</f>
        <v>7545.1</v>
      </c>
      <c r="E642" s="3">
        <f>E643+E644+E645+E646</f>
        <v>0</v>
      </c>
      <c r="F642" s="3">
        <f t="shared" ref="F642:O642" si="262">F643+F644+F645+F646</f>
        <v>0</v>
      </c>
      <c r="G642" s="3">
        <f t="shared" si="262"/>
        <v>0</v>
      </c>
      <c r="H642" s="3">
        <f t="shared" si="262"/>
        <v>0</v>
      </c>
      <c r="I642" s="3">
        <f>I643+I644+I645+I646</f>
        <v>0</v>
      </c>
      <c r="J642" s="3">
        <f t="shared" si="262"/>
        <v>0</v>
      </c>
      <c r="K642" s="3">
        <f t="shared" si="262"/>
        <v>7545.1</v>
      </c>
      <c r="L642" s="3">
        <f t="shared" si="262"/>
        <v>0</v>
      </c>
      <c r="M642" s="3">
        <f t="shared" si="262"/>
        <v>0</v>
      </c>
      <c r="N642" s="3">
        <f t="shared" si="262"/>
        <v>0</v>
      </c>
      <c r="O642" s="3">
        <f t="shared" si="262"/>
        <v>0</v>
      </c>
    </row>
    <row r="643" spans="1:15" ht="15.6" x14ac:dyDescent="0.25">
      <c r="A643" s="104"/>
      <c r="B643" s="104"/>
      <c r="C643" s="58" t="s">
        <v>10</v>
      </c>
      <c r="D643" s="1">
        <f t="shared" si="254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15" ht="15.6" x14ac:dyDescent="0.25">
      <c r="A644" s="104"/>
      <c r="B644" s="104"/>
      <c r="C644" s="58" t="s">
        <v>11</v>
      </c>
      <c r="D644" s="1">
        <f>E644+F644+G644+H644+I644+J644+K644+L644+M644+N644+O644</f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</row>
    <row r="645" spans="1:15" ht="15.6" x14ac:dyDescent="0.25">
      <c r="A645" s="104"/>
      <c r="B645" s="104"/>
      <c r="C645" s="58" t="s">
        <v>12</v>
      </c>
      <c r="D645" s="1">
        <f t="shared" si="254"/>
        <v>7545.1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7545.1</v>
      </c>
      <c r="L645" s="3">
        <v>0</v>
      </c>
      <c r="M645" s="3">
        <v>0</v>
      </c>
      <c r="N645" s="3">
        <v>0</v>
      </c>
      <c r="O645" s="3">
        <v>0</v>
      </c>
    </row>
    <row r="646" spans="1:15" ht="15.6" x14ac:dyDescent="0.25">
      <c r="A646" s="104"/>
      <c r="B646" s="104"/>
      <c r="C646" s="58" t="s">
        <v>13</v>
      </c>
      <c r="D646" s="1">
        <f t="shared" si="254"/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</row>
    <row r="647" spans="1:15" ht="15.6" x14ac:dyDescent="0.25">
      <c r="A647" s="104" t="s">
        <v>282</v>
      </c>
      <c r="B647" s="104" t="s">
        <v>283</v>
      </c>
      <c r="C647" s="58" t="s">
        <v>7</v>
      </c>
      <c r="D647" s="1">
        <f t="shared" si="242"/>
        <v>854214.20000000007</v>
      </c>
      <c r="E647" s="1">
        <f t="shared" ref="E647:O647" si="263">E648+E649+E650+E651</f>
        <v>0</v>
      </c>
      <c r="F647" s="1">
        <f t="shared" si="263"/>
        <v>0</v>
      </c>
      <c r="G647" s="1">
        <f t="shared" si="263"/>
        <v>0</v>
      </c>
      <c r="H647" s="1">
        <f t="shared" si="263"/>
        <v>0</v>
      </c>
      <c r="I647" s="1">
        <f t="shared" si="263"/>
        <v>52500</v>
      </c>
      <c r="J647" s="1">
        <f>J648+J649+J650+J651</f>
        <v>227517.2</v>
      </c>
      <c r="K647" s="1">
        <f t="shared" si="263"/>
        <v>393667.4</v>
      </c>
      <c r="L647" s="1">
        <f t="shared" si="263"/>
        <v>180529.59999999998</v>
      </c>
      <c r="M647" s="1">
        <f t="shared" si="263"/>
        <v>0</v>
      </c>
      <c r="N647" s="1">
        <f t="shared" si="263"/>
        <v>0</v>
      </c>
      <c r="O647" s="1">
        <f t="shared" si="263"/>
        <v>0</v>
      </c>
    </row>
    <row r="648" spans="1:15" ht="15.6" x14ac:dyDescent="0.25">
      <c r="A648" s="105"/>
      <c r="B648" s="133"/>
      <c r="C648" s="58" t="s">
        <v>10</v>
      </c>
      <c r="D648" s="1">
        <f t="shared" si="242"/>
        <v>0</v>
      </c>
      <c r="E648" s="1">
        <f>E653</f>
        <v>0</v>
      </c>
      <c r="F648" s="1">
        <f t="shared" ref="F648:K648" si="264">F653</f>
        <v>0</v>
      </c>
      <c r="G648" s="1">
        <f t="shared" si="264"/>
        <v>0</v>
      </c>
      <c r="H648" s="1">
        <f t="shared" si="264"/>
        <v>0</v>
      </c>
      <c r="I648" s="1">
        <f t="shared" si="264"/>
        <v>0</v>
      </c>
      <c r="J648" s="1">
        <f>J653</f>
        <v>0</v>
      </c>
      <c r="K648" s="1">
        <f t="shared" si="264"/>
        <v>0</v>
      </c>
      <c r="L648" s="1">
        <f>L684+L694+L706+L722+L733+L740</f>
        <v>0</v>
      </c>
      <c r="M648" s="1">
        <f>M684+M694+M706+M722+M733+M740</f>
        <v>0</v>
      </c>
      <c r="N648" s="1">
        <f>N684+N694+N706+N722+N733+N740</f>
        <v>0</v>
      </c>
      <c r="O648" s="1">
        <f>O684+O694+O706+O722+O733+O740</f>
        <v>0</v>
      </c>
    </row>
    <row r="649" spans="1:15" ht="15.6" x14ac:dyDescent="0.25">
      <c r="A649" s="105"/>
      <c r="B649" s="133"/>
      <c r="C649" s="58" t="s">
        <v>11</v>
      </c>
      <c r="D649" s="1">
        <f t="shared" si="242"/>
        <v>802549.10000000009</v>
      </c>
      <c r="E649" s="1">
        <f t="shared" ref="E649:O649" si="265">E654</f>
        <v>0</v>
      </c>
      <c r="F649" s="1">
        <f t="shared" si="265"/>
        <v>0</v>
      </c>
      <c r="G649" s="1">
        <f t="shared" si="265"/>
        <v>0</v>
      </c>
      <c r="H649" s="1">
        <f t="shared" si="265"/>
        <v>0</v>
      </c>
      <c r="I649" s="1">
        <f t="shared" si="265"/>
        <v>50000</v>
      </c>
      <c r="J649" s="1">
        <f>J654</f>
        <v>213866.1</v>
      </c>
      <c r="K649" s="1">
        <f t="shared" si="265"/>
        <v>368985.2</v>
      </c>
      <c r="L649" s="1">
        <f t="shared" si="265"/>
        <v>169697.8</v>
      </c>
      <c r="M649" s="1">
        <f t="shared" si="265"/>
        <v>0</v>
      </c>
      <c r="N649" s="1">
        <f t="shared" si="265"/>
        <v>0</v>
      </c>
      <c r="O649" s="1">
        <f t="shared" si="265"/>
        <v>0</v>
      </c>
    </row>
    <row r="650" spans="1:15" ht="15.6" x14ac:dyDescent="0.25">
      <c r="A650" s="105"/>
      <c r="B650" s="133"/>
      <c r="C650" s="58" t="s">
        <v>12</v>
      </c>
      <c r="D650" s="1">
        <f t="shared" ref="D650:D696" si="266">E650+F650+G650+H650+I650+J650+K650+L650+M650+N650+O650</f>
        <v>51665.100000000006</v>
      </c>
      <c r="E650" s="1">
        <f t="shared" ref="E650:O650" si="267">E655</f>
        <v>0</v>
      </c>
      <c r="F650" s="1">
        <f t="shared" si="267"/>
        <v>0</v>
      </c>
      <c r="G650" s="1">
        <f t="shared" si="267"/>
        <v>0</v>
      </c>
      <c r="H650" s="1">
        <f t="shared" si="267"/>
        <v>0</v>
      </c>
      <c r="I650" s="1">
        <f t="shared" si="267"/>
        <v>2500</v>
      </c>
      <c r="J650" s="1">
        <f>J655</f>
        <v>13651.1</v>
      </c>
      <c r="K650" s="1">
        <f t="shared" si="267"/>
        <v>24682.2</v>
      </c>
      <c r="L650" s="1">
        <f t="shared" si="267"/>
        <v>10831.8</v>
      </c>
      <c r="M650" s="1">
        <f t="shared" si="267"/>
        <v>0</v>
      </c>
      <c r="N650" s="1">
        <f t="shared" si="267"/>
        <v>0</v>
      </c>
      <c r="O650" s="1">
        <f t="shared" si="267"/>
        <v>0</v>
      </c>
    </row>
    <row r="651" spans="1:15" ht="16.5" customHeight="1" x14ac:dyDescent="0.25">
      <c r="A651" s="105"/>
      <c r="B651" s="133"/>
      <c r="C651" s="58" t="s">
        <v>13</v>
      </c>
      <c r="D651" s="1">
        <f t="shared" si="266"/>
        <v>0</v>
      </c>
      <c r="E651" s="1">
        <f t="shared" ref="E651:K651" si="268">E656</f>
        <v>0</v>
      </c>
      <c r="F651" s="1">
        <f t="shared" si="268"/>
        <v>0</v>
      </c>
      <c r="G651" s="1">
        <f t="shared" si="268"/>
        <v>0</v>
      </c>
      <c r="H651" s="1">
        <f t="shared" si="268"/>
        <v>0</v>
      </c>
      <c r="I651" s="1">
        <f t="shared" si="268"/>
        <v>0</v>
      </c>
      <c r="J651" s="1">
        <f>J656</f>
        <v>0</v>
      </c>
      <c r="K651" s="1">
        <f t="shared" si="268"/>
        <v>0</v>
      </c>
      <c r="L651" s="1">
        <v>0</v>
      </c>
      <c r="M651" s="1">
        <v>0</v>
      </c>
      <c r="N651" s="1">
        <v>0</v>
      </c>
      <c r="O651" s="1">
        <v>0</v>
      </c>
    </row>
    <row r="652" spans="1:15" ht="15.6" x14ac:dyDescent="0.25">
      <c r="A652" s="104" t="s">
        <v>284</v>
      </c>
      <c r="B652" s="104" t="s">
        <v>285</v>
      </c>
      <c r="C652" s="58" t="s">
        <v>7</v>
      </c>
      <c r="D652" s="1">
        <f t="shared" si="266"/>
        <v>854214.20000000007</v>
      </c>
      <c r="E652" s="1">
        <f t="shared" ref="E652:J652" si="269">E653+E654+E655+E656</f>
        <v>0</v>
      </c>
      <c r="F652" s="1">
        <f t="shared" si="269"/>
        <v>0</v>
      </c>
      <c r="G652" s="1">
        <f t="shared" si="269"/>
        <v>0</v>
      </c>
      <c r="H652" s="1">
        <f t="shared" si="269"/>
        <v>0</v>
      </c>
      <c r="I652" s="1">
        <f t="shared" si="269"/>
        <v>52500</v>
      </c>
      <c r="J652" s="1">
        <f t="shared" si="269"/>
        <v>227517.2</v>
      </c>
      <c r="K652" s="1">
        <f>K653+K654+K655+K656</f>
        <v>393667.4</v>
      </c>
      <c r="L652" s="1">
        <f t="shared" ref="L652:O652" si="270">L653+L654+L655+L656</f>
        <v>180529.59999999998</v>
      </c>
      <c r="M652" s="1">
        <f t="shared" si="270"/>
        <v>0</v>
      </c>
      <c r="N652" s="1">
        <f t="shared" si="270"/>
        <v>0</v>
      </c>
      <c r="O652" s="1">
        <f t="shared" si="270"/>
        <v>0</v>
      </c>
    </row>
    <row r="653" spans="1:15" ht="15.6" x14ac:dyDescent="0.25">
      <c r="A653" s="104"/>
      <c r="B653" s="104"/>
      <c r="C653" s="58" t="s">
        <v>10</v>
      </c>
      <c r="D653" s="1">
        <f t="shared" si="266"/>
        <v>0</v>
      </c>
      <c r="E653" s="1">
        <f t="shared" ref="E653:K653" si="271">E689+E700+E711+E727+E738+E745</f>
        <v>0</v>
      </c>
      <c r="F653" s="1">
        <f t="shared" si="271"/>
        <v>0</v>
      </c>
      <c r="G653" s="1">
        <f t="shared" si="271"/>
        <v>0</v>
      </c>
      <c r="H653" s="1">
        <f t="shared" si="271"/>
        <v>0</v>
      </c>
      <c r="I653" s="1">
        <f t="shared" si="271"/>
        <v>0</v>
      </c>
      <c r="J653" s="1">
        <f t="shared" si="271"/>
        <v>0</v>
      </c>
      <c r="K653" s="1">
        <f t="shared" si="271"/>
        <v>0</v>
      </c>
      <c r="L653" s="1">
        <f>L689+L700+L711+L727+L738+L745</f>
        <v>0</v>
      </c>
      <c r="M653" s="1">
        <f>M689+M700+M711+M727+M738+M745</f>
        <v>0</v>
      </c>
      <c r="N653" s="1">
        <f>N689+N700+N711+N727+N738+N745</f>
        <v>0</v>
      </c>
      <c r="O653" s="1">
        <f>O689+O700+O711+O727+O738+O745</f>
        <v>0</v>
      </c>
    </row>
    <row r="654" spans="1:15" ht="15.6" x14ac:dyDescent="0.25">
      <c r="A654" s="104"/>
      <c r="B654" s="104"/>
      <c r="C654" s="58" t="s">
        <v>11</v>
      </c>
      <c r="D654" s="1">
        <f t="shared" si="266"/>
        <v>802549.10000000009</v>
      </c>
      <c r="E654" s="1">
        <v>0</v>
      </c>
      <c r="F654" s="1">
        <v>0</v>
      </c>
      <c r="G654" s="1">
        <v>0</v>
      </c>
      <c r="H654" s="1">
        <v>0</v>
      </c>
      <c r="I654" s="1">
        <v>50000</v>
      </c>
      <c r="J654" s="1">
        <v>213866.1</v>
      </c>
      <c r="K654" s="1">
        <v>368985.2</v>
      </c>
      <c r="L654" s="1">
        <f>114696.6+55001.2</f>
        <v>169697.8</v>
      </c>
      <c r="M654" s="1">
        <v>0</v>
      </c>
      <c r="N654" s="1">
        <v>0</v>
      </c>
      <c r="O654" s="1">
        <v>0</v>
      </c>
    </row>
    <row r="655" spans="1:15" ht="15.6" x14ac:dyDescent="0.25">
      <c r="A655" s="104"/>
      <c r="B655" s="104"/>
      <c r="C655" s="58" t="s">
        <v>12</v>
      </c>
      <c r="D655" s="1">
        <f t="shared" si="266"/>
        <v>51665.100000000006</v>
      </c>
      <c r="E655" s="1">
        <v>0</v>
      </c>
      <c r="F655" s="1">
        <v>0</v>
      </c>
      <c r="G655" s="1">
        <v>0</v>
      </c>
      <c r="H655" s="1">
        <v>0</v>
      </c>
      <c r="I655" s="1">
        <v>2500</v>
      </c>
      <c r="J655" s="1">
        <v>13651.1</v>
      </c>
      <c r="K655" s="1">
        <v>24682.2</v>
      </c>
      <c r="L655" s="1">
        <f>7321.1+3510.7</f>
        <v>10831.8</v>
      </c>
      <c r="M655" s="1">
        <v>0</v>
      </c>
      <c r="N655" s="1">
        <v>0</v>
      </c>
      <c r="O655" s="1">
        <v>0</v>
      </c>
    </row>
    <row r="656" spans="1:15" ht="19.5" customHeight="1" x14ac:dyDescent="0.25">
      <c r="A656" s="104"/>
      <c r="B656" s="104"/>
      <c r="C656" s="58" t="s">
        <v>13</v>
      </c>
      <c r="D656" s="1">
        <f t="shared" si="266"/>
        <v>0</v>
      </c>
      <c r="E656" s="1">
        <f>E703+E714+E730+E742+E749</f>
        <v>0</v>
      </c>
      <c r="F656" s="1">
        <f>F703+F714+F730+F742+F749</f>
        <v>0</v>
      </c>
      <c r="G656" s="1">
        <f>G703+G714+G730+G742+G749</f>
        <v>0</v>
      </c>
      <c r="H656" s="1">
        <f>H703+H714+H730+H742+H749</f>
        <v>0</v>
      </c>
      <c r="I656" s="1">
        <f>I703+I714+I730+I742+I749</f>
        <v>0</v>
      </c>
      <c r="J656" s="1">
        <v>0</v>
      </c>
      <c r="K656" s="1">
        <v>0</v>
      </c>
      <c r="L656" s="1">
        <v>0</v>
      </c>
      <c r="M656" s="1">
        <v>0</v>
      </c>
      <c r="N656" s="1">
        <v>0</v>
      </c>
      <c r="O656" s="1">
        <v>0</v>
      </c>
    </row>
    <row r="657" spans="1:19" ht="21" customHeight="1" x14ac:dyDescent="0.25">
      <c r="A657" s="104" t="s">
        <v>357</v>
      </c>
      <c r="B657" s="104" t="s">
        <v>358</v>
      </c>
      <c r="C657" s="58" t="s">
        <v>7</v>
      </c>
      <c r="D657" s="1">
        <f>E657+F657+G657+H657+I657+J657+K657+L657+M657+N657+O657</f>
        <v>600</v>
      </c>
      <c r="E657" s="1">
        <f t="shared" ref="E657:O657" si="272">E658+E659+E660+E661</f>
        <v>0</v>
      </c>
      <c r="F657" s="1">
        <f t="shared" si="272"/>
        <v>0</v>
      </c>
      <c r="G657" s="1">
        <f t="shared" si="272"/>
        <v>0</v>
      </c>
      <c r="H657" s="1">
        <f t="shared" si="272"/>
        <v>0</v>
      </c>
      <c r="I657" s="1">
        <f t="shared" si="272"/>
        <v>0</v>
      </c>
      <c r="J657" s="1">
        <f t="shared" si="272"/>
        <v>600</v>
      </c>
      <c r="K657" s="1">
        <f t="shared" si="272"/>
        <v>0</v>
      </c>
      <c r="L657" s="1">
        <f t="shared" si="272"/>
        <v>0</v>
      </c>
      <c r="M657" s="1">
        <f t="shared" si="272"/>
        <v>0</v>
      </c>
      <c r="N657" s="1">
        <f t="shared" si="272"/>
        <v>0</v>
      </c>
      <c r="O657" s="1">
        <f t="shared" si="272"/>
        <v>0</v>
      </c>
    </row>
    <row r="658" spans="1:19" ht="21" customHeight="1" x14ac:dyDescent="0.25">
      <c r="A658" s="105"/>
      <c r="B658" s="133"/>
      <c r="C658" s="58" t="s">
        <v>10</v>
      </c>
      <c r="D658" s="1">
        <f>E658+F658+G658+H658+I658+J658+K658+L658+M658+N658+O658</f>
        <v>0</v>
      </c>
      <c r="E658" s="1">
        <f>E663</f>
        <v>0</v>
      </c>
      <c r="F658" s="1">
        <f t="shared" ref="F658:K658" si="273">F663</f>
        <v>0</v>
      </c>
      <c r="G658" s="1">
        <f t="shared" si="273"/>
        <v>0</v>
      </c>
      <c r="H658" s="1">
        <f t="shared" si="273"/>
        <v>0</v>
      </c>
      <c r="I658" s="1">
        <f t="shared" si="273"/>
        <v>0</v>
      </c>
      <c r="J658" s="1">
        <f t="shared" si="273"/>
        <v>0</v>
      </c>
      <c r="K658" s="1">
        <f t="shared" si="273"/>
        <v>0</v>
      </c>
      <c r="L658" s="1">
        <f>L694+L705+L716+L732+L743+L750</f>
        <v>0</v>
      </c>
      <c r="M658" s="1">
        <f>M694+M705+M716+M732+M743+M750</f>
        <v>0</v>
      </c>
      <c r="N658" s="1">
        <f>N694+N705+N716+N732+N743+N750</f>
        <v>0</v>
      </c>
      <c r="O658" s="1">
        <f>O694+O705+O716+O732+O743+O750</f>
        <v>0</v>
      </c>
    </row>
    <row r="659" spans="1:19" ht="21" customHeight="1" x14ac:dyDescent="0.25">
      <c r="A659" s="105"/>
      <c r="B659" s="133"/>
      <c r="C659" s="58" t="s">
        <v>11</v>
      </c>
      <c r="D659" s="1">
        <f t="shared" si="266"/>
        <v>0</v>
      </c>
      <c r="E659" s="1">
        <f t="shared" ref="E659:K659" si="274">E664</f>
        <v>0</v>
      </c>
      <c r="F659" s="1">
        <f t="shared" si="274"/>
        <v>0</v>
      </c>
      <c r="G659" s="1">
        <f t="shared" si="274"/>
        <v>0</v>
      </c>
      <c r="H659" s="1">
        <f t="shared" si="274"/>
        <v>0</v>
      </c>
      <c r="I659" s="1">
        <f t="shared" si="274"/>
        <v>0</v>
      </c>
      <c r="J659" s="1">
        <f t="shared" si="274"/>
        <v>0</v>
      </c>
      <c r="K659" s="1">
        <f t="shared" si="274"/>
        <v>0</v>
      </c>
      <c r="L659" s="1">
        <v>0</v>
      </c>
      <c r="M659" s="1">
        <v>0</v>
      </c>
      <c r="N659" s="1">
        <v>0</v>
      </c>
      <c r="O659" s="1">
        <v>0</v>
      </c>
    </row>
    <row r="660" spans="1:19" ht="21" customHeight="1" x14ac:dyDescent="0.25">
      <c r="A660" s="105"/>
      <c r="B660" s="133"/>
      <c r="C660" s="58" t="s">
        <v>12</v>
      </c>
      <c r="D660" s="1">
        <f t="shared" ref="D660:D666" si="275">E660+F660+G660+H660+I660+J660+K660+L660+M660+N660+O660</f>
        <v>600</v>
      </c>
      <c r="E660" s="1">
        <f t="shared" ref="E660:K660" si="276">E665</f>
        <v>0</v>
      </c>
      <c r="F660" s="1">
        <f t="shared" si="276"/>
        <v>0</v>
      </c>
      <c r="G660" s="1">
        <f t="shared" si="276"/>
        <v>0</v>
      </c>
      <c r="H660" s="1">
        <f t="shared" si="276"/>
        <v>0</v>
      </c>
      <c r="I660" s="1">
        <f t="shared" si="276"/>
        <v>0</v>
      </c>
      <c r="J660" s="1">
        <f t="shared" si="276"/>
        <v>600</v>
      </c>
      <c r="K660" s="1">
        <f t="shared" si="276"/>
        <v>0</v>
      </c>
      <c r="L660" s="1">
        <v>0</v>
      </c>
      <c r="M660" s="1">
        <v>0</v>
      </c>
      <c r="N660" s="1">
        <v>0</v>
      </c>
      <c r="O660" s="1">
        <v>0</v>
      </c>
    </row>
    <row r="661" spans="1:19" ht="21" customHeight="1" x14ac:dyDescent="0.25">
      <c r="A661" s="105"/>
      <c r="B661" s="133"/>
      <c r="C661" s="58" t="s">
        <v>13</v>
      </c>
      <c r="D661" s="1">
        <f t="shared" si="275"/>
        <v>0</v>
      </c>
      <c r="E661" s="1">
        <f t="shared" ref="E661:K661" si="277">E666</f>
        <v>0</v>
      </c>
      <c r="F661" s="1">
        <f t="shared" si="277"/>
        <v>0</v>
      </c>
      <c r="G661" s="1">
        <f t="shared" si="277"/>
        <v>0</v>
      </c>
      <c r="H661" s="1">
        <f t="shared" si="277"/>
        <v>0</v>
      </c>
      <c r="I661" s="1">
        <f t="shared" si="277"/>
        <v>0</v>
      </c>
      <c r="J661" s="1">
        <f t="shared" si="277"/>
        <v>0</v>
      </c>
      <c r="K661" s="1">
        <f t="shared" si="277"/>
        <v>0</v>
      </c>
      <c r="L661" s="1">
        <v>0</v>
      </c>
      <c r="M661" s="1">
        <v>0</v>
      </c>
      <c r="N661" s="1">
        <v>0</v>
      </c>
      <c r="O661" s="1">
        <v>0</v>
      </c>
    </row>
    <row r="662" spans="1:19" ht="15.6" x14ac:dyDescent="0.25">
      <c r="A662" s="104" t="s">
        <v>359</v>
      </c>
      <c r="B662" s="104" t="s">
        <v>360</v>
      </c>
      <c r="C662" s="58" t="s">
        <v>7</v>
      </c>
      <c r="D662" s="1">
        <f t="shared" si="275"/>
        <v>600</v>
      </c>
      <c r="E662" s="1">
        <f t="shared" ref="E662:O662" si="278">E663+E664+E665+E666</f>
        <v>0</v>
      </c>
      <c r="F662" s="1">
        <f t="shared" si="278"/>
        <v>0</v>
      </c>
      <c r="G662" s="1">
        <f t="shared" si="278"/>
        <v>0</v>
      </c>
      <c r="H662" s="1">
        <f t="shared" si="278"/>
        <v>0</v>
      </c>
      <c r="I662" s="1">
        <f t="shared" si="278"/>
        <v>0</v>
      </c>
      <c r="J662" s="1">
        <f t="shared" si="278"/>
        <v>600</v>
      </c>
      <c r="K662" s="1">
        <f t="shared" si="278"/>
        <v>0</v>
      </c>
      <c r="L662" s="1">
        <f t="shared" si="278"/>
        <v>0</v>
      </c>
      <c r="M662" s="1">
        <f t="shared" si="278"/>
        <v>0</v>
      </c>
      <c r="N662" s="1">
        <f t="shared" si="278"/>
        <v>0</v>
      </c>
      <c r="O662" s="1">
        <f t="shared" si="278"/>
        <v>0</v>
      </c>
    </row>
    <row r="663" spans="1:19" ht="15.6" x14ac:dyDescent="0.25">
      <c r="A663" s="104"/>
      <c r="B663" s="104"/>
      <c r="C663" s="58" t="s">
        <v>10</v>
      </c>
      <c r="D663" s="1">
        <f t="shared" si="275"/>
        <v>0</v>
      </c>
      <c r="E663" s="1">
        <f t="shared" ref="E663:O663" si="279">E700+E710+E721+E737+E748+E755</f>
        <v>0</v>
      </c>
      <c r="F663" s="1">
        <f t="shared" si="279"/>
        <v>0</v>
      </c>
      <c r="G663" s="1">
        <f t="shared" si="279"/>
        <v>0</v>
      </c>
      <c r="H663" s="1">
        <f t="shared" si="279"/>
        <v>0</v>
      </c>
      <c r="I663" s="1">
        <f t="shared" si="279"/>
        <v>0</v>
      </c>
      <c r="J663" s="1">
        <f t="shared" si="279"/>
        <v>0</v>
      </c>
      <c r="K663" s="1">
        <f t="shared" si="279"/>
        <v>0</v>
      </c>
      <c r="L663" s="1">
        <f t="shared" si="279"/>
        <v>0</v>
      </c>
      <c r="M663" s="1">
        <f t="shared" si="279"/>
        <v>0</v>
      </c>
      <c r="N663" s="1">
        <f t="shared" si="279"/>
        <v>0</v>
      </c>
      <c r="O663" s="1">
        <f t="shared" si="279"/>
        <v>0</v>
      </c>
    </row>
    <row r="664" spans="1:19" ht="15.6" x14ac:dyDescent="0.25">
      <c r="A664" s="104"/>
      <c r="B664" s="104"/>
      <c r="C664" s="58" t="s">
        <v>11</v>
      </c>
      <c r="D664" s="1">
        <f t="shared" si="275"/>
        <v>0</v>
      </c>
      <c r="E664" s="1">
        <v>0</v>
      </c>
      <c r="F664" s="1">
        <v>0</v>
      </c>
      <c r="G664" s="1">
        <v>0</v>
      </c>
      <c r="H664" s="1">
        <v>0</v>
      </c>
      <c r="I664" s="1">
        <v>0</v>
      </c>
      <c r="J664" s="1">
        <v>0</v>
      </c>
      <c r="K664" s="1">
        <v>0</v>
      </c>
      <c r="L664" s="1">
        <v>0</v>
      </c>
      <c r="M664" s="1">
        <v>0</v>
      </c>
      <c r="N664" s="1">
        <v>0</v>
      </c>
      <c r="O664" s="1">
        <v>0</v>
      </c>
    </row>
    <row r="665" spans="1:19" ht="15.6" x14ac:dyDescent="0.25">
      <c r="A665" s="104"/>
      <c r="B665" s="104"/>
      <c r="C665" s="58" t="s">
        <v>12</v>
      </c>
      <c r="D665" s="1">
        <f t="shared" si="275"/>
        <v>600</v>
      </c>
      <c r="E665" s="1">
        <v>0</v>
      </c>
      <c r="F665" s="1">
        <v>0</v>
      </c>
      <c r="G665" s="1">
        <v>0</v>
      </c>
      <c r="H665" s="1">
        <v>0</v>
      </c>
      <c r="I665" s="1">
        <v>0</v>
      </c>
      <c r="J665" s="1">
        <v>600</v>
      </c>
      <c r="K665" s="1">
        <v>0</v>
      </c>
      <c r="L665" s="1">
        <v>0</v>
      </c>
      <c r="M665" s="1">
        <v>0</v>
      </c>
      <c r="N665" s="1">
        <v>0</v>
      </c>
      <c r="O665" s="1">
        <v>0</v>
      </c>
    </row>
    <row r="666" spans="1:19" ht="24" customHeight="1" x14ac:dyDescent="0.25">
      <c r="A666" s="104"/>
      <c r="B666" s="104"/>
      <c r="C666" s="58" t="s">
        <v>13</v>
      </c>
      <c r="D666" s="1">
        <f t="shared" si="275"/>
        <v>0</v>
      </c>
      <c r="E666" s="1">
        <f>E713+E724+E740+E752+E759</f>
        <v>0</v>
      </c>
      <c r="F666" s="1">
        <f>F713+F724+F740+F752+F759</f>
        <v>0</v>
      </c>
      <c r="G666" s="1">
        <f>G713+G724+G740+G752+G759</f>
        <v>0</v>
      </c>
      <c r="H666" s="1">
        <f>H713+H724+H740+H752+H759</f>
        <v>0</v>
      </c>
      <c r="I666" s="1">
        <f>I713+I724+I740+I752+I759</f>
        <v>0</v>
      </c>
      <c r="J666" s="1">
        <v>0</v>
      </c>
      <c r="K666" s="1">
        <v>0</v>
      </c>
      <c r="L666" s="1">
        <v>0</v>
      </c>
      <c r="M666" s="1">
        <v>0</v>
      </c>
      <c r="N666" s="1">
        <v>0</v>
      </c>
      <c r="O666" s="1">
        <v>0</v>
      </c>
    </row>
    <row r="667" spans="1:19" ht="24" customHeight="1" x14ac:dyDescent="0.25">
      <c r="A667" s="104" t="s">
        <v>394</v>
      </c>
      <c r="B667" s="104" t="s">
        <v>396</v>
      </c>
      <c r="C667" s="58" t="s">
        <v>7</v>
      </c>
      <c r="D667" s="1">
        <f>E667+F667+G667+H667+I667+J667+K667+L667+M667+N667+O667</f>
        <v>19498.2</v>
      </c>
      <c r="E667" s="1">
        <f>E668+E669+E670+E671</f>
        <v>0</v>
      </c>
      <c r="F667" s="1">
        <f t="shared" ref="F667:O667" si="280">F668+F669+F670+F671</f>
        <v>0</v>
      </c>
      <c r="G667" s="1">
        <f t="shared" si="280"/>
        <v>0</v>
      </c>
      <c r="H667" s="1">
        <f t="shared" si="280"/>
        <v>0</v>
      </c>
      <c r="I667" s="1">
        <f t="shared" si="280"/>
        <v>0</v>
      </c>
      <c r="J667" s="1">
        <f t="shared" si="280"/>
        <v>0</v>
      </c>
      <c r="K667" s="1">
        <f t="shared" si="280"/>
        <v>13798.2</v>
      </c>
      <c r="L667" s="1">
        <f t="shared" si="280"/>
        <v>5700</v>
      </c>
      <c r="M667" s="1">
        <f t="shared" si="280"/>
        <v>0</v>
      </c>
      <c r="N667" s="1">
        <f t="shared" si="280"/>
        <v>0</v>
      </c>
      <c r="O667" s="1">
        <f t="shared" si="280"/>
        <v>0</v>
      </c>
    </row>
    <row r="668" spans="1:19" ht="24" customHeight="1" x14ac:dyDescent="0.25">
      <c r="A668" s="105"/>
      <c r="B668" s="133"/>
      <c r="C668" s="58" t="s">
        <v>10</v>
      </c>
      <c r="D668" s="1">
        <f t="shared" ref="D668:D676" si="281">E668+F668+G668+H668+I668+J668+K668+L668+M668+N668+O668</f>
        <v>0</v>
      </c>
      <c r="E668" s="1">
        <f t="shared" ref="E668:I668" si="282">E705+E715+E726+E742+E753+E760</f>
        <v>0</v>
      </c>
      <c r="F668" s="1">
        <f t="shared" si="282"/>
        <v>0</v>
      </c>
      <c r="G668" s="1">
        <f t="shared" si="282"/>
        <v>0</v>
      </c>
      <c r="H668" s="1">
        <f t="shared" si="282"/>
        <v>0</v>
      </c>
      <c r="I668" s="1">
        <f t="shared" si="282"/>
        <v>0</v>
      </c>
      <c r="J668" s="1">
        <v>0</v>
      </c>
      <c r="K668" s="1">
        <f t="shared" ref="K668:O668" si="283">K705+K715+K726+K742+K753+K760</f>
        <v>0</v>
      </c>
      <c r="L668" s="1">
        <f t="shared" si="283"/>
        <v>0</v>
      </c>
      <c r="M668" s="1">
        <f t="shared" si="283"/>
        <v>0</v>
      </c>
      <c r="N668" s="1">
        <f t="shared" si="283"/>
        <v>0</v>
      </c>
      <c r="O668" s="1">
        <f t="shared" si="283"/>
        <v>0</v>
      </c>
    </row>
    <row r="669" spans="1:19" ht="24" customHeight="1" x14ac:dyDescent="0.25">
      <c r="A669" s="105"/>
      <c r="B669" s="133"/>
      <c r="C669" s="58" t="s">
        <v>11</v>
      </c>
      <c r="D669" s="1">
        <f t="shared" si="281"/>
        <v>0</v>
      </c>
      <c r="E669" s="1">
        <v>0</v>
      </c>
      <c r="F669" s="1">
        <v>0</v>
      </c>
      <c r="G669" s="1">
        <v>0</v>
      </c>
      <c r="H669" s="1">
        <v>0</v>
      </c>
      <c r="I669" s="1">
        <v>0</v>
      </c>
      <c r="J669" s="1">
        <v>0</v>
      </c>
      <c r="K669" s="1">
        <v>0</v>
      </c>
      <c r="L669" s="1">
        <v>0</v>
      </c>
      <c r="M669" s="1">
        <v>0</v>
      </c>
      <c r="N669" s="1">
        <v>0</v>
      </c>
      <c r="O669" s="1">
        <v>0</v>
      </c>
    </row>
    <row r="670" spans="1:19" ht="24" customHeight="1" x14ac:dyDescent="0.25">
      <c r="A670" s="105"/>
      <c r="B670" s="133"/>
      <c r="C670" s="58" t="s">
        <v>12</v>
      </c>
      <c r="D670" s="1">
        <f t="shared" si="281"/>
        <v>19498.2</v>
      </c>
      <c r="E670" s="1">
        <v>0</v>
      </c>
      <c r="F670" s="1">
        <v>0</v>
      </c>
      <c r="G670" s="1">
        <v>0</v>
      </c>
      <c r="H670" s="1">
        <v>0</v>
      </c>
      <c r="I670" s="1">
        <v>0</v>
      </c>
      <c r="J670" s="1">
        <f>J675</f>
        <v>0</v>
      </c>
      <c r="K670" s="1">
        <f>K675</f>
        <v>13798.2</v>
      </c>
      <c r="L670" s="1">
        <f>L675+L680</f>
        <v>5700</v>
      </c>
      <c r="M670" s="1">
        <f t="shared" ref="M670:S670" si="284">M675+M680</f>
        <v>0</v>
      </c>
      <c r="N670" s="1">
        <f t="shared" si="284"/>
        <v>0</v>
      </c>
      <c r="O670" s="1">
        <f t="shared" si="284"/>
        <v>0</v>
      </c>
      <c r="P670" s="1">
        <f t="shared" si="284"/>
        <v>0</v>
      </c>
      <c r="Q670" s="1">
        <f t="shared" si="284"/>
        <v>0</v>
      </c>
      <c r="R670" s="1">
        <f t="shared" si="284"/>
        <v>0</v>
      </c>
      <c r="S670" s="1">
        <f t="shared" si="284"/>
        <v>0</v>
      </c>
    </row>
    <row r="671" spans="1:19" ht="24" customHeight="1" x14ac:dyDescent="0.25">
      <c r="A671" s="105"/>
      <c r="B671" s="133"/>
      <c r="C671" s="58" t="s">
        <v>13</v>
      </c>
      <c r="D671" s="1">
        <f t="shared" si="281"/>
        <v>0</v>
      </c>
      <c r="E671" s="1">
        <f>E718+E729+E745+E757+E764</f>
        <v>0</v>
      </c>
      <c r="F671" s="1">
        <f>F718+F729+F745+F757+F764</f>
        <v>0</v>
      </c>
      <c r="G671" s="1">
        <f>G718+G729+G745+G757+G764</f>
        <v>0</v>
      </c>
      <c r="H671" s="1">
        <f>H718+H729+H745+H757+H764</f>
        <v>0</v>
      </c>
      <c r="I671" s="1">
        <f>I718+I729+I745+I757+I764</f>
        <v>0</v>
      </c>
      <c r="J671" s="1">
        <v>0</v>
      </c>
      <c r="K671" s="1">
        <v>0</v>
      </c>
      <c r="L671" s="1">
        <v>0</v>
      </c>
      <c r="M671" s="1">
        <v>0</v>
      </c>
      <c r="N671" s="1">
        <v>0</v>
      </c>
      <c r="O671" s="1">
        <v>0</v>
      </c>
    </row>
    <row r="672" spans="1:19" ht="24" customHeight="1" x14ac:dyDescent="0.25">
      <c r="A672" s="104" t="s">
        <v>395</v>
      </c>
      <c r="B672" s="104" t="s">
        <v>397</v>
      </c>
      <c r="C672" s="58" t="s">
        <v>7</v>
      </c>
      <c r="D672" s="1">
        <f t="shared" ref="D672:N672" si="285">D673+D674+D675+D676</f>
        <v>14498.2</v>
      </c>
      <c r="E672" s="1">
        <f t="shared" si="285"/>
        <v>0</v>
      </c>
      <c r="F672" s="1">
        <f t="shared" si="285"/>
        <v>0</v>
      </c>
      <c r="G672" s="1">
        <f t="shared" si="285"/>
        <v>0</v>
      </c>
      <c r="H672" s="1">
        <f t="shared" si="285"/>
        <v>0</v>
      </c>
      <c r="I672" s="1">
        <f t="shared" si="285"/>
        <v>0</v>
      </c>
      <c r="J672" s="1">
        <f t="shared" si="285"/>
        <v>0</v>
      </c>
      <c r="K672" s="1">
        <f t="shared" si="285"/>
        <v>13798.2</v>
      </c>
      <c r="L672" s="1">
        <f t="shared" si="285"/>
        <v>700</v>
      </c>
      <c r="M672" s="1">
        <f t="shared" si="285"/>
        <v>0</v>
      </c>
      <c r="N672" s="1">
        <f t="shared" si="285"/>
        <v>0</v>
      </c>
      <c r="O672" s="1"/>
    </row>
    <row r="673" spans="1:17" ht="24" customHeight="1" x14ac:dyDescent="0.25">
      <c r="A673" s="104"/>
      <c r="B673" s="104"/>
      <c r="C673" s="58" t="s">
        <v>10</v>
      </c>
      <c r="D673" s="1">
        <f>E673+F673+G673+H673+I673+J673+K673+L673+M673+N673+O673</f>
        <v>0</v>
      </c>
      <c r="E673" s="1">
        <f t="shared" ref="E673:I673" si="286">E710+E720+E731+E747+E758+E765</f>
        <v>0</v>
      </c>
      <c r="F673" s="1">
        <f t="shared" si="286"/>
        <v>0</v>
      </c>
      <c r="G673" s="1">
        <f t="shared" si="286"/>
        <v>0</v>
      </c>
      <c r="H673" s="1">
        <f t="shared" si="286"/>
        <v>0</v>
      </c>
      <c r="I673" s="1">
        <f t="shared" si="286"/>
        <v>0</v>
      </c>
      <c r="J673" s="1">
        <v>0</v>
      </c>
      <c r="K673" s="1">
        <f t="shared" ref="K673:O673" si="287">K710+K720+K731+K747+K758+K765</f>
        <v>0</v>
      </c>
      <c r="L673" s="1">
        <f t="shared" si="287"/>
        <v>0</v>
      </c>
      <c r="M673" s="1">
        <f t="shared" si="287"/>
        <v>0</v>
      </c>
      <c r="N673" s="1">
        <f t="shared" si="287"/>
        <v>0</v>
      </c>
      <c r="O673" s="1">
        <f t="shared" si="287"/>
        <v>0</v>
      </c>
    </row>
    <row r="674" spans="1:17" ht="24" customHeight="1" x14ac:dyDescent="0.25">
      <c r="A674" s="104"/>
      <c r="B674" s="104"/>
      <c r="C674" s="58" t="s">
        <v>11</v>
      </c>
      <c r="D674" s="1">
        <f t="shared" si="281"/>
        <v>0</v>
      </c>
      <c r="E674" s="1">
        <v>0</v>
      </c>
      <c r="F674" s="1">
        <v>0</v>
      </c>
      <c r="G674" s="1">
        <v>0</v>
      </c>
      <c r="H674" s="1">
        <v>0</v>
      </c>
      <c r="I674" s="1">
        <v>0</v>
      </c>
      <c r="J674" s="1">
        <v>0</v>
      </c>
      <c r="K674" s="1">
        <v>0</v>
      </c>
      <c r="L674" s="1">
        <v>0</v>
      </c>
      <c r="M674" s="1">
        <v>0</v>
      </c>
      <c r="N674" s="1">
        <v>0</v>
      </c>
      <c r="O674" s="1">
        <v>0</v>
      </c>
    </row>
    <row r="675" spans="1:17" ht="24" customHeight="1" x14ac:dyDescent="0.25">
      <c r="A675" s="104"/>
      <c r="B675" s="104"/>
      <c r="C675" s="58" t="s">
        <v>12</v>
      </c>
      <c r="D675" s="1">
        <f t="shared" si="281"/>
        <v>14498.2</v>
      </c>
      <c r="E675" s="1">
        <v>0</v>
      </c>
      <c r="F675" s="1">
        <v>0</v>
      </c>
      <c r="G675" s="1">
        <v>0</v>
      </c>
      <c r="H675" s="1">
        <v>0</v>
      </c>
      <c r="I675" s="1">
        <v>0</v>
      </c>
      <c r="J675" s="1">
        <v>0</v>
      </c>
      <c r="K675" s="1">
        <f>19000-5201.8+71.4-71.4</f>
        <v>13798.2</v>
      </c>
      <c r="L675" s="1">
        <v>700</v>
      </c>
      <c r="M675" s="1">
        <v>0</v>
      </c>
      <c r="N675" s="1">
        <v>0</v>
      </c>
      <c r="O675" s="1">
        <v>0</v>
      </c>
    </row>
    <row r="676" spans="1:17" ht="24" customHeight="1" x14ac:dyDescent="0.25">
      <c r="A676" s="104"/>
      <c r="B676" s="104"/>
      <c r="C676" s="58" t="s">
        <v>13</v>
      </c>
      <c r="D676" s="1">
        <f t="shared" si="281"/>
        <v>0</v>
      </c>
      <c r="E676" s="1">
        <f>E723+E734+E750+E762+E769</f>
        <v>0</v>
      </c>
      <c r="F676" s="1">
        <f>F723+F734+F750+F762+F769</f>
        <v>0</v>
      </c>
      <c r="G676" s="1">
        <f>G723+G734+G750+G762+G769</f>
        <v>0</v>
      </c>
      <c r="H676" s="1">
        <f>H723+H734+H750+H762+H769</f>
        <v>0</v>
      </c>
      <c r="I676" s="1">
        <f>I723+I734+I750+I762+I769</f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</row>
    <row r="677" spans="1:17" ht="24" customHeight="1" x14ac:dyDescent="0.25">
      <c r="A677" s="104" t="s">
        <v>419</v>
      </c>
      <c r="B677" s="129" t="s">
        <v>420</v>
      </c>
      <c r="C677" s="58" t="s">
        <v>7</v>
      </c>
      <c r="D677" s="1">
        <f t="shared" ref="D677:N677" si="288">D678+D679+D680+D681</f>
        <v>5000</v>
      </c>
      <c r="E677" s="1">
        <f t="shared" si="288"/>
        <v>0</v>
      </c>
      <c r="F677" s="1">
        <f t="shared" si="288"/>
        <v>0</v>
      </c>
      <c r="G677" s="1">
        <f t="shared" si="288"/>
        <v>0</v>
      </c>
      <c r="H677" s="1">
        <f t="shared" si="288"/>
        <v>0</v>
      </c>
      <c r="I677" s="1">
        <f t="shared" si="288"/>
        <v>0</v>
      </c>
      <c r="J677" s="1">
        <f t="shared" si="288"/>
        <v>0</v>
      </c>
      <c r="K677" s="1">
        <f t="shared" si="288"/>
        <v>0</v>
      </c>
      <c r="L677" s="1">
        <f t="shared" si="288"/>
        <v>5000</v>
      </c>
      <c r="M677" s="1">
        <f t="shared" si="288"/>
        <v>0</v>
      </c>
      <c r="N677" s="1">
        <f t="shared" si="288"/>
        <v>0</v>
      </c>
      <c r="O677" s="1"/>
    </row>
    <row r="678" spans="1:17" ht="24" customHeight="1" x14ac:dyDescent="0.25">
      <c r="A678" s="104"/>
      <c r="B678" s="129"/>
      <c r="C678" s="58" t="s">
        <v>10</v>
      </c>
      <c r="D678" s="1">
        <f>E678+F678+G678+H678+I678+J678+K678+L678+M678+N678+O678</f>
        <v>0</v>
      </c>
      <c r="E678" s="1">
        <f t="shared" ref="E678:I678" si="289">E715+E725+E736+E752+E763+E770</f>
        <v>0</v>
      </c>
      <c r="F678" s="1">
        <f t="shared" si="289"/>
        <v>0</v>
      </c>
      <c r="G678" s="1">
        <f t="shared" si="289"/>
        <v>0</v>
      </c>
      <c r="H678" s="1">
        <f t="shared" si="289"/>
        <v>0</v>
      </c>
      <c r="I678" s="1">
        <f t="shared" si="289"/>
        <v>0</v>
      </c>
      <c r="J678" s="1">
        <v>0</v>
      </c>
      <c r="K678" s="1">
        <f t="shared" ref="K678:O678" si="290">K715+K725+K736+K752+K763+K770</f>
        <v>0</v>
      </c>
      <c r="L678" s="1">
        <f t="shared" si="290"/>
        <v>0</v>
      </c>
      <c r="M678" s="1">
        <f t="shared" si="290"/>
        <v>0</v>
      </c>
      <c r="N678" s="1">
        <f t="shared" si="290"/>
        <v>0</v>
      </c>
      <c r="O678" s="1">
        <f t="shared" si="290"/>
        <v>0</v>
      </c>
    </row>
    <row r="679" spans="1:17" ht="24" customHeight="1" x14ac:dyDescent="0.25">
      <c r="A679" s="104"/>
      <c r="B679" s="129"/>
      <c r="C679" s="58" t="s">
        <v>11</v>
      </c>
      <c r="D679" s="1">
        <f t="shared" ref="D679:D681" si="291">E679+F679+G679+H679+I679+J679+K679+L679+M679+N679+O679</f>
        <v>0</v>
      </c>
      <c r="E679" s="1">
        <v>0</v>
      </c>
      <c r="F679" s="1">
        <v>0</v>
      </c>
      <c r="G679" s="1">
        <v>0</v>
      </c>
      <c r="H679" s="1">
        <v>0</v>
      </c>
      <c r="I679" s="1">
        <v>0</v>
      </c>
      <c r="J679" s="1">
        <v>0</v>
      </c>
      <c r="K679" s="1">
        <v>0</v>
      </c>
      <c r="L679" s="1">
        <v>0</v>
      </c>
      <c r="M679" s="1">
        <v>0</v>
      </c>
      <c r="N679" s="1">
        <v>0</v>
      </c>
      <c r="O679" s="1">
        <v>0</v>
      </c>
    </row>
    <row r="680" spans="1:17" ht="24" customHeight="1" x14ac:dyDescent="0.25">
      <c r="A680" s="104"/>
      <c r="B680" s="129"/>
      <c r="C680" s="58" t="s">
        <v>12</v>
      </c>
      <c r="D680" s="1">
        <f t="shared" si="291"/>
        <v>5000</v>
      </c>
      <c r="E680" s="1">
        <v>0</v>
      </c>
      <c r="F680" s="1">
        <v>0</v>
      </c>
      <c r="G680" s="1">
        <v>0</v>
      </c>
      <c r="H680" s="1">
        <v>0</v>
      </c>
      <c r="I680" s="1">
        <v>0</v>
      </c>
      <c r="J680" s="1">
        <v>0</v>
      </c>
      <c r="K680" s="1">
        <v>0</v>
      </c>
      <c r="L680" s="1">
        <f>2484.5+2515.5</f>
        <v>5000</v>
      </c>
      <c r="M680" s="1">
        <v>0</v>
      </c>
      <c r="N680" s="1">
        <v>0</v>
      </c>
      <c r="O680" s="1">
        <v>0</v>
      </c>
    </row>
    <row r="681" spans="1:17" ht="24" customHeight="1" x14ac:dyDescent="0.25">
      <c r="A681" s="104"/>
      <c r="B681" s="129"/>
      <c r="C681" s="58" t="s">
        <v>13</v>
      </c>
      <c r="D681" s="1">
        <f t="shared" si="291"/>
        <v>0</v>
      </c>
      <c r="E681" s="1">
        <f>E728+E739+E755+E767+E774</f>
        <v>0</v>
      </c>
      <c r="F681" s="1">
        <f>F728+F739+F755+F767+F774</f>
        <v>0</v>
      </c>
      <c r="G681" s="1">
        <f>G728+G739+G755+G767+G774</f>
        <v>0</v>
      </c>
      <c r="H681" s="1">
        <f>H728+H739+H755+H767+H774</f>
        <v>0</v>
      </c>
      <c r="I681" s="1">
        <f>I728+I739+I755+I767+I774</f>
        <v>0</v>
      </c>
      <c r="J681" s="1">
        <v>0</v>
      </c>
      <c r="K681" s="1">
        <v>0</v>
      </c>
      <c r="L681" s="1">
        <v>0</v>
      </c>
      <c r="M681" s="1">
        <v>0</v>
      </c>
      <c r="N681" s="1">
        <v>0</v>
      </c>
      <c r="O681" s="1">
        <v>0</v>
      </c>
    </row>
    <row r="682" spans="1:17" ht="15.6" x14ac:dyDescent="0.25">
      <c r="A682" s="109" t="s">
        <v>42</v>
      </c>
      <c r="B682" s="136" t="s">
        <v>327</v>
      </c>
      <c r="C682" s="73" t="s">
        <v>7</v>
      </c>
      <c r="D682" s="2">
        <f t="shared" si="266"/>
        <v>576330.39999999991</v>
      </c>
      <c r="E682" s="2">
        <f t="shared" ref="E682:O682" si="292">E685+E683+E684+E686</f>
        <v>31873.5</v>
      </c>
      <c r="F682" s="2">
        <f t="shared" si="292"/>
        <v>32215.200000000001</v>
      </c>
      <c r="G682" s="2">
        <f t="shared" si="292"/>
        <v>32536.1</v>
      </c>
      <c r="H682" s="2">
        <f t="shared" si="292"/>
        <v>34467.4</v>
      </c>
      <c r="I682" s="2">
        <f t="shared" si="292"/>
        <v>42249.1</v>
      </c>
      <c r="J682" s="2">
        <f t="shared" si="292"/>
        <v>51925.4</v>
      </c>
      <c r="K682" s="2">
        <f t="shared" si="292"/>
        <v>66037.599999999991</v>
      </c>
      <c r="L682" s="2">
        <f t="shared" si="292"/>
        <v>68344.899999999994</v>
      </c>
      <c r="M682" s="2">
        <f t="shared" si="292"/>
        <v>70380</v>
      </c>
      <c r="N682" s="2">
        <f t="shared" si="292"/>
        <v>73150.600000000006</v>
      </c>
      <c r="O682" s="2">
        <f t="shared" si="292"/>
        <v>73150.600000000006</v>
      </c>
      <c r="P682" s="62">
        <f>D683+D684+D685+D686</f>
        <v>576330.39999999991</v>
      </c>
      <c r="Q682" s="62"/>
    </row>
    <row r="683" spans="1:17" ht="19.5" customHeight="1" x14ac:dyDescent="0.25">
      <c r="A683" s="109"/>
      <c r="B683" s="136"/>
      <c r="C683" s="51" t="s">
        <v>10</v>
      </c>
      <c r="D683" s="1">
        <f t="shared" si="266"/>
        <v>0</v>
      </c>
      <c r="E683" s="1">
        <f t="shared" ref="E683:K686" si="293">E688</f>
        <v>0</v>
      </c>
      <c r="F683" s="1">
        <f t="shared" si="293"/>
        <v>0</v>
      </c>
      <c r="G683" s="1">
        <f t="shared" si="293"/>
        <v>0</v>
      </c>
      <c r="H683" s="1">
        <f t="shared" si="293"/>
        <v>0</v>
      </c>
      <c r="I683" s="1">
        <f t="shared" si="293"/>
        <v>0</v>
      </c>
      <c r="J683" s="1">
        <f t="shared" si="293"/>
        <v>0</v>
      </c>
      <c r="K683" s="1">
        <f t="shared" si="293"/>
        <v>0</v>
      </c>
      <c r="L683" s="1">
        <f t="shared" ref="L683:O684" si="294">L688</f>
        <v>0</v>
      </c>
      <c r="M683" s="1">
        <f t="shared" si="294"/>
        <v>0</v>
      </c>
      <c r="N683" s="1">
        <f t="shared" si="294"/>
        <v>0</v>
      </c>
      <c r="O683" s="1">
        <f t="shared" si="294"/>
        <v>0</v>
      </c>
    </row>
    <row r="684" spans="1:17" ht="16.5" customHeight="1" x14ac:dyDescent="0.25">
      <c r="A684" s="109"/>
      <c r="B684" s="136"/>
      <c r="C684" s="51" t="s">
        <v>11</v>
      </c>
      <c r="D684" s="1">
        <f t="shared" si="266"/>
        <v>0</v>
      </c>
      <c r="E684" s="1">
        <f t="shared" si="293"/>
        <v>0</v>
      </c>
      <c r="F684" s="1">
        <f t="shared" si="293"/>
        <v>0</v>
      </c>
      <c r="G684" s="1">
        <f t="shared" si="293"/>
        <v>0</v>
      </c>
      <c r="H684" s="1">
        <f t="shared" si="293"/>
        <v>0</v>
      </c>
      <c r="I684" s="1">
        <f t="shared" si="293"/>
        <v>0</v>
      </c>
      <c r="J684" s="1">
        <f>J689</f>
        <v>0</v>
      </c>
      <c r="K684" s="1">
        <f>K689</f>
        <v>0</v>
      </c>
      <c r="L684" s="1">
        <f t="shared" si="294"/>
        <v>0</v>
      </c>
      <c r="M684" s="1">
        <f t="shared" si="294"/>
        <v>0</v>
      </c>
      <c r="N684" s="1">
        <f t="shared" si="294"/>
        <v>0</v>
      </c>
      <c r="O684" s="1">
        <f t="shared" si="294"/>
        <v>0</v>
      </c>
    </row>
    <row r="685" spans="1:17" ht="15" customHeight="1" x14ac:dyDescent="0.25">
      <c r="A685" s="109"/>
      <c r="B685" s="136"/>
      <c r="C685" s="51" t="s">
        <v>12</v>
      </c>
      <c r="D685" s="1">
        <f t="shared" si="266"/>
        <v>576330.39999999991</v>
      </c>
      <c r="E685" s="1">
        <f>E690</f>
        <v>31873.5</v>
      </c>
      <c r="F685" s="1">
        <f t="shared" si="293"/>
        <v>32215.200000000001</v>
      </c>
      <c r="G685" s="1">
        <f>G687</f>
        <v>32536.1</v>
      </c>
      <c r="H685" s="1">
        <f>H687</f>
        <v>34467.4</v>
      </c>
      <c r="I685" s="1">
        <f>I687</f>
        <v>42249.1</v>
      </c>
      <c r="J685" s="1">
        <f t="shared" ref="J685:M685" si="295">J690</f>
        <v>51925.4</v>
      </c>
      <c r="K685" s="1">
        <f t="shared" si="295"/>
        <v>66037.599999999991</v>
      </c>
      <c r="L685" s="1">
        <f t="shared" si="295"/>
        <v>68344.899999999994</v>
      </c>
      <c r="M685" s="1">
        <f t="shared" si="295"/>
        <v>70380</v>
      </c>
      <c r="N685" s="1">
        <f>N690</f>
        <v>73150.600000000006</v>
      </c>
      <c r="O685" s="1">
        <f>O690</f>
        <v>73150.600000000006</v>
      </c>
    </row>
    <row r="686" spans="1:17" s="5" customFormat="1" ht="45" customHeight="1" x14ac:dyDescent="0.3">
      <c r="A686" s="109"/>
      <c r="B686" s="136"/>
      <c r="C686" s="51" t="s">
        <v>13</v>
      </c>
      <c r="D686" s="1">
        <f t="shared" si="266"/>
        <v>0</v>
      </c>
      <c r="E686" s="1">
        <f t="shared" si="293"/>
        <v>0</v>
      </c>
      <c r="F686" s="1">
        <f t="shared" si="293"/>
        <v>0</v>
      </c>
      <c r="G686" s="1">
        <f t="shared" si="293"/>
        <v>0</v>
      </c>
      <c r="H686" s="1">
        <f t="shared" si="293"/>
        <v>0</v>
      </c>
      <c r="I686" s="1">
        <f t="shared" si="293"/>
        <v>0</v>
      </c>
      <c r="J686" s="1">
        <f t="shared" ref="J686:O686" si="296">J691</f>
        <v>0</v>
      </c>
      <c r="K686" s="1">
        <f t="shared" si="296"/>
        <v>0</v>
      </c>
      <c r="L686" s="1">
        <f t="shared" si="296"/>
        <v>0</v>
      </c>
      <c r="M686" s="1">
        <f t="shared" si="296"/>
        <v>0</v>
      </c>
      <c r="N686" s="1">
        <f t="shared" si="296"/>
        <v>0</v>
      </c>
      <c r="O686" s="1">
        <f t="shared" si="296"/>
        <v>0</v>
      </c>
    </row>
    <row r="687" spans="1:17" ht="15.75" customHeight="1" x14ac:dyDescent="0.25">
      <c r="A687" s="104" t="s">
        <v>334</v>
      </c>
      <c r="B687" s="129" t="s">
        <v>144</v>
      </c>
      <c r="C687" s="51" t="s">
        <v>7</v>
      </c>
      <c r="D687" s="1">
        <f t="shared" si="266"/>
        <v>576330.39999999991</v>
      </c>
      <c r="E687" s="1">
        <f t="shared" ref="E687:O687" si="297">SUM(E688:E691)</f>
        <v>31873.5</v>
      </c>
      <c r="F687" s="1">
        <f t="shared" si="297"/>
        <v>32215.200000000001</v>
      </c>
      <c r="G687" s="1">
        <f t="shared" si="297"/>
        <v>32536.1</v>
      </c>
      <c r="H687" s="1">
        <f t="shared" si="297"/>
        <v>34467.4</v>
      </c>
      <c r="I687" s="1">
        <f t="shared" si="297"/>
        <v>42249.1</v>
      </c>
      <c r="J687" s="1">
        <f t="shared" si="297"/>
        <v>51925.4</v>
      </c>
      <c r="K687" s="1">
        <f t="shared" si="297"/>
        <v>66037.599999999991</v>
      </c>
      <c r="L687" s="1">
        <f t="shared" si="297"/>
        <v>68344.899999999994</v>
      </c>
      <c r="M687" s="1">
        <f t="shared" si="297"/>
        <v>70380</v>
      </c>
      <c r="N687" s="1">
        <f t="shared" si="297"/>
        <v>73150.600000000006</v>
      </c>
      <c r="O687" s="1">
        <f t="shared" si="297"/>
        <v>73150.600000000006</v>
      </c>
    </row>
    <row r="688" spans="1:17" ht="17.25" customHeight="1" x14ac:dyDescent="0.25">
      <c r="A688" s="104"/>
      <c r="B688" s="129"/>
      <c r="C688" s="51" t="s">
        <v>10</v>
      </c>
      <c r="D688" s="1">
        <f t="shared" si="266"/>
        <v>0</v>
      </c>
      <c r="E688" s="1">
        <v>0</v>
      </c>
      <c r="F688" s="1">
        <v>0</v>
      </c>
      <c r="G688" s="1">
        <v>0</v>
      </c>
      <c r="H688" s="1">
        <v>0</v>
      </c>
      <c r="I688" s="1">
        <v>0</v>
      </c>
      <c r="J688" s="1">
        <v>0</v>
      </c>
      <c r="K688" s="1">
        <v>0</v>
      </c>
      <c r="L688" s="1">
        <v>0</v>
      </c>
      <c r="M688" s="1">
        <v>0</v>
      </c>
      <c r="N688" s="1">
        <v>0</v>
      </c>
      <c r="O688" s="1">
        <v>0</v>
      </c>
    </row>
    <row r="689" spans="1:15" ht="18" customHeight="1" x14ac:dyDescent="0.25">
      <c r="A689" s="104"/>
      <c r="B689" s="129"/>
      <c r="C689" s="51" t="s">
        <v>11</v>
      </c>
      <c r="D689" s="1">
        <f t="shared" si="266"/>
        <v>0</v>
      </c>
      <c r="E689" s="1">
        <v>0</v>
      </c>
      <c r="F689" s="1">
        <v>0</v>
      </c>
      <c r="G689" s="1">
        <v>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</row>
    <row r="690" spans="1:15" ht="18" customHeight="1" x14ac:dyDescent="0.25">
      <c r="A690" s="104"/>
      <c r="B690" s="129"/>
      <c r="C690" s="51" t="s">
        <v>12</v>
      </c>
      <c r="D690" s="1">
        <f t="shared" si="266"/>
        <v>576330.39999999991</v>
      </c>
      <c r="E690" s="1">
        <f>E695</f>
        <v>31873.5</v>
      </c>
      <c r="F690" s="1">
        <f>F695</f>
        <v>32215.200000000001</v>
      </c>
      <c r="G690" s="1">
        <f>G695</f>
        <v>32536.1</v>
      </c>
      <c r="H690" s="1">
        <f t="shared" ref="H690:O690" si="298">H695</f>
        <v>34467.4</v>
      </c>
      <c r="I690" s="1">
        <f t="shared" si="298"/>
        <v>42249.1</v>
      </c>
      <c r="J690" s="1">
        <f t="shared" si="298"/>
        <v>51925.4</v>
      </c>
      <c r="K690" s="1">
        <f t="shared" si="298"/>
        <v>66037.599999999991</v>
      </c>
      <c r="L690" s="1">
        <f t="shared" si="298"/>
        <v>68344.899999999994</v>
      </c>
      <c r="M690" s="1">
        <f t="shared" si="298"/>
        <v>70380</v>
      </c>
      <c r="N690" s="1">
        <f t="shared" si="298"/>
        <v>73150.600000000006</v>
      </c>
      <c r="O690" s="1">
        <f t="shared" si="298"/>
        <v>73150.600000000006</v>
      </c>
    </row>
    <row r="691" spans="1:15" ht="15.75" customHeight="1" x14ac:dyDescent="0.25">
      <c r="A691" s="104"/>
      <c r="B691" s="129"/>
      <c r="C691" s="51" t="s">
        <v>13</v>
      </c>
      <c r="D691" s="1">
        <f t="shared" si="266"/>
        <v>0</v>
      </c>
      <c r="E691" s="1">
        <v>0</v>
      </c>
      <c r="F691" s="1">
        <v>0</v>
      </c>
      <c r="G691" s="1">
        <v>0</v>
      </c>
      <c r="H691" s="1">
        <v>0</v>
      </c>
      <c r="I691" s="1">
        <v>0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1">
        <v>0</v>
      </c>
    </row>
    <row r="692" spans="1:15" ht="15.6" x14ac:dyDescent="0.25">
      <c r="A692" s="104" t="s">
        <v>143</v>
      </c>
      <c r="B692" s="129" t="s">
        <v>56</v>
      </c>
      <c r="C692" s="51" t="s">
        <v>7</v>
      </c>
      <c r="D692" s="1">
        <f t="shared" si="266"/>
        <v>576330.39999999991</v>
      </c>
      <c r="E692" s="1">
        <f t="shared" ref="E692:O692" si="299">SUM(E693:E696)</f>
        <v>31873.5</v>
      </c>
      <c r="F692" s="1">
        <f t="shared" si="299"/>
        <v>32215.200000000001</v>
      </c>
      <c r="G692" s="1">
        <f t="shared" si="299"/>
        <v>32536.1</v>
      </c>
      <c r="H692" s="1">
        <f t="shared" si="299"/>
        <v>34467.4</v>
      </c>
      <c r="I692" s="1">
        <f t="shared" si="299"/>
        <v>42249.1</v>
      </c>
      <c r="J692" s="1">
        <f t="shared" si="299"/>
        <v>51925.4</v>
      </c>
      <c r="K692" s="1">
        <f t="shared" si="299"/>
        <v>66037.599999999991</v>
      </c>
      <c r="L692" s="1">
        <f t="shared" si="299"/>
        <v>68344.899999999994</v>
      </c>
      <c r="M692" s="1">
        <f t="shared" si="299"/>
        <v>70380</v>
      </c>
      <c r="N692" s="1">
        <f t="shared" si="299"/>
        <v>73150.600000000006</v>
      </c>
      <c r="O692" s="1">
        <f t="shared" si="299"/>
        <v>73150.600000000006</v>
      </c>
    </row>
    <row r="693" spans="1:15" ht="15.6" x14ac:dyDescent="0.25">
      <c r="A693" s="104"/>
      <c r="B693" s="129"/>
      <c r="C693" s="51" t="s">
        <v>10</v>
      </c>
      <c r="D693" s="1">
        <f t="shared" si="266"/>
        <v>0</v>
      </c>
      <c r="E693" s="1">
        <v>0</v>
      </c>
      <c r="F693" s="1">
        <v>0</v>
      </c>
      <c r="G693" s="1">
        <v>0</v>
      </c>
      <c r="H693" s="1">
        <v>0</v>
      </c>
      <c r="I693" s="1">
        <v>0</v>
      </c>
      <c r="J693" s="1">
        <v>0</v>
      </c>
      <c r="K693" s="1">
        <v>0</v>
      </c>
      <c r="L693" s="1">
        <v>0</v>
      </c>
      <c r="M693" s="1">
        <v>0</v>
      </c>
      <c r="N693" s="1">
        <v>0</v>
      </c>
      <c r="O693" s="1">
        <v>0</v>
      </c>
    </row>
    <row r="694" spans="1:15" ht="15.6" x14ac:dyDescent="0.25">
      <c r="A694" s="104"/>
      <c r="B694" s="129"/>
      <c r="C694" s="51" t="s">
        <v>11</v>
      </c>
      <c r="D694" s="1">
        <f t="shared" si="266"/>
        <v>0</v>
      </c>
      <c r="E694" s="1">
        <v>0</v>
      </c>
      <c r="F694" s="1">
        <v>0</v>
      </c>
      <c r="G694" s="1">
        <v>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1">
        <v>0</v>
      </c>
    </row>
    <row r="695" spans="1:15" ht="15.6" x14ac:dyDescent="0.25">
      <c r="A695" s="104"/>
      <c r="B695" s="129"/>
      <c r="C695" s="51" t="s">
        <v>12</v>
      </c>
      <c r="D695" s="1">
        <f t="shared" si="266"/>
        <v>576330.39999999991</v>
      </c>
      <c r="E695" s="1">
        <v>31873.5</v>
      </c>
      <c r="F695" s="1">
        <v>32215.200000000001</v>
      </c>
      <c r="G695" s="1">
        <v>32536.1</v>
      </c>
      <c r="H695" s="1">
        <v>34467.4</v>
      </c>
      <c r="I695" s="1">
        <f>41599.1+650</f>
        <v>42249.1</v>
      </c>
      <c r="J695" s="1">
        <f>42649.1+750.8+7821.5+406.1+218.1+79.8</f>
        <v>51925.4</v>
      </c>
      <c r="K695" s="1">
        <f>57248.6+400.1+8388.9</f>
        <v>66037.599999999991</v>
      </c>
      <c r="L695" s="1">
        <f>67673.6+671.4-0.1</f>
        <v>68344.899999999994</v>
      </c>
      <c r="M695" s="1">
        <v>70380</v>
      </c>
      <c r="N695" s="1">
        <v>73150.600000000006</v>
      </c>
      <c r="O695" s="1">
        <f>N695</f>
        <v>73150.600000000006</v>
      </c>
    </row>
    <row r="696" spans="1:15" ht="21.75" customHeight="1" x14ac:dyDescent="0.25">
      <c r="A696" s="104"/>
      <c r="B696" s="129"/>
      <c r="C696" s="51" t="s">
        <v>13</v>
      </c>
      <c r="D696" s="1">
        <f t="shared" si="266"/>
        <v>0</v>
      </c>
      <c r="E696" s="1">
        <v>0</v>
      </c>
      <c r="F696" s="1">
        <v>0</v>
      </c>
      <c r="G696" s="1">
        <v>0</v>
      </c>
      <c r="H696" s="1">
        <v>0</v>
      </c>
      <c r="I696" s="1">
        <v>0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">
        <v>0</v>
      </c>
    </row>
    <row r="697" spans="1:15" ht="21.75" customHeight="1" x14ac:dyDescent="0.25">
      <c r="A697" s="87"/>
      <c r="B697" s="88"/>
      <c r="C697" s="89"/>
      <c r="D697" s="76"/>
      <c r="E697" s="76"/>
      <c r="F697" s="76"/>
      <c r="G697" s="76"/>
      <c r="H697" s="76"/>
      <c r="I697" s="76"/>
      <c r="J697" s="76"/>
      <c r="K697" s="76"/>
      <c r="L697" s="76"/>
      <c r="M697" s="76"/>
      <c r="N697" s="76"/>
      <c r="O697" s="76"/>
    </row>
    <row r="698" spans="1:15" ht="15.6" x14ac:dyDescent="0.25">
      <c r="A698" s="90"/>
      <c r="B698" s="90"/>
      <c r="C698" s="90"/>
      <c r="D698" s="91"/>
      <c r="E698" s="90"/>
      <c r="F698" s="90"/>
      <c r="G698" s="90"/>
      <c r="H698" s="92"/>
      <c r="I698" s="90"/>
      <c r="J698" s="90"/>
      <c r="K698" s="93"/>
    </row>
  </sheetData>
  <autoFilter ref="A7:Y696"/>
  <mergeCells count="260">
    <mergeCell ref="B356:B360"/>
    <mergeCell ref="A356:A360"/>
    <mergeCell ref="B361:B365"/>
    <mergeCell ref="B366:B370"/>
    <mergeCell ref="A361:A365"/>
    <mergeCell ref="A366:A370"/>
    <mergeCell ref="A351:A355"/>
    <mergeCell ref="B351:B355"/>
    <mergeCell ref="A78:A83"/>
    <mergeCell ref="B196:B200"/>
    <mergeCell ref="B301:B305"/>
    <mergeCell ref="A296:A300"/>
    <mergeCell ref="B296:B300"/>
    <mergeCell ref="A246:A250"/>
    <mergeCell ref="A261:A265"/>
    <mergeCell ref="B261:B265"/>
    <mergeCell ref="B211:B215"/>
    <mergeCell ref="B246:B250"/>
    <mergeCell ref="A231:A235"/>
    <mergeCell ref="B251:B255"/>
    <mergeCell ref="B231:B235"/>
    <mergeCell ref="B226:B230"/>
    <mergeCell ref="A251:A255"/>
    <mergeCell ref="B241:B245"/>
    <mergeCell ref="A53:A57"/>
    <mergeCell ref="B97:B102"/>
    <mergeCell ref="B84:B90"/>
    <mergeCell ref="B110:B116"/>
    <mergeCell ref="A91:A96"/>
    <mergeCell ref="A125:A133"/>
    <mergeCell ref="A256:A260"/>
    <mergeCell ref="B256:B260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B175:B180"/>
    <mergeCell ref="A206:A210"/>
    <mergeCell ref="B206:B210"/>
    <mergeCell ref="A211:A215"/>
    <mergeCell ref="A196:A200"/>
    <mergeCell ref="A236:A240"/>
    <mergeCell ref="B376:B380"/>
    <mergeCell ref="B371:B375"/>
    <mergeCell ref="A381:A385"/>
    <mergeCell ref="B381:B385"/>
    <mergeCell ref="A291:A295"/>
    <mergeCell ref="B271:B275"/>
    <mergeCell ref="B311:B315"/>
    <mergeCell ref="A376:A380"/>
    <mergeCell ref="A276:A280"/>
    <mergeCell ref="A371:A375"/>
    <mergeCell ref="A281:A285"/>
    <mergeCell ref="B276:B280"/>
    <mergeCell ref="B346:B350"/>
    <mergeCell ref="A336:A340"/>
    <mergeCell ref="B336:B340"/>
    <mergeCell ref="A306:A310"/>
    <mergeCell ref="B306:B310"/>
    <mergeCell ref="A271:A275"/>
    <mergeCell ref="B291:B295"/>
    <mergeCell ref="A331:A335"/>
    <mergeCell ref="B331:B335"/>
    <mergeCell ref="A286:A290"/>
    <mergeCell ref="B286:B290"/>
    <mergeCell ref="A301:A305"/>
    <mergeCell ref="A241:A245"/>
    <mergeCell ref="B266:B270"/>
    <mergeCell ref="A266:A270"/>
    <mergeCell ref="B632:B636"/>
    <mergeCell ref="A637:A641"/>
    <mergeCell ref="B637:B641"/>
    <mergeCell ref="B429:B433"/>
    <mergeCell ref="A469:A473"/>
    <mergeCell ref="A424:A428"/>
    <mergeCell ref="B401:B405"/>
    <mergeCell ref="A617:A621"/>
    <mergeCell ref="B617:B621"/>
    <mergeCell ref="A550:A554"/>
    <mergeCell ref="B417:B423"/>
    <mergeCell ref="B444:B448"/>
    <mergeCell ref="B544:B549"/>
    <mergeCell ref="B560:B564"/>
    <mergeCell ref="B555:B559"/>
    <mergeCell ref="B575:B579"/>
    <mergeCell ref="B550:B554"/>
    <mergeCell ref="B533:B537"/>
    <mergeCell ref="A479:A483"/>
    <mergeCell ref="A444:A448"/>
    <mergeCell ref="B424:B428"/>
    <mergeCell ref="B434:B438"/>
    <mergeCell ref="A692:A696"/>
    <mergeCell ref="B687:B691"/>
    <mergeCell ref="A687:A691"/>
    <mergeCell ref="B692:B696"/>
    <mergeCell ref="B590:B594"/>
    <mergeCell ref="A590:A594"/>
    <mergeCell ref="A657:A661"/>
    <mergeCell ref="B657:B661"/>
    <mergeCell ref="A682:A686"/>
    <mergeCell ref="B682:B686"/>
    <mergeCell ref="B652:B656"/>
    <mergeCell ref="A652:A656"/>
    <mergeCell ref="A662:A666"/>
    <mergeCell ref="B662:B666"/>
    <mergeCell ref="A606:A611"/>
    <mergeCell ref="B606:B611"/>
    <mergeCell ref="A647:A651"/>
    <mergeCell ref="A677:A681"/>
    <mergeCell ref="B677:B681"/>
    <mergeCell ref="A672:A676"/>
    <mergeCell ref="B672:B676"/>
    <mergeCell ref="A642:A646"/>
    <mergeCell ref="B642:B646"/>
    <mergeCell ref="A632:A636"/>
    <mergeCell ref="A17:A25"/>
    <mergeCell ref="A411:A416"/>
    <mergeCell ref="B17:B25"/>
    <mergeCell ref="B53:B57"/>
    <mergeCell ref="B71:B77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46:A350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A35:A40"/>
    <mergeCell ref="B35:B40"/>
    <mergeCell ref="B41:B46"/>
    <mergeCell ref="A41:A46"/>
    <mergeCell ref="A201:A205"/>
    <mergeCell ref="B386:B390"/>
    <mergeCell ref="B484:B488"/>
    <mergeCell ref="B396:B400"/>
    <mergeCell ref="A396:A400"/>
    <mergeCell ref="A406:A410"/>
    <mergeCell ref="B406:B410"/>
    <mergeCell ref="A459:A463"/>
    <mergeCell ref="B459:B463"/>
    <mergeCell ref="A439:A443"/>
    <mergeCell ref="B439:B443"/>
    <mergeCell ref="A391:A395"/>
    <mergeCell ref="B391:B395"/>
    <mergeCell ref="A454:A458"/>
    <mergeCell ref="B454:B458"/>
    <mergeCell ref="A386:A390"/>
    <mergeCell ref="B469:B473"/>
    <mergeCell ref="B411:B416"/>
    <mergeCell ref="A401:A405"/>
    <mergeCell ref="A474:A478"/>
    <mergeCell ref="A484:A488"/>
    <mergeCell ref="B474:B478"/>
    <mergeCell ref="A434:A438"/>
    <mergeCell ref="A417:A423"/>
    <mergeCell ref="A622:A626"/>
    <mergeCell ref="B622:B626"/>
    <mergeCell ref="B538:B543"/>
    <mergeCell ref="A511:A516"/>
    <mergeCell ref="A538:A543"/>
    <mergeCell ref="A580:A584"/>
    <mergeCell ref="A533:A537"/>
    <mergeCell ref="A560:A564"/>
    <mergeCell ref="A528:A532"/>
    <mergeCell ref="B565:B569"/>
    <mergeCell ref="A570:A574"/>
    <mergeCell ref="A565:A569"/>
    <mergeCell ref="A544:A549"/>
    <mergeCell ref="A555:A559"/>
    <mergeCell ref="A600:A605"/>
    <mergeCell ref="B600:B605"/>
    <mergeCell ref="A595:A599"/>
    <mergeCell ref="B595:B599"/>
    <mergeCell ref="A494:A498"/>
    <mergeCell ref="A489:A493"/>
    <mergeCell ref="A449:A453"/>
    <mergeCell ref="A464:A468"/>
    <mergeCell ref="A504:A510"/>
    <mergeCell ref="B511:B516"/>
    <mergeCell ref="B494:B498"/>
    <mergeCell ref="B504:B510"/>
    <mergeCell ref="B585:B589"/>
    <mergeCell ref="B580:B584"/>
    <mergeCell ref="A585:A589"/>
    <mergeCell ref="B489:B493"/>
    <mergeCell ref="B464:B468"/>
    <mergeCell ref="A517:A522"/>
    <mergeCell ref="A58:A64"/>
    <mergeCell ref="B58:B64"/>
    <mergeCell ref="B141:B148"/>
    <mergeCell ref="B125:B133"/>
    <mergeCell ref="B117:B124"/>
    <mergeCell ref="A134:A140"/>
    <mergeCell ref="A141:A148"/>
    <mergeCell ref="B186:B190"/>
    <mergeCell ref="A71:A77"/>
    <mergeCell ref="B168:B174"/>
    <mergeCell ref="B181:B185"/>
    <mergeCell ref="A65:A70"/>
    <mergeCell ref="A47:A52"/>
    <mergeCell ref="B47:B52"/>
    <mergeCell ref="A667:A671"/>
    <mergeCell ref="B667:B671"/>
    <mergeCell ref="B449:B453"/>
    <mergeCell ref="A429:A433"/>
    <mergeCell ref="B517:B522"/>
    <mergeCell ref="A523:A527"/>
    <mergeCell ref="B523:B527"/>
    <mergeCell ref="A499:A503"/>
    <mergeCell ref="B499:B503"/>
    <mergeCell ref="B528:B532"/>
    <mergeCell ref="B479:B483"/>
    <mergeCell ref="A575:A579"/>
    <mergeCell ref="B570:B574"/>
    <mergeCell ref="B647:B651"/>
    <mergeCell ref="A627:A631"/>
    <mergeCell ref="B627:B631"/>
    <mergeCell ref="B612:B616"/>
    <mergeCell ref="A612:A616"/>
    <mergeCell ref="A168:A174"/>
    <mergeCell ref="A181:A185"/>
    <mergeCell ref="B201:B205"/>
    <mergeCell ref="B78:B83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2022-03-31T05:38:59Z</cp:lastPrinted>
  <dcterms:created xsi:type="dcterms:W3CDTF">1996-10-08T23:32:33Z</dcterms:created>
  <dcterms:modified xsi:type="dcterms:W3CDTF">2022-05-20T05:38:51Z</dcterms:modified>
</cp:coreProperties>
</file>