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356" yWindow="828" windowWidth="19992" windowHeight="12276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3_'!$A$7:$Y$641</definedName>
    <definedName name="_xlnm.Print_Titles" localSheetId="1">'Таблица № 3_'!$5:$6</definedName>
    <definedName name="_xlnm.Print_Area" localSheetId="0">'Таблица № 3'!$A$1:$S$120</definedName>
    <definedName name="_xlnm.Print_Area" localSheetId="1">'Таблица № 3_'!$A$1:$O$641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9" i="6" l="1"/>
  <c r="K553" i="6"/>
  <c r="K470" i="6" l="1"/>
  <c r="K20" i="6" l="1"/>
  <c r="K605" i="6"/>
  <c r="K11" i="6"/>
  <c r="K427" i="6"/>
  <c r="K199" i="6"/>
  <c r="K625" i="6" l="1"/>
  <c r="K329" i="6"/>
  <c r="K590" i="6" l="1"/>
  <c r="K580" i="6"/>
  <c r="K377" i="6" l="1"/>
  <c r="K198" i="6"/>
  <c r="K38" i="6"/>
  <c r="K604" i="6" l="1"/>
  <c r="K224" i="6" l="1"/>
  <c r="K570" i="6" l="1"/>
  <c r="K543" i="6"/>
  <c r="K528" i="6"/>
  <c r="M476" i="6"/>
  <c r="L476" i="6"/>
  <c r="M470" i="6"/>
  <c r="L470" i="6"/>
  <c r="M447" i="6"/>
  <c r="L447" i="6"/>
  <c r="M377" i="6"/>
  <c r="L377" i="6"/>
  <c r="M370" i="6"/>
  <c r="L370" i="6"/>
  <c r="M359" i="6"/>
  <c r="L359" i="6"/>
  <c r="M339" i="6"/>
  <c r="L339" i="6"/>
  <c r="M329" i="6"/>
  <c r="L329" i="6"/>
  <c r="M298" i="6"/>
  <c r="L298" i="6"/>
  <c r="M238" i="6"/>
  <c r="L238" i="6"/>
  <c r="K44" i="6"/>
  <c r="K476" i="6" l="1"/>
  <c r="K447" i="6"/>
  <c r="L382" i="6"/>
  <c r="K294" i="6" l="1"/>
  <c r="K359" i="6" l="1"/>
  <c r="O640" i="6" l="1"/>
  <c r="O518" i="6"/>
  <c r="N497" i="6"/>
  <c r="O497" i="6"/>
  <c r="O491" i="6" s="1"/>
  <c r="N491" i="6"/>
  <c r="M497" i="6"/>
  <c r="M491" i="6" s="1"/>
  <c r="L497" i="6"/>
  <c r="L491" i="6" s="1"/>
  <c r="L464" i="6"/>
  <c r="M464" i="6"/>
  <c r="N464" i="6"/>
  <c r="O464" i="6"/>
  <c r="L437" i="6"/>
  <c r="M437" i="6"/>
  <c r="M432" i="6" s="1"/>
  <c r="N437" i="6"/>
  <c r="N432" i="6" s="1"/>
  <c r="O437" i="6"/>
  <c r="L432" i="6"/>
  <c r="O432" i="6"/>
  <c r="L364" i="6"/>
  <c r="M364" i="6"/>
  <c r="N364" i="6"/>
  <c r="L324" i="6"/>
  <c r="M324" i="6"/>
  <c r="N324" i="6"/>
  <c r="O324" i="6"/>
  <c r="O389" i="6" l="1"/>
  <c r="N389" i="6"/>
  <c r="M389" i="6"/>
  <c r="L389" i="6"/>
  <c r="K389" i="6"/>
  <c r="J389" i="6"/>
  <c r="I389" i="6"/>
  <c r="H389" i="6"/>
  <c r="G389" i="6"/>
  <c r="F389" i="6"/>
  <c r="E389" i="6"/>
  <c r="D393" i="6"/>
  <c r="D392" i="6"/>
  <c r="D391" i="6"/>
  <c r="D390" i="6"/>
  <c r="D389" i="6" l="1"/>
  <c r="K209" i="6"/>
  <c r="K508" i="6" l="1"/>
  <c r="K559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397" i="6"/>
  <c r="D413" i="6"/>
  <c r="D412" i="6"/>
  <c r="D411" i="6"/>
  <c r="D410" i="6"/>
  <c r="O409" i="6"/>
  <c r="N409" i="6"/>
  <c r="M409" i="6"/>
  <c r="L409" i="6"/>
  <c r="K409" i="6"/>
  <c r="J409" i="6"/>
  <c r="I409" i="6"/>
  <c r="H409" i="6"/>
  <c r="G409" i="6"/>
  <c r="F409" i="6"/>
  <c r="E409" i="6"/>
  <c r="D409" i="6" l="1"/>
  <c r="K251" i="6"/>
  <c r="D596" i="6" l="1"/>
  <c r="D595" i="6"/>
  <c r="D594" i="6"/>
  <c r="D593" i="6"/>
  <c r="O592" i="6"/>
  <c r="N592" i="6"/>
  <c r="M592" i="6"/>
  <c r="L592" i="6"/>
  <c r="K592" i="6"/>
  <c r="J592" i="6"/>
  <c r="I592" i="6"/>
  <c r="H592" i="6"/>
  <c r="G592" i="6"/>
  <c r="F592" i="6"/>
  <c r="E592" i="6"/>
  <c r="D592" i="6" l="1"/>
  <c r="K620" i="6"/>
  <c r="J620" i="6"/>
  <c r="J617" i="6" s="1"/>
  <c r="O623" i="6"/>
  <c r="N623" i="6"/>
  <c r="N622" i="6" s="1"/>
  <c r="M623" i="6"/>
  <c r="L623" i="6"/>
  <c r="L622" i="6" s="1"/>
  <c r="K623" i="6"/>
  <c r="K622" i="6" s="1"/>
  <c r="O618" i="6"/>
  <c r="O617" i="6" s="1"/>
  <c r="N618" i="6"/>
  <c r="N617" i="6" s="1"/>
  <c r="M618" i="6"/>
  <c r="M617" i="6" s="1"/>
  <c r="L618" i="6"/>
  <c r="L617" i="6" s="1"/>
  <c r="K618" i="6"/>
  <c r="I626" i="6"/>
  <c r="H626" i="6"/>
  <c r="G626" i="6"/>
  <c r="F626" i="6"/>
  <c r="E626" i="6"/>
  <c r="I623" i="6"/>
  <c r="H623" i="6"/>
  <c r="G623" i="6"/>
  <c r="F623" i="6"/>
  <c r="E623" i="6"/>
  <c r="I621" i="6"/>
  <c r="I617" i="6" s="1"/>
  <c r="H621" i="6"/>
  <c r="G621" i="6"/>
  <c r="F621" i="6"/>
  <c r="E621" i="6"/>
  <c r="I618" i="6"/>
  <c r="H618" i="6"/>
  <c r="G618" i="6"/>
  <c r="F618" i="6"/>
  <c r="E618" i="6"/>
  <c r="D625" i="6"/>
  <c r="D624" i="6"/>
  <c r="M622" i="6"/>
  <c r="J622" i="6"/>
  <c r="D619" i="6"/>
  <c r="D591" i="6"/>
  <c r="D590" i="6"/>
  <c r="D589" i="6"/>
  <c r="D588" i="6"/>
  <c r="O587" i="6"/>
  <c r="N587" i="6"/>
  <c r="M587" i="6"/>
  <c r="L587" i="6"/>
  <c r="K587" i="6"/>
  <c r="J587" i="6"/>
  <c r="I587" i="6"/>
  <c r="H587" i="6"/>
  <c r="G587" i="6"/>
  <c r="F587" i="6"/>
  <c r="E587" i="6"/>
  <c r="D584" i="6"/>
  <c r="D586" i="6"/>
  <c r="D585" i="6"/>
  <c r="D583" i="6"/>
  <c r="O582" i="6"/>
  <c r="N582" i="6"/>
  <c r="M582" i="6"/>
  <c r="L582" i="6"/>
  <c r="K582" i="6"/>
  <c r="J582" i="6"/>
  <c r="I582" i="6"/>
  <c r="H582" i="6"/>
  <c r="G582" i="6"/>
  <c r="F582" i="6"/>
  <c r="E582" i="6"/>
  <c r="G622" i="6" l="1"/>
  <c r="E617" i="6"/>
  <c r="G617" i="6"/>
  <c r="F617" i="6"/>
  <c r="H617" i="6"/>
  <c r="D623" i="6"/>
  <c r="I622" i="6"/>
  <c r="D587" i="6"/>
  <c r="D621" i="6"/>
  <c r="D618" i="6"/>
  <c r="E622" i="6"/>
  <c r="F622" i="6"/>
  <c r="H622" i="6"/>
  <c r="D626" i="6"/>
  <c r="D622" i="6" s="1"/>
  <c r="D620" i="6"/>
  <c r="K617" i="6"/>
  <c r="D617" i="6" s="1"/>
  <c r="D582" i="6"/>
  <c r="K238" i="6"/>
  <c r="K298" i="6" l="1"/>
  <c r="K29" i="6" s="1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284" i="6" l="1"/>
  <c r="K364" i="6" l="1"/>
  <c r="K184" i="6" l="1"/>
  <c r="K32" i="6" s="1"/>
  <c r="O577" i="6" l="1"/>
  <c r="N577" i="6"/>
  <c r="M577" i="6"/>
  <c r="L577" i="6"/>
  <c r="K577" i="6"/>
  <c r="J577" i="6"/>
  <c r="I577" i="6"/>
  <c r="H577" i="6"/>
  <c r="G577" i="6"/>
  <c r="F577" i="6"/>
  <c r="E577" i="6"/>
  <c r="D581" i="6"/>
  <c r="D580" i="6"/>
  <c r="D579" i="6"/>
  <c r="D578" i="6"/>
  <c r="K640" i="6"/>
  <c r="K518" i="6"/>
  <c r="K324" i="6"/>
  <c r="D357" i="6"/>
  <c r="D358" i="6"/>
  <c r="D359" i="6"/>
  <c r="D360" i="6"/>
  <c r="F356" i="6"/>
  <c r="G356" i="6"/>
  <c r="H356" i="6"/>
  <c r="I356" i="6"/>
  <c r="J356" i="6"/>
  <c r="K356" i="6"/>
  <c r="L356" i="6"/>
  <c r="M356" i="6"/>
  <c r="N356" i="6"/>
  <c r="O356" i="6"/>
  <c r="E356" i="6"/>
  <c r="D577" i="6" l="1"/>
  <c r="D356" i="6"/>
  <c r="O572" i="6"/>
  <c r="N572" i="6"/>
  <c r="M572" i="6"/>
  <c r="L572" i="6"/>
  <c r="K572" i="6"/>
  <c r="J572" i="6"/>
  <c r="I572" i="6"/>
  <c r="H572" i="6"/>
  <c r="G572" i="6"/>
  <c r="F572" i="6"/>
  <c r="E572" i="6"/>
  <c r="D576" i="6"/>
  <c r="D575" i="6"/>
  <c r="D574" i="6"/>
  <c r="D573" i="6"/>
  <c r="D572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497" i="6" l="1"/>
  <c r="K424" i="6" l="1"/>
  <c r="E395" i="6" l="1"/>
  <c r="F395" i="6"/>
  <c r="G395" i="6"/>
  <c r="H395" i="6"/>
  <c r="I395" i="6"/>
  <c r="J395" i="6"/>
  <c r="F398" i="6" l="1"/>
  <c r="G398" i="6"/>
  <c r="H398" i="6"/>
  <c r="I398" i="6"/>
  <c r="J398" i="6"/>
  <c r="K398" i="6"/>
  <c r="L398" i="6"/>
  <c r="M398" i="6"/>
  <c r="N398" i="6"/>
  <c r="O398" i="6"/>
  <c r="E398" i="6"/>
  <c r="F397" i="6"/>
  <c r="G397" i="6"/>
  <c r="H397" i="6"/>
  <c r="I397" i="6"/>
  <c r="L397" i="6"/>
  <c r="M397" i="6"/>
  <c r="N397" i="6"/>
  <c r="O397" i="6"/>
  <c r="E397" i="6"/>
  <c r="F396" i="6"/>
  <c r="G396" i="6"/>
  <c r="H396" i="6"/>
  <c r="I396" i="6"/>
  <c r="J396" i="6"/>
  <c r="K396" i="6"/>
  <c r="L396" i="6"/>
  <c r="M396" i="6"/>
  <c r="N396" i="6"/>
  <c r="O396" i="6"/>
  <c r="E396" i="6"/>
  <c r="K395" i="6"/>
  <c r="L395" i="6"/>
  <c r="M395" i="6"/>
  <c r="N395" i="6"/>
  <c r="O395" i="6"/>
  <c r="D405" i="6"/>
  <c r="D406" i="6"/>
  <c r="D407" i="6"/>
  <c r="D408" i="6"/>
  <c r="F404" i="6"/>
  <c r="G404" i="6"/>
  <c r="H404" i="6"/>
  <c r="I404" i="6"/>
  <c r="J404" i="6"/>
  <c r="K404" i="6"/>
  <c r="L404" i="6"/>
  <c r="M404" i="6"/>
  <c r="N404" i="6"/>
  <c r="O404" i="6"/>
  <c r="E404" i="6"/>
  <c r="F399" i="6"/>
  <c r="G399" i="6"/>
  <c r="H399" i="6"/>
  <c r="I399" i="6"/>
  <c r="K399" i="6"/>
  <c r="L399" i="6"/>
  <c r="M399" i="6"/>
  <c r="N399" i="6"/>
  <c r="O399" i="6"/>
  <c r="E399" i="6"/>
  <c r="D425" i="6"/>
  <c r="D426" i="6"/>
  <c r="D427" i="6"/>
  <c r="D428" i="6"/>
  <c r="F418" i="6"/>
  <c r="G418" i="6"/>
  <c r="H418" i="6"/>
  <c r="I418" i="6"/>
  <c r="J418" i="6"/>
  <c r="K418" i="6"/>
  <c r="L418" i="6"/>
  <c r="M418" i="6"/>
  <c r="N418" i="6"/>
  <c r="O418" i="6"/>
  <c r="E418" i="6"/>
  <c r="F417" i="6"/>
  <c r="G417" i="6"/>
  <c r="H417" i="6"/>
  <c r="I417" i="6"/>
  <c r="J417" i="6"/>
  <c r="K417" i="6"/>
  <c r="L417" i="6"/>
  <c r="M417" i="6"/>
  <c r="N417" i="6"/>
  <c r="O417" i="6"/>
  <c r="E417" i="6"/>
  <c r="F416" i="6"/>
  <c r="G416" i="6"/>
  <c r="H416" i="6"/>
  <c r="I416" i="6"/>
  <c r="J416" i="6"/>
  <c r="K416" i="6"/>
  <c r="L416" i="6"/>
  <c r="M416" i="6"/>
  <c r="N416" i="6"/>
  <c r="O416" i="6"/>
  <c r="E416" i="6"/>
  <c r="F415" i="6"/>
  <c r="G415" i="6"/>
  <c r="H415" i="6"/>
  <c r="I415" i="6"/>
  <c r="J415" i="6"/>
  <c r="K415" i="6"/>
  <c r="L415" i="6"/>
  <c r="M415" i="6"/>
  <c r="N415" i="6"/>
  <c r="O415" i="6"/>
  <c r="E415" i="6"/>
  <c r="F424" i="6"/>
  <c r="G424" i="6"/>
  <c r="H424" i="6"/>
  <c r="I424" i="6"/>
  <c r="J424" i="6"/>
  <c r="L424" i="6"/>
  <c r="M424" i="6"/>
  <c r="N424" i="6"/>
  <c r="O424" i="6"/>
  <c r="E424" i="6"/>
  <c r="D404" i="6" l="1"/>
  <c r="D424" i="6"/>
  <c r="O29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559" i="6" l="1"/>
  <c r="J512" i="6"/>
  <c r="J264" i="6"/>
  <c r="J640" i="6" l="1"/>
  <c r="J553" i="6" l="1"/>
  <c r="J543" i="6"/>
  <c r="J508" i="6"/>
  <c r="J476" i="6"/>
  <c r="J447" i="6"/>
  <c r="J329" i="6"/>
  <c r="J518" i="6" l="1"/>
  <c r="J370" i="6"/>
  <c r="J339" i="6"/>
  <c r="J269" i="6"/>
  <c r="J184" i="6"/>
  <c r="J274" i="6"/>
  <c r="J38" i="6"/>
  <c r="J570" i="6"/>
  <c r="J219" i="6"/>
  <c r="J470" i="6" l="1"/>
  <c r="M196" i="6" l="1"/>
  <c r="L196" i="6"/>
  <c r="K196" i="6"/>
  <c r="O387" i="6"/>
  <c r="O364" i="6" s="1"/>
  <c r="L496" i="6"/>
  <c r="L490" i="6" s="1"/>
  <c r="M496" i="6"/>
  <c r="N496" i="6"/>
  <c r="O496" i="6"/>
  <c r="K496" i="6"/>
  <c r="M490" i="6"/>
  <c r="K599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382" i="6"/>
  <c r="J402" i="6"/>
  <c r="J599" i="6"/>
  <c r="J600" i="6"/>
  <c r="J601" i="6"/>
  <c r="J204" i="6"/>
  <c r="E464" i="6"/>
  <c r="J464" i="6"/>
  <c r="J528" i="6"/>
  <c r="J377" i="6"/>
  <c r="J547" i="6"/>
  <c r="J532" i="6"/>
  <c r="J343" i="6"/>
  <c r="J333" i="6"/>
  <c r="J196" i="6"/>
  <c r="J419" i="6"/>
  <c r="K419" i="6"/>
  <c r="L419" i="6"/>
  <c r="J62" i="6"/>
  <c r="D62" i="6" s="1"/>
  <c r="D140" i="6"/>
  <c r="J249" i="6"/>
  <c r="D249" i="6" s="1"/>
  <c r="I489" i="6"/>
  <c r="E489" i="6"/>
  <c r="I616" i="6"/>
  <c r="I611" i="6" s="1"/>
  <c r="H616" i="6"/>
  <c r="H611" i="6" s="1"/>
  <c r="G616" i="6"/>
  <c r="G611" i="6" s="1"/>
  <c r="F616" i="6"/>
  <c r="F611" i="6" s="1"/>
  <c r="E616" i="6"/>
  <c r="E611" i="6" s="1"/>
  <c r="D615" i="6"/>
  <c r="D614" i="6"/>
  <c r="O613" i="6"/>
  <c r="O612" i="6" s="1"/>
  <c r="N613" i="6"/>
  <c r="N612" i="6" s="1"/>
  <c r="M613" i="6"/>
  <c r="M612" i="6" s="1"/>
  <c r="L613" i="6"/>
  <c r="L612" i="6" s="1"/>
  <c r="K613" i="6"/>
  <c r="K612" i="6" s="1"/>
  <c r="J613" i="6"/>
  <c r="J612" i="6" s="1"/>
  <c r="I613" i="6"/>
  <c r="I608" i="6" s="1"/>
  <c r="H613" i="6"/>
  <c r="G613" i="6"/>
  <c r="G612" i="6" s="1"/>
  <c r="F613" i="6"/>
  <c r="F608" i="6" s="1"/>
  <c r="E613" i="6"/>
  <c r="E608" i="6" s="1"/>
  <c r="K611" i="6"/>
  <c r="J611" i="6"/>
  <c r="K610" i="6"/>
  <c r="J610" i="6"/>
  <c r="I610" i="6"/>
  <c r="H610" i="6"/>
  <c r="G610" i="6"/>
  <c r="E610" i="6"/>
  <c r="F610" i="6"/>
  <c r="K609" i="6"/>
  <c r="J609" i="6"/>
  <c r="I609" i="6"/>
  <c r="H609" i="6"/>
  <c r="G609" i="6"/>
  <c r="F609" i="6"/>
  <c r="E609" i="6"/>
  <c r="O608" i="6"/>
  <c r="O607" i="6" s="1"/>
  <c r="N608" i="6"/>
  <c r="N607" i="6" s="1"/>
  <c r="M608" i="6"/>
  <c r="M607" i="6" s="1"/>
  <c r="L608" i="6"/>
  <c r="L607" i="6" s="1"/>
  <c r="J259" i="6"/>
  <c r="J256" i="6" s="1"/>
  <c r="J608" i="6"/>
  <c r="E462" i="6"/>
  <c r="F462" i="6"/>
  <c r="G462" i="6"/>
  <c r="G479" i="6"/>
  <c r="H462" i="6"/>
  <c r="I462" i="6"/>
  <c r="J462" i="6"/>
  <c r="K462" i="6"/>
  <c r="K479" i="6"/>
  <c r="L462" i="6"/>
  <c r="M462" i="6"/>
  <c r="N462" i="6"/>
  <c r="O462" i="6"/>
  <c r="O479" i="6"/>
  <c r="E463" i="6"/>
  <c r="F463" i="6"/>
  <c r="G463" i="6"/>
  <c r="H463" i="6"/>
  <c r="H480" i="6"/>
  <c r="I463" i="6"/>
  <c r="J463" i="6"/>
  <c r="K463" i="6"/>
  <c r="L463" i="6"/>
  <c r="L466" i="6"/>
  <c r="M463" i="6"/>
  <c r="N463" i="6"/>
  <c r="O463" i="6"/>
  <c r="F464" i="6"/>
  <c r="F481" i="6"/>
  <c r="G464" i="6"/>
  <c r="H464" i="6"/>
  <c r="I464" i="6"/>
  <c r="K464" i="6"/>
  <c r="K481" i="6"/>
  <c r="E465" i="6"/>
  <c r="E455" i="6" s="1"/>
  <c r="F465" i="6"/>
  <c r="G465" i="6"/>
  <c r="H465" i="6"/>
  <c r="I465" i="6"/>
  <c r="I459" i="6" s="1"/>
  <c r="J465" i="6"/>
  <c r="K465" i="6"/>
  <c r="L465" i="6"/>
  <c r="M465" i="6"/>
  <c r="M455" i="6" s="1"/>
  <c r="N465" i="6"/>
  <c r="O465" i="6"/>
  <c r="E466" i="6"/>
  <c r="F466" i="6"/>
  <c r="G466" i="6"/>
  <c r="H466" i="6"/>
  <c r="I466" i="6"/>
  <c r="J466" i="6"/>
  <c r="K466" i="6"/>
  <c r="M466" i="6"/>
  <c r="N466" i="6"/>
  <c r="N460" i="6" s="1"/>
  <c r="O466" i="6"/>
  <c r="O460" i="6" s="1"/>
  <c r="F479" i="6"/>
  <c r="H479" i="6"/>
  <c r="I479" i="6"/>
  <c r="J479" i="6"/>
  <c r="L479" i="6"/>
  <c r="M479" i="6"/>
  <c r="N479" i="6"/>
  <c r="F480" i="6"/>
  <c r="G480" i="6"/>
  <c r="I480" i="6"/>
  <c r="J480" i="6"/>
  <c r="K480" i="6"/>
  <c r="L480" i="6"/>
  <c r="M480" i="6"/>
  <c r="N480" i="6"/>
  <c r="O480" i="6"/>
  <c r="G481" i="6"/>
  <c r="H481" i="6"/>
  <c r="I481" i="6"/>
  <c r="J481" i="6"/>
  <c r="L481" i="6"/>
  <c r="L458" i="6" s="1"/>
  <c r="M481" i="6"/>
  <c r="M458" i="6" s="1"/>
  <c r="N481" i="6"/>
  <c r="N458" i="6" s="1"/>
  <c r="O481" i="6"/>
  <c r="O458" i="6" s="1"/>
  <c r="F482" i="6"/>
  <c r="G482" i="6"/>
  <c r="H482" i="6"/>
  <c r="I482" i="6"/>
  <c r="J482" i="6"/>
  <c r="K482" i="6"/>
  <c r="L482" i="6"/>
  <c r="M482" i="6"/>
  <c r="N482" i="6"/>
  <c r="O482" i="6"/>
  <c r="E482" i="6"/>
  <c r="E480" i="6"/>
  <c r="E481" i="6"/>
  <c r="E479" i="6"/>
  <c r="D487" i="6"/>
  <c r="D486" i="6"/>
  <c r="D485" i="6"/>
  <c r="D484" i="6"/>
  <c r="O483" i="6"/>
  <c r="N483" i="6"/>
  <c r="M483" i="6"/>
  <c r="L483" i="6"/>
  <c r="K483" i="6"/>
  <c r="J483" i="6"/>
  <c r="I483" i="6"/>
  <c r="H483" i="6"/>
  <c r="G483" i="6"/>
  <c r="F483" i="6"/>
  <c r="E483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N48" i="5"/>
  <c r="N49" i="5"/>
  <c r="H49" i="5" s="1"/>
  <c r="N47" i="5"/>
  <c r="N46" i="5"/>
  <c r="N45" i="5"/>
  <c r="N43" i="5"/>
  <c r="N19" i="5"/>
  <c r="N18" i="5"/>
  <c r="J497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545" i="6"/>
  <c r="I567" i="6"/>
  <c r="Q567" i="6" s="1"/>
  <c r="I365" i="6"/>
  <c r="M19" i="5"/>
  <c r="H19" i="5" s="1"/>
  <c r="I44" i="6"/>
  <c r="N118" i="5"/>
  <c r="N115" i="5" s="1"/>
  <c r="N69" i="5"/>
  <c r="H55" i="5"/>
  <c r="H56" i="5"/>
  <c r="L58" i="6"/>
  <c r="M58" i="6"/>
  <c r="N58" i="6"/>
  <c r="O58" i="6"/>
  <c r="J363" i="6"/>
  <c r="D265" i="6"/>
  <c r="D264" i="6"/>
  <c r="D263" i="6"/>
  <c r="D262" i="6"/>
  <c r="O261" i="6"/>
  <c r="N261" i="6"/>
  <c r="M261" i="6"/>
  <c r="L261" i="6"/>
  <c r="K261" i="6"/>
  <c r="J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23" i="6"/>
  <c r="D422" i="6"/>
  <c r="D421" i="6"/>
  <c r="D420" i="6"/>
  <c r="O419" i="6"/>
  <c r="N419" i="6"/>
  <c r="M419" i="6"/>
  <c r="I419" i="6"/>
  <c r="H419" i="6"/>
  <c r="G419" i="6"/>
  <c r="F419" i="6"/>
  <c r="E419" i="6"/>
  <c r="I41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8" i="6"/>
  <c r="M394" i="6"/>
  <c r="D403" i="6"/>
  <c r="D402" i="6"/>
  <c r="D401" i="6"/>
  <c r="D400" i="6"/>
  <c r="M118" i="5"/>
  <c r="I640" i="6"/>
  <c r="I635" i="6" s="1"/>
  <c r="I632" i="6" s="1"/>
  <c r="I630" i="6" s="1"/>
  <c r="I543" i="6"/>
  <c r="I540" i="6" s="1"/>
  <c r="I528" i="6"/>
  <c r="I443" i="6"/>
  <c r="M96" i="5"/>
  <c r="H96" i="5" s="1"/>
  <c r="M99" i="5"/>
  <c r="M101" i="5"/>
  <c r="H101" i="5" s="1"/>
  <c r="M119" i="5"/>
  <c r="M105" i="5"/>
  <c r="M93" i="5" s="1"/>
  <c r="M106" i="5"/>
  <c r="H106" i="5" s="1"/>
  <c r="M97" i="5"/>
  <c r="M69" i="5"/>
  <c r="H69" i="5" s="1"/>
  <c r="M68" i="5"/>
  <c r="M67" i="5"/>
  <c r="H67" i="5" s="1"/>
  <c r="I382" i="6"/>
  <c r="I508" i="6"/>
  <c r="D508" i="6" s="1"/>
  <c r="I559" i="6"/>
  <c r="I518" i="6"/>
  <c r="I333" i="6"/>
  <c r="D333" i="6" s="1"/>
  <c r="I377" i="6"/>
  <c r="D377" i="6" s="1"/>
  <c r="I370" i="6"/>
  <c r="I343" i="6"/>
  <c r="I447" i="6"/>
  <c r="M76" i="5"/>
  <c r="H76" i="5" s="1"/>
  <c r="Q85" i="5"/>
  <c r="H85" i="5" s="1"/>
  <c r="I91" i="5"/>
  <c r="D570" i="6"/>
  <c r="D571" i="6"/>
  <c r="D569" i="6"/>
  <c r="D568" i="6"/>
  <c r="O567" i="6"/>
  <c r="N567" i="6"/>
  <c r="M567" i="6"/>
  <c r="L567" i="6"/>
  <c r="K567" i="6"/>
  <c r="J567" i="6"/>
  <c r="H567" i="6"/>
  <c r="G567" i="6"/>
  <c r="E567" i="6"/>
  <c r="F567" i="6"/>
  <c r="J91" i="5"/>
  <c r="K91" i="5"/>
  <c r="L91" i="5"/>
  <c r="O91" i="5"/>
  <c r="P91" i="5"/>
  <c r="Q91" i="5"/>
  <c r="R91" i="5"/>
  <c r="S91" i="5"/>
  <c r="H108" i="5"/>
  <c r="M40" i="5"/>
  <c r="M17" i="5" s="1"/>
  <c r="L341" i="6"/>
  <c r="M341" i="6"/>
  <c r="N341" i="6"/>
  <c r="O341" i="6"/>
  <c r="L331" i="6"/>
  <c r="M331" i="6"/>
  <c r="N331" i="6"/>
  <c r="O33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53" i="5"/>
  <c r="H62" i="5"/>
  <c r="H63" i="5"/>
  <c r="H64" i="5"/>
  <c r="H65" i="5"/>
  <c r="H70" i="5"/>
  <c r="D633" i="6"/>
  <c r="D634" i="6"/>
  <c r="D636" i="6"/>
  <c r="D638" i="6"/>
  <c r="D639" i="6"/>
  <c r="D641" i="6"/>
  <c r="D604" i="6"/>
  <c r="D605" i="6"/>
  <c r="D563" i="6"/>
  <c r="D564" i="6"/>
  <c r="D565" i="6"/>
  <c r="D566" i="6"/>
  <c r="D557" i="6"/>
  <c r="D558" i="6"/>
  <c r="D560" i="6"/>
  <c r="D561" i="6"/>
  <c r="D551" i="6"/>
  <c r="D552" i="6"/>
  <c r="D553" i="6"/>
  <c r="D554" i="6"/>
  <c r="D555" i="6"/>
  <c r="D546" i="6"/>
  <c r="D548" i="6"/>
  <c r="D549" i="6"/>
  <c r="D541" i="6"/>
  <c r="D542" i="6"/>
  <c r="D544" i="6"/>
  <c r="D536" i="6"/>
  <c r="D537" i="6"/>
  <c r="D538" i="6"/>
  <c r="D539" i="6"/>
  <c r="D531" i="6"/>
  <c r="D532" i="6"/>
  <c r="D533" i="6"/>
  <c r="D534" i="6"/>
  <c r="D526" i="6"/>
  <c r="D527" i="6"/>
  <c r="D529" i="6"/>
  <c r="D521" i="6"/>
  <c r="D522" i="6"/>
  <c r="D523" i="6"/>
  <c r="D524" i="6"/>
  <c r="D516" i="6"/>
  <c r="D517" i="6"/>
  <c r="D519" i="6"/>
  <c r="D511" i="6"/>
  <c r="D512" i="6"/>
  <c r="D513" i="6"/>
  <c r="D514" i="6"/>
  <c r="D506" i="6"/>
  <c r="D507" i="6"/>
  <c r="D509" i="6"/>
  <c r="D474" i="6"/>
  <c r="D475" i="6"/>
  <c r="D476" i="6"/>
  <c r="D477" i="6"/>
  <c r="D468" i="6"/>
  <c r="D469" i="6"/>
  <c r="D470" i="6"/>
  <c r="D471" i="6"/>
  <c r="D472" i="6"/>
  <c r="D450" i="6"/>
  <c r="D451" i="6"/>
  <c r="D452" i="6"/>
  <c r="D453" i="6"/>
  <c r="D445" i="6"/>
  <c r="D446" i="6"/>
  <c r="D448" i="6"/>
  <c r="E449" i="6"/>
  <c r="F449" i="6"/>
  <c r="G449" i="6"/>
  <c r="H449" i="6"/>
  <c r="I449" i="6"/>
  <c r="J449" i="6"/>
  <c r="K449" i="6"/>
  <c r="L449" i="6"/>
  <c r="M449" i="6"/>
  <c r="N449" i="6"/>
  <c r="O449" i="6"/>
  <c r="D440" i="6"/>
  <c r="D441" i="6"/>
  <c r="D442" i="6"/>
  <c r="D443" i="6"/>
  <c r="D385" i="6"/>
  <c r="D386" i="6"/>
  <c r="D388" i="6"/>
  <c r="D381" i="6"/>
  <c r="D383" i="6"/>
  <c r="D380" i="6"/>
  <c r="D375" i="6"/>
  <c r="D376" i="6"/>
  <c r="D378" i="6"/>
  <c r="D368" i="6"/>
  <c r="D369" i="6"/>
  <c r="D371" i="6"/>
  <c r="D372" i="6"/>
  <c r="D373" i="6"/>
  <c r="D366" i="6"/>
  <c r="D352" i="6"/>
  <c r="D353" i="6"/>
  <c r="D354" i="6"/>
  <c r="D355" i="6"/>
  <c r="D347" i="6"/>
  <c r="D348" i="6"/>
  <c r="D349" i="6"/>
  <c r="D350" i="6"/>
  <c r="D342" i="6"/>
  <c r="D344" i="6"/>
  <c r="D345" i="6"/>
  <c r="D337" i="6"/>
  <c r="D338" i="6"/>
  <c r="D339" i="6"/>
  <c r="D340" i="6"/>
  <c r="D332" i="6"/>
  <c r="D334" i="6"/>
  <c r="D335" i="6"/>
  <c r="D327" i="6"/>
  <c r="D328" i="6"/>
  <c r="D329" i="6"/>
  <c r="D33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4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556" i="6"/>
  <c r="M556" i="6"/>
  <c r="M635" i="6"/>
  <c r="M630" i="6" s="1"/>
  <c r="L635" i="6"/>
  <c r="L632" i="6" s="1"/>
  <c r="L637" i="6"/>
  <c r="L556" i="6"/>
  <c r="O556" i="6"/>
  <c r="O384" i="6"/>
  <c r="M63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Q116" i="5"/>
  <c r="R116" i="5" s="1"/>
  <c r="S116" i="5" s="1"/>
  <c r="P115" i="5"/>
  <c r="P82" i="5"/>
  <c r="P78" i="5" s="1"/>
  <c r="Q82" i="5"/>
  <c r="Q78" i="5" s="1"/>
  <c r="R82" i="5"/>
  <c r="R78" i="5" s="1"/>
  <c r="S82" i="5"/>
  <c r="S78" i="5" s="1"/>
  <c r="S83" i="5"/>
  <c r="P83" i="5"/>
  <c r="Q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438" i="6"/>
  <c r="M438" i="6"/>
  <c r="M433" i="6" s="1"/>
  <c r="M16" i="6" s="1"/>
  <c r="N438" i="6"/>
  <c r="N433" i="6" s="1"/>
  <c r="N16" i="6" s="1"/>
  <c r="O438" i="6"/>
  <c r="O433" i="6" s="1"/>
  <c r="O16" i="6" s="1"/>
  <c r="L436" i="6"/>
  <c r="M436" i="6"/>
  <c r="N436" i="6"/>
  <c r="O436" i="6"/>
  <c r="L435" i="6"/>
  <c r="L430" i="6" s="1"/>
  <c r="M435" i="6"/>
  <c r="M430" i="6" s="1"/>
  <c r="N435" i="6"/>
  <c r="N430" i="6" s="1"/>
  <c r="O435" i="6"/>
  <c r="O430" i="6" s="1"/>
  <c r="L431" i="6"/>
  <c r="M431" i="6"/>
  <c r="N431" i="6"/>
  <c r="O431" i="6"/>
  <c r="L493" i="6"/>
  <c r="M493" i="6"/>
  <c r="N493" i="6"/>
  <c r="O493" i="6"/>
  <c r="L492" i="6"/>
  <c r="M492" i="6"/>
  <c r="N492" i="6"/>
  <c r="O492" i="6"/>
  <c r="L489" i="6"/>
  <c r="M489" i="6"/>
  <c r="N489" i="6"/>
  <c r="O489" i="6"/>
  <c r="L498" i="6"/>
  <c r="M498" i="6"/>
  <c r="N498" i="6"/>
  <c r="O498" i="6"/>
  <c r="N490" i="6"/>
  <c r="L495" i="6"/>
  <c r="M495" i="6"/>
  <c r="N495" i="6"/>
  <c r="O495" i="6"/>
  <c r="L515" i="6"/>
  <c r="L460" i="6"/>
  <c r="M460" i="6"/>
  <c r="L459" i="6"/>
  <c r="M459" i="6"/>
  <c r="N459" i="6"/>
  <c r="O459" i="6"/>
  <c r="L473" i="6"/>
  <c r="M473" i="6"/>
  <c r="N473" i="6"/>
  <c r="O473" i="6"/>
  <c r="L467" i="6"/>
  <c r="M467" i="6"/>
  <c r="N467" i="6"/>
  <c r="O467" i="6"/>
  <c r="L444" i="6"/>
  <c r="M444" i="6"/>
  <c r="N444" i="6"/>
  <c r="O444" i="6"/>
  <c r="L439" i="6"/>
  <c r="M439" i="6"/>
  <c r="N439" i="6"/>
  <c r="O439" i="6"/>
  <c r="L384" i="6"/>
  <c r="M384" i="6"/>
  <c r="L379" i="6"/>
  <c r="M379" i="6"/>
  <c r="N379" i="6"/>
  <c r="O379" i="6"/>
  <c r="L374" i="6"/>
  <c r="M374" i="6"/>
  <c r="N374" i="6"/>
  <c r="O374" i="6"/>
  <c r="L362" i="6"/>
  <c r="M362" i="6"/>
  <c r="M322" i="6"/>
  <c r="N362" i="6"/>
  <c r="O362" i="6"/>
  <c r="L363" i="6"/>
  <c r="M363" i="6"/>
  <c r="N363" i="6"/>
  <c r="O363" i="6"/>
  <c r="L365" i="6"/>
  <c r="M365" i="6"/>
  <c r="N365" i="6"/>
  <c r="O365" i="6"/>
  <c r="L367" i="6"/>
  <c r="M367" i="6"/>
  <c r="N367" i="6"/>
  <c r="O367" i="6"/>
  <c r="L322" i="6"/>
  <c r="N322" i="6"/>
  <c r="O322" i="6"/>
  <c r="L325" i="6"/>
  <c r="M325" i="6"/>
  <c r="N325" i="6"/>
  <c r="O325" i="6"/>
  <c r="L323" i="6"/>
  <c r="M323" i="6"/>
  <c r="N323" i="6"/>
  <c r="O32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05" i="6"/>
  <c r="M505" i="6"/>
  <c r="N505" i="6"/>
  <c r="O505" i="6"/>
  <c r="L510" i="6"/>
  <c r="M510" i="6"/>
  <c r="N510" i="6"/>
  <c r="O510" i="6"/>
  <c r="L631" i="6"/>
  <c r="M631" i="6"/>
  <c r="N631" i="6"/>
  <c r="O631" i="6"/>
  <c r="L628" i="6"/>
  <c r="M628" i="6"/>
  <c r="N628" i="6"/>
  <c r="O628" i="6"/>
  <c r="L629" i="6"/>
  <c r="L598" i="6" s="1"/>
  <c r="L597" i="6" s="1"/>
  <c r="M629" i="6"/>
  <c r="M598" i="6" s="1"/>
  <c r="M597" i="6" s="1"/>
  <c r="N629" i="6"/>
  <c r="N598" i="6" s="1"/>
  <c r="N597" i="6" s="1"/>
  <c r="O629" i="6"/>
  <c r="O598" i="6" s="1"/>
  <c r="O597" i="6" s="1"/>
  <c r="L562" i="6"/>
  <c r="M562" i="6"/>
  <c r="N562" i="6"/>
  <c r="O562" i="6"/>
  <c r="L530" i="6"/>
  <c r="M530" i="6"/>
  <c r="N530" i="6"/>
  <c r="O530" i="6"/>
  <c r="L525" i="6"/>
  <c r="M525" i="6"/>
  <c r="N525" i="6"/>
  <c r="O525" i="6"/>
  <c r="L540" i="6"/>
  <c r="M540" i="6"/>
  <c r="N540" i="6"/>
  <c r="O540" i="6"/>
  <c r="L545" i="6"/>
  <c r="M545" i="6"/>
  <c r="N545" i="6"/>
  <c r="O545" i="6"/>
  <c r="L550" i="6"/>
  <c r="M550" i="6"/>
  <c r="N550" i="6"/>
  <c r="O550" i="6"/>
  <c r="O603" i="6"/>
  <c r="O602" i="6" s="1"/>
  <c r="N603" i="6"/>
  <c r="N602" i="6" s="1"/>
  <c r="M603" i="6"/>
  <c r="M602" i="6" s="1"/>
  <c r="L603" i="6"/>
  <c r="L602" i="6" s="1"/>
  <c r="O535" i="6"/>
  <c r="N535" i="6"/>
  <c r="M535" i="6"/>
  <c r="L535" i="6"/>
  <c r="O520" i="6"/>
  <c r="N520" i="6"/>
  <c r="M520" i="6"/>
  <c r="L520" i="6"/>
  <c r="N500" i="6"/>
  <c r="M500" i="6"/>
  <c r="L500" i="6"/>
  <c r="L336" i="6"/>
  <c r="M336" i="6"/>
  <c r="N336" i="6"/>
  <c r="O336" i="6"/>
  <c r="L326" i="6"/>
  <c r="M326" i="6"/>
  <c r="N326" i="6"/>
  <c r="O326" i="6"/>
  <c r="N635" i="6"/>
  <c r="N630" i="6" s="1"/>
  <c r="N384" i="6"/>
  <c r="L455" i="6"/>
  <c r="O455" i="6"/>
  <c r="N455" i="6"/>
  <c r="N637" i="6"/>
  <c r="L478" i="6"/>
  <c r="D387" i="6"/>
  <c r="N478" i="6"/>
  <c r="O637" i="6"/>
  <c r="O635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351" i="6"/>
  <c r="N351" i="6"/>
  <c r="M351" i="6"/>
  <c r="L351" i="6"/>
  <c r="O346" i="6"/>
  <c r="N346" i="6"/>
  <c r="M346" i="6"/>
  <c r="L34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N23" i="6" s="1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364" i="6"/>
  <c r="G364" i="6"/>
  <c r="H364" i="6"/>
  <c r="J364" i="6"/>
  <c r="K23" i="6"/>
  <c r="E364" i="6"/>
  <c r="K384" i="6"/>
  <c r="J384" i="6"/>
  <c r="I384" i="6"/>
  <c r="H384" i="6"/>
  <c r="G384" i="6"/>
  <c r="F384" i="6"/>
  <c r="E384" i="6"/>
  <c r="J66" i="5"/>
  <c r="K66" i="5"/>
  <c r="L66" i="5"/>
  <c r="N66" i="5"/>
  <c r="O66" i="5"/>
  <c r="I66" i="5"/>
  <c r="J562" i="6"/>
  <c r="D198" i="6"/>
  <c r="D199" i="6"/>
  <c r="U102" i="5"/>
  <c r="I496" i="6"/>
  <c r="E599" i="6"/>
  <c r="F599" i="6"/>
  <c r="F496" i="6" s="1"/>
  <c r="F490" i="6" s="1"/>
  <c r="G599" i="6"/>
  <c r="H599" i="6"/>
  <c r="H496" i="6" s="1"/>
  <c r="H490" i="6" s="1"/>
  <c r="I599" i="6"/>
  <c r="E600" i="6"/>
  <c r="F600" i="6"/>
  <c r="F497" i="6" s="1"/>
  <c r="G600" i="6"/>
  <c r="G497" i="6" s="1"/>
  <c r="H600" i="6"/>
  <c r="H497" i="6" s="1"/>
  <c r="I600" i="6"/>
  <c r="K600" i="6"/>
  <c r="K491" i="6" s="1"/>
  <c r="K601" i="6"/>
  <c r="I606" i="6"/>
  <c r="I601" i="6" s="1"/>
  <c r="H606" i="6"/>
  <c r="H601" i="6" s="1"/>
  <c r="G606" i="6"/>
  <c r="G601" i="6" s="1"/>
  <c r="F606" i="6"/>
  <c r="F601" i="6" s="1"/>
  <c r="E606" i="6"/>
  <c r="K603" i="6"/>
  <c r="K602" i="6" s="1"/>
  <c r="J603" i="6"/>
  <c r="J602" i="6" s="1"/>
  <c r="I603" i="6"/>
  <c r="H603" i="6"/>
  <c r="G603" i="6"/>
  <c r="F603" i="6"/>
  <c r="E603" i="6"/>
  <c r="K231" i="6"/>
  <c r="J231" i="6"/>
  <c r="I231" i="6"/>
  <c r="H231" i="6"/>
  <c r="G231" i="6"/>
  <c r="F231" i="6"/>
  <c r="E231" i="6"/>
  <c r="I363" i="6"/>
  <c r="E363" i="6"/>
  <c r="F363" i="6"/>
  <c r="G363" i="6"/>
  <c r="H363" i="6"/>
  <c r="K363" i="6"/>
  <c r="E365" i="6"/>
  <c r="F365" i="6"/>
  <c r="G365" i="6"/>
  <c r="H365" i="6"/>
  <c r="J365" i="6"/>
  <c r="K365" i="6"/>
  <c r="F362" i="6"/>
  <c r="G362" i="6"/>
  <c r="H362" i="6"/>
  <c r="I362" i="6"/>
  <c r="J362" i="6"/>
  <c r="K362" i="6"/>
  <c r="E362" i="6"/>
  <c r="K379" i="6"/>
  <c r="J379" i="6"/>
  <c r="H379" i="6"/>
  <c r="G379" i="6"/>
  <c r="F379" i="6"/>
  <c r="E379" i="6"/>
  <c r="K226" i="6"/>
  <c r="J226" i="6"/>
  <c r="I226" i="6"/>
  <c r="H226" i="6"/>
  <c r="G226" i="6"/>
  <c r="F226" i="6"/>
  <c r="E226" i="6"/>
  <c r="E324" i="6"/>
  <c r="H438" i="6"/>
  <c r="H433" i="6" s="1"/>
  <c r="F323" i="6"/>
  <c r="G323" i="6"/>
  <c r="H323" i="6"/>
  <c r="I323" i="6"/>
  <c r="I322" i="6"/>
  <c r="I324" i="6"/>
  <c r="I325" i="6"/>
  <c r="J323" i="6"/>
  <c r="K323" i="6"/>
  <c r="E323" i="6"/>
  <c r="F324" i="6"/>
  <c r="G324" i="6"/>
  <c r="H324" i="6"/>
  <c r="J324" i="6"/>
  <c r="K545" i="6"/>
  <c r="J545" i="6"/>
  <c r="H545" i="6"/>
  <c r="G545" i="6"/>
  <c r="F545" i="6"/>
  <c r="E545" i="6"/>
  <c r="K530" i="6"/>
  <c r="J530" i="6"/>
  <c r="I530" i="6"/>
  <c r="H530" i="6"/>
  <c r="G530" i="6"/>
  <c r="F530" i="6"/>
  <c r="E530" i="6"/>
  <c r="E535" i="6"/>
  <c r="F535" i="6"/>
  <c r="G535" i="6"/>
  <c r="H535" i="6"/>
  <c r="I535" i="6"/>
  <c r="K510" i="6"/>
  <c r="J510" i="6"/>
  <c r="I510" i="6"/>
  <c r="H510" i="6"/>
  <c r="G510" i="6"/>
  <c r="F510" i="6"/>
  <c r="E510" i="6"/>
  <c r="K341" i="6"/>
  <c r="J341" i="6"/>
  <c r="I341" i="6"/>
  <c r="H341" i="6"/>
  <c r="G341" i="6"/>
  <c r="F341" i="6"/>
  <c r="E341" i="6"/>
  <c r="K331" i="6"/>
  <c r="J331" i="6"/>
  <c r="I331" i="6"/>
  <c r="H331" i="6"/>
  <c r="G331" i="6"/>
  <c r="F331" i="6"/>
  <c r="E331" i="6"/>
  <c r="L83" i="5"/>
  <c r="L79" i="5" s="1"/>
  <c r="G58" i="6"/>
  <c r="H58" i="6"/>
  <c r="I58" i="6"/>
  <c r="Q58" i="6" s="1"/>
  <c r="J58" i="6"/>
  <c r="K58" i="6"/>
  <c r="F58" i="6"/>
  <c r="I438" i="6"/>
  <c r="I433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O83" i="5"/>
  <c r="O79" i="5" s="1"/>
  <c r="I83" i="5"/>
  <c r="J84" i="5"/>
  <c r="K84" i="5"/>
  <c r="K80" i="5" s="1"/>
  <c r="L84" i="5"/>
  <c r="N84" i="5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493" i="6"/>
  <c r="K493" i="6"/>
  <c r="J492" i="6"/>
  <c r="K492" i="6"/>
  <c r="K489" i="6"/>
  <c r="J498" i="6"/>
  <c r="K498" i="6"/>
  <c r="K495" i="6"/>
  <c r="K494" i="6" s="1"/>
  <c r="J629" i="6"/>
  <c r="K629" i="6"/>
  <c r="J631" i="6"/>
  <c r="K631" i="6"/>
  <c r="K628" i="6"/>
  <c r="K635" i="6"/>
  <c r="K632" i="6" s="1"/>
  <c r="K637" i="6"/>
  <c r="K562" i="6"/>
  <c r="K556" i="6"/>
  <c r="K550" i="6"/>
  <c r="K540" i="6"/>
  <c r="K535" i="6"/>
  <c r="K525" i="6"/>
  <c r="K520" i="6"/>
  <c r="K515" i="6"/>
  <c r="K505" i="6"/>
  <c r="K460" i="6"/>
  <c r="K459" i="6"/>
  <c r="K473" i="6"/>
  <c r="K467" i="6"/>
  <c r="K431" i="6"/>
  <c r="K438" i="6"/>
  <c r="K433" i="6" s="1"/>
  <c r="K16" i="6" s="1"/>
  <c r="K437" i="6"/>
  <c r="K432" i="6" s="1"/>
  <c r="K436" i="6"/>
  <c r="K435" i="6"/>
  <c r="K430" i="6" s="1"/>
  <c r="K439" i="6"/>
  <c r="J438" i="6"/>
  <c r="J433" i="6" s="1"/>
  <c r="J16" i="6" s="1"/>
  <c r="K444" i="6"/>
  <c r="K455" i="6"/>
  <c r="K181" i="6"/>
  <c r="K374" i="6"/>
  <c r="K367" i="6"/>
  <c r="K351" i="6"/>
  <c r="K346" i="6"/>
  <c r="K336" i="6"/>
  <c r="K322" i="6"/>
  <c r="K325" i="6"/>
  <c r="K3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436" i="6"/>
  <c r="G436" i="6"/>
  <c r="G435" i="6"/>
  <c r="G430" i="6" s="1"/>
  <c r="G437" i="6"/>
  <c r="G432" i="6" s="1"/>
  <c r="G438" i="6"/>
  <c r="G433" i="6" s="1"/>
  <c r="G16" i="6" s="1"/>
  <c r="H436" i="6"/>
  <c r="I436" i="6"/>
  <c r="J436" i="6"/>
  <c r="E436" i="6"/>
  <c r="E431" i="6" s="1"/>
  <c r="F437" i="6"/>
  <c r="F432" i="6" s="1"/>
  <c r="H437" i="6"/>
  <c r="H432" i="6" s="1"/>
  <c r="J437" i="6"/>
  <c r="J432" i="6" s="1"/>
  <c r="J435" i="6"/>
  <c r="J430" i="6" s="1"/>
  <c r="E437" i="6"/>
  <c r="E432" i="6" s="1"/>
  <c r="L93" i="5"/>
  <c r="L94" i="5"/>
  <c r="J93" i="5"/>
  <c r="K93" i="5"/>
  <c r="N93" i="5"/>
  <c r="I93" i="5"/>
  <c r="J61" i="5"/>
  <c r="J14" i="5" s="1"/>
  <c r="K61" i="5"/>
  <c r="L61" i="5"/>
  <c r="L14" i="5" s="1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438" i="6"/>
  <c r="F433" i="6" s="1"/>
  <c r="F16" i="6" s="1"/>
  <c r="E438" i="6"/>
  <c r="E433" i="6" s="1"/>
  <c r="E16" i="6" s="1"/>
  <c r="F435" i="6"/>
  <c r="F430" i="6" s="1"/>
  <c r="H435" i="6"/>
  <c r="H430" i="6" s="1"/>
  <c r="I435" i="6"/>
  <c r="I430" i="6" s="1"/>
  <c r="E435" i="6"/>
  <c r="E430" i="6" s="1"/>
  <c r="H181" i="6"/>
  <c r="J635" i="6"/>
  <c r="J630" i="6" s="1"/>
  <c r="J201" i="6"/>
  <c r="I201" i="6"/>
  <c r="H201" i="6"/>
  <c r="G201" i="6"/>
  <c r="F201" i="6"/>
  <c r="E201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6" i="6"/>
  <c r="H196" i="6"/>
  <c r="G196" i="6"/>
  <c r="F196" i="6"/>
  <c r="E196" i="6"/>
  <c r="D189" i="6"/>
  <c r="G15" i="6"/>
  <c r="F562" i="6"/>
  <c r="G562" i="6"/>
  <c r="E562" i="6"/>
  <c r="H562" i="6"/>
  <c r="I562" i="6"/>
  <c r="G35" i="6"/>
  <c r="H556" i="6"/>
  <c r="I556" i="6"/>
  <c r="J556" i="6"/>
  <c r="F556" i="6"/>
  <c r="G556" i="6"/>
  <c r="J351" i="6"/>
  <c r="I351" i="6"/>
  <c r="H351" i="6"/>
  <c r="G351" i="6"/>
  <c r="F351" i="6"/>
  <c r="E351" i="6"/>
  <c r="E126" i="6"/>
  <c r="I33" i="6"/>
  <c r="I24" i="6" s="1"/>
  <c r="I15" i="6" s="1"/>
  <c r="J75" i="5"/>
  <c r="K75" i="5"/>
  <c r="L75" i="5"/>
  <c r="N75" i="5"/>
  <c r="I75" i="5"/>
  <c r="H635" i="6"/>
  <c r="H632" i="6" s="1"/>
  <c r="H630" i="6" s="1"/>
  <c r="G635" i="6"/>
  <c r="G632" i="6" s="1"/>
  <c r="G630" i="6" s="1"/>
  <c r="G515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635" i="6"/>
  <c r="E630" i="6" s="1"/>
  <c r="F635" i="6"/>
  <c r="F630" i="6" s="1"/>
  <c r="F175" i="6"/>
  <c r="G175" i="6"/>
  <c r="H175" i="6"/>
  <c r="I175" i="6"/>
  <c r="J175" i="6"/>
  <c r="E175" i="6"/>
  <c r="D177" i="6"/>
  <c r="D176" i="6"/>
  <c r="E179" i="6"/>
  <c r="E33" i="6" s="1"/>
  <c r="D178" i="6"/>
  <c r="E322" i="6"/>
  <c r="F322" i="6"/>
  <c r="G322" i="6"/>
  <c r="H322" i="6"/>
  <c r="J322" i="6"/>
  <c r="E325" i="6"/>
  <c r="F325" i="6"/>
  <c r="G325" i="6"/>
  <c r="H325" i="6"/>
  <c r="J325" i="6"/>
  <c r="E326" i="6"/>
  <c r="F326" i="6"/>
  <c r="G326" i="6"/>
  <c r="H326" i="6"/>
  <c r="I326" i="6"/>
  <c r="J32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20" i="6"/>
  <c r="F520" i="6"/>
  <c r="G520" i="6"/>
  <c r="H520" i="6"/>
  <c r="I520" i="6"/>
  <c r="J520" i="6"/>
  <c r="E515" i="6"/>
  <c r="F515" i="6"/>
  <c r="D504" i="6"/>
  <c r="J500" i="6"/>
  <c r="H500" i="6"/>
  <c r="G500" i="6"/>
  <c r="F500" i="6"/>
  <c r="E500" i="6"/>
  <c r="F498" i="6"/>
  <c r="G498" i="6"/>
  <c r="H498" i="6"/>
  <c r="I498" i="6"/>
  <c r="E498" i="6"/>
  <c r="E492" i="6" s="1"/>
  <c r="J637" i="6"/>
  <c r="H637" i="6"/>
  <c r="G637" i="6"/>
  <c r="F637" i="6"/>
  <c r="E637" i="6"/>
  <c r="E346" i="6"/>
  <c r="F346" i="6"/>
  <c r="G346" i="6"/>
  <c r="H346" i="6"/>
  <c r="I346" i="6"/>
  <c r="J346" i="6"/>
  <c r="D465" i="6"/>
  <c r="G459" i="6"/>
  <c r="G455" i="6"/>
  <c r="J459" i="6"/>
  <c r="J455" i="6"/>
  <c r="H459" i="6"/>
  <c r="H455" i="6"/>
  <c r="F459" i="6"/>
  <c r="F455" i="6"/>
  <c r="E459" i="6"/>
  <c r="D503" i="6"/>
  <c r="D500" i="6" s="1"/>
  <c r="I500" i="6"/>
  <c r="J80" i="5"/>
  <c r="J11" i="5" s="1"/>
  <c r="N80" i="5"/>
  <c r="N11" i="5" s="1"/>
  <c r="F499" i="6"/>
  <c r="G499" i="6"/>
  <c r="H499" i="6"/>
  <c r="I499" i="6"/>
  <c r="E499" i="6"/>
  <c r="F495" i="6"/>
  <c r="G495" i="6"/>
  <c r="H495" i="6"/>
  <c r="I495" i="6"/>
  <c r="J495" i="6"/>
  <c r="E495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535" i="6"/>
  <c r="E559" i="6"/>
  <c r="D559" i="6" s="1"/>
  <c r="E131" i="6"/>
  <c r="K79" i="5"/>
  <c r="N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467" i="6"/>
  <c r="F467" i="6"/>
  <c r="G467" i="6"/>
  <c r="H467" i="6"/>
  <c r="I467" i="6"/>
  <c r="J467" i="6"/>
  <c r="E473" i="6"/>
  <c r="F473" i="6"/>
  <c r="G473" i="6"/>
  <c r="H473" i="6"/>
  <c r="I473" i="6"/>
  <c r="J473" i="6"/>
  <c r="F460" i="6"/>
  <c r="G460" i="6"/>
  <c r="H460" i="6"/>
  <c r="I460" i="6"/>
  <c r="J460" i="6"/>
  <c r="F492" i="6"/>
  <c r="G492" i="6"/>
  <c r="H492" i="6"/>
  <c r="I492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550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F23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628" i="6"/>
  <c r="H629" i="6"/>
  <c r="H631" i="6"/>
  <c r="G628" i="6"/>
  <c r="G629" i="6"/>
  <c r="G631" i="6"/>
  <c r="E632" i="6"/>
  <c r="I631" i="6"/>
  <c r="E631" i="6"/>
  <c r="F631" i="6"/>
  <c r="F628" i="6"/>
  <c r="F629" i="6"/>
  <c r="I629" i="6"/>
  <c r="E629" i="6"/>
  <c r="J628" i="6"/>
  <c r="I628" i="6"/>
  <c r="E628" i="6"/>
  <c r="G550" i="6"/>
  <c r="F550" i="6"/>
  <c r="E540" i="6"/>
  <c r="G525" i="6"/>
  <c r="E525" i="6"/>
  <c r="F525" i="6"/>
  <c r="H525" i="6"/>
  <c r="I525" i="6"/>
  <c r="J525" i="6"/>
  <c r="J505" i="6"/>
  <c r="G505" i="6"/>
  <c r="F505" i="6"/>
  <c r="E505" i="6"/>
  <c r="I493" i="6"/>
  <c r="G493" i="6"/>
  <c r="F493" i="6"/>
  <c r="E493" i="6"/>
  <c r="J489" i="6"/>
  <c r="H489" i="6"/>
  <c r="G489" i="6"/>
  <c r="F489" i="6"/>
  <c r="J444" i="6"/>
  <c r="I444" i="6"/>
  <c r="H444" i="6"/>
  <c r="G444" i="6"/>
  <c r="F444" i="6"/>
  <c r="E444" i="6"/>
  <c r="J439" i="6"/>
  <c r="I439" i="6"/>
  <c r="H439" i="6"/>
  <c r="G439" i="6"/>
  <c r="F439" i="6"/>
  <c r="E439" i="6"/>
  <c r="J431" i="6"/>
  <c r="I431" i="6"/>
  <c r="H431" i="6"/>
  <c r="G431" i="6"/>
  <c r="F431" i="6"/>
  <c r="J374" i="6"/>
  <c r="I374" i="6"/>
  <c r="H374" i="6"/>
  <c r="G374" i="6"/>
  <c r="F374" i="6"/>
  <c r="E374" i="6"/>
  <c r="J367" i="6"/>
  <c r="I367" i="6"/>
  <c r="H367" i="6"/>
  <c r="G367" i="6"/>
  <c r="F367" i="6"/>
  <c r="E367" i="6"/>
  <c r="J336" i="6"/>
  <c r="I336" i="6"/>
  <c r="H336" i="6"/>
  <c r="G336" i="6"/>
  <c r="F336" i="6"/>
  <c r="E336" i="6"/>
  <c r="J113" i="5"/>
  <c r="K113" i="5"/>
  <c r="E461" i="6"/>
  <c r="G461" i="6"/>
  <c r="D42" i="6"/>
  <c r="G496" i="6"/>
  <c r="G490" i="6" s="1"/>
  <c r="E496" i="6"/>
  <c r="E490" i="6" s="1"/>
  <c r="J161" i="6"/>
  <c r="D39" i="6"/>
  <c r="G540" i="6"/>
  <c r="H550" i="6"/>
  <c r="H505" i="6"/>
  <c r="F540" i="6"/>
  <c r="M113" i="5"/>
  <c r="F35" i="6"/>
  <c r="E35" i="6"/>
  <c r="H35" i="6"/>
  <c r="L113" i="5"/>
  <c r="I35" i="6"/>
  <c r="I550" i="6"/>
  <c r="J550" i="6"/>
  <c r="H540" i="6"/>
  <c r="I155" i="6"/>
  <c r="G478" i="6"/>
  <c r="J33" i="6"/>
  <c r="J35" i="6"/>
  <c r="H515" i="6"/>
  <c r="I505" i="6"/>
  <c r="I515" i="6"/>
  <c r="H478" i="6"/>
  <c r="J540" i="6"/>
  <c r="D479" i="6"/>
  <c r="J515" i="6"/>
  <c r="O78" i="5"/>
  <c r="Q81" i="5"/>
  <c r="L488" i="6"/>
  <c r="I379" i="6"/>
  <c r="D382" i="6"/>
  <c r="H97" i="5"/>
  <c r="I79" i="5"/>
  <c r="I598" i="6"/>
  <c r="L433" i="6"/>
  <c r="L16" i="6" s="1"/>
  <c r="L630" i="6"/>
  <c r="K90" i="5"/>
  <c r="G18" i="6"/>
  <c r="L114" i="5"/>
  <c r="L89" i="5"/>
  <c r="F598" i="6"/>
  <c r="L168" i="6"/>
  <c r="N81" i="5"/>
  <c r="I89" i="5"/>
  <c r="D44" i="6"/>
  <c r="D547" i="6"/>
  <c r="S15" i="5"/>
  <c r="K608" i="6"/>
  <c r="K607" i="6" s="1"/>
  <c r="D370" i="6"/>
  <c r="D616" i="6"/>
  <c r="G608" i="6"/>
  <c r="G607" i="6" s="1"/>
  <c r="I607" i="6"/>
  <c r="I612" i="6"/>
  <c r="I81" i="5"/>
  <c r="J607" i="6"/>
  <c r="K598" i="6"/>
  <c r="P79" i="5"/>
  <c r="M515" i="6"/>
  <c r="D131" i="6"/>
  <c r="I80" i="5"/>
  <c r="I11" i="5" s="1"/>
  <c r="O77" i="5"/>
  <c r="M168" i="6"/>
  <c r="R90" i="5"/>
  <c r="J598" i="6"/>
  <c r="J597" i="6" s="1"/>
  <c r="O490" i="6"/>
  <c r="N434" i="6"/>
  <c r="Q79" i="5"/>
  <c r="S79" i="5"/>
  <c r="R118" i="5"/>
  <c r="S118" i="5" s="1"/>
  <c r="S113" i="5" s="1"/>
  <c r="Q115" i="5"/>
  <c r="R115" i="5" s="1"/>
  <c r="I437" i="6"/>
  <c r="I432" i="6" s="1"/>
  <c r="D447" i="6"/>
  <c r="H68" i="5"/>
  <c r="M66" i="5"/>
  <c r="P530" i="6"/>
  <c r="D528" i="6"/>
  <c r="M115" i="5"/>
  <c r="M114" i="5" s="1"/>
  <c r="H18" i="6"/>
  <c r="H87" i="5"/>
  <c r="M84" i="5"/>
  <c r="M77" i="5" s="1"/>
  <c r="D518" i="6"/>
  <c r="N515" i="6"/>
  <c r="H84" i="5"/>
  <c r="O515" i="6"/>
  <c r="W8" i="6" l="1"/>
  <c r="R14" i="5"/>
  <c r="P77" i="5"/>
  <c r="O478" i="6"/>
  <c r="N461" i="6"/>
  <c r="D179" i="6"/>
  <c r="L29" i="6"/>
  <c r="L26" i="6" s="1"/>
  <c r="N29" i="6"/>
  <c r="N20" i="6" s="1"/>
  <c r="I457" i="6"/>
  <c r="E84" i="6"/>
  <c r="M429" i="6"/>
  <c r="O632" i="6"/>
  <c r="O630" i="6"/>
  <c r="H105" i="5"/>
  <c r="D343" i="6"/>
  <c r="O89" i="5"/>
  <c r="S14" i="5"/>
  <c r="S13" i="5" s="1"/>
  <c r="H46" i="5"/>
  <c r="E607" i="6"/>
  <c r="D464" i="6"/>
  <c r="H602" i="6"/>
  <c r="E134" i="6"/>
  <c r="N14" i="5"/>
  <c r="J89" i="5"/>
  <c r="N77" i="5"/>
  <c r="K77" i="5"/>
  <c r="J81" i="5"/>
  <c r="Q113" i="5"/>
  <c r="H48" i="5"/>
  <c r="H119" i="5"/>
  <c r="D550" i="6"/>
  <c r="E29" i="6"/>
  <c r="D520" i="6"/>
  <c r="O88" i="5"/>
  <c r="L77" i="5"/>
  <c r="K14" i="5"/>
  <c r="D510" i="6"/>
  <c r="D530" i="6"/>
  <c r="K361" i="6"/>
  <c r="H66" i="5"/>
  <c r="M29" i="6"/>
  <c r="M20" i="6" s="1"/>
  <c r="J114" i="5"/>
  <c r="N361" i="6"/>
  <c r="Q114" i="5"/>
  <c r="O114" i="5"/>
  <c r="F602" i="6"/>
  <c r="I490" i="6"/>
  <c r="Q90" i="5"/>
  <c r="V94" i="5"/>
  <c r="M80" i="5"/>
  <c r="M11" i="5" s="1"/>
  <c r="H92" i="5"/>
  <c r="D41" i="6"/>
  <c r="D499" i="6"/>
  <c r="I114" i="5"/>
  <c r="Q14" i="5"/>
  <c r="D449" i="6"/>
  <c r="D611" i="6"/>
  <c r="F607" i="6"/>
  <c r="I88" i="5"/>
  <c r="H83" i="5"/>
  <c r="D365" i="6"/>
  <c r="D640" i="6"/>
  <c r="L494" i="6"/>
  <c r="N494" i="6"/>
  <c r="M91" i="5"/>
  <c r="M90" i="5" s="1"/>
  <c r="H117" i="5"/>
  <c r="I364" i="6"/>
  <c r="K81" i="5"/>
  <c r="J78" i="5"/>
  <c r="I637" i="6"/>
  <c r="F321" i="6"/>
  <c r="J79" i="5"/>
  <c r="M75" i="5"/>
  <c r="H75" i="5" s="1"/>
  <c r="K24" i="6"/>
  <c r="I77" i="5"/>
  <c r="S81" i="5"/>
  <c r="M632" i="6"/>
  <c r="M24" i="6"/>
  <c r="S77" i="5"/>
  <c r="M89" i="5"/>
  <c r="D540" i="6"/>
  <c r="J15" i="5"/>
  <c r="J13" i="5" s="1"/>
  <c r="N16" i="5"/>
  <c r="N90" i="5"/>
  <c r="O457" i="6"/>
  <c r="F612" i="6"/>
  <c r="D495" i="6"/>
  <c r="Q89" i="5"/>
  <c r="Q88" i="5" s="1"/>
  <c r="I15" i="5"/>
  <c r="I12" i="5" s="1"/>
  <c r="J496" i="6"/>
  <c r="J490" i="6" s="1"/>
  <c r="D606" i="6"/>
  <c r="D599" i="6"/>
  <c r="S12" i="5"/>
  <c r="R77" i="5"/>
  <c r="F597" i="6"/>
  <c r="J29" i="6"/>
  <c r="M74" i="5"/>
  <c r="M73" i="5" s="1"/>
  <c r="H73" i="5" s="1"/>
  <c r="D535" i="6"/>
  <c r="D351" i="6"/>
  <c r="L88" i="5"/>
  <c r="H94" i="5"/>
  <c r="N429" i="6"/>
  <c r="Q77" i="5"/>
  <c r="L12" i="5"/>
  <c r="Q15" i="5"/>
  <c r="Q12" i="5" s="1"/>
  <c r="J41" i="6"/>
  <c r="J32" i="6"/>
  <c r="I434" i="6"/>
  <c r="H82" i="5"/>
  <c r="E91" i="6"/>
  <c r="G29" i="6"/>
  <c r="P114" i="5"/>
  <c r="G457" i="6"/>
  <c r="K11" i="5"/>
  <c r="M88" i="5"/>
  <c r="R114" i="5"/>
  <c r="R10" i="5" s="1"/>
  <c r="S115" i="5"/>
  <c r="S114" i="5" s="1"/>
  <c r="S10" i="5" s="1"/>
  <c r="H79" i="5"/>
  <c r="L10" i="5"/>
  <c r="L13" i="5"/>
  <c r="J88" i="5"/>
  <c r="Q10" i="5"/>
  <c r="R113" i="5"/>
  <c r="F161" i="6"/>
  <c r="I29" i="6"/>
  <c r="I20" i="6" s="1"/>
  <c r="E32" i="6"/>
  <c r="E23" i="6" s="1"/>
  <c r="E601" i="6"/>
  <c r="D601" i="6" s="1"/>
  <c r="P89" i="5"/>
  <c r="D498" i="6"/>
  <c r="I597" i="6"/>
  <c r="N113" i="5"/>
  <c r="H113" i="5" s="1"/>
  <c r="D142" i="6"/>
  <c r="D91" i="6"/>
  <c r="H32" i="6"/>
  <c r="D473" i="6"/>
  <c r="I78" i="5"/>
  <c r="I10" i="5" s="1"/>
  <c r="E598" i="6"/>
  <c r="E602" i="6"/>
  <c r="U110" i="5"/>
  <c r="P90" i="5"/>
  <c r="D543" i="6"/>
  <c r="H40" i="5"/>
  <c r="K15" i="5"/>
  <c r="K12" i="5" s="1"/>
  <c r="E612" i="6"/>
  <c r="O15" i="5"/>
  <c r="O12" i="5" s="1"/>
  <c r="J399" i="6"/>
  <c r="J397" i="6"/>
  <c r="J394" i="6" s="1"/>
  <c r="K88" i="5"/>
  <c r="G161" i="6"/>
  <c r="G32" i="6"/>
  <c r="I13" i="5"/>
  <c r="H118" i="5"/>
  <c r="I9" i="5"/>
  <c r="M14" i="5"/>
  <c r="H91" i="5"/>
  <c r="H61" i="5"/>
  <c r="D496" i="6"/>
  <c r="R81" i="5"/>
  <c r="O81" i="5"/>
  <c r="D107" i="6"/>
  <c r="D439" i="6"/>
  <c r="E627" i="6"/>
  <c r="D65" i="6"/>
  <c r="F29" i="6"/>
  <c r="F26" i="6" s="1"/>
  <c r="D126" i="6"/>
  <c r="J77" i="5"/>
  <c r="K114" i="5"/>
  <c r="K10" i="5" s="1"/>
  <c r="K9" i="5" s="1"/>
  <c r="H93" i="5"/>
  <c r="L81" i="5"/>
  <c r="G598" i="6"/>
  <c r="G602" i="6"/>
  <c r="L24" i="6"/>
  <c r="S88" i="5"/>
  <c r="M478" i="6"/>
  <c r="H461" i="6"/>
  <c r="H612" i="6"/>
  <c r="D492" i="6"/>
  <c r="N321" i="6"/>
  <c r="R89" i="5"/>
  <c r="R88" i="5" s="1"/>
  <c r="N114" i="5"/>
  <c r="M81" i="5"/>
  <c r="M494" i="6"/>
  <c r="K597" i="6"/>
  <c r="D635" i="6"/>
  <c r="L434" i="6"/>
  <c r="O361" i="6"/>
  <c r="H29" i="6"/>
  <c r="H20" i="6" s="1"/>
  <c r="E434" i="6"/>
  <c r="J494" i="6"/>
  <c r="L80" i="5"/>
  <c r="L11" i="5" s="1"/>
  <c r="D59" i="6"/>
  <c r="P61" i="6" s="1"/>
  <c r="E27" i="6"/>
  <c r="N89" i="5"/>
  <c r="H116" i="5"/>
  <c r="H24" i="6"/>
  <c r="O14" i="5"/>
  <c r="H17" i="5"/>
  <c r="I602" i="6"/>
  <c r="H18" i="5"/>
  <c r="R15" i="5"/>
  <c r="R13" i="5" s="1"/>
  <c r="I32" i="6"/>
  <c r="P15" i="5"/>
  <c r="P12" i="5" s="1"/>
  <c r="E458" i="6"/>
  <c r="H608" i="6"/>
  <c r="H607" i="6" s="1"/>
  <c r="I497" i="6"/>
  <c r="N15" i="5"/>
  <c r="K478" i="6"/>
  <c r="K461" i="6"/>
  <c r="D480" i="6"/>
  <c r="D600" i="6"/>
  <c r="J478" i="6"/>
  <c r="J461" i="6"/>
  <c r="J491" i="6"/>
  <c r="J488" i="6" s="1"/>
  <c r="K414" i="6"/>
  <c r="M414" i="6"/>
  <c r="D97" i="6"/>
  <c r="D53" i="6"/>
  <c r="D637" i="6"/>
  <c r="D341" i="6"/>
  <c r="E24" i="6"/>
  <c r="E15" i="6" s="1"/>
  <c r="F361" i="6"/>
  <c r="D231" i="6"/>
  <c r="D236" i="6"/>
  <c r="D175" i="6"/>
  <c r="D181" i="6"/>
  <c r="D246" i="6"/>
  <c r="D201" i="6"/>
  <c r="K457" i="6"/>
  <c r="I461" i="6"/>
  <c r="O321" i="6"/>
  <c r="L361" i="6"/>
  <c r="F632" i="6"/>
  <c r="M488" i="6"/>
  <c r="D489" i="6"/>
  <c r="M456" i="6"/>
  <c r="D482" i="6"/>
  <c r="D466" i="6"/>
  <c r="D481" i="6"/>
  <c r="M461" i="6"/>
  <c r="D462" i="6"/>
  <c r="D467" i="6"/>
  <c r="N457" i="6"/>
  <c r="J429" i="6"/>
  <c r="O434" i="6"/>
  <c r="D436" i="6"/>
  <c r="D128" i="6"/>
  <c r="D31" i="6"/>
  <c r="D172" i="6"/>
  <c r="D374" i="6"/>
  <c r="D162" i="6"/>
  <c r="H321" i="6"/>
  <c r="N18" i="6"/>
  <c r="E125" i="6"/>
  <c r="D125" i="6" s="1"/>
  <c r="D33" i="6"/>
  <c r="J24" i="6"/>
  <c r="E71" i="6"/>
  <c r="D35" i="6"/>
  <c r="D206" i="6"/>
  <c r="D216" i="6"/>
  <c r="D221" i="6"/>
  <c r="N24" i="6"/>
  <c r="E394" i="6"/>
  <c r="L394" i="6"/>
  <c r="H394" i="6"/>
  <c r="D415" i="6"/>
  <c r="D416" i="6"/>
  <c r="D111" i="6"/>
  <c r="D165" i="6"/>
  <c r="D47" i="6"/>
  <c r="G321" i="6"/>
  <c r="M361" i="6"/>
  <c r="M18" i="6"/>
  <c r="E286" i="6"/>
  <c r="D286" i="6" s="1"/>
  <c r="D261" i="6"/>
  <c r="D609" i="6"/>
  <c r="D493" i="6"/>
  <c r="M627" i="6"/>
  <c r="O627" i="6"/>
  <c r="N627" i="6"/>
  <c r="K490" i="6"/>
  <c r="K488" i="6" s="1"/>
  <c r="D435" i="6"/>
  <c r="K434" i="6"/>
  <c r="F434" i="6"/>
  <c r="D397" i="6"/>
  <c r="D437" i="6"/>
  <c r="D395" i="6"/>
  <c r="H434" i="6"/>
  <c r="J23" i="6"/>
  <c r="F24" i="6"/>
  <c r="F15" i="6" s="1"/>
  <c r="G361" i="6"/>
  <c r="G429" i="6"/>
  <c r="D438" i="6"/>
  <c r="M434" i="6"/>
  <c r="J20" i="6"/>
  <c r="J11" i="6" s="1"/>
  <c r="J361" i="6"/>
  <c r="D459" i="6"/>
  <c r="O461" i="6"/>
  <c r="I478" i="6"/>
  <c r="F461" i="6"/>
  <c r="I455" i="6"/>
  <c r="D455" i="6" s="1"/>
  <c r="I456" i="6"/>
  <c r="O456" i="6"/>
  <c r="J458" i="6"/>
  <c r="D463" i="6"/>
  <c r="G456" i="6"/>
  <c r="F478" i="6"/>
  <c r="E478" i="6"/>
  <c r="L456" i="6"/>
  <c r="F20" i="6"/>
  <c r="F17" i="6" s="1"/>
  <c r="D118" i="6"/>
  <c r="N168" i="6"/>
  <c r="E65" i="6"/>
  <c r="D30" i="6"/>
  <c r="D27" i="6"/>
  <c r="D28" i="6"/>
  <c r="D144" i="6"/>
  <c r="D134" i="6"/>
  <c r="O24" i="6"/>
  <c r="J632" i="6"/>
  <c r="L627" i="6"/>
  <c r="D603" i="6"/>
  <c r="D629" i="6"/>
  <c r="D610" i="6"/>
  <c r="I458" i="6"/>
  <c r="F456" i="6"/>
  <c r="F9" i="6" s="1"/>
  <c r="H458" i="6"/>
  <c r="N456" i="6"/>
  <c r="N454" i="6" s="1"/>
  <c r="K458" i="6"/>
  <c r="K14" i="6" s="1"/>
  <c r="K8" i="6" s="1"/>
  <c r="O429" i="6"/>
  <c r="G434" i="6"/>
  <c r="L321" i="6"/>
  <c r="D367" i="6"/>
  <c r="D78" i="6"/>
  <c r="D71" i="6"/>
  <c r="H491" i="6"/>
  <c r="H488" i="6" s="1"/>
  <c r="H494" i="6"/>
  <c r="D515" i="6"/>
  <c r="D505" i="6"/>
  <c r="E78" i="6"/>
  <c r="E141" i="6"/>
  <c r="D141" i="6" s="1"/>
  <c r="D168" i="6"/>
  <c r="I429" i="6"/>
  <c r="D211" i="6"/>
  <c r="K429" i="6"/>
  <c r="H598" i="6"/>
  <c r="H597" i="6" s="1"/>
  <c r="H361" i="6"/>
  <c r="G394" i="6"/>
  <c r="F414" i="6"/>
  <c r="J414" i="6"/>
  <c r="D266" i="6"/>
  <c r="M457" i="6"/>
  <c r="D324" i="6"/>
  <c r="D379" i="6"/>
  <c r="D363" i="6"/>
  <c r="E414" i="6"/>
  <c r="D291" i="6"/>
  <c r="D336" i="6"/>
  <c r="D628" i="6"/>
  <c r="F627" i="6"/>
  <c r="D169" i="6"/>
  <c r="D331" i="6"/>
  <c r="E20" i="6"/>
  <c r="D364" i="6"/>
  <c r="O394" i="6"/>
  <c r="L461" i="6"/>
  <c r="N488" i="6"/>
  <c r="G627" i="6"/>
  <c r="D84" i="6"/>
  <c r="D117" i="6"/>
  <c r="D120" i="6"/>
  <c r="E556" i="6"/>
  <c r="D556" i="6" s="1"/>
  <c r="D346" i="6"/>
  <c r="J321" i="6"/>
  <c r="E321" i="6"/>
  <c r="K321" i="6"/>
  <c r="D545" i="6"/>
  <c r="E361" i="6"/>
  <c r="I361" i="6"/>
  <c r="N632" i="6"/>
  <c r="D567" i="6"/>
  <c r="D399" i="6"/>
  <c r="N394" i="6"/>
  <c r="I394" i="6"/>
  <c r="D398" i="6"/>
  <c r="N414" i="6"/>
  <c r="G414" i="6"/>
  <c r="F457" i="6"/>
  <c r="L457" i="6"/>
  <c r="D276" i="6"/>
  <c r="D281" i="6"/>
  <c r="J627" i="6"/>
  <c r="D631" i="6"/>
  <c r="K630" i="6"/>
  <c r="K627" i="6" s="1"/>
  <c r="H627" i="6"/>
  <c r="G491" i="6"/>
  <c r="G488" i="6" s="1"/>
  <c r="G494" i="6"/>
  <c r="F491" i="6"/>
  <c r="F488" i="6" s="1"/>
  <c r="F494" i="6"/>
  <c r="D525" i="6"/>
  <c r="E497" i="6"/>
  <c r="D562" i="6"/>
  <c r="O494" i="6"/>
  <c r="E456" i="6"/>
  <c r="F458" i="6"/>
  <c r="H457" i="6"/>
  <c r="D483" i="6"/>
  <c r="G458" i="6"/>
  <c r="H456" i="6"/>
  <c r="E457" i="6"/>
  <c r="K456" i="6"/>
  <c r="D433" i="6"/>
  <c r="H16" i="6"/>
  <c r="D16" i="6" s="1"/>
  <c r="F429" i="6"/>
  <c r="D430" i="6"/>
  <c r="D431" i="6"/>
  <c r="E429" i="6"/>
  <c r="L429" i="6"/>
  <c r="D432" i="6"/>
  <c r="D444" i="6"/>
  <c r="J434" i="6"/>
  <c r="H429" i="6"/>
  <c r="H414" i="6"/>
  <c r="D418" i="6"/>
  <c r="D384" i="6"/>
  <c r="L414" i="6"/>
  <c r="D419" i="6"/>
  <c r="D323" i="6"/>
  <c r="G9" i="6"/>
  <c r="L18" i="6"/>
  <c r="J18" i="6"/>
  <c r="J9" i="6" s="1"/>
  <c r="K18" i="6"/>
  <c r="I321" i="6"/>
  <c r="M23" i="6"/>
  <c r="O20" i="6"/>
  <c r="O11" i="6" s="1"/>
  <c r="O18" i="6"/>
  <c r="D417" i="6"/>
  <c r="D326" i="6"/>
  <c r="F394" i="6"/>
  <c r="D396" i="6"/>
  <c r="D362" i="6"/>
  <c r="D322" i="6"/>
  <c r="M321" i="6"/>
  <c r="D325" i="6"/>
  <c r="O414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394" i="6"/>
  <c r="O488" i="6"/>
  <c r="I627" i="6"/>
  <c r="E26" i="6"/>
  <c r="J12" i="5"/>
  <c r="D135" i="6"/>
  <c r="E58" i="6"/>
  <c r="D58" i="6" s="1"/>
  <c r="H54" i="5"/>
  <c r="P81" i="5"/>
  <c r="D613" i="6"/>
  <c r="M16" i="5"/>
  <c r="I18" i="6"/>
  <c r="L20" i="6" l="1"/>
  <c r="L11" i="6" s="1"/>
  <c r="O9" i="6"/>
  <c r="O8" i="6" s="1"/>
  <c r="I23" i="6"/>
  <c r="L9" i="5"/>
  <c r="H77" i="5"/>
  <c r="Q13" i="5"/>
  <c r="D607" i="6"/>
  <c r="D608" i="6"/>
  <c r="H115" i="5"/>
  <c r="J26" i="6"/>
  <c r="G26" i="6"/>
  <c r="D361" i="6"/>
  <c r="I11" i="6"/>
  <c r="U11" i="5"/>
  <c r="M9" i="6"/>
  <c r="H114" i="5"/>
  <c r="J10" i="5"/>
  <c r="P10" i="5"/>
  <c r="D161" i="6"/>
  <c r="G454" i="6"/>
  <c r="H80" i="5"/>
  <c r="M14" i="6"/>
  <c r="N88" i="5"/>
  <c r="K13" i="5"/>
  <c r="H14" i="5"/>
  <c r="P13" i="5"/>
  <c r="E597" i="6"/>
  <c r="H74" i="5"/>
  <c r="H78" i="5"/>
  <c r="S9" i="5"/>
  <c r="H11" i="5"/>
  <c r="P9" i="5"/>
  <c r="N11" i="6"/>
  <c r="O454" i="6"/>
  <c r="D598" i="6"/>
  <c r="D602" i="6"/>
  <c r="H90" i="5"/>
  <c r="G597" i="6"/>
  <c r="N26" i="6"/>
  <c r="R12" i="5"/>
  <c r="R9" i="5" s="1"/>
  <c r="H81" i="5"/>
  <c r="P88" i="5"/>
  <c r="H88" i="5" s="1"/>
  <c r="G23" i="6"/>
  <c r="G14" i="6" s="1"/>
  <c r="I494" i="6"/>
  <c r="I491" i="6"/>
  <c r="I488" i="6" s="1"/>
  <c r="Q9" i="5"/>
  <c r="M10" i="5"/>
  <c r="D612" i="6"/>
  <c r="K454" i="6"/>
  <c r="I26" i="6"/>
  <c r="N12" i="5"/>
  <c r="O13" i="5"/>
  <c r="N10" i="5"/>
  <c r="H89" i="5"/>
  <c r="O10" i="5"/>
  <c r="O9" i="5" s="1"/>
  <c r="N13" i="5"/>
  <c r="D394" i="6"/>
  <c r="D457" i="6"/>
  <c r="D24" i="6"/>
  <c r="D321" i="6"/>
  <c r="H11" i="6"/>
  <c r="L9" i="6"/>
  <c r="M454" i="6"/>
  <c r="J14" i="6"/>
  <c r="J8" i="6" s="1"/>
  <c r="G20" i="6"/>
  <c r="E18" i="6"/>
  <c r="E17" i="6" s="1"/>
  <c r="D630" i="6"/>
  <c r="P627" i="6" s="1"/>
  <c r="D632" i="6"/>
  <c r="D456" i="6"/>
  <c r="I454" i="6"/>
  <c r="N9" i="6"/>
  <c r="L454" i="6"/>
  <c r="D461" i="6"/>
  <c r="D15" i="6"/>
  <c r="E460" i="6"/>
  <c r="D460" i="6" s="1"/>
  <c r="D478" i="6"/>
  <c r="F11" i="6"/>
  <c r="E11" i="6"/>
  <c r="D434" i="6"/>
  <c r="L23" i="6"/>
  <c r="L14" i="6" s="1"/>
  <c r="N17" i="6"/>
  <c r="J454" i="6"/>
  <c r="N14" i="6"/>
  <c r="D490" i="6"/>
  <c r="D429" i="6"/>
  <c r="D627" i="6"/>
  <c r="D414" i="6"/>
  <c r="D29" i="6"/>
  <c r="M11" i="6"/>
  <c r="M26" i="6"/>
  <c r="E491" i="6"/>
  <c r="E14" i="6" s="1"/>
  <c r="E494" i="6"/>
  <c r="D497" i="6"/>
  <c r="F14" i="6"/>
  <c r="D458" i="6"/>
  <c r="F454" i="6"/>
  <c r="K9" i="6"/>
  <c r="H454" i="6"/>
  <c r="H9" i="6"/>
  <c r="K17" i="6"/>
  <c r="J17" i="6"/>
  <c r="O17" i="6"/>
  <c r="M15" i="5"/>
  <c r="H16" i="5"/>
  <c r="J9" i="5"/>
  <c r="I17" i="6"/>
  <c r="I9" i="6"/>
  <c r="H23" i="6"/>
  <c r="H26" i="6"/>
  <c r="D32" i="6"/>
  <c r="H10" i="5"/>
  <c r="L8" i="6" l="1"/>
  <c r="M8" i="6"/>
  <c r="I14" i="6"/>
  <c r="I8" i="6" s="1"/>
  <c r="D20" i="6"/>
  <c r="D597" i="6"/>
  <c r="D26" i="6"/>
  <c r="L17" i="6"/>
  <c r="N9" i="5"/>
  <c r="D18" i="6"/>
  <c r="D494" i="6"/>
  <c r="E9" i="6"/>
  <c r="D9" i="6" s="1"/>
  <c r="G17" i="6"/>
  <c r="G11" i="6"/>
  <c r="G8" i="6" s="1"/>
  <c r="N8" i="6"/>
  <c r="F8" i="6"/>
  <c r="E454" i="6"/>
  <c r="D454" i="6" s="1"/>
  <c r="D23" i="6"/>
  <c r="M17" i="6"/>
  <c r="E488" i="6"/>
  <c r="D488" i="6" s="1"/>
  <c r="D491" i="6"/>
  <c r="H15" i="5"/>
  <c r="M12" i="5"/>
  <c r="M13" i="5"/>
  <c r="H13" i="5" s="1"/>
  <c r="H14" i="6"/>
  <c r="H8" i="6" s="1"/>
  <c r="H17" i="6"/>
  <c r="E8" i="6" l="1"/>
  <c r="D11" i="6"/>
  <c r="D17" i="6"/>
  <c r="H12" i="5"/>
  <c r="M9" i="5"/>
  <c r="H9" i="5" s="1"/>
  <c r="D14" i="6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43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47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5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57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57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58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5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59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386687,4  - Кацель Е.А. 04.10.2021</t>
        </r>
      </text>
    </comment>
    <comment ref="K60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52352,1 - Кацель Е.А. -04.10.2021</t>
        </r>
      </text>
    </comment>
  </commentList>
</comments>
</file>

<file path=xl/sharedStrings.xml><?xml version="1.0" encoding="utf-8"?>
<sst xmlns="http://schemas.openxmlformats.org/spreadsheetml/2006/main" count="1511" uniqueCount="420">
  <si>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</si>
  <si>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</si>
  <si>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</si>
  <si>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</si>
  <si>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</si>
  <si>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</si>
  <si>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</si>
  <si>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</si>
  <si>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</si>
  <si>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</si>
  <si>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</si>
  <si>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</si>
  <si>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</si>
  <si>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</si>
  <si>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</si>
  <si>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</si>
  <si>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</si>
  <si>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</si>
  <si>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</si>
  <si>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</si>
  <si>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</si>
  <si>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</si>
  <si>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</si>
  <si>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</si>
  <si>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</si>
  <si>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</si>
  <si>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</si>
  <si>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</si>
  <si>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</si>
  <si>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</si>
  <si>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</si>
  <si>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</si>
  <si>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</si>
  <si>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</si>
  <si>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</si>
  <si>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</si>
  <si>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</si>
  <si>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</si>
  <si>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</si>
  <si>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</si>
  <si>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</si>
  <si>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</si>
  <si>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</si>
  <si>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</si>
  <si>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</si>
  <si>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</si>
  <si>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</si>
  <si>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</si>
  <si>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</si>
  <si>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</si>
  <si>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</si>
  <si>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</si>
  <si>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</si>
  <si>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</si>
  <si>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</si>
  <si>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</si>
  <si>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</si>
  <si>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</si>
  <si>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</si>
  <si>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</si>
  <si>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</si>
  <si>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очистных сооружений Северного жилого района, г. Благовещенск, Амурская область (в т. ч. проектные работы)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</si>
  <si>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</si>
  <si>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</si>
  <si>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</si>
  <si>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</si>
  <si>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</si>
  <si>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</si>
  <si>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</si>
  <si>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</si>
  <si>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</si>
  <si>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</si>
  <si>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</si>
  <si>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</si>
  <si>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</si>
  <si>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</si>
  <si>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</si>
  <si>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</si>
  <si>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</si>
  <si>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</si>
  <si>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</si>
  <si>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</si>
  <si>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</si>
  <si>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</si>
  <si>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</si>
  <si>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</si>
  <si>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</si>
  <si>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</si>
  <si>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</si>
  <si>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</si>
  <si>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</si>
  <si>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</si>
  <si>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</si>
  <si>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</si>
  <si>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</si>
  <si>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</si>
  <si>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</si>
  <si>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</si>
  <si>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</si>
  <si>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</si>
  <si>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</si>
  <si>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</si>
  <si>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</si>
  <si>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</si>
  <si>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</si>
  <si>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</si>
  <si>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</si>
  <si>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</si>
  <si>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</si>
  <si>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</si>
  <si>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</si>
  <si>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</si>
  <si>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</si>
  <si>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</si>
  <si>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</si>
  <si>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</si>
  <si>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</si>
  <si>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</si>
  <si>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</si>
  <si>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</si>
  <si>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</si>
  <si>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</si>
  <si>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</si>
  <si>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</si>
  <si>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</si>
  <si>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</si>
  <si>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</si>
  <si>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</si>
  <si>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</si>
  <si>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</si>
  <si>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</si>
  <si>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</si>
  <si>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</si>
  <si>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</si>
  <si>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</si>
  <si>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</si>
  <si>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</si>
  <si>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</si>
  <si>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</si>
  <si>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</si>
  <si>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</si>
  <si>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</si>
  <si>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</si>
  <si>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</si>
  <si>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</si>
  <si>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</si>
  <si>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</si>
  <si>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</si>
  <si>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</si>
  <si>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</si>
  <si>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</si>
  <si>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</si>
  <si>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</si>
  <si>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</si>
  <si>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</si>
  <si>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</si>
  <si>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</si>
  <si>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</si>
  <si>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</si>
  <si>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</si>
  <si>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</si>
  <si>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</si>
  <si>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</si>
  <si>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</si>
  <si>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</si>
  <si>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</si>
  <si>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</si>
  <si>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</si>
  <si>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</si>
  <si>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</si>
  <si>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</si>
  <si>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</si>
  <si>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</si>
  <si>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</si>
  <si>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</si>
  <si>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</si>
  <si>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</si>
  <si>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</si>
  <si>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</si>
  <si>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</si>
  <si>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</si>
  <si>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</si>
  <si>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</si>
  <si>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</si>
  <si>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</si>
  <si>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</si>
  <si>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</si>
  <si>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</si>
  <si>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</si>
  <si>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</si>
  <si>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</si>
  <si>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</si>
  <si>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</si>
  <si>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</si>
  <si>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</si>
  <si>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</si>
  <si>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</si>
  <si>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</si>
  <si>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</si>
  <si>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</si>
  <si>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</si>
  <si>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</si>
  <si>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</si>
  <si>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</si>
  <si>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</si>
  <si>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</si>
  <si>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</si>
  <si>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</si>
  <si>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</si>
  <si>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</si>
  <si>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</si>
  <si>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</si>
  <si>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</si>
  <si>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</si>
  <si>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</si>
  <si>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</si>
  <si>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</si>
  <si>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</si>
  <si>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</si>
  <si>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</si>
  <si>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</si>
  <si>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</si>
  <si>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</si>
  <si>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</si>
  <si>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</si>
  <si>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</si>
  <si>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</si>
  <si>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</si>
  <si>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</si>
  <si>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</si>
  <si>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</si>
  <si>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</si>
  <si>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</si>
  <si>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</si>
  <si>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</si>
  <si>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</si>
  <si>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</si>
  <si>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</si>
  <si>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</si>
  <si>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</si>
  <si>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</si>
  <si>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</si>
  <si>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</si>
  <si>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</si>
  <si>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</si>
  <si>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</si>
  <si>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</si>
  <si>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</si>
  <si>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</si>
  <si>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</si>
  <si>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</si>
  <si>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</si>
  <si>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</si>
  <si>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</si>
  <si>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</si>
  <si>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</si>
  <si>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</si>
  <si>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</si>
  <si>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</si>
  <si>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</si>
  <si>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</si>
  <si>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</si>
  <si>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</si>
  <si>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</si>
  <si>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</si>
  <si>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</si>
  <si>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</si>
  <si>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</si>
  <si>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</si>
  <si>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</si>
  <si>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</si>
  <si>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</si>
  <si>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</si>
  <si>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</si>
  <si>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</si>
  <si>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</si>
  <si>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</si>
  <si>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</si>
  <si>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</si>
  <si>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</si>
  <si>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</si>
  <si>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</si>
  <si>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</si>
  <si>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</si>
  <si>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</si>
  <si>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</si>
  <si>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</si>
  <si>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</si>
  <si>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</si>
  <si>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</si>
  <si>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</si>
  <si>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</si>
  <si>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</si>
  <si>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</si>
  <si>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</si>
  <si>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</si>
  <si>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</si>
  <si>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</si>
  <si>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</si>
  <si>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</si>
  <si>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</si>
  <si>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</si>
  <si>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</si>
  <si>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</si>
  <si>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</si>
  <si>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</si>
  <si>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</si>
  <si>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</si>
  <si>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</si>
  <si>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</si>
  <si>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</si>
  <si>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</si>
  <si>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</si>
  <si>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</si>
  <si>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</si>
  <si>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</si>
  <si>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</si>
  <si>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</si>
  <si>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</si>
  <si>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</si>
  <si>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</si>
  <si>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</si>
  <si>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</si>
  <si>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</si>
  <si>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</si>
  <si>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</si>
  <si>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</si>
  <si>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</si>
  <si>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</si>
  <si>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</si>
  <si>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</si>
  <si>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</si>
  <si>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</si>
  <si>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</si>
  <si>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</si>
  <si>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</si>
  <si>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</si>
  <si>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</si>
  <si>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</si>
  <si>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</si>
  <si>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</si>
  <si>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</si>
  <si>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</si>
  <si>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</si>
  <si>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</si>
  <si>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</si>
  <si>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</si>
  <si>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</si>
  <si>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</si>
  <si>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</si>
  <si>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</si>
  <si>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</si>
  <si>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</si>
  <si>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</si>
  <si>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</si>
  <si>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</si>
  <si>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</si>
  <si>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</si>
  <si>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</si>
  <si>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</si>
  <si>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</si>
  <si>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</si>
  <si>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</si>
  <si>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</si>
  <si>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</si>
  <si>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</si>
  <si>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</si>
  <si>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Мероприятие 1.1.42</t>
  </si>
  <si>
    <t>Мероприятие 1.1.43</t>
  </si>
  <si>
    <t>Реконструкция водозабора Северного жилого района, г.Благовещенск, Амурская область</t>
  </si>
  <si>
    <t>Мероприятие 1.1.44</t>
  </si>
  <si>
    <t>Мероприятие 1.1.45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</si>
  <si>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</si>
  <si>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</si>
  <si>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</si>
  <si>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</si>
  <si>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</si>
  <si>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</si>
  <si>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</si>
  <si>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</si>
  <si>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</si>
  <si>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</si>
  <si>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</si>
  <si>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</si>
  <si>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</si>
  <si>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</si>
  <si>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</si>
  <si>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</si>
  <si>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</si>
  <si>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</si>
  <si>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</si>
  <si>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</si>
  <si>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</si>
  <si>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</si>
  <si>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</si>
  <si>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</si>
  <si>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Мероприятие 1.1.49.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</si>
  <si>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</si>
  <si>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</si>
  <si>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</si>
  <si>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</si>
  <si>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</si>
  <si>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</si>
  <si>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</si>
  <si>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</si>
  <si>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</si>
  <si>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Содержание (техническое обслуживание) и текущий ремонт муниципальных сетей наружного освещения и оборудования</t>
  </si>
  <si>
    <t>Мероприятие 4.1.19.</t>
  </si>
  <si>
    <t>Мероприятие 1.4.3.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</si>
  <si>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</si>
  <si>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</si>
  <si>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</si>
  <si>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</si>
  <si>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</si>
  <si>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</si>
  <si>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Мероприятие 1.3.5.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</si>
  <si>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</si>
  <si>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</si>
  <si>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</si>
  <si>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>Приложение 8 к постановлению администрации города Благовещенска                                           от 09.12.2021 № 5053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</si>
</sst>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44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0" fontId="16" fillId="0" borderId="1" xfId="0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7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6" fillId="0" borderId="1" xfId="0" applyNumberFormat="1" applyFont="1" applyFill="1" applyBorder="1" applyAlignment="1">
      <alignment horizontal="center" vertical="center"/>
    </xf>
    <xf numFmtId="165" fontId="19" fillId="0" borderId="0" xfId="0" applyNumberFormat="1" applyFont="1" applyFill="1"/>
    <xf numFmtId="165" fontId="19" fillId="0" borderId="3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5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ulas Monique" id="{2306ED7E-3447-4561-B7A2-61B1B96DA71B}" userId="Kulas Monique" providerId="Non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8" dT="2021-11-26T12:10:39.36" personId="{2306ED7E-3447-4561-B7A2-61B1B96DA71B}" id="{0140375C-6D1E-4B32-A130-4DF1E2A6AA88}">
    <text>д.б.2393674,4 добавить 0,1 на 4.2.1.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86" t="s">
        <v>311</v>
      </c>
      <c r="P1" s="86"/>
      <c r="Q1" s="86"/>
      <c r="R1" s="86"/>
      <c r="S1" s="86"/>
      <c r="T1" s="9"/>
    </row>
    <row r="2" spans="1:21" ht="35.25" customHeight="1" x14ac:dyDescent="0.3">
      <c r="B2" s="7"/>
      <c r="O2" s="86" t="s">
        <v>312</v>
      </c>
      <c r="P2" s="86"/>
      <c r="Q2" s="86"/>
      <c r="R2" s="86"/>
      <c r="S2" s="86"/>
      <c r="T2" s="9"/>
    </row>
    <row r="3" spans="1:21" ht="17.25" customHeight="1" x14ac:dyDescent="0.3">
      <c r="B3" s="87" t="s">
        <v>0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21" ht="16.5" customHeight="1" x14ac:dyDescent="0.3">
      <c r="B4" s="88" t="s">
        <v>1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spans="1:21" ht="3" customHeight="1" x14ac:dyDescent="0.3">
      <c r="B5" s="11"/>
      <c r="M5" s="12"/>
      <c r="N5" s="33"/>
    </row>
    <row r="6" spans="1:21" ht="53.25" customHeight="1" x14ac:dyDescent="0.25">
      <c r="A6" s="85" t="s">
        <v>25</v>
      </c>
      <c r="B6" s="85" t="s">
        <v>94</v>
      </c>
      <c r="C6" s="85" t="s">
        <v>130</v>
      </c>
      <c r="D6" s="85" t="s">
        <v>2</v>
      </c>
      <c r="E6" s="85"/>
      <c r="F6" s="85"/>
      <c r="G6" s="85"/>
      <c r="H6" s="93" t="s">
        <v>3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</row>
    <row r="7" spans="1:21" x14ac:dyDescent="0.25">
      <c r="A7" s="85"/>
      <c r="B7" s="85"/>
      <c r="C7" s="85"/>
      <c r="D7" s="39" t="s">
        <v>4</v>
      </c>
      <c r="E7" s="39" t="s">
        <v>5</v>
      </c>
      <c r="F7" s="45" t="s">
        <v>6</v>
      </c>
      <c r="G7" s="39" t="s">
        <v>131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252</v>
      </c>
      <c r="P7" s="39" t="s">
        <v>295</v>
      </c>
      <c r="Q7" s="39" t="s">
        <v>296</v>
      </c>
      <c r="R7" s="39" t="s">
        <v>297</v>
      </c>
      <c r="S7" s="39" t="s">
        <v>298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96" t="s">
        <v>26</v>
      </c>
      <c r="B9" s="96" t="s">
        <v>329</v>
      </c>
      <c r="C9" s="49" t="s">
        <v>43</v>
      </c>
      <c r="D9" s="39"/>
      <c r="E9" s="39"/>
      <c r="F9" s="14" t="s">
        <v>163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96"/>
      <c r="B10" s="96"/>
      <c r="C10" s="50" t="s">
        <v>85</v>
      </c>
      <c r="D10" s="15" t="s">
        <v>14</v>
      </c>
      <c r="E10" s="15" t="s">
        <v>250</v>
      </c>
      <c r="F10" s="46"/>
      <c r="G10" s="39" t="s">
        <v>231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96"/>
      <c r="B11" s="96"/>
      <c r="C11" s="42" t="s">
        <v>87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96"/>
      <c r="B12" s="96"/>
      <c r="C12" s="42" t="s">
        <v>91</v>
      </c>
      <c r="D12" s="43" t="s">
        <v>47</v>
      </c>
      <c r="E12" s="43" t="s">
        <v>249</v>
      </c>
      <c r="F12" s="45"/>
      <c r="G12" s="39" t="s">
        <v>224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98" t="s">
        <v>30</v>
      </c>
      <c r="B13" s="96" t="s">
        <v>28</v>
      </c>
      <c r="C13" s="40" t="s">
        <v>43</v>
      </c>
      <c r="D13" s="17"/>
      <c r="E13" s="18"/>
      <c r="F13" s="14" t="s">
        <v>194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02"/>
      <c r="B14" s="96"/>
      <c r="C14" s="47" t="s">
        <v>85</v>
      </c>
      <c r="D14" s="43" t="s">
        <v>14</v>
      </c>
      <c r="E14" s="43" t="s">
        <v>216</v>
      </c>
      <c r="F14" s="45"/>
      <c r="G14" s="39" t="s">
        <v>221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03"/>
      <c r="B15" s="96"/>
      <c r="C15" s="47" t="s">
        <v>217</v>
      </c>
      <c r="D15" s="43" t="s">
        <v>47</v>
      </c>
      <c r="E15" s="43" t="s">
        <v>15</v>
      </c>
      <c r="F15" s="45"/>
      <c r="G15" s="39" t="s">
        <v>220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09.2" x14ac:dyDescent="0.25">
      <c r="A16" s="91" t="s">
        <v>236</v>
      </c>
      <c r="B16" s="91" t="s">
        <v>143</v>
      </c>
      <c r="C16" s="47" t="s">
        <v>217</v>
      </c>
      <c r="D16" s="43" t="s">
        <v>47</v>
      </c>
      <c r="E16" s="43" t="s">
        <v>15</v>
      </c>
      <c r="F16" s="44" t="s">
        <v>155</v>
      </c>
      <c r="G16" s="39" t="s">
        <v>220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92"/>
      <c r="B17" s="92"/>
      <c r="C17" s="47" t="s">
        <v>219</v>
      </c>
      <c r="D17" s="43" t="s">
        <v>14</v>
      </c>
      <c r="E17" s="43" t="s">
        <v>15</v>
      </c>
      <c r="F17" s="44" t="s">
        <v>155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09.2" x14ac:dyDescent="0.25">
      <c r="A18" s="42" t="s">
        <v>95</v>
      </c>
      <c r="B18" s="47" t="s">
        <v>264</v>
      </c>
      <c r="C18" s="47" t="s">
        <v>217</v>
      </c>
      <c r="D18" s="43" t="s">
        <v>47</v>
      </c>
      <c r="E18" s="43" t="s">
        <v>15</v>
      </c>
      <c r="F18" s="44" t="s">
        <v>166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09.2" x14ac:dyDescent="0.25">
      <c r="A19" s="42" t="s">
        <v>96</v>
      </c>
      <c r="B19" s="51" t="s">
        <v>248</v>
      </c>
      <c r="C19" s="47" t="s">
        <v>217</v>
      </c>
      <c r="D19" s="43" t="s">
        <v>47</v>
      </c>
      <c r="E19" s="43" t="s">
        <v>15</v>
      </c>
      <c r="F19" s="44" t="s">
        <v>167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09.2" x14ac:dyDescent="0.25">
      <c r="A20" s="42" t="s">
        <v>132</v>
      </c>
      <c r="B20" s="47" t="s">
        <v>228</v>
      </c>
      <c r="C20" s="47" t="s">
        <v>217</v>
      </c>
      <c r="D20" s="43" t="s">
        <v>47</v>
      </c>
      <c r="E20" s="43" t="s">
        <v>15</v>
      </c>
      <c r="F20" s="44" t="s">
        <v>168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09.2" x14ac:dyDescent="0.25">
      <c r="A21" s="42" t="s">
        <v>97</v>
      </c>
      <c r="B21" s="47" t="s">
        <v>89</v>
      </c>
      <c r="C21" s="47" t="s">
        <v>217</v>
      </c>
      <c r="D21" s="43" t="s">
        <v>47</v>
      </c>
      <c r="E21" s="43" t="s">
        <v>15</v>
      </c>
      <c r="F21" s="44" t="s">
        <v>169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98</v>
      </c>
      <c r="B22" s="47" t="s">
        <v>202</v>
      </c>
      <c r="C22" s="47" t="s">
        <v>217</v>
      </c>
      <c r="D22" s="43" t="s">
        <v>47</v>
      </c>
      <c r="E22" s="43" t="s">
        <v>15</v>
      </c>
      <c r="F22" s="44" t="s">
        <v>203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09.2" x14ac:dyDescent="0.25">
      <c r="A23" s="42" t="s">
        <v>99</v>
      </c>
      <c r="B23" s="47" t="s">
        <v>62</v>
      </c>
      <c r="C23" s="47" t="s">
        <v>217</v>
      </c>
      <c r="D23" s="43" t="s">
        <v>47</v>
      </c>
      <c r="E23" s="43" t="s">
        <v>15</v>
      </c>
      <c r="F23" s="44" t="s">
        <v>170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09.2" x14ac:dyDescent="0.25">
      <c r="A24" s="42" t="s">
        <v>100</v>
      </c>
      <c r="B24" s="47" t="s">
        <v>139</v>
      </c>
      <c r="C24" s="47" t="s">
        <v>217</v>
      </c>
      <c r="D24" s="43" t="s">
        <v>47</v>
      </c>
      <c r="E24" s="43" t="s">
        <v>15</v>
      </c>
      <c r="F24" s="44" t="s">
        <v>171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09.2" x14ac:dyDescent="0.25">
      <c r="A25" s="42" t="s">
        <v>101</v>
      </c>
      <c r="B25" s="47" t="s">
        <v>69</v>
      </c>
      <c r="C25" s="47" t="s">
        <v>217</v>
      </c>
      <c r="D25" s="43" t="s">
        <v>47</v>
      </c>
      <c r="E25" s="43" t="s">
        <v>15</v>
      </c>
      <c r="F25" s="44" t="s">
        <v>172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09.2" x14ac:dyDescent="0.25">
      <c r="A26" s="42" t="s">
        <v>102</v>
      </c>
      <c r="B26" s="47" t="s">
        <v>71</v>
      </c>
      <c r="C26" s="47" t="s">
        <v>217</v>
      </c>
      <c r="D26" s="43" t="s">
        <v>47</v>
      </c>
      <c r="E26" s="43" t="s">
        <v>15</v>
      </c>
      <c r="F26" s="44" t="s">
        <v>173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103</v>
      </c>
      <c r="B27" s="50" t="s">
        <v>72</v>
      </c>
      <c r="C27" s="47" t="s">
        <v>217</v>
      </c>
      <c r="D27" s="43" t="s">
        <v>47</v>
      </c>
      <c r="E27" s="43" t="s">
        <v>15</v>
      </c>
      <c r="F27" s="44" t="s">
        <v>174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104</v>
      </c>
      <c r="B28" s="47" t="s">
        <v>237</v>
      </c>
      <c r="C28" s="47" t="s">
        <v>217</v>
      </c>
      <c r="D28" s="43" t="s">
        <v>47</v>
      </c>
      <c r="E28" s="43" t="s">
        <v>15</v>
      </c>
      <c r="F28" s="44" t="s">
        <v>175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105</v>
      </c>
      <c r="B29" s="47" t="s">
        <v>140</v>
      </c>
      <c r="C29" s="47" t="s">
        <v>217</v>
      </c>
      <c r="D29" s="43" t="s">
        <v>47</v>
      </c>
      <c r="E29" s="43" t="s">
        <v>15</v>
      </c>
      <c r="F29" s="44" t="s">
        <v>176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09.2" x14ac:dyDescent="0.25">
      <c r="A30" s="42" t="s">
        <v>106</v>
      </c>
      <c r="B30" s="47" t="s">
        <v>73</v>
      </c>
      <c r="C30" s="47" t="s">
        <v>217</v>
      </c>
      <c r="D30" s="43" t="s">
        <v>47</v>
      </c>
      <c r="E30" s="43" t="s">
        <v>15</v>
      </c>
      <c r="F30" s="44" t="s">
        <v>211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107</v>
      </c>
      <c r="B31" s="47" t="s">
        <v>336</v>
      </c>
      <c r="C31" s="47" t="s">
        <v>217</v>
      </c>
      <c r="D31" s="43" t="s">
        <v>47</v>
      </c>
      <c r="E31" s="43" t="s">
        <v>15</v>
      </c>
      <c r="F31" s="44" t="s">
        <v>177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09.2" x14ac:dyDescent="0.25">
      <c r="A32" s="42" t="s">
        <v>108</v>
      </c>
      <c r="B32" s="47" t="s">
        <v>141</v>
      </c>
      <c r="C32" s="47" t="s">
        <v>217</v>
      </c>
      <c r="D32" s="43" t="s">
        <v>47</v>
      </c>
      <c r="E32" s="43" t="s">
        <v>15</v>
      </c>
      <c r="F32" s="44" t="s">
        <v>178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09.2" x14ac:dyDescent="0.25">
      <c r="A33" s="42" t="s">
        <v>109</v>
      </c>
      <c r="B33" s="47" t="s">
        <v>75</v>
      </c>
      <c r="C33" s="47" t="s">
        <v>217</v>
      </c>
      <c r="D33" s="43" t="s">
        <v>47</v>
      </c>
      <c r="E33" s="43" t="s">
        <v>15</v>
      </c>
      <c r="F33" s="44" t="s">
        <v>179</v>
      </c>
      <c r="G33" s="48">
        <v>200</v>
      </c>
      <c r="H33" s="1">
        <f t="shared" si="7"/>
        <v>155</v>
      </c>
      <c r="I33" s="1" t="s">
        <v>77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09.2" x14ac:dyDescent="0.25">
      <c r="A34" s="42" t="s">
        <v>110</v>
      </c>
      <c r="B34" s="47" t="s">
        <v>74</v>
      </c>
      <c r="C34" s="47" t="s">
        <v>217</v>
      </c>
      <c r="D34" s="43" t="s">
        <v>47</v>
      </c>
      <c r="E34" s="43" t="s">
        <v>15</v>
      </c>
      <c r="F34" s="44" t="s">
        <v>180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111</v>
      </c>
      <c r="B35" s="47" t="s">
        <v>63</v>
      </c>
      <c r="C35" s="47" t="s">
        <v>217</v>
      </c>
      <c r="D35" s="43" t="s">
        <v>47</v>
      </c>
      <c r="E35" s="43" t="s">
        <v>15</v>
      </c>
      <c r="F35" s="44" t="s">
        <v>181</v>
      </c>
      <c r="G35" s="48">
        <v>400</v>
      </c>
      <c r="H35" s="1">
        <f t="shared" si="7"/>
        <v>1600.3</v>
      </c>
      <c r="I35" s="1" t="s">
        <v>67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112</v>
      </c>
      <c r="B36" s="47" t="s">
        <v>64</v>
      </c>
      <c r="C36" s="47" t="s">
        <v>217</v>
      </c>
      <c r="D36" s="43" t="s">
        <v>47</v>
      </c>
      <c r="E36" s="43" t="s">
        <v>15</v>
      </c>
      <c r="F36" s="44" t="s">
        <v>182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113</v>
      </c>
      <c r="B37" s="47" t="s">
        <v>76</v>
      </c>
      <c r="C37" s="47" t="s">
        <v>217</v>
      </c>
      <c r="D37" s="43" t="s">
        <v>47</v>
      </c>
      <c r="E37" s="43" t="s">
        <v>15</v>
      </c>
      <c r="F37" s="44" t="s">
        <v>183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114</v>
      </c>
      <c r="B38" s="47" t="s">
        <v>79</v>
      </c>
      <c r="C38" s="47" t="s">
        <v>85</v>
      </c>
      <c r="D38" s="43" t="s">
        <v>14</v>
      </c>
      <c r="E38" s="43" t="s">
        <v>15</v>
      </c>
      <c r="F38" s="44" t="s">
        <v>184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115</v>
      </c>
      <c r="B39" s="47" t="s">
        <v>214</v>
      </c>
      <c r="C39" s="47" t="s">
        <v>217</v>
      </c>
      <c r="D39" s="43" t="s">
        <v>47</v>
      </c>
      <c r="E39" s="43" t="s">
        <v>15</v>
      </c>
      <c r="F39" s="44" t="s">
        <v>215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116</v>
      </c>
      <c r="B40" s="47" t="s">
        <v>218</v>
      </c>
      <c r="C40" s="47" t="s">
        <v>240</v>
      </c>
      <c r="D40" s="43" t="s">
        <v>14</v>
      </c>
      <c r="E40" s="43" t="s">
        <v>15</v>
      </c>
      <c r="F40" s="44" t="s">
        <v>241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117</v>
      </c>
      <c r="B41" s="47" t="s">
        <v>233</v>
      </c>
      <c r="C41" s="47" t="s">
        <v>217</v>
      </c>
      <c r="D41" s="43" t="s">
        <v>47</v>
      </c>
      <c r="E41" s="43" t="s">
        <v>15</v>
      </c>
      <c r="F41" s="44" t="s">
        <v>234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09.2" x14ac:dyDescent="0.25">
      <c r="A42" s="42" t="s">
        <v>118</v>
      </c>
      <c r="B42" s="47" t="s">
        <v>226</v>
      </c>
      <c r="C42" s="47" t="s">
        <v>217</v>
      </c>
      <c r="D42" s="43" t="s">
        <v>47</v>
      </c>
      <c r="E42" s="43" t="s">
        <v>15</v>
      </c>
      <c r="F42" s="44" t="s">
        <v>227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89" t="s">
        <v>119</v>
      </c>
      <c r="B43" s="89" t="s">
        <v>276</v>
      </c>
      <c r="C43" s="47" t="s">
        <v>217</v>
      </c>
      <c r="D43" s="43" t="s">
        <v>47</v>
      </c>
      <c r="E43" s="43" t="s">
        <v>15</v>
      </c>
      <c r="F43" s="44" t="s">
        <v>242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90"/>
      <c r="B44" s="90"/>
      <c r="C44" s="47" t="s">
        <v>240</v>
      </c>
      <c r="D44" s="43" t="s">
        <v>14</v>
      </c>
      <c r="E44" s="43" t="s">
        <v>15</v>
      </c>
      <c r="F44" s="44" t="s">
        <v>242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09.2" x14ac:dyDescent="0.25">
      <c r="A45" s="42" t="s">
        <v>213</v>
      </c>
      <c r="B45" s="47" t="s">
        <v>299</v>
      </c>
      <c r="C45" s="47" t="s">
        <v>217</v>
      </c>
      <c r="D45" s="43" t="s">
        <v>47</v>
      </c>
      <c r="E45" s="43" t="s">
        <v>15</v>
      </c>
      <c r="F45" s="44" t="s">
        <v>259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09.2" x14ac:dyDescent="0.25">
      <c r="A46" s="42" t="s">
        <v>253</v>
      </c>
      <c r="B46" s="47" t="s">
        <v>257</v>
      </c>
      <c r="C46" s="47" t="s">
        <v>217</v>
      </c>
      <c r="D46" s="43" t="s">
        <v>47</v>
      </c>
      <c r="E46" s="43" t="s">
        <v>15</v>
      </c>
      <c r="F46" s="44" t="s">
        <v>260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09.2" x14ac:dyDescent="0.25">
      <c r="A47" s="42" t="s">
        <v>254</v>
      </c>
      <c r="B47" s="47" t="s">
        <v>293</v>
      </c>
      <c r="C47" s="47" t="s">
        <v>217</v>
      </c>
      <c r="D47" s="43" t="s">
        <v>47</v>
      </c>
      <c r="E47" s="43" t="s">
        <v>15</v>
      </c>
      <c r="F47" s="44" t="s">
        <v>261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09.2" x14ac:dyDescent="0.25">
      <c r="A48" s="42" t="s">
        <v>255</v>
      </c>
      <c r="B48" s="47" t="s">
        <v>341</v>
      </c>
      <c r="C48" s="47" t="s">
        <v>217</v>
      </c>
      <c r="D48" s="43" t="s">
        <v>47</v>
      </c>
      <c r="E48" s="43" t="s">
        <v>15</v>
      </c>
      <c r="F48" s="44" t="s">
        <v>262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09.2" x14ac:dyDescent="0.25">
      <c r="A49" s="42" t="s">
        <v>256</v>
      </c>
      <c r="B49" s="47" t="s">
        <v>258</v>
      </c>
      <c r="C49" s="47" t="s">
        <v>217</v>
      </c>
      <c r="D49" s="43" t="s">
        <v>47</v>
      </c>
      <c r="E49" s="43" t="s">
        <v>15</v>
      </c>
      <c r="F49" s="44" t="s">
        <v>263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09.2" x14ac:dyDescent="0.25">
      <c r="A50" s="42" t="s">
        <v>272</v>
      </c>
      <c r="B50" s="47" t="s">
        <v>273</v>
      </c>
      <c r="C50" s="47" t="s">
        <v>217</v>
      </c>
      <c r="D50" s="43" t="s">
        <v>47</v>
      </c>
      <c r="E50" s="43" t="s">
        <v>15</v>
      </c>
      <c r="F50" s="44" t="s">
        <v>274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09.2" x14ac:dyDescent="0.25">
      <c r="A51" s="42" t="s">
        <v>280</v>
      </c>
      <c r="B51" s="47" t="s">
        <v>281</v>
      </c>
      <c r="C51" s="47" t="s">
        <v>217</v>
      </c>
      <c r="D51" s="43" t="s">
        <v>47</v>
      </c>
      <c r="E51" s="43" t="s">
        <v>15</v>
      </c>
      <c r="F51" s="44" t="s">
        <v>282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09.2" x14ac:dyDescent="0.25">
      <c r="A52" s="42" t="s">
        <v>300</v>
      </c>
      <c r="B52" s="47" t="s">
        <v>306</v>
      </c>
      <c r="C52" s="47" t="s">
        <v>217</v>
      </c>
      <c r="D52" s="43" t="s">
        <v>47</v>
      </c>
      <c r="E52" s="43" t="s">
        <v>15</v>
      </c>
      <c r="F52" s="44" t="s">
        <v>307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09.2" x14ac:dyDescent="0.25">
      <c r="A53" s="42" t="s">
        <v>302</v>
      </c>
      <c r="B53" s="47" t="s">
        <v>301</v>
      </c>
      <c r="C53" s="47" t="s">
        <v>217</v>
      </c>
      <c r="D53" s="43" t="s">
        <v>47</v>
      </c>
      <c r="E53" s="43" t="s">
        <v>15</v>
      </c>
      <c r="F53" s="44" t="s">
        <v>303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305</v>
      </c>
      <c r="B54" s="53" t="s">
        <v>351</v>
      </c>
      <c r="C54" s="47" t="s">
        <v>217</v>
      </c>
      <c r="D54" s="43" t="s">
        <v>47</v>
      </c>
      <c r="E54" s="43" t="s">
        <v>15</v>
      </c>
      <c r="F54" s="44" t="s">
        <v>304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322</v>
      </c>
      <c r="B55" s="47" t="s">
        <v>324</v>
      </c>
      <c r="C55" s="47" t="s">
        <v>217</v>
      </c>
      <c r="D55" s="43" t="s">
        <v>47</v>
      </c>
      <c r="E55" s="43" t="s">
        <v>15</v>
      </c>
      <c r="F55" s="44" t="s">
        <v>326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323</v>
      </c>
      <c r="B56" s="47" t="s">
        <v>325</v>
      </c>
      <c r="C56" s="47" t="s">
        <v>217</v>
      </c>
      <c r="D56" s="43" t="s">
        <v>47</v>
      </c>
      <c r="E56" s="43" t="s">
        <v>15</v>
      </c>
      <c r="F56" s="44" t="s">
        <v>327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337</v>
      </c>
      <c r="B57" s="47" t="s">
        <v>338</v>
      </c>
      <c r="C57" s="47" t="s">
        <v>85</v>
      </c>
      <c r="D57" s="43" t="s">
        <v>14</v>
      </c>
      <c r="E57" s="43" t="s">
        <v>15</v>
      </c>
      <c r="F57" s="44" t="s">
        <v>342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339</v>
      </c>
      <c r="B58" s="47" t="s">
        <v>340</v>
      </c>
      <c r="C58" s="47" t="s">
        <v>85</v>
      </c>
      <c r="D58" s="43" t="s">
        <v>14</v>
      </c>
      <c r="E58" s="43" t="s">
        <v>15</v>
      </c>
      <c r="F58" s="44" t="s">
        <v>343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09.2" x14ac:dyDescent="0.25">
      <c r="A59" s="42" t="s">
        <v>346</v>
      </c>
      <c r="B59" s="53" t="s">
        <v>347</v>
      </c>
      <c r="C59" s="47" t="s">
        <v>217</v>
      </c>
      <c r="D59" s="43" t="s">
        <v>47</v>
      </c>
      <c r="E59" s="43" t="s">
        <v>15</v>
      </c>
      <c r="F59" s="44" t="s">
        <v>352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09.2" x14ac:dyDescent="0.25">
      <c r="A60" s="42" t="s">
        <v>348</v>
      </c>
      <c r="B60" s="53" t="s">
        <v>350</v>
      </c>
      <c r="C60" s="47" t="s">
        <v>217</v>
      </c>
      <c r="D60" s="43" t="s">
        <v>47</v>
      </c>
      <c r="E60" s="43" t="s">
        <v>15</v>
      </c>
      <c r="F60" s="44" t="s">
        <v>353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146</v>
      </c>
      <c r="B61" s="47" t="s">
        <v>205</v>
      </c>
      <c r="C61" s="47" t="s">
        <v>85</v>
      </c>
      <c r="D61" s="43" t="s">
        <v>14</v>
      </c>
      <c r="E61" s="43" t="s">
        <v>216</v>
      </c>
      <c r="F61" s="45" t="s">
        <v>185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147</v>
      </c>
      <c r="B62" s="47" t="s">
        <v>52</v>
      </c>
      <c r="C62" s="47" t="s">
        <v>85</v>
      </c>
      <c r="D62" s="43" t="s">
        <v>14</v>
      </c>
      <c r="E62" s="43" t="s">
        <v>15</v>
      </c>
      <c r="F62" s="45" t="s">
        <v>186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149</v>
      </c>
      <c r="B63" s="47" t="s">
        <v>58</v>
      </c>
      <c r="C63" s="47" t="s">
        <v>85</v>
      </c>
      <c r="D63" s="43" t="s">
        <v>14</v>
      </c>
      <c r="E63" s="43" t="s">
        <v>23</v>
      </c>
      <c r="F63" s="45" t="s">
        <v>187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270</v>
      </c>
      <c r="B64" s="47" t="s">
        <v>51</v>
      </c>
      <c r="C64" s="47" t="s">
        <v>85</v>
      </c>
      <c r="D64" s="43" t="s">
        <v>14</v>
      </c>
      <c r="E64" s="43" t="s">
        <v>15</v>
      </c>
      <c r="F64" s="45" t="s">
        <v>188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271</v>
      </c>
      <c r="B65" s="47" t="s">
        <v>238</v>
      </c>
      <c r="C65" s="47" t="s">
        <v>85</v>
      </c>
      <c r="D65" s="43" t="s">
        <v>14</v>
      </c>
      <c r="E65" s="43" t="s">
        <v>23</v>
      </c>
      <c r="F65" s="45" t="s">
        <v>239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150</v>
      </c>
      <c r="B66" s="47" t="s">
        <v>278</v>
      </c>
      <c r="C66" s="47" t="s">
        <v>85</v>
      </c>
      <c r="D66" s="43" t="s">
        <v>14</v>
      </c>
      <c r="E66" s="43" t="s">
        <v>23</v>
      </c>
      <c r="F66" s="45" t="s">
        <v>189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151</v>
      </c>
      <c r="B67" s="21" t="s">
        <v>45</v>
      </c>
      <c r="C67" s="47" t="s">
        <v>85</v>
      </c>
      <c r="D67" s="43" t="s">
        <v>14</v>
      </c>
      <c r="E67" s="43" t="s">
        <v>23</v>
      </c>
      <c r="F67" s="45" t="s">
        <v>190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152</v>
      </c>
      <c r="B68" s="21" t="s">
        <v>50</v>
      </c>
      <c r="C68" s="47" t="s">
        <v>85</v>
      </c>
      <c r="D68" s="43" t="s">
        <v>14</v>
      </c>
      <c r="E68" s="43" t="s">
        <v>23</v>
      </c>
      <c r="F68" s="45" t="s">
        <v>191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277</v>
      </c>
      <c r="B69" s="42" t="s">
        <v>275</v>
      </c>
      <c r="C69" s="47" t="s">
        <v>85</v>
      </c>
      <c r="D69" s="43" t="s">
        <v>14</v>
      </c>
      <c r="E69" s="43" t="s">
        <v>15</v>
      </c>
      <c r="F69" s="44" t="s">
        <v>279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289</v>
      </c>
      <c r="B70" s="42" t="s">
        <v>290</v>
      </c>
      <c r="C70" s="47" t="s">
        <v>85</v>
      </c>
      <c r="D70" s="43" t="s">
        <v>14</v>
      </c>
      <c r="E70" s="43" t="s">
        <v>15</v>
      </c>
      <c r="F70" s="44" t="s">
        <v>291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09.2" x14ac:dyDescent="0.25">
      <c r="A71" s="42" t="s">
        <v>313</v>
      </c>
      <c r="B71" s="42" t="s">
        <v>314</v>
      </c>
      <c r="C71" s="47" t="s">
        <v>217</v>
      </c>
      <c r="D71" s="43" t="s">
        <v>47</v>
      </c>
      <c r="E71" s="43" t="s">
        <v>15</v>
      </c>
      <c r="F71" s="44" t="s">
        <v>317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2.8" x14ac:dyDescent="0.25">
      <c r="A72" s="42" t="s">
        <v>315</v>
      </c>
      <c r="B72" s="42" t="s">
        <v>330</v>
      </c>
      <c r="C72" s="47" t="s">
        <v>217</v>
      </c>
      <c r="D72" s="43" t="s">
        <v>47</v>
      </c>
      <c r="E72" s="43" t="s">
        <v>15</v>
      </c>
      <c r="F72" s="44" t="s">
        <v>316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96" t="s">
        <v>33</v>
      </c>
      <c r="B73" s="96" t="s">
        <v>46</v>
      </c>
      <c r="C73" s="22" t="s">
        <v>43</v>
      </c>
      <c r="D73" s="17"/>
      <c r="E73" s="17"/>
      <c r="F73" s="23" t="s">
        <v>195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01"/>
      <c r="B74" s="101"/>
      <c r="C74" s="42" t="s">
        <v>88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133</v>
      </c>
      <c r="B75" s="50" t="s">
        <v>120</v>
      </c>
      <c r="C75" s="42" t="s">
        <v>88</v>
      </c>
      <c r="D75" s="43" t="s">
        <v>48</v>
      </c>
      <c r="E75" s="43" t="s">
        <v>55</v>
      </c>
      <c r="F75" s="25" t="s">
        <v>196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122</v>
      </c>
      <c r="B76" s="47" t="s">
        <v>32</v>
      </c>
      <c r="C76" s="42" t="s">
        <v>88</v>
      </c>
      <c r="D76" s="43" t="s">
        <v>48</v>
      </c>
      <c r="E76" s="43" t="s">
        <v>55</v>
      </c>
      <c r="F76" s="44" t="s">
        <v>197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96" t="s">
        <v>39</v>
      </c>
      <c r="B77" s="98" t="s">
        <v>38</v>
      </c>
      <c r="C77" s="40" t="s">
        <v>43</v>
      </c>
      <c r="D77" s="17"/>
      <c r="E77" s="17"/>
      <c r="F77" s="23" t="s">
        <v>198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96"/>
      <c r="B78" s="99"/>
      <c r="C78" s="47" t="s">
        <v>85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96"/>
      <c r="B79" s="99"/>
      <c r="C79" s="47" t="s">
        <v>90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97"/>
      <c r="B80" s="100"/>
      <c r="C80" s="47" t="s">
        <v>87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91" t="s">
        <v>40</v>
      </c>
      <c r="B81" s="89" t="s">
        <v>93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97"/>
      <c r="B82" s="106"/>
      <c r="C82" s="47" t="s">
        <v>85</v>
      </c>
      <c r="D82" s="43" t="s">
        <v>14</v>
      </c>
      <c r="E82" s="43" t="s">
        <v>23</v>
      </c>
      <c r="F82" s="108" t="s">
        <v>193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97"/>
      <c r="B83" s="106"/>
      <c r="C83" s="47" t="s">
        <v>90</v>
      </c>
      <c r="D83" s="43" t="s">
        <v>47</v>
      </c>
      <c r="E83" s="43" t="s">
        <v>23</v>
      </c>
      <c r="F83" s="109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97"/>
      <c r="B84" s="107"/>
      <c r="C84" s="47" t="s">
        <v>87</v>
      </c>
      <c r="D84" s="43" t="s">
        <v>48</v>
      </c>
      <c r="E84" s="43" t="s">
        <v>23</v>
      </c>
      <c r="F84" s="109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91" t="s">
        <v>134</v>
      </c>
      <c r="B85" s="91" t="s">
        <v>83</v>
      </c>
      <c r="C85" s="47" t="s">
        <v>90</v>
      </c>
      <c r="D85" s="43" t="s">
        <v>47</v>
      </c>
      <c r="E85" s="43" t="s">
        <v>23</v>
      </c>
      <c r="F85" s="45" t="s">
        <v>192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91"/>
      <c r="B86" s="91"/>
      <c r="C86" s="47" t="s">
        <v>85</v>
      </c>
      <c r="D86" s="43" t="s">
        <v>14</v>
      </c>
      <c r="E86" s="43" t="s">
        <v>23</v>
      </c>
      <c r="F86" s="45" t="s">
        <v>192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135</v>
      </c>
      <c r="B87" s="27" t="s">
        <v>59</v>
      </c>
      <c r="C87" s="47" t="s">
        <v>87</v>
      </c>
      <c r="D87" s="43" t="s">
        <v>48</v>
      </c>
      <c r="E87" s="43" t="s">
        <v>23</v>
      </c>
      <c r="F87" s="44" t="s">
        <v>204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96" t="s">
        <v>31</v>
      </c>
      <c r="B88" s="96" t="s">
        <v>331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96"/>
      <c r="B89" s="96"/>
      <c r="C89" s="42" t="s">
        <v>90</v>
      </c>
      <c r="D89" s="43" t="s">
        <v>47</v>
      </c>
      <c r="E89" s="56" t="s">
        <v>245</v>
      </c>
      <c r="F89" s="110" t="s">
        <v>246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96"/>
      <c r="B90" s="96"/>
      <c r="C90" s="47" t="s">
        <v>85</v>
      </c>
      <c r="D90" s="43" t="s">
        <v>14</v>
      </c>
      <c r="E90" s="56" t="s">
        <v>245</v>
      </c>
      <c r="F90" s="111"/>
      <c r="G90" s="43" t="s">
        <v>222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89" t="s">
        <v>34</v>
      </c>
      <c r="B91" s="89" t="s">
        <v>123</v>
      </c>
      <c r="C91" s="47" t="s">
        <v>85</v>
      </c>
      <c r="D91" s="43" t="s">
        <v>14</v>
      </c>
      <c r="E91" s="43" t="s">
        <v>35</v>
      </c>
      <c r="F91" s="108" t="s">
        <v>156</v>
      </c>
      <c r="G91" s="43" t="s">
        <v>222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104"/>
      <c r="B92" s="104"/>
      <c r="C92" s="47" t="s">
        <v>85</v>
      </c>
      <c r="D92" s="43" t="s">
        <v>14</v>
      </c>
      <c r="E92" s="43" t="s">
        <v>49</v>
      </c>
      <c r="F92" s="108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104"/>
      <c r="B93" s="104"/>
      <c r="C93" s="47" t="s">
        <v>90</v>
      </c>
      <c r="D93" s="43" t="s">
        <v>47</v>
      </c>
      <c r="E93" s="43" t="s">
        <v>35</v>
      </c>
      <c r="F93" s="108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90"/>
      <c r="B94" s="90"/>
      <c r="C94" s="47" t="s">
        <v>90</v>
      </c>
      <c r="D94" s="43" t="s">
        <v>47</v>
      </c>
      <c r="E94" s="43" t="s">
        <v>49</v>
      </c>
      <c r="F94" s="108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124</v>
      </c>
      <c r="B95" s="42" t="s">
        <v>153</v>
      </c>
      <c r="C95" s="47" t="s">
        <v>85</v>
      </c>
      <c r="D95" s="43" t="s">
        <v>14</v>
      </c>
      <c r="E95" s="43" t="s">
        <v>35</v>
      </c>
      <c r="F95" s="44" t="s">
        <v>157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125</v>
      </c>
      <c r="B96" s="42" t="s">
        <v>136</v>
      </c>
      <c r="C96" s="47" t="s">
        <v>85</v>
      </c>
      <c r="D96" s="43" t="s">
        <v>14</v>
      </c>
      <c r="E96" s="43" t="s">
        <v>35</v>
      </c>
      <c r="F96" s="44" t="s">
        <v>201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127</v>
      </c>
      <c r="B97" s="42" t="s">
        <v>29</v>
      </c>
      <c r="C97" s="47" t="s">
        <v>85</v>
      </c>
      <c r="D97" s="43" t="s">
        <v>14</v>
      </c>
      <c r="E97" s="43" t="s">
        <v>35</v>
      </c>
      <c r="F97" s="44" t="s">
        <v>158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128</v>
      </c>
      <c r="B98" s="42" t="s">
        <v>154</v>
      </c>
      <c r="C98" s="47" t="s">
        <v>85</v>
      </c>
      <c r="D98" s="43" t="s">
        <v>14</v>
      </c>
      <c r="E98" s="43" t="s">
        <v>35</v>
      </c>
      <c r="F98" s="44" t="s">
        <v>159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129</v>
      </c>
      <c r="B99" s="42" t="s">
        <v>137</v>
      </c>
      <c r="C99" s="47" t="s">
        <v>85</v>
      </c>
      <c r="D99" s="43" t="s">
        <v>14</v>
      </c>
      <c r="E99" s="43" t="s">
        <v>35</v>
      </c>
      <c r="F99" s="44" t="s">
        <v>200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207</v>
      </c>
      <c r="B100" s="42" t="s">
        <v>229</v>
      </c>
      <c r="C100" s="47" t="s">
        <v>85</v>
      </c>
      <c r="D100" s="43" t="s">
        <v>14</v>
      </c>
      <c r="E100" s="43" t="s">
        <v>35</v>
      </c>
      <c r="F100" s="44" t="s">
        <v>160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208</v>
      </c>
      <c r="B101" s="42" t="s">
        <v>230</v>
      </c>
      <c r="C101" s="47" t="s">
        <v>85</v>
      </c>
      <c r="D101" s="15" t="s">
        <v>14</v>
      </c>
      <c r="E101" s="15" t="s">
        <v>35</v>
      </c>
      <c r="F101" s="44" t="s">
        <v>199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267</v>
      </c>
      <c r="B102" s="42" t="s">
        <v>53</v>
      </c>
      <c r="C102" s="42" t="s">
        <v>85</v>
      </c>
      <c r="D102" s="43" t="s">
        <v>14</v>
      </c>
      <c r="E102" s="43" t="s">
        <v>35</v>
      </c>
      <c r="F102" s="44" t="s">
        <v>161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89" t="s">
        <v>268</v>
      </c>
      <c r="B103" s="89" t="s">
        <v>251</v>
      </c>
      <c r="C103" s="42" t="s">
        <v>90</v>
      </c>
      <c r="D103" s="43" t="s">
        <v>47</v>
      </c>
      <c r="E103" s="43" t="s">
        <v>49</v>
      </c>
      <c r="F103" s="44" t="s">
        <v>162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104"/>
      <c r="B104" s="104"/>
      <c r="C104" s="47" t="s">
        <v>85</v>
      </c>
      <c r="D104" s="43" t="s">
        <v>14</v>
      </c>
      <c r="E104" s="43" t="s">
        <v>49</v>
      </c>
      <c r="F104" s="44" t="s">
        <v>162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104"/>
      <c r="B105" s="104"/>
      <c r="C105" s="42" t="s">
        <v>90</v>
      </c>
      <c r="D105" s="43" t="s">
        <v>47</v>
      </c>
      <c r="E105" s="43" t="s">
        <v>35</v>
      </c>
      <c r="F105" s="44" t="s">
        <v>162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90"/>
      <c r="B106" s="90"/>
      <c r="C106" s="47" t="s">
        <v>85</v>
      </c>
      <c r="D106" s="43" t="s">
        <v>14</v>
      </c>
      <c r="E106" s="43" t="s">
        <v>35</v>
      </c>
      <c r="F106" s="44" t="s">
        <v>162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269</v>
      </c>
      <c r="B107" s="42" t="s">
        <v>243</v>
      </c>
      <c r="C107" s="42" t="s">
        <v>90</v>
      </c>
      <c r="D107" s="43" t="s">
        <v>47</v>
      </c>
      <c r="E107" s="43" t="s">
        <v>35</v>
      </c>
      <c r="F107" s="44" t="s">
        <v>244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308</v>
      </c>
      <c r="B108" s="41" t="s">
        <v>309</v>
      </c>
      <c r="C108" s="47" t="s">
        <v>85</v>
      </c>
      <c r="D108" s="43" t="s">
        <v>14</v>
      </c>
      <c r="E108" s="43" t="s">
        <v>35</v>
      </c>
      <c r="F108" s="44" t="s">
        <v>310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89" t="s">
        <v>283</v>
      </c>
      <c r="B109" s="89" t="s">
        <v>284</v>
      </c>
      <c r="C109" s="42" t="s">
        <v>90</v>
      </c>
      <c r="D109" s="43" t="s">
        <v>47</v>
      </c>
      <c r="E109" s="43" t="s">
        <v>35</v>
      </c>
      <c r="F109" s="44" t="s">
        <v>288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90"/>
      <c r="B110" s="90"/>
      <c r="C110" s="47" t="s">
        <v>85</v>
      </c>
      <c r="D110" s="43" t="s">
        <v>14</v>
      </c>
      <c r="E110" s="43" t="s">
        <v>35</v>
      </c>
      <c r="F110" s="44" t="s">
        <v>288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89" t="s">
        <v>285</v>
      </c>
      <c r="B111" s="89" t="s">
        <v>286</v>
      </c>
      <c r="C111" s="42" t="s">
        <v>90</v>
      </c>
      <c r="D111" s="43" t="s">
        <v>47</v>
      </c>
      <c r="E111" s="43" t="s">
        <v>35</v>
      </c>
      <c r="F111" s="44" t="s">
        <v>287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90"/>
      <c r="B112" s="90"/>
      <c r="C112" s="47" t="s">
        <v>85</v>
      </c>
      <c r="D112" s="43" t="s">
        <v>14</v>
      </c>
      <c r="E112" s="43" t="s">
        <v>35</v>
      </c>
      <c r="F112" s="44" t="s">
        <v>287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96" t="s">
        <v>42</v>
      </c>
      <c r="B113" s="112" t="s">
        <v>328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96"/>
      <c r="B114" s="112"/>
      <c r="C114" s="47" t="s">
        <v>85</v>
      </c>
      <c r="D114" s="43" t="s">
        <v>14</v>
      </c>
      <c r="E114" s="43" t="s">
        <v>41</v>
      </c>
      <c r="F114" s="45" t="s">
        <v>164</v>
      </c>
      <c r="G114" s="39" t="s">
        <v>223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91" t="s">
        <v>335</v>
      </c>
      <c r="B115" s="113" t="s">
        <v>145</v>
      </c>
      <c r="C115" s="116" t="s">
        <v>85</v>
      </c>
      <c r="D115" s="105" t="s">
        <v>14</v>
      </c>
      <c r="E115" s="105" t="s">
        <v>41</v>
      </c>
      <c r="F115" s="109" t="s">
        <v>165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91"/>
      <c r="B116" s="114"/>
      <c r="C116" s="116"/>
      <c r="D116" s="105"/>
      <c r="E116" s="105"/>
      <c r="F116" s="109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91"/>
      <c r="B117" s="115"/>
      <c r="C117" s="116"/>
      <c r="D117" s="105"/>
      <c r="E117" s="105"/>
      <c r="F117" s="109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89" t="s">
        <v>144</v>
      </c>
      <c r="B118" s="89" t="s">
        <v>56</v>
      </c>
      <c r="C118" s="91" t="s">
        <v>85</v>
      </c>
      <c r="D118" s="105" t="s">
        <v>14</v>
      </c>
      <c r="E118" s="105" t="s">
        <v>41</v>
      </c>
      <c r="F118" s="108" t="s">
        <v>212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104"/>
      <c r="B119" s="104"/>
      <c r="C119" s="91"/>
      <c r="D119" s="105"/>
      <c r="E119" s="105"/>
      <c r="F119" s="108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90"/>
      <c r="B120" s="90"/>
      <c r="C120" s="91"/>
      <c r="D120" s="105"/>
      <c r="E120" s="105"/>
      <c r="F120" s="108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42"/>
  <sheetViews>
    <sheetView tabSelected="1" view="pageBreakPreview" zoomScale="70" zoomScaleNormal="85" zoomScaleSheetLayoutView="70" workbookViewId="0">
      <pane xSplit="2" ySplit="7" topLeftCell="D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19.33203125" style="60" customWidth="1"/>
    <col min="2" max="2" width="54.33203125" style="61" customWidth="1"/>
    <col min="3" max="3" width="27.5546875" style="60" customWidth="1"/>
    <col min="4" max="4" width="14" style="64" customWidth="1"/>
    <col min="5" max="5" width="12.5546875" style="64" customWidth="1"/>
    <col min="6" max="6" width="11.44140625" style="64" customWidth="1"/>
    <col min="7" max="7" width="11.88671875" style="64" customWidth="1"/>
    <col min="8" max="8" width="13.109375" style="64" customWidth="1"/>
    <col min="9" max="9" width="11.44140625" style="64" customWidth="1"/>
    <col min="10" max="10" width="14" style="64" customWidth="1"/>
    <col min="11" max="11" width="13.44140625" style="64" bestFit="1" customWidth="1"/>
    <col min="12" max="12" width="13.5546875" style="64" customWidth="1"/>
    <col min="13" max="13" width="12.33203125" style="64" customWidth="1"/>
    <col min="14" max="14" width="13.109375" style="64" customWidth="1"/>
    <col min="15" max="15" width="11.44140625" style="64" customWidth="1"/>
    <col min="16" max="17" width="23.109375" style="64" hidden="1" customWidth="1"/>
    <col min="18" max="18" width="9.109375" style="64" hidden="1" customWidth="1"/>
    <col min="19" max="19" width="15.44140625" style="64" hidden="1" customWidth="1"/>
    <col min="20" max="20" width="20.5546875" style="64" hidden="1" customWidth="1"/>
    <col min="21" max="21" width="15.109375" style="64" hidden="1" customWidth="1"/>
    <col min="22" max="22" width="0" style="64" hidden="1" customWidth="1"/>
    <col min="23" max="23" width="17.6640625" style="64" customWidth="1"/>
    <col min="24" max="16384" width="9.109375" style="64"/>
  </cols>
  <sheetData>
    <row r="1" spans="1:25" ht="63.75" customHeight="1" x14ac:dyDescent="0.25">
      <c r="D1" s="62"/>
      <c r="E1" s="63"/>
      <c r="G1" s="63"/>
      <c r="L1" s="86" t="s">
        <v>419</v>
      </c>
      <c r="M1" s="86"/>
      <c r="N1" s="86"/>
      <c r="O1" s="86"/>
    </row>
    <row r="2" spans="1:25" ht="54" customHeight="1" x14ac:dyDescent="0.25">
      <c r="E2" s="63"/>
      <c r="G2" s="63"/>
      <c r="I2" s="65"/>
      <c r="K2" s="64" t="s">
        <v>414</v>
      </c>
      <c r="L2" s="86" t="s">
        <v>312</v>
      </c>
      <c r="M2" s="86"/>
      <c r="N2" s="86"/>
      <c r="O2" s="86"/>
    </row>
    <row r="3" spans="1:25" ht="18" x14ac:dyDescent="0.35">
      <c r="B3" s="137" t="s">
        <v>373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</row>
    <row r="4" spans="1:25" x14ac:dyDescent="0.25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66"/>
      <c r="L4" s="66"/>
      <c r="M4" s="67"/>
    </row>
    <row r="5" spans="1:25" ht="20.25" customHeight="1" x14ac:dyDescent="0.25">
      <c r="A5" s="134" t="s">
        <v>25</v>
      </c>
      <c r="B5" s="85" t="s">
        <v>94</v>
      </c>
      <c r="C5" s="85" t="s">
        <v>8</v>
      </c>
      <c r="D5" s="85" t="s">
        <v>344</v>
      </c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</row>
    <row r="6" spans="1:25" ht="49.5" customHeight="1" x14ac:dyDescent="0.25">
      <c r="A6" s="134"/>
      <c r="B6" s="85"/>
      <c r="C6" s="85"/>
      <c r="D6" s="57" t="s">
        <v>9</v>
      </c>
      <c r="E6" s="57" t="s">
        <v>16</v>
      </c>
      <c r="F6" s="57" t="s">
        <v>24</v>
      </c>
      <c r="G6" s="57" t="s">
        <v>18</v>
      </c>
      <c r="H6" s="57" t="s">
        <v>19</v>
      </c>
      <c r="I6" s="57" t="s">
        <v>20</v>
      </c>
      <c r="J6" s="57" t="s">
        <v>21</v>
      </c>
      <c r="K6" s="57" t="s">
        <v>252</v>
      </c>
      <c r="L6" s="57" t="s">
        <v>295</v>
      </c>
      <c r="M6" s="57" t="s">
        <v>296</v>
      </c>
      <c r="N6" s="57" t="s">
        <v>297</v>
      </c>
      <c r="O6" s="57" t="s">
        <v>298</v>
      </c>
    </row>
    <row r="7" spans="1:25" ht="16.5" customHeight="1" x14ac:dyDescent="0.25">
      <c r="A7" s="48">
        <v>1</v>
      </c>
      <c r="B7" s="57">
        <v>2</v>
      </c>
      <c r="C7" s="48">
        <v>3</v>
      </c>
      <c r="D7" s="57">
        <v>4</v>
      </c>
      <c r="E7" s="48">
        <v>5</v>
      </c>
      <c r="F7" s="57">
        <v>6</v>
      </c>
      <c r="G7" s="48">
        <v>7</v>
      </c>
      <c r="H7" s="57">
        <v>8</v>
      </c>
      <c r="I7" s="48">
        <v>9</v>
      </c>
      <c r="J7" s="57">
        <v>10</v>
      </c>
      <c r="K7" s="57">
        <v>11</v>
      </c>
      <c r="L7" s="57">
        <v>12</v>
      </c>
      <c r="M7" s="57">
        <v>13</v>
      </c>
      <c r="N7" s="57">
        <v>14</v>
      </c>
      <c r="O7" s="57">
        <v>15</v>
      </c>
    </row>
    <row r="8" spans="1:25" ht="15.6" x14ac:dyDescent="0.25">
      <c r="A8" s="96" t="s">
        <v>26</v>
      </c>
      <c r="B8" s="126" t="s">
        <v>345</v>
      </c>
      <c r="C8" s="68" t="s">
        <v>7</v>
      </c>
      <c r="D8" s="2">
        <f>D9+D11+D14+D16</f>
        <v>8832523.5319999997</v>
      </c>
      <c r="E8" s="2">
        <f>E9+E11+E14+E16</f>
        <v>512896.39999999997</v>
      </c>
      <c r="F8" s="2">
        <f t="shared" ref="F8:O8" si="0">F9+F11+F14+F16</f>
        <v>382692.8</v>
      </c>
      <c r="G8" s="2">
        <f t="shared" si="0"/>
        <v>383942.1</v>
      </c>
      <c r="H8" s="2">
        <f>H9+H11+H14+H16</f>
        <v>456612.2</v>
      </c>
      <c r="I8" s="2">
        <f t="shared" si="0"/>
        <v>513509.20000000007</v>
      </c>
      <c r="J8" s="2">
        <f>J9+J11+J14+J16</f>
        <v>1405769.2999999998</v>
      </c>
      <c r="K8" s="2">
        <f>K9+K11+K14+K16</f>
        <v>2393674.432</v>
      </c>
      <c r="L8" s="2">
        <f>L9+L11+L14+L16</f>
        <v>679349.7</v>
      </c>
      <c r="M8" s="2">
        <f>M9+M11+M14+M16</f>
        <v>851889</v>
      </c>
      <c r="N8" s="2">
        <f t="shared" si="0"/>
        <v>864197.79999999993</v>
      </c>
      <c r="O8" s="2">
        <f t="shared" si="0"/>
        <v>387990.6</v>
      </c>
      <c r="P8" s="69"/>
      <c r="Q8" s="62"/>
      <c r="W8" s="62">
        <f>K44+K181+K196+K201+K206+K211+K236+K261+K271+K281+K296+K301+K306+K311+K316+K326+K336+K367+K379+K389+K399+K404+K409+K414+K444+K467+K473+K505+K515+K525+K540+K550+K559+K575+K580+K585+K590+K595+K602+K617+K627</f>
        <v>2393674.432</v>
      </c>
      <c r="Y8" s="62"/>
    </row>
    <row r="9" spans="1:25" ht="31.2" x14ac:dyDescent="0.25">
      <c r="A9" s="96"/>
      <c r="B9" s="126"/>
      <c r="C9" s="51" t="s">
        <v>81</v>
      </c>
      <c r="D9" s="1">
        <f>E9+F9+G9+H9+I9+J9+K9+L9+M9+N9+O9</f>
        <v>213817.09999999998</v>
      </c>
      <c r="E9" s="1">
        <f t="shared" ref="E9:O9" si="1">E18+E430+E456+E489+E628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2" x14ac:dyDescent="0.25">
      <c r="A10" s="96"/>
      <c r="B10" s="126"/>
      <c r="C10" s="70" t="s">
        <v>82</v>
      </c>
      <c r="D10" s="1">
        <f t="shared" ref="D10:D15" si="2">E10+F10+G10+H10+I10+J10+K10+L10+M10+N10+O10</f>
        <v>98793.9</v>
      </c>
      <c r="E10" s="71">
        <f t="shared" ref="E10:O10" si="3">E19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</row>
    <row r="11" spans="1:25" ht="31.2" x14ac:dyDescent="0.25">
      <c r="A11" s="135"/>
      <c r="B11" s="126"/>
      <c r="C11" s="51" t="s">
        <v>70</v>
      </c>
      <c r="D11" s="1">
        <f t="shared" si="2"/>
        <v>4170863.0100000002</v>
      </c>
      <c r="E11" s="1">
        <f t="shared" ref="E11:O11" si="4">E20+E431+E457+E490+E629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>K20+K431+K457+K490+K629</f>
        <v>1661789.21</v>
      </c>
      <c r="L11" s="1">
        <f>L20+L431+L457+L490+L629</f>
        <v>310359.2</v>
      </c>
      <c r="M11" s="1">
        <f t="shared" si="4"/>
        <v>418024.1</v>
      </c>
      <c r="N11" s="1">
        <f t="shared" si="4"/>
        <v>418024.1</v>
      </c>
      <c r="O11" s="1">
        <f t="shared" si="4"/>
        <v>0</v>
      </c>
    </row>
    <row r="12" spans="1:25" ht="31.2" x14ac:dyDescent="0.25">
      <c r="A12" s="135"/>
      <c r="B12" s="126"/>
      <c r="C12" s="70" t="s">
        <v>80</v>
      </c>
      <c r="D12" s="1">
        <f t="shared" si="2"/>
        <v>43117.100000000006</v>
      </c>
      <c r="E12" s="71">
        <f>E21</f>
        <v>43117.100000000006</v>
      </c>
      <c r="F12" s="71">
        <f t="shared" ref="F12:K12" si="5">F21</f>
        <v>0</v>
      </c>
      <c r="G12" s="71">
        <f t="shared" si="5"/>
        <v>0</v>
      </c>
      <c r="H12" s="71">
        <f t="shared" si="5"/>
        <v>0</v>
      </c>
      <c r="I12" s="71">
        <f t="shared" si="5"/>
        <v>0</v>
      </c>
      <c r="J12" s="71">
        <f t="shared" si="5"/>
        <v>0</v>
      </c>
      <c r="K12" s="71">
        <f t="shared" si="5"/>
        <v>0</v>
      </c>
      <c r="L12" s="71">
        <f t="shared" ref="L12:O13" si="6">L21</f>
        <v>0</v>
      </c>
      <c r="M12" s="71">
        <f t="shared" si="6"/>
        <v>0</v>
      </c>
      <c r="N12" s="71">
        <f t="shared" si="6"/>
        <v>0</v>
      </c>
      <c r="O12" s="71">
        <f t="shared" si="6"/>
        <v>0</v>
      </c>
      <c r="R12" s="62"/>
    </row>
    <row r="13" spans="1:25" ht="31.2" x14ac:dyDescent="0.25">
      <c r="A13" s="135"/>
      <c r="B13" s="126"/>
      <c r="C13" s="70" t="s">
        <v>82</v>
      </c>
      <c r="D13" s="1">
        <f t="shared" si="2"/>
        <v>20580.5</v>
      </c>
      <c r="E13" s="71">
        <f t="shared" ref="E13:K13" si="7">E22</f>
        <v>20580.5</v>
      </c>
      <c r="F13" s="71">
        <f t="shared" si="7"/>
        <v>0</v>
      </c>
      <c r="G13" s="71">
        <f t="shared" si="7"/>
        <v>0</v>
      </c>
      <c r="H13" s="71">
        <f t="shared" si="7"/>
        <v>0</v>
      </c>
      <c r="I13" s="71">
        <f t="shared" si="7"/>
        <v>0</v>
      </c>
      <c r="J13" s="71">
        <f t="shared" si="7"/>
        <v>0</v>
      </c>
      <c r="K13" s="71">
        <f t="shared" si="7"/>
        <v>0</v>
      </c>
      <c r="L13" s="71">
        <f t="shared" si="6"/>
        <v>0</v>
      </c>
      <c r="M13" s="71">
        <f t="shared" si="6"/>
        <v>0</v>
      </c>
      <c r="N13" s="71">
        <f t="shared" si="6"/>
        <v>0</v>
      </c>
      <c r="O13" s="71">
        <f t="shared" si="6"/>
        <v>0</v>
      </c>
    </row>
    <row r="14" spans="1:25" ht="31.2" x14ac:dyDescent="0.25">
      <c r="A14" s="135"/>
      <c r="B14" s="126"/>
      <c r="C14" s="51" t="s">
        <v>66</v>
      </c>
      <c r="D14" s="1">
        <f t="shared" si="2"/>
        <v>4417578.4219999993</v>
      </c>
      <c r="E14" s="1">
        <f t="shared" ref="E14:N14" si="8">E23+E432+E458+E491+E630</f>
        <v>325404.89999999997</v>
      </c>
      <c r="F14" s="1">
        <f t="shared" si="8"/>
        <v>364692.8</v>
      </c>
      <c r="G14" s="1">
        <f t="shared" si="8"/>
        <v>356065.3</v>
      </c>
      <c r="H14" s="1">
        <f t="shared" si="8"/>
        <v>405742.4</v>
      </c>
      <c r="I14" s="1">
        <f t="shared" si="8"/>
        <v>308074.40000000002</v>
      </c>
      <c r="J14" s="1">
        <f t="shared" si="8"/>
        <v>403716.9</v>
      </c>
      <c r="K14" s="1">
        <f>K23+K432+K458+K491+K630</f>
        <v>616862.02199999988</v>
      </c>
      <c r="L14" s="1">
        <f>L23+L432+L458+L491+L630</f>
        <v>368990.5</v>
      </c>
      <c r="M14" s="1">
        <f t="shared" si="8"/>
        <v>433864.9</v>
      </c>
      <c r="N14" s="1">
        <f t="shared" si="8"/>
        <v>446173.69999999995</v>
      </c>
      <c r="O14" s="1">
        <f>O23+O432+O458+O491+O630</f>
        <v>387990.6</v>
      </c>
    </row>
    <row r="15" spans="1:25" ht="31.2" x14ac:dyDescent="0.25">
      <c r="A15" s="135"/>
      <c r="B15" s="126"/>
      <c r="C15" s="70" t="s">
        <v>80</v>
      </c>
      <c r="D15" s="1">
        <f t="shared" si="2"/>
        <v>85206.799999999988</v>
      </c>
      <c r="E15" s="71">
        <f>E24+E492+E459</f>
        <v>48729.7</v>
      </c>
      <c r="F15" s="71">
        <f>F24+F492+F459</f>
        <v>30651</v>
      </c>
      <c r="G15" s="71">
        <f>G39+G471</f>
        <v>5127.3999999999996</v>
      </c>
      <c r="H15" s="71">
        <v>0</v>
      </c>
      <c r="I15" s="71">
        <f>I24</f>
        <v>698.7</v>
      </c>
      <c r="J15" s="71">
        <v>0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</row>
    <row r="16" spans="1:25" ht="17.25" customHeight="1" x14ac:dyDescent="0.25">
      <c r="A16" s="135"/>
      <c r="B16" s="126"/>
      <c r="C16" s="51" t="s">
        <v>13</v>
      </c>
      <c r="D16" s="1">
        <f>E16+F16+G16+H16+I16+J16+K16+L16+M16+N16+O16</f>
        <v>30265</v>
      </c>
      <c r="E16" s="1">
        <f>E433</f>
        <v>20000</v>
      </c>
      <c r="F16" s="1">
        <f t="shared" ref="F16:K16" si="9">F433</f>
        <v>3000</v>
      </c>
      <c r="G16" s="1">
        <f t="shared" si="9"/>
        <v>1600</v>
      </c>
      <c r="H16" s="1">
        <f t="shared" si="9"/>
        <v>3453.6</v>
      </c>
      <c r="I16" s="1">
        <f t="shared" si="9"/>
        <v>2211.4</v>
      </c>
      <c r="J16" s="1">
        <f t="shared" si="9"/>
        <v>0</v>
      </c>
      <c r="K16" s="1">
        <f t="shared" si="9"/>
        <v>0</v>
      </c>
      <c r="L16" s="1">
        <f>L433</f>
        <v>0</v>
      </c>
      <c r="M16" s="1">
        <f>M433</f>
        <v>0</v>
      </c>
      <c r="N16" s="1">
        <f>N433</f>
        <v>0</v>
      </c>
      <c r="O16" s="1">
        <f>O433</f>
        <v>0</v>
      </c>
    </row>
    <row r="17" spans="1:21" ht="15.6" x14ac:dyDescent="0.25">
      <c r="A17" s="98" t="s">
        <v>27</v>
      </c>
      <c r="B17" s="98" t="s">
        <v>28</v>
      </c>
      <c r="C17" s="68" t="s">
        <v>7</v>
      </c>
      <c r="D17" s="2">
        <f>E17+F17+G17+H17+I17+J17+K17+L17+M17+N17+O17</f>
        <v>4237904.97</v>
      </c>
      <c r="E17" s="2">
        <f>E18+E20+E23+E25</f>
        <v>218606.2</v>
      </c>
      <c r="F17" s="2">
        <f t="shared" ref="F17:K17" si="10">F18+F20+F23+F25</f>
        <v>51837.9</v>
      </c>
      <c r="G17" s="2">
        <f t="shared" si="10"/>
        <v>71967.7</v>
      </c>
      <c r="H17" s="2">
        <f>H18+H20+H23+H25</f>
        <v>137590.59999999998</v>
      </c>
      <c r="I17" s="2">
        <f t="shared" si="10"/>
        <v>93705.7</v>
      </c>
      <c r="J17" s="2">
        <f t="shared" si="10"/>
        <v>861013.6</v>
      </c>
      <c r="K17" s="2">
        <f t="shared" si="10"/>
        <v>1525937.67</v>
      </c>
      <c r="L17" s="2">
        <f>L18+L20+L23+L25</f>
        <v>347246.6</v>
      </c>
      <c r="M17" s="2">
        <f>M18+M20+M23+M25</f>
        <v>458303.6</v>
      </c>
      <c r="N17" s="2">
        <f>N18+N20+N23+N25</f>
        <v>443768.8</v>
      </c>
      <c r="O17" s="2">
        <f>O18+O20+O23+O25</f>
        <v>27926.6</v>
      </c>
      <c r="P17" s="69"/>
      <c r="Q17" s="62"/>
    </row>
    <row r="18" spans="1:21" ht="31.2" x14ac:dyDescent="0.25">
      <c r="A18" s="99"/>
      <c r="B18" s="99"/>
      <c r="C18" s="51" t="s">
        <v>81</v>
      </c>
      <c r="D18" s="1">
        <f>E18+F18+G18+H18+I18+J18+K18+L18+M18+N18+O18</f>
        <v>213817.09999999998</v>
      </c>
      <c r="E18" s="1">
        <f>E27+E395</f>
        <v>98793.9</v>
      </c>
      <c r="F18" s="1">
        <f>F27+F395</f>
        <v>0</v>
      </c>
      <c r="G18" s="1">
        <f>G27+G395</f>
        <v>0</v>
      </c>
      <c r="H18" s="1">
        <f>H27+H395</f>
        <v>0</v>
      </c>
      <c r="I18" s="1">
        <f>I27+I395</f>
        <v>0</v>
      </c>
      <c r="J18" s="1">
        <f t="shared" ref="J18:O18" si="11">J27+J395+J322+J362+J415</f>
        <v>0</v>
      </c>
      <c r="K18" s="1">
        <f t="shared" si="11"/>
        <v>115023.2</v>
      </c>
      <c r="L18" s="1">
        <f t="shared" si="11"/>
        <v>0</v>
      </c>
      <c r="M18" s="1">
        <f t="shared" si="11"/>
        <v>0</v>
      </c>
      <c r="N18" s="1">
        <f t="shared" si="11"/>
        <v>0</v>
      </c>
      <c r="O18" s="1">
        <f t="shared" si="11"/>
        <v>0</v>
      </c>
    </row>
    <row r="19" spans="1:21" ht="31.2" x14ac:dyDescent="0.25">
      <c r="A19" s="99"/>
      <c r="B19" s="99"/>
      <c r="C19" s="70" t="s">
        <v>82</v>
      </c>
      <c r="D19" s="1">
        <f t="shared" ref="D19:D25" si="12">E19+F19+G19+H19+I19+J19+K19+L19+M19+N19+O19</f>
        <v>98793.9</v>
      </c>
      <c r="E19" s="71">
        <f>E28</f>
        <v>98793.9</v>
      </c>
      <c r="F19" s="71">
        <f t="shared" ref="F19:K19" si="13">F28</f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1">
        <f t="shared" si="13"/>
        <v>0</v>
      </c>
      <c r="L19" s="71">
        <f>L28</f>
        <v>0</v>
      </c>
      <c r="M19" s="71">
        <f>M28</f>
        <v>0</v>
      </c>
      <c r="N19" s="71">
        <f>N28</f>
        <v>0</v>
      </c>
      <c r="O19" s="71">
        <f>O28</f>
        <v>0</v>
      </c>
    </row>
    <row r="20" spans="1:21" ht="31.5" customHeight="1" x14ac:dyDescent="0.25">
      <c r="A20" s="99"/>
      <c r="B20" s="99"/>
      <c r="C20" s="51" t="s">
        <v>70</v>
      </c>
      <c r="D20" s="1">
        <f>E20+F20+G20+H20+I20+J20+K20+L20+M20+N20+O20</f>
        <v>3340792.91</v>
      </c>
      <c r="E20" s="1">
        <f>E29+E323+E363+E396</f>
        <v>68697.599999999991</v>
      </c>
      <c r="F20" s="1">
        <f>F29+F323+F363+F396</f>
        <v>15000</v>
      </c>
      <c r="G20" s="1">
        <f>G29+G323+G363+G396</f>
        <v>26276.799999999999</v>
      </c>
      <c r="H20" s="1">
        <f>H29+H323+H363+H396</f>
        <v>47416.2</v>
      </c>
      <c r="I20" s="1">
        <f>I29+I323+I363+I396</f>
        <v>43469.7</v>
      </c>
      <c r="J20" s="1">
        <f t="shared" ref="J20:O20" si="14">J29+J323+J363+J396+J416</f>
        <v>718423.5</v>
      </c>
      <c r="K20" s="1">
        <f>K29+K323+K363+K396+K416</f>
        <v>1275101.71</v>
      </c>
      <c r="L20" s="1">
        <f t="shared" si="14"/>
        <v>310359.2</v>
      </c>
      <c r="M20" s="1">
        <f t="shared" si="14"/>
        <v>418024.1</v>
      </c>
      <c r="N20" s="1">
        <f t="shared" si="14"/>
        <v>418024.1</v>
      </c>
      <c r="O20" s="1">
        <f t="shared" si="14"/>
        <v>0</v>
      </c>
    </row>
    <row r="21" spans="1:21" ht="31.2" x14ac:dyDescent="0.25">
      <c r="A21" s="99"/>
      <c r="B21" s="99"/>
      <c r="C21" s="70" t="s">
        <v>80</v>
      </c>
      <c r="D21" s="1">
        <f t="shared" si="12"/>
        <v>43117.100000000006</v>
      </c>
      <c r="E21" s="71">
        <f>E30</f>
        <v>43117.100000000006</v>
      </c>
      <c r="F21" s="71">
        <f t="shared" ref="F21:K21" si="15">F30</f>
        <v>0</v>
      </c>
      <c r="G21" s="71">
        <f t="shared" si="15"/>
        <v>0</v>
      </c>
      <c r="H21" s="71">
        <f t="shared" si="15"/>
        <v>0</v>
      </c>
      <c r="I21" s="71">
        <f t="shared" si="15"/>
        <v>0</v>
      </c>
      <c r="J21" s="71">
        <f t="shared" si="15"/>
        <v>0</v>
      </c>
      <c r="K21" s="71">
        <f t="shared" si="15"/>
        <v>0</v>
      </c>
      <c r="L21" s="71">
        <f t="shared" ref="L21:O22" si="16">L30</f>
        <v>0</v>
      </c>
      <c r="M21" s="71">
        <f t="shared" si="16"/>
        <v>0</v>
      </c>
      <c r="N21" s="71">
        <f t="shared" si="16"/>
        <v>0</v>
      </c>
      <c r="O21" s="71">
        <f t="shared" si="16"/>
        <v>0</v>
      </c>
    </row>
    <row r="22" spans="1:21" ht="31.2" x14ac:dyDescent="0.25">
      <c r="A22" s="99"/>
      <c r="B22" s="99"/>
      <c r="C22" s="70" t="s">
        <v>82</v>
      </c>
      <c r="D22" s="1">
        <f t="shared" si="12"/>
        <v>20580.5</v>
      </c>
      <c r="E22" s="71">
        <f>E31</f>
        <v>20580.5</v>
      </c>
      <c r="F22" s="71">
        <f t="shared" ref="F22:K22" si="17">F31</f>
        <v>0</v>
      </c>
      <c r="G22" s="71">
        <f t="shared" si="17"/>
        <v>0</v>
      </c>
      <c r="H22" s="71">
        <f t="shared" si="17"/>
        <v>0</v>
      </c>
      <c r="I22" s="71">
        <f t="shared" si="17"/>
        <v>0</v>
      </c>
      <c r="J22" s="71">
        <f t="shared" si="17"/>
        <v>0</v>
      </c>
      <c r="K22" s="71">
        <f t="shared" si="17"/>
        <v>0</v>
      </c>
      <c r="L22" s="71">
        <f t="shared" si="16"/>
        <v>0</v>
      </c>
      <c r="M22" s="71">
        <f t="shared" si="16"/>
        <v>0</v>
      </c>
      <c r="N22" s="71">
        <f t="shared" si="16"/>
        <v>0</v>
      </c>
      <c r="O22" s="71">
        <f t="shared" si="16"/>
        <v>0</v>
      </c>
    </row>
    <row r="23" spans="1:21" ht="31.2" x14ac:dyDescent="0.25">
      <c r="A23" s="99"/>
      <c r="B23" s="99"/>
      <c r="C23" s="51" t="s">
        <v>66</v>
      </c>
      <c r="D23" s="1">
        <f>E23+F23+G23+H23+I23+J23+K23+L23+M23+N23+O23</f>
        <v>683294.96</v>
      </c>
      <c r="E23" s="1">
        <f>E32+E324+E364+E397</f>
        <v>51114.700000000004</v>
      </c>
      <c r="F23" s="1">
        <f>F32+F324+F364+F397</f>
        <v>36837.9</v>
      </c>
      <c r="G23" s="1">
        <f>G32+G324+G364+G397</f>
        <v>45690.899999999994</v>
      </c>
      <c r="H23" s="1">
        <f>H32+H324+H364+H397</f>
        <v>90174.399999999994</v>
      </c>
      <c r="I23" s="1">
        <f>I32+I324+I364+I397</f>
        <v>50236</v>
      </c>
      <c r="J23" s="1">
        <f t="shared" ref="J23:O23" si="18">J32+J324+J364+J397+J417</f>
        <v>142590.1</v>
      </c>
      <c r="K23" s="1">
        <f>K32+K324+K364+K397+K417</f>
        <v>135812.75999999998</v>
      </c>
      <c r="L23" s="1">
        <f t="shared" si="18"/>
        <v>36887.399999999994</v>
      </c>
      <c r="M23" s="1">
        <f t="shared" si="18"/>
        <v>40279.5</v>
      </c>
      <c r="N23" s="1">
        <f t="shared" si="18"/>
        <v>25744.699999999997</v>
      </c>
      <c r="O23" s="1">
        <f t="shared" si="18"/>
        <v>27926.6</v>
      </c>
      <c r="P23" s="62"/>
      <c r="Q23" s="62"/>
    </row>
    <row r="24" spans="1:21" ht="31.5" customHeight="1" x14ac:dyDescent="0.25">
      <c r="A24" s="99"/>
      <c r="B24" s="99"/>
      <c r="C24" s="70" t="s">
        <v>80</v>
      </c>
      <c r="D24" s="1">
        <f t="shared" si="12"/>
        <v>24185.399999999998</v>
      </c>
      <c r="E24" s="71">
        <f t="shared" ref="E24:O24" si="19">E33+E365</f>
        <v>17427.399999999998</v>
      </c>
      <c r="F24" s="71">
        <f t="shared" si="19"/>
        <v>2151</v>
      </c>
      <c r="G24" s="71">
        <f t="shared" si="19"/>
        <v>3908.3</v>
      </c>
      <c r="H24" s="71">
        <f t="shared" si="19"/>
        <v>0</v>
      </c>
      <c r="I24" s="71">
        <f t="shared" si="19"/>
        <v>698.7</v>
      </c>
      <c r="J24" s="71">
        <f t="shared" si="19"/>
        <v>0</v>
      </c>
      <c r="K24" s="71">
        <f t="shared" si="19"/>
        <v>0</v>
      </c>
      <c r="L24" s="71">
        <f t="shared" si="19"/>
        <v>0</v>
      </c>
      <c r="M24" s="71">
        <f t="shared" si="19"/>
        <v>0</v>
      </c>
      <c r="N24" s="71">
        <f t="shared" si="19"/>
        <v>0</v>
      </c>
      <c r="O24" s="71">
        <f t="shared" si="19"/>
        <v>0</v>
      </c>
    </row>
    <row r="25" spans="1:21" ht="17.25" customHeight="1" x14ac:dyDescent="0.25">
      <c r="A25" s="100"/>
      <c r="B25" s="100"/>
      <c r="C25" s="51" t="s">
        <v>13</v>
      </c>
      <c r="D25" s="1">
        <f t="shared" si="12"/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</row>
    <row r="26" spans="1:21" ht="15.6" x14ac:dyDescent="0.25">
      <c r="A26" s="138" t="s">
        <v>236</v>
      </c>
      <c r="B26" s="141" t="s">
        <v>143</v>
      </c>
      <c r="C26" s="51" t="s">
        <v>7</v>
      </c>
      <c r="D26" s="1">
        <f t="shared" ref="D26:O26" si="20">D27+D29+D32+D34</f>
        <v>3517175.0000000005</v>
      </c>
      <c r="E26" s="1">
        <f t="shared" si="20"/>
        <v>190159.7</v>
      </c>
      <c r="F26" s="1">
        <f t="shared" si="20"/>
        <v>25969.5</v>
      </c>
      <c r="G26" s="1">
        <f t="shared" si="20"/>
        <v>41615.9</v>
      </c>
      <c r="H26" s="1">
        <f t="shared" si="20"/>
        <v>112179.9</v>
      </c>
      <c r="I26" s="1">
        <f t="shared" si="20"/>
        <v>55446.6</v>
      </c>
      <c r="J26" s="1">
        <f>J27+J29+J32+J34</f>
        <v>621253.9</v>
      </c>
      <c r="K26" s="1">
        <f>K27+K29+K32+K34</f>
        <v>1253372.8999999999</v>
      </c>
      <c r="L26" s="1">
        <f t="shared" si="20"/>
        <v>336215.10000000003</v>
      </c>
      <c r="M26" s="1">
        <f t="shared" si="20"/>
        <v>446344.1</v>
      </c>
      <c r="N26" s="1">
        <f t="shared" si="20"/>
        <v>432184.1</v>
      </c>
      <c r="O26" s="1">
        <f t="shared" si="20"/>
        <v>2433.3000000000002</v>
      </c>
      <c r="P26" s="69"/>
      <c r="Q26" s="62"/>
    </row>
    <row r="27" spans="1:21" ht="31.5" customHeight="1" x14ac:dyDescent="0.25">
      <c r="A27" s="139"/>
      <c r="B27" s="142"/>
      <c r="C27" s="51" t="s">
        <v>81</v>
      </c>
      <c r="D27" s="1">
        <f>E27+F27+G27+H27+I27+J27+K27+L27+M27+N27+O27</f>
        <v>98793.9</v>
      </c>
      <c r="E27" s="1">
        <f>E36+E42+E48+E54+E59+E66+E72+E79+E86+E92+E98+E105+E112+E119+E127+E136+E143+E150+E156+E163+E170+E176+E182+E187+E192+E197+E202+E207+E212+E217+E222+E227+E232+E237+E242+E247+E252+E257+E262+E267+E297</f>
        <v>98793.9</v>
      </c>
      <c r="F27" s="1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1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</row>
    <row r="28" spans="1:21" ht="31.2" x14ac:dyDescent="0.25">
      <c r="A28" s="139"/>
      <c r="B28" s="142"/>
      <c r="C28" s="70" t="s">
        <v>82</v>
      </c>
      <c r="D28" s="1">
        <f t="shared" ref="D28:D34" si="22">E28+F28+G28+H28+I28+J28+K28+L28+M28+N28+O28</f>
        <v>98793.9</v>
      </c>
      <c r="E28" s="71">
        <f>E60</f>
        <v>98793.9</v>
      </c>
      <c r="F28" s="71">
        <f t="shared" ref="F28:K28" si="23">F60</f>
        <v>0</v>
      </c>
      <c r="G28" s="71">
        <f t="shared" si="23"/>
        <v>0</v>
      </c>
      <c r="H28" s="71">
        <f t="shared" si="23"/>
        <v>0</v>
      </c>
      <c r="I28" s="71">
        <f t="shared" si="23"/>
        <v>0</v>
      </c>
      <c r="J28" s="71">
        <f t="shared" si="23"/>
        <v>0</v>
      </c>
      <c r="K28" s="71">
        <f t="shared" si="23"/>
        <v>0</v>
      </c>
      <c r="L28" s="71">
        <f>L60</f>
        <v>0</v>
      </c>
      <c r="M28" s="71">
        <f>M60</f>
        <v>0</v>
      </c>
      <c r="N28" s="71">
        <f>N60</f>
        <v>0</v>
      </c>
      <c r="O28" s="71">
        <f>O60</f>
        <v>0</v>
      </c>
      <c r="R28" s="62"/>
      <c r="S28" s="62"/>
      <c r="T28" s="62"/>
      <c r="U28" s="62"/>
    </row>
    <row r="29" spans="1:21" ht="31.2" x14ac:dyDescent="0.25">
      <c r="A29" s="139"/>
      <c r="B29" s="142"/>
      <c r="C29" s="51" t="s">
        <v>70</v>
      </c>
      <c r="D29" s="1">
        <f t="shared" si="22"/>
        <v>2983112.5000000005</v>
      </c>
      <c r="E29" s="1">
        <f>E37+E43+E49+E55+E61+E67+E73+E80+E87+E93+E99+E106+E113+E120+E128+E137+E144+E151+E157+E164+E171+E177+E183+E188+E193+E198+E203+E213+E218+E223++E228+E233+E238+E243+E248+E253+E258+E263+E268+E298</f>
        <v>68697.599999999991</v>
      </c>
      <c r="F29" s="1">
        <f t="shared" ref="F29:O29" si="24">F37+F43+F49+F55+F61+F67+F73+F80+F87+F93+F99+F106+F113+F120+F128+F137+F144+F151+F157+F164+F171+F177+F183+F188+F193+F198+F203+F213+F218+F223++F228+F233+F238+F243+F248+F253+F258+F263+F268+F298</f>
        <v>15000</v>
      </c>
      <c r="G29" s="1">
        <f t="shared" si="24"/>
        <v>26276.799999999999</v>
      </c>
      <c r="H29" s="1">
        <f t="shared" si="24"/>
        <v>47416.2</v>
      </c>
      <c r="I29" s="1">
        <f t="shared" si="24"/>
        <v>16128.9</v>
      </c>
      <c r="J29" s="1">
        <f>J37+J43+J49+J55+J61+J67+J73+J80+J87+J93+J99+J106+J113+J120+J128+J137+J144+J151+J157+J164+J171+J177+J183+J188+J193+J198+J203+J213+J218+J223++J228+J233+J238+J243+J248+J253+J258+J263+J268+J298+J273</f>
        <v>510517.9</v>
      </c>
      <c r="K29" s="1">
        <f>K37+K43+K49+K55+K61+K67+K73+K80+K87+K93+K99+K106+K113+K120+K128+K137+K144+K151+K157+K164+K171+K177+K183+K188+K193+K198+K203+K213+K218+K223++K228+K233+K238+K243+K248+K253+K258+K263+K268+K298+K273+K278+K283+K288+K293</f>
        <v>1152667.7</v>
      </c>
      <c r="L29" s="1">
        <f>L37+L43+L49+L55+L61+L67+L73+L80+L87+L93+L99+L106+L113+L120+L128+L137+L144+L151+L157+L164+L171+L177+L183+L188+L193+L198+L203+L213+L218+L223++L228+L233+L238+L243+L248+L253+L258+L263+L268+L298+L273+L278+L283+L288+L293</f>
        <v>310359.2</v>
      </c>
      <c r="M29" s="1">
        <f>M37+M43+M49+M55+M61+M67+M73+M80+M87+M93+M99+M106+M113+M120+M128+M137+M144+M151+M157+M164+M171+M177+M183+M188+M193+M198+M203+M213+M218+M223++M228+M233+M238+M243+M248+M253+M258+M263+M268+M298+M273+M278+M283+M288+M293</f>
        <v>418024.1</v>
      </c>
      <c r="N29" s="1">
        <f>N37+N43+N49+N55+N61+N67+N73+N80+N87+N93+N99+N106+N113+N120+N128+N137+N144+N151+N157+N164+N171+N177+N183+N188+N193+N198+N203+N213+N218+N223++N228+N233+N238+N243+N248+N253+N258+N263+N268+N298+N273+N278+N283+N288+N293</f>
        <v>418024.1</v>
      </c>
      <c r="O29" s="1">
        <f t="shared" si="24"/>
        <v>0</v>
      </c>
    </row>
    <row r="30" spans="1:21" ht="31.2" x14ac:dyDescent="0.25">
      <c r="A30" s="139"/>
      <c r="B30" s="142"/>
      <c r="C30" s="70" t="s">
        <v>80</v>
      </c>
      <c r="D30" s="1">
        <f t="shared" si="22"/>
        <v>43117.100000000006</v>
      </c>
      <c r="E30" s="71">
        <f t="shared" ref="E30:K30" si="25">E74+E121+E130+E145</f>
        <v>43117.100000000006</v>
      </c>
      <c r="F30" s="71">
        <f t="shared" si="25"/>
        <v>0</v>
      </c>
      <c r="G30" s="71">
        <f t="shared" si="25"/>
        <v>0</v>
      </c>
      <c r="H30" s="71">
        <f t="shared" si="25"/>
        <v>0</v>
      </c>
      <c r="I30" s="71">
        <f t="shared" si="25"/>
        <v>0</v>
      </c>
      <c r="J30" s="71">
        <f t="shared" si="25"/>
        <v>0</v>
      </c>
      <c r="K30" s="71">
        <f t="shared" si="25"/>
        <v>0</v>
      </c>
      <c r="L30" s="71">
        <f>L74+L121+L130+L145</f>
        <v>0</v>
      </c>
      <c r="M30" s="71">
        <f>M74+M121+M130+M145</f>
        <v>0</v>
      </c>
      <c r="N30" s="71">
        <f>N74+N121+N130+N145</f>
        <v>0</v>
      </c>
      <c r="O30" s="71">
        <f>O74+O121+O130+O145</f>
        <v>0</v>
      </c>
    </row>
    <row r="31" spans="1:21" ht="31.5" customHeight="1" x14ac:dyDescent="0.25">
      <c r="A31" s="139"/>
      <c r="B31" s="142"/>
      <c r="C31" s="70" t="s">
        <v>82</v>
      </c>
      <c r="D31" s="1">
        <f t="shared" si="22"/>
        <v>20580.5</v>
      </c>
      <c r="E31" s="71">
        <f>E100+E158+E129</f>
        <v>20580.5</v>
      </c>
      <c r="F31" s="71">
        <f t="shared" ref="F31:K31" si="26">F100+F158</f>
        <v>0</v>
      </c>
      <c r="G31" s="71">
        <f t="shared" si="26"/>
        <v>0</v>
      </c>
      <c r="H31" s="71">
        <f t="shared" si="26"/>
        <v>0</v>
      </c>
      <c r="I31" s="71">
        <f t="shared" si="26"/>
        <v>0</v>
      </c>
      <c r="J31" s="71">
        <f t="shared" si="26"/>
        <v>0</v>
      </c>
      <c r="K31" s="71">
        <f t="shared" si="26"/>
        <v>0</v>
      </c>
      <c r="L31" s="71">
        <f>L100+L158</f>
        <v>0</v>
      </c>
      <c r="M31" s="71">
        <f>M100+M158</f>
        <v>0</v>
      </c>
      <c r="N31" s="71">
        <f>N100+N158</f>
        <v>0</v>
      </c>
      <c r="O31" s="71">
        <f>O100+O158</f>
        <v>0</v>
      </c>
    </row>
    <row r="32" spans="1:21" ht="31.2" x14ac:dyDescent="0.25">
      <c r="A32" s="139"/>
      <c r="B32" s="142"/>
      <c r="C32" s="51" t="s">
        <v>66</v>
      </c>
      <c r="D32" s="1">
        <f>E32+F32+G32+H32+I32+J32+K32+L32+M32+N32+O32</f>
        <v>435268.60000000003</v>
      </c>
      <c r="E32" s="1">
        <f>E38+E44+E50+E56+E62+E68+E75+E81+E88+E94+E101+E107+E114+E122+E131+E138+E146+E152+E159+E165+E172+E178+E184+E189+E194+E199+E204+E209+E214+E219+E224+E229+E234+E239+E249+E244+E254+E259+E264+E269+E299</f>
        <v>22668.2</v>
      </c>
      <c r="F32" s="1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1">
        <f t="shared" si="27"/>
        <v>15339.1</v>
      </c>
      <c r="H32" s="1">
        <f t="shared" si="27"/>
        <v>64763.7</v>
      </c>
      <c r="I32" s="1">
        <f t="shared" si="27"/>
        <v>39317.699999999997</v>
      </c>
      <c r="J32" s="1">
        <f>J38+J44+J50+J56+J62+J68+J75+J81+J88+J94+J101+J107+J114+J122+J131+J138+J146+J152+J159+J165+J172+J178+J184+J189+J194+J199+J204+J209+J214+J219+J224+J229+J234+J239+J249+J244+J254+J259+J264+J269+J299+J274</f>
        <v>110736</v>
      </c>
      <c r="K32" s="1">
        <f>K38+K44+K50+K56+K62+K68+K75+K81+K88+K94+K101+K107+K114+K122+K131+K138+K146+K152+K159+K165+K172+K178+K184+K189+K194+K199+K204+K209+K214+K219+K224+K229+K234+K239+K249+K244+K254+K259+K264+K269+K274+K299+K279+K284+K289+K294+K304+K309+K314+K319</f>
        <v>100705.2</v>
      </c>
      <c r="L32" s="1">
        <f>L38+L44+L50+L56+L62+L68+L75+L81+L88+L94+L101+L107+L114+L122+L131+L138+L146+L152+L159+L165+L172+L178+L184+L189+L194+L199+L204+L209+L214+L219+L224+L229+L234+L239+L249+L244+L254+L259+L264+L269+L274+L299+L279+L284+L289+L294+L304+L309+L314+L319</f>
        <v>25855.9</v>
      </c>
      <c r="M32" s="1">
        <f t="shared" ref="M32:O32" si="28">M38+M44+M50+M56+M62+M68+M75+M81+M88+M94+M101+M107+M114+M122+M131+M138+M146+M152+M159+M165+M172+M178+M184+M189+M194+M199+M204+M209+M214+M219+M224+M229+M234+M239+M249+M244+M254+M259+M264+M269+M299+M279+M284+M289+M294+M304+M309</f>
        <v>28320</v>
      </c>
      <c r="N32" s="1">
        <f t="shared" si="28"/>
        <v>14160</v>
      </c>
      <c r="O32" s="1">
        <f t="shared" si="28"/>
        <v>2433.3000000000002</v>
      </c>
    </row>
    <row r="33" spans="1:16" ht="31.2" x14ac:dyDescent="0.25">
      <c r="A33" s="139"/>
      <c r="B33" s="142"/>
      <c r="C33" s="70" t="s">
        <v>80</v>
      </c>
      <c r="D33" s="1">
        <f t="shared" si="22"/>
        <v>20554.099999999999</v>
      </c>
      <c r="E33" s="71">
        <f>E45+E51+E69+E76+E82+E89+E95+E108+E115+E123+E132+E139+E147+E153+E166+E173+E179+E39+E63</f>
        <v>14494.8</v>
      </c>
      <c r="F33" s="71">
        <f t="shared" ref="F33:K33" si="29">F45+F51+F69+F76+F82+F89+F95+F108+F115+F123+F132+F139+F147+F153+F166+F173+F179+F39+F63</f>
        <v>2151</v>
      </c>
      <c r="G33" s="71">
        <f t="shared" si="29"/>
        <v>3908.3</v>
      </c>
      <c r="H33" s="71">
        <f t="shared" si="29"/>
        <v>0</v>
      </c>
      <c r="I33" s="71">
        <f t="shared" si="29"/>
        <v>0</v>
      </c>
      <c r="J33" s="71">
        <f t="shared" si="29"/>
        <v>0</v>
      </c>
      <c r="K33" s="71">
        <f t="shared" si="29"/>
        <v>0</v>
      </c>
      <c r="L33" s="71">
        <f>L45+L51+L69+L76+L82+L89+L95+L108+L115+L123+L132+L139+L147+L153+L166+L173+L179+L39+L63</f>
        <v>0</v>
      </c>
      <c r="M33" s="71">
        <f>M45+M51+M69+M76+M82+M89+M95+M108+M115+M123+M132+M139+M147+M153+M166+M173+M179+M39+M63</f>
        <v>0</v>
      </c>
      <c r="N33" s="71">
        <f>N45+N51+N69+N76+N82+N89+N95+N108+N115+N123+N132+N139+N147+N153+N166+N173+N179+N39+N63</f>
        <v>0</v>
      </c>
      <c r="O33" s="71">
        <f>O45+O51+O69+O76+O82+O89+O95+O108+O115+O123+O132+O139+O147+O153+O166+O173+O179+O39+O63</f>
        <v>0</v>
      </c>
    </row>
    <row r="34" spans="1:16" ht="18.75" customHeight="1" x14ac:dyDescent="0.25">
      <c r="A34" s="140"/>
      <c r="B34" s="143"/>
      <c r="C34" s="51" t="s">
        <v>13</v>
      </c>
      <c r="D34" s="1">
        <f t="shared" si="22"/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6" ht="15.6" x14ac:dyDescent="0.25">
      <c r="A35" s="91" t="s">
        <v>95</v>
      </c>
      <c r="B35" s="120" t="s">
        <v>376</v>
      </c>
      <c r="C35" s="58" t="s">
        <v>7</v>
      </c>
      <c r="D35" s="1">
        <f t="shared" ref="D35:D40" si="30">E35+F35+G35+H35+I35+J35+K35+L35+M35+N35+O35</f>
        <v>20898.7</v>
      </c>
      <c r="E35" s="1">
        <f t="shared" ref="E35:J35" si="31">SUM(E36:E40)</f>
        <v>279.3</v>
      </c>
      <c r="F35" s="1">
        <f t="shared" si="31"/>
        <v>7999</v>
      </c>
      <c r="G35" s="1">
        <f>G36+G37+G38+G40</f>
        <v>3908.3</v>
      </c>
      <c r="H35" s="1">
        <f t="shared" si="31"/>
        <v>0</v>
      </c>
      <c r="I35" s="1">
        <f t="shared" si="31"/>
        <v>7695.7</v>
      </c>
      <c r="J35" s="1">
        <f t="shared" si="31"/>
        <v>1016.4000000000001</v>
      </c>
      <c r="K35" s="1">
        <f>K36+K37+K38+K39+K40</f>
        <v>0</v>
      </c>
      <c r="L35" s="1">
        <f>L36+L37+L38+L39+L40</f>
        <v>0</v>
      </c>
      <c r="M35" s="1">
        <f>M36+M37+M38+M39+M40</f>
        <v>0</v>
      </c>
      <c r="N35" s="1">
        <f>N36+N37+N38+N39+N40</f>
        <v>0</v>
      </c>
      <c r="O35" s="1">
        <f>O36+O37+O38+O39+O40</f>
        <v>0</v>
      </c>
      <c r="P35" s="64" t="s">
        <v>355</v>
      </c>
    </row>
    <row r="36" spans="1:16" ht="15.6" x14ac:dyDescent="0.25">
      <c r="A36" s="91"/>
      <c r="B36" s="121"/>
      <c r="C36" s="51" t="s">
        <v>10</v>
      </c>
      <c r="D36" s="1">
        <f t="shared" si="30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6" ht="15.6" x14ac:dyDescent="0.25">
      <c r="A37" s="91"/>
      <c r="B37" s="121"/>
      <c r="C37" s="51" t="s">
        <v>11</v>
      </c>
      <c r="D37" s="1">
        <f t="shared" si="30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6" ht="15.6" x14ac:dyDescent="0.25">
      <c r="A38" s="91"/>
      <c r="B38" s="121"/>
      <c r="C38" s="51" t="s">
        <v>12</v>
      </c>
      <c r="D38" s="1">
        <f t="shared" si="30"/>
        <v>20898.7</v>
      </c>
      <c r="E38" s="1">
        <v>279.3</v>
      </c>
      <c r="F38" s="1">
        <v>7999</v>
      </c>
      <c r="G38" s="1">
        <v>3908.3</v>
      </c>
      <c r="H38" s="1">
        <v>0</v>
      </c>
      <c r="I38" s="1">
        <v>7695.7</v>
      </c>
      <c r="J38" s="1">
        <f>13000-10000-91-1800-1.6-235+144</f>
        <v>1016.4000000000001</v>
      </c>
      <c r="K38" s="1">
        <f>1620.7-553.4-1067.3</f>
        <v>0</v>
      </c>
      <c r="L38" s="1">
        <v>0</v>
      </c>
      <c r="M38" s="1">
        <v>0</v>
      </c>
      <c r="N38" s="1">
        <v>0</v>
      </c>
      <c r="O38" s="1">
        <v>0</v>
      </c>
    </row>
    <row r="39" spans="1:16" ht="31.2" x14ac:dyDescent="0.25">
      <c r="A39" s="91"/>
      <c r="B39" s="121"/>
      <c r="C39" s="70" t="s">
        <v>80</v>
      </c>
      <c r="D39" s="71">
        <f t="shared" si="30"/>
        <v>3908.3</v>
      </c>
      <c r="E39" s="71">
        <v>0</v>
      </c>
      <c r="F39" s="71">
        <v>0</v>
      </c>
      <c r="G39" s="71">
        <v>3908.3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16" ht="20.25" customHeight="1" x14ac:dyDescent="0.25">
      <c r="A40" s="91"/>
      <c r="B40" s="122"/>
      <c r="C40" s="51" t="s">
        <v>13</v>
      </c>
      <c r="D40" s="1">
        <f t="shared" si="30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6" ht="15.6" x14ac:dyDescent="0.25">
      <c r="A41" s="91" t="s">
        <v>96</v>
      </c>
      <c r="B41" s="116" t="s">
        <v>248</v>
      </c>
      <c r="C41" s="51" t="s">
        <v>7</v>
      </c>
      <c r="D41" s="1">
        <f>D42+D43+D44+D46</f>
        <v>89901.1</v>
      </c>
      <c r="E41" s="1">
        <f t="shared" ref="E41:O41" si="32">E42+E43+E44+E46</f>
        <v>2524.5</v>
      </c>
      <c r="F41" s="1">
        <f t="shared" si="32"/>
        <v>0</v>
      </c>
      <c r="G41" s="1">
        <f t="shared" si="32"/>
        <v>9700</v>
      </c>
      <c r="H41" s="1">
        <f t="shared" si="32"/>
        <v>55770.7</v>
      </c>
      <c r="I41" s="1">
        <f t="shared" si="32"/>
        <v>20706</v>
      </c>
      <c r="J41" s="1">
        <f>J42+J43+J44+J46</f>
        <v>1153.1000000000004</v>
      </c>
      <c r="K41" s="1">
        <f t="shared" si="32"/>
        <v>46.800000000000004</v>
      </c>
      <c r="L41" s="1">
        <f t="shared" si="32"/>
        <v>0</v>
      </c>
      <c r="M41" s="1">
        <f t="shared" si="32"/>
        <v>0</v>
      </c>
      <c r="N41" s="1">
        <f t="shared" si="32"/>
        <v>0</v>
      </c>
      <c r="O41" s="1">
        <f t="shared" si="32"/>
        <v>0</v>
      </c>
      <c r="P41" s="64" t="s">
        <v>355</v>
      </c>
    </row>
    <row r="42" spans="1:16" ht="17.25" customHeight="1" x14ac:dyDescent="0.25">
      <c r="A42" s="91"/>
      <c r="B42" s="116"/>
      <c r="C42" s="51" t="s">
        <v>10</v>
      </c>
      <c r="D42" s="1">
        <f>E42+F42+G42+H42+I42+J42+K42+L42+M42+N42+O42</f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6" ht="15.6" x14ac:dyDescent="0.25">
      <c r="A43" s="91"/>
      <c r="B43" s="116"/>
      <c r="C43" s="51" t="s">
        <v>11</v>
      </c>
      <c r="D43" s="1">
        <f>E43+F43+G43+H43+I43+J43+K43+L43+M43+N43+O43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6" ht="31.2" x14ac:dyDescent="0.25">
      <c r="A44" s="91"/>
      <c r="B44" s="116"/>
      <c r="C44" s="51" t="s">
        <v>66</v>
      </c>
      <c r="D44" s="1">
        <f>E44+F44+G44+H44+I44+J44+K44+L44+M44+N44+O44</f>
        <v>89901.1</v>
      </c>
      <c r="E44" s="1">
        <v>2524.5</v>
      </c>
      <c r="F44" s="1">
        <v>0</v>
      </c>
      <c r="G44" s="1">
        <v>9700</v>
      </c>
      <c r="H44" s="1">
        <v>55770.7</v>
      </c>
      <c r="I44" s="1">
        <f>23156-2450</f>
        <v>20706</v>
      </c>
      <c r="J44" s="1">
        <f>10000-8846.9</f>
        <v>1153.1000000000004</v>
      </c>
      <c r="K44" s="1">
        <f>49.2-2.4</f>
        <v>46.800000000000004</v>
      </c>
      <c r="L44" s="1">
        <v>0</v>
      </c>
      <c r="M44" s="1">
        <v>0</v>
      </c>
      <c r="N44" s="1">
        <v>0</v>
      </c>
      <c r="O44" s="1">
        <v>0</v>
      </c>
    </row>
    <row r="45" spans="1:16" ht="31.2" x14ac:dyDescent="0.25">
      <c r="A45" s="91"/>
      <c r="B45" s="116"/>
      <c r="C45" s="70" t="s">
        <v>80</v>
      </c>
      <c r="D45" s="1">
        <f>E45+F45+G45+H45+I45+J45+K45+L45+M45+N45+O45</f>
        <v>1837.2</v>
      </c>
      <c r="E45" s="71">
        <v>1837.2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</row>
    <row r="46" spans="1:16" ht="18" customHeight="1" x14ac:dyDescent="0.25">
      <c r="A46" s="91"/>
      <c r="B46" s="116"/>
      <c r="C46" s="51" t="s">
        <v>13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6" ht="15.6" x14ac:dyDescent="0.25">
      <c r="A47" s="89" t="s">
        <v>132</v>
      </c>
      <c r="B47" s="120" t="s">
        <v>228</v>
      </c>
      <c r="C47" s="51" t="s">
        <v>7</v>
      </c>
      <c r="D47" s="1">
        <f>E47+F47+G47+H47+I47+J47</f>
        <v>342.5</v>
      </c>
      <c r="E47" s="1">
        <f t="shared" ref="E47:K47" si="33">E48+E49+E50+E52</f>
        <v>330.5</v>
      </c>
      <c r="F47" s="1">
        <f t="shared" si="33"/>
        <v>12</v>
      </c>
      <c r="G47" s="1">
        <f t="shared" si="33"/>
        <v>0</v>
      </c>
      <c r="H47" s="1">
        <f t="shared" si="33"/>
        <v>0</v>
      </c>
      <c r="I47" s="1">
        <f t="shared" si="33"/>
        <v>0</v>
      </c>
      <c r="J47" s="1">
        <f t="shared" si="33"/>
        <v>0</v>
      </c>
      <c r="K47" s="1">
        <f t="shared" si="33"/>
        <v>0</v>
      </c>
      <c r="L47" s="1">
        <f>L48+L49+L50+L52</f>
        <v>0</v>
      </c>
      <c r="M47" s="1">
        <f>M48+M49+M50+M52</f>
        <v>0</v>
      </c>
      <c r="N47" s="1">
        <f>N48+N49+N50+N52</f>
        <v>0</v>
      </c>
      <c r="O47" s="1">
        <f>O48+O49+O50+O52</f>
        <v>0</v>
      </c>
    </row>
    <row r="48" spans="1:16" ht="15.6" x14ac:dyDescent="0.25">
      <c r="A48" s="104"/>
      <c r="B48" s="121"/>
      <c r="C48" s="51" t="s">
        <v>10</v>
      </c>
      <c r="D48" s="1">
        <f>E48+F48+G48+H48+I48+J48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6" x14ac:dyDescent="0.25">
      <c r="A49" s="104"/>
      <c r="B49" s="121"/>
      <c r="C49" s="51" t="s">
        <v>11</v>
      </c>
      <c r="D49" s="1">
        <f>E49+F49+G49+H49+I49+J49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30.75" customHeight="1" x14ac:dyDescent="0.25">
      <c r="A50" s="104"/>
      <c r="B50" s="121"/>
      <c r="C50" s="51" t="s">
        <v>66</v>
      </c>
      <c r="D50" s="1">
        <f>E50+F50+G50+H50+I50+J50</f>
        <v>342.5</v>
      </c>
      <c r="E50" s="1">
        <v>330.5</v>
      </c>
      <c r="F50" s="1">
        <v>12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32.25" customHeight="1" x14ac:dyDescent="0.25">
      <c r="A51" s="104"/>
      <c r="B51" s="121"/>
      <c r="C51" s="70" t="s">
        <v>80</v>
      </c>
      <c r="D51" s="71">
        <f>E51</f>
        <v>330.5</v>
      </c>
      <c r="E51" s="71">
        <v>330.5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1">
        <v>0</v>
      </c>
      <c r="L51" s="71">
        <v>0</v>
      </c>
      <c r="M51" s="71">
        <v>0</v>
      </c>
      <c r="N51" s="71">
        <v>0</v>
      </c>
      <c r="O51" s="1">
        <v>0</v>
      </c>
    </row>
    <row r="52" spans="1:17" ht="26.25" customHeight="1" x14ac:dyDescent="0.25">
      <c r="A52" s="90"/>
      <c r="B52" s="122"/>
      <c r="C52" s="51" t="s">
        <v>13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15.6" x14ac:dyDescent="0.25">
      <c r="A53" s="91" t="s">
        <v>97</v>
      </c>
      <c r="B53" s="116" t="s">
        <v>89</v>
      </c>
      <c r="C53" s="51" t="s">
        <v>7</v>
      </c>
      <c r="D53" s="1">
        <f>E53+F53+G53+H53+I53+J53+K53+L53+M53+N53+O53</f>
        <v>5540</v>
      </c>
      <c r="E53" s="1">
        <f t="shared" ref="E53:K53" si="34">E54+E55+E56+E57</f>
        <v>5540</v>
      </c>
      <c r="F53" s="1">
        <f t="shared" si="34"/>
        <v>0</v>
      </c>
      <c r="G53" s="1">
        <f t="shared" si="34"/>
        <v>0</v>
      </c>
      <c r="H53" s="1">
        <f t="shared" si="34"/>
        <v>0</v>
      </c>
      <c r="I53" s="1">
        <f t="shared" si="34"/>
        <v>0</v>
      </c>
      <c r="J53" s="1">
        <f t="shared" si="34"/>
        <v>0</v>
      </c>
      <c r="K53" s="1">
        <f t="shared" si="34"/>
        <v>0</v>
      </c>
      <c r="L53" s="1">
        <f>L54+L55+L56+L57</f>
        <v>0</v>
      </c>
      <c r="M53" s="1">
        <f>M54+M55+M56+M57</f>
        <v>0</v>
      </c>
      <c r="N53" s="1">
        <f>N54+N55+N56+N57</f>
        <v>0</v>
      </c>
      <c r="O53" s="1">
        <f>O54+O55+O56+O57</f>
        <v>0</v>
      </c>
    </row>
    <row r="54" spans="1:17" ht="17.25" customHeight="1" x14ac:dyDescent="0.25">
      <c r="A54" s="91"/>
      <c r="B54" s="116"/>
      <c r="C54" s="51" t="s">
        <v>10</v>
      </c>
      <c r="D54" s="1">
        <f>E54+F54+G54+H54+I54+J54+K54+L54+M54+N54+O54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6" x14ac:dyDescent="0.25">
      <c r="A55" s="91"/>
      <c r="B55" s="116"/>
      <c r="C55" s="51" t="s">
        <v>11</v>
      </c>
      <c r="D55" s="1">
        <f>E55+F55+G55+H55+I55+J55+K55+L55+M55+N55+O55</f>
        <v>5000</v>
      </c>
      <c r="E55" s="1">
        <v>5000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6" x14ac:dyDescent="0.25">
      <c r="A56" s="91"/>
      <c r="B56" s="116"/>
      <c r="C56" s="51" t="s">
        <v>12</v>
      </c>
      <c r="D56" s="1">
        <f>E56+F56+G56+H56+I56+J56+K56+L56+M56+N56+O56</f>
        <v>540</v>
      </c>
      <c r="E56" s="1">
        <v>540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9.5" customHeight="1" x14ac:dyDescent="0.25">
      <c r="A57" s="91"/>
      <c r="B57" s="116"/>
      <c r="C57" s="51" t="s">
        <v>13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6" x14ac:dyDescent="0.25">
      <c r="A58" s="91" t="s">
        <v>98</v>
      </c>
      <c r="B58" s="120" t="s">
        <v>61</v>
      </c>
      <c r="C58" s="51" t="s">
        <v>7</v>
      </c>
      <c r="D58" s="1">
        <f>E58+F58+G58+H58+I58+J58</f>
        <v>103147.9</v>
      </c>
      <c r="E58" s="1">
        <f>E59+E61+E62+E64</f>
        <v>101289</v>
      </c>
      <c r="F58" s="1">
        <f>F59+F61+F62+F64</f>
        <v>1200</v>
      </c>
      <c r="G58" s="1">
        <f t="shared" ref="G58:O58" si="35">G59+G61+G62+G64</f>
        <v>0</v>
      </c>
      <c r="H58" s="1">
        <f t="shared" si="35"/>
        <v>600</v>
      </c>
      <c r="I58" s="1">
        <f t="shared" si="35"/>
        <v>35.5</v>
      </c>
      <c r="J58" s="1">
        <f t="shared" si="35"/>
        <v>23.4</v>
      </c>
      <c r="K58" s="1">
        <f t="shared" si="35"/>
        <v>0</v>
      </c>
      <c r="L58" s="1">
        <f t="shared" si="35"/>
        <v>0</v>
      </c>
      <c r="M58" s="1">
        <f t="shared" si="35"/>
        <v>0</v>
      </c>
      <c r="N58" s="1">
        <f t="shared" si="35"/>
        <v>0</v>
      </c>
      <c r="O58" s="1">
        <f t="shared" si="35"/>
        <v>0</v>
      </c>
      <c r="P58" s="60">
        <v>35.4</v>
      </c>
      <c r="Q58" s="69">
        <f>I58-P58</f>
        <v>0.10000000000000142</v>
      </c>
    </row>
    <row r="59" spans="1:17" ht="31.2" x14ac:dyDescent="0.25">
      <c r="A59" s="91"/>
      <c r="B59" s="121"/>
      <c r="C59" s="51" t="s">
        <v>81</v>
      </c>
      <c r="D59" s="1">
        <f t="shared" ref="D59:D64" si="36">E59+F59+G59+H59+I59+J59+K59+L59+M59+N59+O59</f>
        <v>98793.9</v>
      </c>
      <c r="E59" s="1">
        <f>E60</f>
        <v>98793.9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31.2" x14ac:dyDescent="0.25">
      <c r="A60" s="91"/>
      <c r="B60" s="121"/>
      <c r="C60" s="70" t="s">
        <v>82</v>
      </c>
      <c r="D60" s="1">
        <f t="shared" si="36"/>
        <v>98793.9</v>
      </c>
      <c r="E60" s="71">
        <v>98793.9</v>
      </c>
      <c r="F60" s="71">
        <v>0</v>
      </c>
      <c r="G60" s="71">
        <v>0</v>
      </c>
      <c r="H60" s="71">
        <v>0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</row>
    <row r="61" spans="1:17" ht="15.6" x14ac:dyDescent="0.25">
      <c r="A61" s="91"/>
      <c r="B61" s="121"/>
      <c r="C61" s="51" t="s">
        <v>11</v>
      </c>
      <c r="D61" s="1">
        <f t="shared" si="36"/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62">
        <f>D59+D61+D62+D64</f>
        <v>103147.9</v>
      </c>
      <c r="Q61" s="62"/>
    </row>
    <row r="62" spans="1:17" ht="15.6" x14ac:dyDescent="0.25">
      <c r="A62" s="91"/>
      <c r="B62" s="121"/>
      <c r="C62" s="51" t="s">
        <v>12</v>
      </c>
      <c r="D62" s="1">
        <f t="shared" si="36"/>
        <v>4354</v>
      </c>
      <c r="E62" s="1">
        <v>2495.1</v>
      </c>
      <c r="F62" s="1">
        <v>1200</v>
      </c>
      <c r="G62" s="1">
        <v>0</v>
      </c>
      <c r="H62" s="1">
        <v>600</v>
      </c>
      <c r="I62" s="1">
        <v>35.5</v>
      </c>
      <c r="J62" s="1">
        <f>0+23.4</f>
        <v>23.4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7" ht="31.2" x14ac:dyDescent="0.25">
      <c r="A63" s="91"/>
      <c r="B63" s="121"/>
      <c r="C63" s="70" t="s">
        <v>80</v>
      </c>
      <c r="D63" s="71">
        <f t="shared" si="36"/>
        <v>1200</v>
      </c>
      <c r="E63" s="71">
        <v>0</v>
      </c>
      <c r="F63" s="71">
        <v>1200</v>
      </c>
      <c r="G63" s="71">
        <v>0</v>
      </c>
      <c r="H63" s="71">
        <v>0</v>
      </c>
      <c r="I63" s="71">
        <v>0</v>
      </c>
      <c r="J63" s="7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7" ht="21" customHeight="1" x14ac:dyDescent="0.25">
      <c r="A64" s="91"/>
      <c r="B64" s="122"/>
      <c r="C64" s="51" t="s">
        <v>13</v>
      </c>
      <c r="D64" s="1">
        <f t="shared" si="36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ht="15.6" x14ac:dyDescent="0.25">
      <c r="A65" s="91" t="s">
        <v>99</v>
      </c>
      <c r="B65" s="116" t="s">
        <v>62</v>
      </c>
      <c r="C65" s="51" t="s">
        <v>7</v>
      </c>
      <c r="D65" s="1">
        <f>D66+D67+D68+D70</f>
        <v>2863</v>
      </c>
      <c r="E65" s="1">
        <f t="shared" ref="E65:K65" si="37">E66+E67+E68+E70</f>
        <v>2863</v>
      </c>
      <c r="F65" s="1">
        <f t="shared" si="37"/>
        <v>0</v>
      </c>
      <c r="G65" s="1">
        <f t="shared" si="37"/>
        <v>0</v>
      </c>
      <c r="H65" s="1">
        <f t="shared" si="37"/>
        <v>0</v>
      </c>
      <c r="I65" s="1">
        <f t="shared" si="37"/>
        <v>0</v>
      </c>
      <c r="J65" s="1">
        <f t="shared" si="37"/>
        <v>0</v>
      </c>
      <c r="K65" s="1">
        <f t="shared" si="37"/>
        <v>0</v>
      </c>
      <c r="L65" s="1">
        <f>L66+L67+L68+L70</f>
        <v>0</v>
      </c>
      <c r="M65" s="1">
        <f>M66+M67+M68+M70</f>
        <v>0</v>
      </c>
      <c r="N65" s="1">
        <f>N66+N67+N68+N70</f>
        <v>0</v>
      </c>
      <c r="O65" s="1">
        <f>O66+O67+O68+O70</f>
        <v>0</v>
      </c>
    </row>
    <row r="66" spans="1:15" ht="15.6" x14ac:dyDescent="0.25">
      <c r="A66" s="91"/>
      <c r="B66" s="116"/>
      <c r="C66" s="51" t="s">
        <v>10</v>
      </c>
      <c r="D66" s="1">
        <f>E66+F66+G66+H66+I66+J66+K66+L66+M66+N66+O66</f>
        <v>0</v>
      </c>
      <c r="E66" s="1">
        <f>F66+G66+H66+I66+J66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6" x14ac:dyDescent="0.25">
      <c r="A67" s="91"/>
      <c r="B67" s="116"/>
      <c r="C67" s="51" t="s">
        <v>11</v>
      </c>
      <c r="D67" s="1">
        <f>E67+F67+G67+H67+I67+J67+K67+L67+M67+N67+O67</f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31.2" x14ac:dyDescent="0.25">
      <c r="A68" s="91"/>
      <c r="B68" s="116"/>
      <c r="C68" s="51" t="s">
        <v>66</v>
      </c>
      <c r="D68" s="1">
        <f>E68+F68+G68+H68+I68+J68+K68+L68+M68+N68+O68</f>
        <v>2863</v>
      </c>
      <c r="E68" s="1">
        <v>2863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33" customHeight="1" x14ac:dyDescent="0.25">
      <c r="A69" s="91"/>
      <c r="B69" s="116"/>
      <c r="C69" s="70" t="s">
        <v>80</v>
      </c>
      <c r="D69" s="1">
        <f>E69+F69+G69+H69+I69+J69+K69+L69+M69+N69+O69</f>
        <v>2863</v>
      </c>
      <c r="E69" s="71">
        <v>2863</v>
      </c>
      <c r="F69" s="71">
        <v>0</v>
      </c>
      <c r="G69" s="71">
        <v>0</v>
      </c>
      <c r="H69" s="71">
        <v>0</v>
      </c>
      <c r="I69" s="71">
        <v>0</v>
      </c>
      <c r="J69" s="71">
        <v>0</v>
      </c>
      <c r="K69" s="1">
        <v>0</v>
      </c>
      <c r="L69" s="71">
        <v>0</v>
      </c>
      <c r="M69" s="71">
        <v>0</v>
      </c>
      <c r="N69" s="71">
        <v>0</v>
      </c>
      <c r="O69" s="1">
        <v>0</v>
      </c>
    </row>
    <row r="70" spans="1:15" ht="20.25" customHeight="1" x14ac:dyDescent="0.25">
      <c r="A70" s="91"/>
      <c r="B70" s="116"/>
      <c r="C70" s="51" t="s">
        <v>13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15.6" x14ac:dyDescent="0.25">
      <c r="A71" s="91" t="s">
        <v>100</v>
      </c>
      <c r="B71" s="116" t="s">
        <v>139</v>
      </c>
      <c r="C71" s="51" t="s">
        <v>7</v>
      </c>
      <c r="D71" s="1">
        <f t="shared" ref="D71:K71" si="38">D72+D73+D75+D77</f>
        <v>19253.100000000002</v>
      </c>
      <c r="E71" s="1">
        <f t="shared" si="38"/>
        <v>19253.100000000002</v>
      </c>
      <c r="F71" s="1">
        <f t="shared" si="38"/>
        <v>0</v>
      </c>
      <c r="G71" s="1">
        <f t="shared" si="38"/>
        <v>0</v>
      </c>
      <c r="H71" s="1">
        <f t="shared" si="38"/>
        <v>0</v>
      </c>
      <c r="I71" s="1">
        <f t="shared" si="38"/>
        <v>0</v>
      </c>
      <c r="J71" s="1">
        <f t="shared" si="38"/>
        <v>0</v>
      </c>
      <c r="K71" s="1">
        <f t="shared" si="38"/>
        <v>0</v>
      </c>
      <c r="L71" s="1">
        <f>L72+L73+L75+L77</f>
        <v>0</v>
      </c>
      <c r="M71" s="1">
        <f>M72+M73+M75+M77</f>
        <v>0</v>
      </c>
      <c r="N71" s="1">
        <f>N72+N73+N75+N77</f>
        <v>0</v>
      </c>
      <c r="O71" s="1">
        <f>O72+O73+O75+O77</f>
        <v>0</v>
      </c>
    </row>
    <row r="72" spans="1:15" ht="15.6" x14ac:dyDescent="0.25">
      <c r="A72" s="91"/>
      <c r="B72" s="116"/>
      <c r="C72" s="51" t="s">
        <v>10</v>
      </c>
      <c r="D72" s="1">
        <f>E72+F72+G72+H72+I72+J72</f>
        <v>0</v>
      </c>
      <c r="E72" s="1">
        <f>F72+G72+H72+I72+J72</f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33" customHeight="1" x14ac:dyDescent="0.25">
      <c r="A73" s="91"/>
      <c r="B73" s="116"/>
      <c r="C73" s="51" t="s">
        <v>70</v>
      </c>
      <c r="D73" s="1">
        <f>E73+F73+G73+H73+I73+J73</f>
        <v>18290.400000000001</v>
      </c>
      <c r="E73" s="1">
        <v>18290.400000000001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32.25" customHeight="1" x14ac:dyDescent="0.25">
      <c r="A74" s="91"/>
      <c r="B74" s="116"/>
      <c r="C74" s="70" t="s">
        <v>80</v>
      </c>
      <c r="D74" s="71">
        <f>E74</f>
        <v>18290.400000000001</v>
      </c>
      <c r="E74" s="71">
        <v>18290.400000000001</v>
      </c>
      <c r="F74" s="71">
        <v>0</v>
      </c>
      <c r="G74" s="71">
        <v>0</v>
      </c>
      <c r="H74" s="71">
        <v>0</v>
      </c>
      <c r="I74" s="71">
        <v>0</v>
      </c>
      <c r="J74" s="71">
        <v>0</v>
      </c>
      <c r="K74" s="1">
        <v>0</v>
      </c>
      <c r="L74" s="71">
        <v>0</v>
      </c>
      <c r="M74" s="71">
        <v>0</v>
      </c>
      <c r="N74" s="71">
        <v>0</v>
      </c>
      <c r="O74" s="1">
        <v>0</v>
      </c>
    </row>
    <row r="75" spans="1:15" ht="33.75" customHeight="1" x14ac:dyDescent="0.25">
      <c r="A75" s="91"/>
      <c r="B75" s="116"/>
      <c r="C75" s="51" t="s">
        <v>66</v>
      </c>
      <c r="D75" s="1">
        <f>E75+F75+G75+H75+I75+J75</f>
        <v>962.7</v>
      </c>
      <c r="E75" s="1">
        <v>962.7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0.75" customHeight="1" x14ac:dyDescent="0.25">
      <c r="A76" s="91"/>
      <c r="B76" s="116"/>
      <c r="C76" s="70" t="s">
        <v>80</v>
      </c>
      <c r="D76" s="71">
        <f>E76</f>
        <v>962.7</v>
      </c>
      <c r="E76" s="71">
        <v>962.7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1">
        <v>0</v>
      </c>
      <c r="L76" s="71">
        <v>0</v>
      </c>
      <c r="M76" s="71">
        <v>0</v>
      </c>
      <c r="N76" s="71">
        <v>0</v>
      </c>
      <c r="O76" s="1">
        <v>0</v>
      </c>
    </row>
    <row r="77" spans="1:15" ht="18.75" customHeight="1" x14ac:dyDescent="0.25">
      <c r="A77" s="91"/>
      <c r="B77" s="116"/>
      <c r="C77" s="51" t="s">
        <v>13</v>
      </c>
      <c r="D77" s="1">
        <f>E77+F77+G77+H77+I77+J77</f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15.6" x14ac:dyDescent="0.25">
      <c r="A78" s="91" t="s">
        <v>101</v>
      </c>
      <c r="B78" s="120" t="s">
        <v>69</v>
      </c>
      <c r="C78" s="51" t="s">
        <v>7</v>
      </c>
      <c r="D78" s="1">
        <f t="shared" ref="D78:I78" si="39">D79+D80+D81+D83</f>
        <v>79.5</v>
      </c>
      <c r="E78" s="1">
        <f t="shared" si="39"/>
        <v>79.5</v>
      </c>
      <c r="F78" s="1">
        <f t="shared" si="39"/>
        <v>0</v>
      </c>
      <c r="G78" s="1">
        <f t="shared" si="39"/>
        <v>0</v>
      </c>
      <c r="H78" s="1">
        <f t="shared" si="39"/>
        <v>0</v>
      </c>
      <c r="I78" s="1">
        <f t="shared" si="39"/>
        <v>0</v>
      </c>
      <c r="J78" s="1">
        <f t="shared" ref="J78:O78" si="40">J79+J80+J81+J83</f>
        <v>0</v>
      </c>
      <c r="K78" s="1">
        <f t="shared" si="40"/>
        <v>0</v>
      </c>
      <c r="L78" s="1">
        <f t="shared" si="40"/>
        <v>0</v>
      </c>
      <c r="M78" s="1">
        <f t="shared" si="40"/>
        <v>0</v>
      </c>
      <c r="N78" s="1">
        <f t="shared" si="40"/>
        <v>0</v>
      </c>
      <c r="O78" s="1">
        <f t="shared" si="40"/>
        <v>0</v>
      </c>
    </row>
    <row r="79" spans="1:15" ht="18.75" customHeight="1" x14ac:dyDescent="0.25">
      <c r="A79" s="91"/>
      <c r="B79" s="121"/>
      <c r="C79" s="51" t="s">
        <v>10</v>
      </c>
      <c r="D79" s="1">
        <f>E79+F79+G79+H79+I79+J79</f>
        <v>0</v>
      </c>
      <c r="E79" s="1">
        <f>F79+G79+H79+I79+J79</f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6.5" customHeight="1" x14ac:dyDescent="0.25">
      <c r="A80" s="91"/>
      <c r="B80" s="121"/>
      <c r="C80" s="51" t="s">
        <v>11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31.2" x14ac:dyDescent="0.25">
      <c r="A81" s="91"/>
      <c r="B81" s="121"/>
      <c r="C81" s="51" t="s">
        <v>66</v>
      </c>
      <c r="D81" s="1">
        <f>E81+F81+G81+H81+I81+J81</f>
        <v>79.5</v>
      </c>
      <c r="E81" s="1">
        <v>79.5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30.75" customHeight="1" x14ac:dyDescent="0.25">
      <c r="A82" s="91"/>
      <c r="B82" s="121"/>
      <c r="C82" s="70" t="s">
        <v>80</v>
      </c>
      <c r="D82" s="71">
        <f>E82</f>
        <v>79.5</v>
      </c>
      <c r="E82" s="71">
        <v>79.5</v>
      </c>
      <c r="F82" s="71">
        <v>0</v>
      </c>
      <c r="G82" s="71">
        <v>0</v>
      </c>
      <c r="H82" s="71">
        <v>0</v>
      </c>
      <c r="I82" s="71">
        <v>0</v>
      </c>
      <c r="J82" s="71">
        <v>0</v>
      </c>
      <c r="K82" s="1">
        <v>0</v>
      </c>
      <c r="L82" s="71">
        <v>0</v>
      </c>
      <c r="M82" s="71">
        <v>0</v>
      </c>
      <c r="N82" s="71">
        <v>0</v>
      </c>
      <c r="O82" s="1">
        <v>0</v>
      </c>
    </row>
    <row r="83" spans="1:15" ht="19.5" customHeight="1" x14ac:dyDescent="0.25">
      <c r="A83" s="91"/>
      <c r="B83" s="122"/>
      <c r="C83" s="51" t="s">
        <v>13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15.6" x14ac:dyDescent="0.25">
      <c r="A84" s="91" t="s">
        <v>102</v>
      </c>
      <c r="B84" s="116" t="s">
        <v>71</v>
      </c>
      <c r="C84" s="51" t="s">
        <v>7</v>
      </c>
      <c r="D84" s="1">
        <f t="shared" ref="D84:K84" si="41">D86+D87+D88+D90</f>
        <v>31.7</v>
      </c>
      <c r="E84" s="1">
        <f t="shared" si="41"/>
        <v>31.7</v>
      </c>
      <c r="F84" s="1">
        <f t="shared" si="41"/>
        <v>0</v>
      </c>
      <c r="G84" s="1">
        <f t="shared" si="41"/>
        <v>0</v>
      </c>
      <c r="H84" s="1">
        <f t="shared" si="41"/>
        <v>0</v>
      </c>
      <c r="I84" s="1">
        <f t="shared" si="41"/>
        <v>0</v>
      </c>
      <c r="J84" s="1">
        <f t="shared" si="41"/>
        <v>0</v>
      </c>
      <c r="K84" s="1">
        <f t="shared" si="41"/>
        <v>0</v>
      </c>
      <c r="L84" s="1">
        <f>L86+L87+L88+L90</f>
        <v>0</v>
      </c>
      <c r="M84" s="1">
        <f>M86+M87+M88+M90</f>
        <v>0</v>
      </c>
      <c r="N84" s="1">
        <f>N86+N87+N88+N90</f>
        <v>0</v>
      </c>
      <c r="O84" s="1">
        <f>O86+O87+O88+O90</f>
        <v>0</v>
      </c>
    </row>
    <row r="85" spans="1:15" ht="31.2" x14ac:dyDescent="0.25">
      <c r="A85" s="91"/>
      <c r="B85" s="116"/>
      <c r="C85" s="70" t="s">
        <v>80</v>
      </c>
      <c r="D85" s="71">
        <f>E85</f>
        <v>31.7</v>
      </c>
      <c r="E85" s="71">
        <f>E89</f>
        <v>31.7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</row>
    <row r="86" spans="1:15" ht="15.6" x14ac:dyDescent="0.25">
      <c r="A86" s="91"/>
      <c r="B86" s="116"/>
      <c r="C86" s="51" t="s">
        <v>10</v>
      </c>
      <c r="D86" s="1">
        <f>E86+F86+G86+H86+I86+J86</f>
        <v>0</v>
      </c>
      <c r="E86" s="1">
        <f>F86+G86+H86+I86+J86</f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6" x14ac:dyDescent="0.25">
      <c r="A87" s="91"/>
      <c r="B87" s="116"/>
      <c r="C87" s="51" t="s">
        <v>11</v>
      </c>
      <c r="D87" s="1">
        <f>E87+F87+G87+H87+I87+J87</f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ht="32.25" customHeight="1" x14ac:dyDescent="0.25">
      <c r="A88" s="91"/>
      <c r="B88" s="116"/>
      <c r="C88" s="51" t="s">
        <v>66</v>
      </c>
      <c r="D88" s="1">
        <f>E88+F88+G88+H88+I88+J88</f>
        <v>31.7</v>
      </c>
      <c r="E88" s="1">
        <v>31.7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31.5" customHeight="1" x14ac:dyDescent="0.25">
      <c r="A89" s="91"/>
      <c r="B89" s="116"/>
      <c r="C89" s="70" t="s">
        <v>80</v>
      </c>
      <c r="D89" s="71">
        <f>E89</f>
        <v>31.7</v>
      </c>
      <c r="E89" s="71">
        <v>31.7</v>
      </c>
      <c r="F89" s="71">
        <v>0</v>
      </c>
      <c r="G89" s="71">
        <v>0</v>
      </c>
      <c r="H89" s="71">
        <v>0</v>
      </c>
      <c r="I89" s="71">
        <v>0</v>
      </c>
      <c r="J89" s="71">
        <v>0</v>
      </c>
      <c r="K89" s="1">
        <v>0</v>
      </c>
      <c r="L89" s="71">
        <v>0</v>
      </c>
      <c r="M89" s="71">
        <v>0</v>
      </c>
      <c r="N89" s="71">
        <v>0</v>
      </c>
      <c r="O89" s="1">
        <v>0</v>
      </c>
    </row>
    <row r="90" spans="1:15" ht="18" customHeight="1" x14ac:dyDescent="0.25">
      <c r="A90" s="91"/>
      <c r="B90" s="116"/>
      <c r="C90" s="51" t="s">
        <v>13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15.6" x14ac:dyDescent="0.25">
      <c r="A91" s="91" t="s">
        <v>103</v>
      </c>
      <c r="B91" s="91" t="s">
        <v>209</v>
      </c>
      <c r="C91" s="51" t="s">
        <v>7</v>
      </c>
      <c r="D91" s="1">
        <f t="shared" ref="D91:K91" si="42">D92+D93+D94+D96</f>
        <v>7.8</v>
      </c>
      <c r="E91" s="1">
        <f t="shared" si="42"/>
        <v>7.8</v>
      </c>
      <c r="F91" s="1">
        <f t="shared" si="42"/>
        <v>0</v>
      </c>
      <c r="G91" s="1">
        <f t="shared" si="42"/>
        <v>0</v>
      </c>
      <c r="H91" s="1">
        <f t="shared" si="42"/>
        <v>0</v>
      </c>
      <c r="I91" s="1">
        <f t="shared" si="42"/>
        <v>0</v>
      </c>
      <c r="J91" s="1">
        <f t="shared" si="42"/>
        <v>0</v>
      </c>
      <c r="K91" s="1">
        <f t="shared" si="42"/>
        <v>0</v>
      </c>
      <c r="L91" s="1">
        <f>L93+L94+L95+L97</f>
        <v>0</v>
      </c>
      <c r="M91" s="1">
        <f>M93+M94+M95+M97</f>
        <v>0</v>
      </c>
      <c r="N91" s="1">
        <f>N93+N94+N95+N97</f>
        <v>0</v>
      </c>
      <c r="O91" s="1">
        <f>O93+O94+O95+O97</f>
        <v>0</v>
      </c>
    </row>
    <row r="92" spans="1:15" ht="15.6" x14ac:dyDescent="0.25">
      <c r="A92" s="91"/>
      <c r="B92" s="91"/>
      <c r="C92" s="51" t="s">
        <v>10</v>
      </c>
      <c r="D92" s="1">
        <f>E92+F92+G92+H92+I92+J92</f>
        <v>0</v>
      </c>
      <c r="E92" s="1">
        <f>F92+G92+H92+I92+J92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71">
        <v>0</v>
      </c>
      <c r="M92" s="71">
        <v>0</v>
      </c>
      <c r="N92" s="71">
        <v>0</v>
      </c>
      <c r="O92" s="71">
        <v>0</v>
      </c>
    </row>
    <row r="93" spans="1:15" ht="18" customHeight="1" x14ac:dyDescent="0.25">
      <c r="A93" s="91"/>
      <c r="B93" s="91"/>
      <c r="C93" s="51" t="s">
        <v>11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31.2" x14ac:dyDescent="0.25">
      <c r="A94" s="91"/>
      <c r="B94" s="91"/>
      <c r="C94" s="51" t="s">
        <v>66</v>
      </c>
      <c r="D94" s="1">
        <f>E94+F94+G94+H94+I94+J94</f>
        <v>7.8</v>
      </c>
      <c r="E94" s="1">
        <v>7.8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ht="31.5" customHeight="1" x14ac:dyDescent="0.25">
      <c r="A95" s="91"/>
      <c r="B95" s="91"/>
      <c r="C95" s="70" t="s">
        <v>80</v>
      </c>
      <c r="D95" s="71">
        <f>E95</f>
        <v>7.8</v>
      </c>
      <c r="E95" s="71">
        <v>7.8</v>
      </c>
      <c r="F95" s="71">
        <v>0</v>
      </c>
      <c r="G95" s="71">
        <v>0</v>
      </c>
      <c r="H95" s="71">
        <v>0</v>
      </c>
      <c r="I95" s="71">
        <v>0</v>
      </c>
      <c r="J95" s="7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18" customHeight="1" x14ac:dyDescent="0.25">
      <c r="A96" s="91"/>
      <c r="B96" s="91"/>
      <c r="C96" s="51" t="s">
        <v>13</v>
      </c>
      <c r="D96" s="1">
        <f t="shared" ref="D96:D104" si="43"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71">
        <v>0</v>
      </c>
      <c r="M96" s="71">
        <v>0</v>
      </c>
      <c r="N96" s="71">
        <v>0</v>
      </c>
      <c r="O96" s="1">
        <v>0</v>
      </c>
    </row>
    <row r="97" spans="1:15" ht="15.6" x14ac:dyDescent="0.25">
      <c r="A97" s="91" t="s">
        <v>104</v>
      </c>
      <c r="B97" s="116" t="s">
        <v>235</v>
      </c>
      <c r="C97" s="51" t="s">
        <v>7</v>
      </c>
      <c r="D97" s="1">
        <f t="shared" si="43"/>
        <v>12272.3</v>
      </c>
      <c r="E97" s="1">
        <f t="shared" ref="E97:K97" si="44">E98+E99+E101+E102</f>
        <v>12243.8</v>
      </c>
      <c r="F97" s="1">
        <f t="shared" si="44"/>
        <v>17.5</v>
      </c>
      <c r="G97" s="1">
        <f t="shared" si="44"/>
        <v>11</v>
      </c>
      <c r="H97" s="1">
        <f t="shared" si="44"/>
        <v>0</v>
      </c>
      <c r="I97" s="1">
        <f t="shared" si="44"/>
        <v>0</v>
      </c>
      <c r="J97" s="1">
        <f t="shared" si="44"/>
        <v>0</v>
      </c>
      <c r="K97" s="1">
        <f t="shared" si="44"/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5.6" x14ac:dyDescent="0.25">
      <c r="A98" s="92"/>
      <c r="B98" s="116"/>
      <c r="C98" s="51" t="s">
        <v>10</v>
      </c>
      <c r="D98" s="1">
        <f t="shared" si="43"/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31.2" x14ac:dyDescent="0.25">
      <c r="A99" s="92"/>
      <c r="B99" s="116"/>
      <c r="C99" s="51" t="s">
        <v>70</v>
      </c>
      <c r="D99" s="1">
        <f t="shared" si="43"/>
        <v>9842.7999999999993</v>
      </c>
      <c r="E99" s="1">
        <v>9842.7999999999993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31.5" customHeight="1" x14ac:dyDescent="0.25">
      <c r="A100" s="92"/>
      <c r="B100" s="116"/>
      <c r="C100" s="70" t="s">
        <v>82</v>
      </c>
      <c r="D100" s="71">
        <f t="shared" si="43"/>
        <v>9842.7999999999993</v>
      </c>
      <c r="E100" s="71">
        <v>9842.7999999999993</v>
      </c>
      <c r="F100" s="71">
        <v>0</v>
      </c>
      <c r="G100" s="71">
        <v>0</v>
      </c>
      <c r="H100" s="71">
        <v>0</v>
      </c>
      <c r="I100" s="71">
        <v>0</v>
      </c>
      <c r="J100" s="71">
        <v>0</v>
      </c>
      <c r="K100" s="1">
        <v>0</v>
      </c>
      <c r="L100" s="71">
        <v>0</v>
      </c>
      <c r="M100" s="71">
        <v>0</v>
      </c>
      <c r="N100" s="71">
        <v>0</v>
      </c>
      <c r="O100" s="1">
        <v>0</v>
      </c>
    </row>
    <row r="101" spans="1:15" ht="16.5" customHeight="1" x14ac:dyDescent="0.25">
      <c r="A101" s="92"/>
      <c r="B101" s="116"/>
      <c r="C101" s="51" t="s">
        <v>12</v>
      </c>
      <c r="D101" s="1">
        <f t="shared" si="43"/>
        <v>2429.5</v>
      </c>
      <c r="E101" s="1">
        <v>2401</v>
      </c>
      <c r="F101" s="1">
        <v>17.5</v>
      </c>
      <c r="G101" s="1">
        <v>11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18.75" customHeight="1" x14ac:dyDescent="0.25">
      <c r="A102" s="92"/>
      <c r="B102" s="116"/>
      <c r="C102" s="51" t="s">
        <v>13</v>
      </c>
      <c r="D102" s="1">
        <f t="shared" si="43"/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15.6" x14ac:dyDescent="0.25">
      <c r="A103" s="89" t="s">
        <v>105</v>
      </c>
      <c r="B103" s="120" t="s">
        <v>140</v>
      </c>
      <c r="C103" s="51" t="s">
        <v>7</v>
      </c>
      <c r="D103" s="1">
        <f t="shared" si="43"/>
        <v>1053.9000000000001</v>
      </c>
      <c r="E103" s="1">
        <f>E106+E105+E107+E109</f>
        <v>1053.9000000000001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35.25" customHeight="1" x14ac:dyDescent="0.25">
      <c r="A104" s="104"/>
      <c r="B104" s="121"/>
      <c r="C104" s="70" t="s">
        <v>80</v>
      </c>
      <c r="D104" s="71">
        <f t="shared" si="43"/>
        <v>1053.9000000000001</v>
      </c>
      <c r="E104" s="71">
        <f>E108</f>
        <v>1053.9000000000001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</row>
    <row r="105" spans="1:15" ht="15.6" x14ac:dyDescent="0.25">
      <c r="A105" s="127"/>
      <c r="B105" s="121"/>
      <c r="C105" s="51" t="s">
        <v>10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6" x14ac:dyDescent="0.25">
      <c r="A106" s="127"/>
      <c r="B106" s="121"/>
      <c r="C106" s="51" t="s">
        <v>11</v>
      </c>
      <c r="D106" s="71">
        <f>E106+F106+G106+H106+I106+J106</f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1.2" x14ac:dyDescent="0.25">
      <c r="A107" s="127"/>
      <c r="B107" s="121"/>
      <c r="C107" s="51" t="s">
        <v>66</v>
      </c>
      <c r="D107" s="1">
        <f>E107+F107+G107+H107+I107+J107</f>
        <v>1053.9000000000001</v>
      </c>
      <c r="E107" s="1">
        <f>E108</f>
        <v>1053.9000000000001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31.5" customHeight="1" x14ac:dyDescent="0.25">
      <c r="A108" s="127"/>
      <c r="B108" s="121"/>
      <c r="C108" s="70" t="s">
        <v>80</v>
      </c>
      <c r="D108" s="71">
        <f>E108+F108+G108+H108+I108+J108</f>
        <v>1053.9000000000001</v>
      </c>
      <c r="E108" s="71">
        <v>1053.9000000000001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1">
        <v>0</v>
      </c>
      <c r="L108" s="71">
        <v>0</v>
      </c>
      <c r="M108" s="71">
        <v>0</v>
      </c>
      <c r="N108" s="71">
        <v>0</v>
      </c>
      <c r="O108" s="1">
        <v>0</v>
      </c>
    </row>
    <row r="109" spans="1:15" ht="18" customHeight="1" x14ac:dyDescent="0.25">
      <c r="A109" s="128"/>
      <c r="B109" s="122"/>
      <c r="C109" s="51" t="s">
        <v>13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15.6" x14ac:dyDescent="0.25">
      <c r="A110" s="91" t="s">
        <v>106</v>
      </c>
      <c r="B110" s="89" t="s">
        <v>73</v>
      </c>
      <c r="C110" s="51" t="s">
        <v>7</v>
      </c>
      <c r="D110" s="1">
        <f>E110+F110+G110+H110+I110+J110</f>
        <v>92.2</v>
      </c>
      <c r="E110" s="1">
        <f t="shared" ref="E110:O110" si="45">E111</f>
        <v>92.2</v>
      </c>
      <c r="F110" s="1">
        <f t="shared" si="45"/>
        <v>0</v>
      </c>
      <c r="G110" s="1">
        <f t="shared" si="45"/>
        <v>0</v>
      </c>
      <c r="H110" s="1">
        <f t="shared" si="45"/>
        <v>0</v>
      </c>
      <c r="I110" s="1">
        <f t="shared" si="45"/>
        <v>0</v>
      </c>
      <c r="J110" s="1">
        <f t="shared" si="45"/>
        <v>0</v>
      </c>
      <c r="K110" s="1">
        <f t="shared" si="45"/>
        <v>0</v>
      </c>
      <c r="L110" s="1">
        <f t="shared" si="45"/>
        <v>0</v>
      </c>
      <c r="M110" s="1">
        <f t="shared" si="45"/>
        <v>0</v>
      </c>
      <c r="N110" s="1">
        <f t="shared" si="45"/>
        <v>0</v>
      </c>
      <c r="O110" s="1">
        <f t="shared" si="45"/>
        <v>0</v>
      </c>
    </row>
    <row r="111" spans="1:15" ht="31.5" customHeight="1" x14ac:dyDescent="0.25">
      <c r="A111" s="91"/>
      <c r="B111" s="104"/>
      <c r="C111" s="70" t="s">
        <v>80</v>
      </c>
      <c r="D111" s="71">
        <f>E111+F111+G111+H111+I111+J111</f>
        <v>92.2</v>
      </c>
      <c r="E111" s="71">
        <f t="shared" ref="E111:K111" si="46">E115</f>
        <v>92.2</v>
      </c>
      <c r="F111" s="71">
        <f t="shared" si="46"/>
        <v>0</v>
      </c>
      <c r="G111" s="71">
        <f t="shared" si="46"/>
        <v>0</v>
      </c>
      <c r="H111" s="71">
        <f t="shared" si="46"/>
        <v>0</v>
      </c>
      <c r="I111" s="71">
        <f t="shared" si="46"/>
        <v>0</v>
      </c>
      <c r="J111" s="71">
        <f t="shared" si="46"/>
        <v>0</v>
      </c>
      <c r="K111" s="71">
        <f t="shared" si="46"/>
        <v>0</v>
      </c>
      <c r="L111" s="71">
        <f>L115</f>
        <v>0</v>
      </c>
      <c r="M111" s="71">
        <f>M115</f>
        <v>0</v>
      </c>
      <c r="N111" s="71">
        <f>N115</f>
        <v>0</v>
      </c>
      <c r="O111" s="71">
        <f>O115</f>
        <v>0</v>
      </c>
    </row>
    <row r="112" spans="1:15" ht="15.6" x14ac:dyDescent="0.25">
      <c r="A112" s="92"/>
      <c r="B112" s="104"/>
      <c r="C112" s="51" t="s">
        <v>10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6" x14ac:dyDescent="0.25">
      <c r="A113" s="92"/>
      <c r="B113" s="104"/>
      <c r="C113" s="51" t="s">
        <v>11</v>
      </c>
      <c r="D113" s="1">
        <f>E113+F113+G113+H113+I113+J113</f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ht="31.2" x14ac:dyDescent="0.25">
      <c r="A114" s="92"/>
      <c r="B114" s="104"/>
      <c r="C114" s="51" t="s">
        <v>66</v>
      </c>
      <c r="D114" s="1">
        <f>E114+F114+G114+H114+I114+J114</f>
        <v>92.2</v>
      </c>
      <c r="E114" s="1">
        <f>E115</f>
        <v>92.2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31.5" customHeight="1" x14ac:dyDescent="0.25">
      <c r="A115" s="92"/>
      <c r="B115" s="104"/>
      <c r="C115" s="70" t="s">
        <v>80</v>
      </c>
      <c r="D115" s="71">
        <f>E115</f>
        <v>92.2</v>
      </c>
      <c r="E115" s="71">
        <v>92.2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1">
        <v>0</v>
      </c>
      <c r="L115" s="71">
        <v>0</v>
      </c>
      <c r="M115" s="71">
        <v>0</v>
      </c>
      <c r="N115" s="71">
        <v>0</v>
      </c>
      <c r="O115" s="1">
        <v>0</v>
      </c>
    </row>
    <row r="116" spans="1:15" ht="18.75" customHeight="1" x14ac:dyDescent="0.25">
      <c r="A116" s="92"/>
      <c r="B116" s="90"/>
      <c r="C116" s="51" t="s">
        <v>13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15.6" x14ac:dyDescent="0.25">
      <c r="A117" s="91" t="s">
        <v>107</v>
      </c>
      <c r="B117" s="91" t="s">
        <v>78</v>
      </c>
      <c r="C117" s="51" t="s">
        <v>7</v>
      </c>
      <c r="D117" s="1">
        <f>E117+F117+G117+H117+I117+J117</f>
        <v>1186.7</v>
      </c>
      <c r="E117" s="1">
        <f t="shared" ref="E117:O117" si="47">E118</f>
        <v>1186.7</v>
      </c>
      <c r="F117" s="1">
        <f t="shared" si="47"/>
        <v>0</v>
      </c>
      <c r="G117" s="1">
        <f t="shared" si="47"/>
        <v>0</v>
      </c>
      <c r="H117" s="1">
        <f t="shared" si="47"/>
        <v>0</v>
      </c>
      <c r="I117" s="1">
        <f t="shared" si="47"/>
        <v>0</v>
      </c>
      <c r="J117" s="1">
        <f t="shared" si="47"/>
        <v>0</v>
      </c>
      <c r="K117" s="1">
        <f t="shared" si="47"/>
        <v>0</v>
      </c>
      <c r="L117" s="1">
        <f t="shared" si="47"/>
        <v>0</v>
      </c>
      <c r="M117" s="1">
        <f t="shared" si="47"/>
        <v>0</v>
      </c>
      <c r="N117" s="1">
        <f t="shared" si="47"/>
        <v>0</v>
      </c>
      <c r="O117" s="1">
        <f t="shared" si="47"/>
        <v>0</v>
      </c>
    </row>
    <row r="118" spans="1:15" ht="31.2" x14ac:dyDescent="0.25">
      <c r="A118" s="91"/>
      <c r="B118" s="91"/>
      <c r="C118" s="70" t="s">
        <v>80</v>
      </c>
      <c r="D118" s="71">
        <f>E118+F118+G118+H118+I118+J118</f>
        <v>1186.7</v>
      </c>
      <c r="E118" s="71">
        <f t="shared" ref="E118:K118" si="48">E121+E123</f>
        <v>1186.7</v>
      </c>
      <c r="F118" s="71">
        <f t="shared" si="48"/>
        <v>0</v>
      </c>
      <c r="G118" s="71">
        <f t="shared" si="48"/>
        <v>0</v>
      </c>
      <c r="H118" s="71">
        <f t="shared" si="48"/>
        <v>0</v>
      </c>
      <c r="I118" s="71">
        <f t="shared" si="48"/>
        <v>0</v>
      </c>
      <c r="J118" s="71">
        <f t="shared" si="48"/>
        <v>0</v>
      </c>
      <c r="K118" s="71">
        <f t="shared" si="48"/>
        <v>0</v>
      </c>
      <c r="L118" s="71">
        <f>L121+L123</f>
        <v>0</v>
      </c>
      <c r="M118" s="71">
        <f>M121+M123</f>
        <v>0</v>
      </c>
      <c r="N118" s="71">
        <f>N121+N123</f>
        <v>0</v>
      </c>
      <c r="O118" s="71">
        <f>O121+O123</f>
        <v>0</v>
      </c>
    </row>
    <row r="119" spans="1:15" ht="15.6" x14ac:dyDescent="0.25">
      <c r="A119" s="92"/>
      <c r="B119" s="91"/>
      <c r="C119" s="51" t="s">
        <v>10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31.2" x14ac:dyDescent="0.25">
      <c r="A120" s="92"/>
      <c r="B120" s="91"/>
      <c r="C120" s="51" t="s">
        <v>70</v>
      </c>
      <c r="D120" s="1">
        <f>E120+F120+G120+H120+I120+J120</f>
        <v>619.70000000000005</v>
      </c>
      <c r="E120" s="1">
        <f t="shared" ref="E120:N120" si="49">E121</f>
        <v>619.70000000000005</v>
      </c>
      <c r="F120" s="1">
        <f t="shared" si="49"/>
        <v>0</v>
      </c>
      <c r="G120" s="1">
        <f t="shared" si="49"/>
        <v>0</v>
      </c>
      <c r="H120" s="1">
        <f t="shared" si="49"/>
        <v>0</v>
      </c>
      <c r="I120" s="1">
        <f t="shared" si="49"/>
        <v>0</v>
      </c>
      <c r="J120" s="1">
        <f t="shared" si="49"/>
        <v>0</v>
      </c>
      <c r="K120" s="1">
        <v>0</v>
      </c>
      <c r="L120" s="1">
        <f t="shared" si="49"/>
        <v>0</v>
      </c>
      <c r="M120" s="1">
        <f t="shared" si="49"/>
        <v>0</v>
      </c>
      <c r="N120" s="1">
        <f t="shared" si="49"/>
        <v>0</v>
      </c>
      <c r="O120" s="1">
        <v>0</v>
      </c>
    </row>
    <row r="121" spans="1:15" ht="31.2" x14ac:dyDescent="0.25">
      <c r="A121" s="92"/>
      <c r="B121" s="91"/>
      <c r="C121" s="70" t="s">
        <v>80</v>
      </c>
      <c r="D121" s="71">
        <f>E121+F121+G121+H121+I121+J121</f>
        <v>619.70000000000005</v>
      </c>
      <c r="E121" s="71">
        <v>619.70000000000005</v>
      </c>
      <c r="F121" s="71">
        <v>0</v>
      </c>
      <c r="G121" s="71">
        <v>0</v>
      </c>
      <c r="H121" s="71">
        <v>0</v>
      </c>
      <c r="I121" s="71">
        <v>0</v>
      </c>
      <c r="J121" s="71">
        <v>0</v>
      </c>
      <c r="K121" s="1">
        <v>0</v>
      </c>
      <c r="L121" s="71">
        <v>0</v>
      </c>
      <c r="M121" s="71">
        <v>0</v>
      </c>
      <c r="N121" s="71">
        <v>0</v>
      </c>
      <c r="O121" s="1">
        <v>0</v>
      </c>
    </row>
    <row r="122" spans="1:15" ht="31.2" x14ac:dyDescent="0.25">
      <c r="A122" s="92"/>
      <c r="B122" s="91"/>
      <c r="C122" s="51" t="s">
        <v>66</v>
      </c>
      <c r="D122" s="1">
        <f>E122+F122+G122+H122+I122+J122</f>
        <v>567</v>
      </c>
      <c r="E122" s="1">
        <v>567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2" x14ac:dyDescent="0.25">
      <c r="A123" s="92"/>
      <c r="B123" s="91"/>
      <c r="C123" s="70" t="s">
        <v>80</v>
      </c>
      <c r="D123" s="71">
        <f>E123</f>
        <v>567</v>
      </c>
      <c r="E123" s="71">
        <v>567</v>
      </c>
      <c r="F123" s="71">
        <v>0</v>
      </c>
      <c r="G123" s="71">
        <v>0</v>
      </c>
      <c r="H123" s="71">
        <v>0</v>
      </c>
      <c r="I123" s="71">
        <v>0</v>
      </c>
      <c r="J123" s="71">
        <v>0</v>
      </c>
      <c r="K123" s="1">
        <v>0</v>
      </c>
      <c r="L123" s="71">
        <v>0</v>
      </c>
      <c r="M123" s="71">
        <v>0</v>
      </c>
      <c r="N123" s="71">
        <v>0</v>
      </c>
      <c r="O123" s="1">
        <v>0</v>
      </c>
    </row>
    <row r="124" spans="1:15" ht="18" customHeight="1" x14ac:dyDescent="0.25">
      <c r="A124" s="92"/>
      <c r="B124" s="91"/>
      <c r="C124" s="51" t="s">
        <v>13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15.6" x14ac:dyDescent="0.25">
      <c r="A125" s="89" t="s">
        <v>108</v>
      </c>
      <c r="B125" s="116" t="s">
        <v>141</v>
      </c>
      <c r="C125" s="51" t="s">
        <v>7</v>
      </c>
      <c r="D125" s="1">
        <f>E125+F125+G125+H125+I125+J125</f>
        <v>25000</v>
      </c>
      <c r="E125" s="1">
        <f>E127+E128+E131+E133</f>
        <v>25000</v>
      </c>
      <c r="F125" s="1">
        <f t="shared" ref="F125:K125" si="50">F127+F128+F131+F133</f>
        <v>0</v>
      </c>
      <c r="G125" s="1">
        <f t="shared" si="50"/>
        <v>0</v>
      </c>
      <c r="H125" s="1">
        <f t="shared" si="50"/>
        <v>0</v>
      </c>
      <c r="I125" s="1">
        <f t="shared" si="50"/>
        <v>0</v>
      </c>
      <c r="J125" s="1">
        <f t="shared" si="50"/>
        <v>0</v>
      </c>
      <c r="K125" s="1">
        <f t="shared" si="50"/>
        <v>0</v>
      </c>
      <c r="L125" s="1">
        <f>L127+L128+L131+L133</f>
        <v>0</v>
      </c>
      <c r="M125" s="1">
        <f>M127+M128+M131+M133</f>
        <v>0</v>
      </c>
      <c r="N125" s="1">
        <f>N127+N128+N131+N133</f>
        <v>0</v>
      </c>
      <c r="O125" s="1">
        <f>O127+O128+O131+O133</f>
        <v>0</v>
      </c>
    </row>
    <row r="126" spans="1:15" ht="31.2" x14ac:dyDescent="0.25">
      <c r="A126" s="104"/>
      <c r="B126" s="116"/>
      <c r="C126" s="70" t="s">
        <v>80</v>
      </c>
      <c r="D126" s="71">
        <f>E126+F126+G126+H126+I126+J126</f>
        <v>15579.7</v>
      </c>
      <c r="E126" s="71">
        <f>E130+E132</f>
        <v>15579.7</v>
      </c>
      <c r="F126" s="71">
        <f t="shared" ref="F126:K126" si="51">F130+F132</f>
        <v>0</v>
      </c>
      <c r="G126" s="71">
        <f t="shared" si="51"/>
        <v>0</v>
      </c>
      <c r="H126" s="71">
        <f t="shared" si="51"/>
        <v>0</v>
      </c>
      <c r="I126" s="71">
        <f t="shared" si="51"/>
        <v>0</v>
      </c>
      <c r="J126" s="71">
        <f t="shared" si="51"/>
        <v>0</v>
      </c>
      <c r="K126" s="71">
        <f t="shared" si="51"/>
        <v>0</v>
      </c>
      <c r="L126" s="71">
        <f>L130+L132</f>
        <v>0</v>
      </c>
      <c r="M126" s="71">
        <f>M130+M132</f>
        <v>0</v>
      </c>
      <c r="N126" s="71">
        <f>N130+N132</f>
        <v>0</v>
      </c>
      <c r="O126" s="71">
        <f>O130+O132</f>
        <v>0</v>
      </c>
    </row>
    <row r="127" spans="1:15" ht="15.6" x14ac:dyDescent="0.25">
      <c r="A127" s="127"/>
      <c r="B127" s="116"/>
      <c r="C127" s="51" t="s">
        <v>10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31.2" x14ac:dyDescent="0.25">
      <c r="A128" s="127"/>
      <c r="B128" s="116"/>
      <c r="C128" s="51" t="s">
        <v>70</v>
      </c>
      <c r="D128" s="1">
        <f>E128+F128+G128+H128+I128+J128</f>
        <v>23141.4</v>
      </c>
      <c r="E128" s="1">
        <f>E130+8045.7</f>
        <v>23141.4</v>
      </c>
      <c r="F128" s="1">
        <f>F130</f>
        <v>0</v>
      </c>
      <c r="G128" s="1">
        <f>G130</f>
        <v>0</v>
      </c>
      <c r="H128" s="1">
        <f>H130</f>
        <v>0</v>
      </c>
      <c r="I128" s="1">
        <f>I130</f>
        <v>0</v>
      </c>
      <c r="J128" s="1">
        <f>J130</f>
        <v>0</v>
      </c>
      <c r="K128" s="1">
        <v>0</v>
      </c>
      <c r="L128" s="1">
        <f>L130</f>
        <v>0</v>
      </c>
      <c r="M128" s="1">
        <f>M130</f>
        <v>0</v>
      </c>
      <c r="N128" s="1">
        <f>N130</f>
        <v>0</v>
      </c>
      <c r="O128" s="1">
        <v>0</v>
      </c>
    </row>
    <row r="129" spans="1:15" ht="31.2" x14ac:dyDescent="0.25">
      <c r="A129" s="127"/>
      <c r="B129" s="116"/>
      <c r="C129" s="70" t="s">
        <v>82</v>
      </c>
      <c r="D129" s="71">
        <f>E129+F129+G129+H129+I129+J129</f>
        <v>8045.7</v>
      </c>
      <c r="E129" s="71">
        <v>8045.7</v>
      </c>
      <c r="F129" s="71">
        <v>0</v>
      </c>
      <c r="G129" s="71">
        <v>0</v>
      </c>
      <c r="H129" s="71">
        <v>0</v>
      </c>
      <c r="I129" s="71">
        <v>0</v>
      </c>
      <c r="J129" s="71">
        <v>0</v>
      </c>
      <c r="K129" s="1">
        <v>0</v>
      </c>
      <c r="L129" s="71">
        <v>0</v>
      </c>
      <c r="M129" s="71">
        <v>0</v>
      </c>
      <c r="N129" s="71">
        <v>0</v>
      </c>
      <c r="O129" s="1">
        <v>0</v>
      </c>
    </row>
    <row r="130" spans="1:15" ht="32.25" customHeight="1" x14ac:dyDescent="0.25">
      <c r="A130" s="127"/>
      <c r="B130" s="116"/>
      <c r="C130" s="70" t="s">
        <v>80</v>
      </c>
      <c r="D130" s="71">
        <f>E130+F130+G130+H130+I130+J130</f>
        <v>15095.7</v>
      </c>
      <c r="E130" s="71">
        <v>15095.7</v>
      </c>
      <c r="F130" s="71">
        <v>0</v>
      </c>
      <c r="G130" s="71">
        <v>0</v>
      </c>
      <c r="H130" s="71">
        <v>0</v>
      </c>
      <c r="I130" s="71">
        <v>0</v>
      </c>
      <c r="J130" s="71">
        <v>0</v>
      </c>
      <c r="K130" s="1">
        <v>0</v>
      </c>
      <c r="L130" s="71">
        <v>0</v>
      </c>
      <c r="M130" s="71">
        <v>0</v>
      </c>
      <c r="N130" s="71">
        <v>0</v>
      </c>
      <c r="O130" s="1">
        <v>0</v>
      </c>
    </row>
    <row r="131" spans="1:15" ht="31.2" x14ac:dyDescent="0.25">
      <c r="A131" s="127"/>
      <c r="B131" s="116"/>
      <c r="C131" s="51" t="s">
        <v>66</v>
      </c>
      <c r="D131" s="1">
        <f>E131+F131+G131+H131+I131+J131</f>
        <v>1858.6</v>
      </c>
      <c r="E131" s="1">
        <f>484+1374.6</f>
        <v>1858.6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ht="31.2" x14ac:dyDescent="0.25">
      <c r="A132" s="127"/>
      <c r="B132" s="116"/>
      <c r="C132" s="70" t="s">
        <v>80</v>
      </c>
      <c r="D132" s="71">
        <f>E132</f>
        <v>484</v>
      </c>
      <c r="E132" s="71">
        <v>484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1">
        <v>0</v>
      </c>
      <c r="L132" s="71">
        <v>0</v>
      </c>
      <c r="M132" s="71">
        <v>0</v>
      </c>
      <c r="N132" s="71">
        <v>0</v>
      </c>
      <c r="O132" s="1">
        <v>0</v>
      </c>
    </row>
    <row r="133" spans="1:15" ht="15.6" x14ac:dyDescent="0.25">
      <c r="A133" s="128"/>
      <c r="B133" s="116"/>
      <c r="C133" s="51" t="s">
        <v>13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15.6" x14ac:dyDescent="0.25">
      <c r="A134" s="91" t="s">
        <v>109</v>
      </c>
      <c r="B134" s="116" t="s">
        <v>75</v>
      </c>
      <c r="C134" s="51" t="s">
        <v>7</v>
      </c>
      <c r="D134" s="1">
        <f>E134+F134+G134+H134+I134+J134</f>
        <v>155</v>
      </c>
      <c r="E134" s="1">
        <f>E136+E137+E138+E140</f>
        <v>155</v>
      </c>
      <c r="F134" s="1">
        <f t="shared" ref="F134:K134" si="52">F136+F137+F138+F140</f>
        <v>0</v>
      </c>
      <c r="G134" s="1">
        <f t="shared" si="52"/>
        <v>0</v>
      </c>
      <c r="H134" s="1">
        <f t="shared" si="52"/>
        <v>0</v>
      </c>
      <c r="I134" s="1">
        <f t="shared" si="52"/>
        <v>0</v>
      </c>
      <c r="J134" s="1">
        <f t="shared" si="52"/>
        <v>0</v>
      </c>
      <c r="K134" s="1">
        <f t="shared" si="52"/>
        <v>0</v>
      </c>
      <c r="L134" s="1">
        <f>L136+L137+L138+L140</f>
        <v>0</v>
      </c>
      <c r="M134" s="1">
        <f>M136+M137+M138+M140</f>
        <v>0</v>
      </c>
      <c r="N134" s="1">
        <f>N136+N137+N138+N140</f>
        <v>0</v>
      </c>
      <c r="O134" s="1">
        <f>O136+O137+O138+O140</f>
        <v>0</v>
      </c>
    </row>
    <row r="135" spans="1:15" ht="31.2" x14ac:dyDescent="0.25">
      <c r="A135" s="91"/>
      <c r="B135" s="116"/>
      <c r="C135" s="70" t="s">
        <v>80</v>
      </c>
      <c r="D135" s="71">
        <f>E135+F135+G135+H135+I135+J135</f>
        <v>155</v>
      </c>
      <c r="E135" s="71">
        <f t="shared" ref="E135:K135" si="53">E139</f>
        <v>155</v>
      </c>
      <c r="F135" s="71">
        <f t="shared" si="53"/>
        <v>0</v>
      </c>
      <c r="G135" s="71">
        <f t="shared" si="53"/>
        <v>0</v>
      </c>
      <c r="H135" s="71">
        <f t="shared" si="53"/>
        <v>0</v>
      </c>
      <c r="I135" s="71">
        <f t="shared" si="53"/>
        <v>0</v>
      </c>
      <c r="J135" s="71">
        <f t="shared" si="53"/>
        <v>0</v>
      </c>
      <c r="K135" s="71">
        <f t="shared" si="53"/>
        <v>0</v>
      </c>
      <c r="L135" s="71">
        <f>L139</f>
        <v>0</v>
      </c>
      <c r="M135" s="71">
        <f>M139</f>
        <v>0</v>
      </c>
      <c r="N135" s="71">
        <f>N139</f>
        <v>0</v>
      </c>
      <c r="O135" s="71">
        <f>O139</f>
        <v>0</v>
      </c>
    </row>
    <row r="136" spans="1:15" ht="18" customHeight="1" x14ac:dyDescent="0.25">
      <c r="A136" s="92"/>
      <c r="B136" s="116"/>
      <c r="C136" s="51" t="s">
        <v>10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6" x14ac:dyDescent="0.25">
      <c r="A137" s="92"/>
      <c r="B137" s="116"/>
      <c r="C137" s="51" t="s">
        <v>11</v>
      </c>
      <c r="D137" s="1">
        <f>E137+F137+G137+H137+I137+J137</f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31.2" x14ac:dyDescent="0.25">
      <c r="A138" s="92"/>
      <c r="B138" s="116"/>
      <c r="C138" s="51" t="s">
        <v>66</v>
      </c>
      <c r="D138" s="1">
        <f>E138+F138+G138+H138+I138+J138</f>
        <v>155</v>
      </c>
      <c r="E138" s="1">
        <f>E139</f>
        <v>155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32.25" customHeight="1" x14ac:dyDescent="0.25">
      <c r="A139" s="92"/>
      <c r="B139" s="116"/>
      <c r="C139" s="70" t="s">
        <v>80</v>
      </c>
      <c r="D139" s="71">
        <f>E139</f>
        <v>155</v>
      </c>
      <c r="E139" s="71">
        <v>155</v>
      </c>
      <c r="F139" s="71">
        <v>0</v>
      </c>
      <c r="G139" s="71">
        <v>0</v>
      </c>
      <c r="H139" s="71">
        <v>0</v>
      </c>
      <c r="I139" s="71">
        <v>0</v>
      </c>
      <c r="J139" s="71">
        <v>0</v>
      </c>
      <c r="K139" s="1">
        <v>0</v>
      </c>
      <c r="L139" s="71">
        <v>0</v>
      </c>
      <c r="M139" s="71">
        <v>0</v>
      </c>
      <c r="N139" s="71">
        <v>0</v>
      </c>
      <c r="O139" s="1">
        <v>0</v>
      </c>
    </row>
    <row r="140" spans="1:15" ht="18" customHeight="1" x14ac:dyDescent="0.25">
      <c r="A140" s="92"/>
      <c r="B140" s="116"/>
      <c r="C140" s="51" t="s">
        <v>13</v>
      </c>
      <c r="D140" s="71">
        <f>E140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6" x14ac:dyDescent="0.25">
      <c r="A141" s="124" t="s">
        <v>110</v>
      </c>
      <c r="B141" s="123" t="s">
        <v>74</v>
      </c>
      <c r="C141" s="51" t="s">
        <v>7</v>
      </c>
      <c r="D141" s="1">
        <f>E141+F141+G141+H141+I141+J141</f>
        <v>9590.7999999999993</v>
      </c>
      <c r="E141" s="1">
        <f>E143+E144+E146+E148</f>
        <v>9590.7999999999993</v>
      </c>
      <c r="F141" s="1">
        <f t="shared" ref="F141:K141" si="54">F143+F144+F146+F148</f>
        <v>0</v>
      </c>
      <c r="G141" s="1">
        <f t="shared" si="54"/>
        <v>0</v>
      </c>
      <c r="H141" s="1">
        <f t="shared" si="54"/>
        <v>0</v>
      </c>
      <c r="I141" s="1">
        <f t="shared" si="54"/>
        <v>0</v>
      </c>
      <c r="J141" s="1">
        <f t="shared" si="54"/>
        <v>0</v>
      </c>
      <c r="K141" s="1">
        <f t="shared" si="54"/>
        <v>0</v>
      </c>
      <c r="L141" s="1">
        <f>L143+L144+L146+L148</f>
        <v>0</v>
      </c>
      <c r="M141" s="1">
        <f>M143+M144+M146+M148</f>
        <v>0</v>
      </c>
      <c r="N141" s="1">
        <f>N143+N144+N146+N148</f>
        <v>0</v>
      </c>
      <c r="O141" s="1">
        <f>O143+O144+O146+O148</f>
        <v>0</v>
      </c>
    </row>
    <row r="142" spans="1:15" ht="31.2" x14ac:dyDescent="0.25">
      <c r="A142" s="124"/>
      <c r="B142" s="123"/>
      <c r="C142" s="70" t="s">
        <v>80</v>
      </c>
      <c r="D142" s="71">
        <f>E142+F142+G142+H142+I142+J142</f>
        <v>9590.7999999999993</v>
      </c>
      <c r="E142" s="71">
        <f t="shared" ref="E142:K142" si="55">E145+E147</f>
        <v>9590.7999999999993</v>
      </c>
      <c r="F142" s="71">
        <f t="shared" si="55"/>
        <v>0</v>
      </c>
      <c r="G142" s="71">
        <f t="shared" si="55"/>
        <v>0</v>
      </c>
      <c r="H142" s="71">
        <f t="shared" si="55"/>
        <v>0</v>
      </c>
      <c r="I142" s="71">
        <f t="shared" si="55"/>
        <v>0</v>
      </c>
      <c r="J142" s="71">
        <f t="shared" si="55"/>
        <v>0</v>
      </c>
      <c r="K142" s="71">
        <f t="shared" si="55"/>
        <v>0</v>
      </c>
      <c r="L142" s="71">
        <f>L145+L147</f>
        <v>0</v>
      </c>
      <c r="M142" s="71">
        <f>M145+M147</f>
        <v>0</v>
      </c>
      <c r="N142" s="71">
        <f>N145+N147</f>
        <v>0</v>
      </c>
      <c r="O142" s="71">
        <f>O145+O147</f>
        <v>0</v>
      </c>
    </row>
    <row r="143" spans="1:15" ht="16.5" customHeight="1" x14ac:dyDescent="0.25">
      <c r="A143" s="125"/>
      <c r="B143" s="123"/>
      <c r="C143" s="51" t="s">
        <v>10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30.75" customHeight="1" x14ac:dyDescent="0.25">
      <c r="A144" s="125"/>
      <c r="B144" s="123"/>
      <c r="C144" s="51" t="s">
        <v>70</v>
      </c>
      <c r="D144" s="1">
        <f>E144+F144+G144+H144+I144+J144</f>
        <v>9111.2999999999993</v>
      </c>
      <c r="E144" s="1">
        <f t="shared" ref="E144:N144" si="56">E145</f>
        <v>9111.2999999999993</v>
      </c>
      <c r="F144" s="1">
        <f t="shared" si="56"/>
        <v>0</v>
      </c>
      <c r="G144" s="1">
        <f t="shared" si="56"/>
        <v>0</v>
      </c>
      <c r="H144" s="1">
        <f t="shared" si="56"/>
        <v>0</v>
      </c>
      <c r="I144" s="1">
        <f t="shared" si="56"/>
        <v>0</v>
      </c>
      <c r="J144" s="1">
        <f t="shared" si="56"/>
        <v>0</v>
      </c>
      <c r="K144" s="1">
        <v>0</v>
      </c>
      <c r="L144" s="1">
        <f t="shared" si="56"/>
        <v>0</v>
      </c>
      <c r="M144" s="1">
        <f t="shared" si="56"/>
        <v>0</v>
      </c>
      <c r="N144" s="1">
        <f t="shared" si="56"/>
        <v>0</v>
      </c>
      <c r="O144" s="1">
        <v>0</v>
      </c>
    </row>
    <row r="145" spans="1:15" ht="31.2" x14ac:dyDescent="0.25">
      <c r="A145" s="125"/>
      <c r="B145" s="123"/>
      <c r="C145" s="70" t="s">
        <v>80</v>
      </c>
      <c r="D145" s="71">
        <f>E145+F145+G145+H145+I145+J145</f>
        <v>9111.2999999999993</v>
      </c>
      <c r="E145" s="71">
        <v>9111.2999999999993</v>
      </c>
      <c r="F145" s="71">
        <v>0</v>
      </c>
      <c r="G145" s="71">
        <v>0</v>
      </c>
      <c r="H145" s="71">
        <v>0</v>
      </c>
      <c r="I145" s="71">
        <v>0</v>
      </c>
      <c r="J145" s="71">
        <v>0</v>
      </c>
      <c r="K145" s="1">
        <v>0</v>
      </c>
      <c r="L145" s="71">
        <v>0</v>
      </c>
      <c r="M145" s="71">
        <v>0</v>
      </c>
      <c r="N145" s="71">
        <v>0</v>
      </c>
      <c r="O145" s="1">
        <v>0</v>
      </c>
    </row>
    <row r="146" spans="1:15" ht="31.2" x14ac:dyDescent="0.25">
      <c r="A146" s="125"/>
      <c r="B146" s="123"/>
      <c r="C146" s="51" t="s">
        <v>66</v>
      </c>
      <c r="D146" s="1">
        <f>E146+F146+G146+H146+I146+J146</f>
        <v>479.5</v>
      </c>
      <c r="E146" s="1">
        <f>E147</f>
        <v>479.5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5">
      <c r="A147" s="125"/>
      <c r="B147" s="123"/>
      <c r="C147" s="70" t="s">
        <v>80</v>
      </c>
      <c r="D147" s="71">
        <f>E147</f>
        <v>479.5</v>
      </c>
      <c r="E147" s="71">
        <v>479.5</v>
      </c>
      <c r="F147" s="71">
        <v>0</v>
      </c>
      <c r="G147" s="71">
        <v>0</v>
      </c>
      <c r="H147" s="71">
        <v>0</v>
      </c>
      <c r="I147" s="71">
        <v>0</v>
      </c>
      <c r="J147" s="71">
        <v>0</v>
      </c>
      <c r="K147" s="1">
        <v>0</v>
      </c>
      <c r="L147" s="71">
        <v>0</v>
      </c>
      <c r="M147" s="71">
        <v>0</v>
      </c>
      <c r="N147" s="71">
        <v>0</v>
      </c>
      <c r="O147" s="1">
        <v>0</v>
      </c>
    </row>
    <row r="148" spans="1:15" ht="15.6" x14ac:dyDescent="0.25">
      <c r="A148" s="125"/>
      <c r="B148" s="123"/>
      <c r="C148" s="51" t="s">
        <v>13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6" x14ac:dyDescent="0.25">
      <c r="A149" s="91" t="s">
        <v>111</v>
      </c>
      <c r="B149" s="120" t="s">
        <v>68</v>
      </c>
      <c r="C149" s="51" t="s">
        <v>7</v>
      </c>
      <c r="D149" s="1">
        <f>D150+D151+D152+D154</f>
        <v>1600.3</v>
      </c>
      <c r="E149" s="1">
        <f t="shared" ref="E149:K149" si="57">E150+E151+E152+E154</f>
        <v>1600.3</v>
      </c>
      <c r="F149" s="1">
        <f t="shared" si="57"/>
        <v>0</v>
      </c>
      <c r="G149" s="1">
        <f t="shared" si="57"/>
        <v>0</v>
      </c>
      <c r="H149" s="1">
        <f t="shared" si="57"/>
        <v>0</v>
      </c>
      <c r="I149" s="1">
        <f t="shared" si="57"/>
        <v>0</v>
      </c>
      <c r="J149" s="1">
        <f t="shared" si="57"/>
        <v>0</v>
      </c>
      <c r="K149" s="1">
        <f t="shared" si="57"/>
        <v>0</v>
      </c>
      <c r="L149" s="1">
        <f>L150+L151+L152+L154</f>
        <v>0</v>
      </c>
      <c r="M149" s="1">
        <f>M150+M151+M152+M154</f>
        <v>0</v>
      </c>
      <c r="N149" s="1">
        <f>N150+N151+N152+N154</f>
        <v>0</v>
      </c>
      <c r="O149" s="1">
        <f>O150+O151+O152+O154</f>
        <v>0</v>
      </c>
    </row>
    <row r="150" spans="1:15" ht="15.6" x14ac:dyDescent="0.25">
      <c r="A150" s="92"/>
      <c r="B150" s="121"/>
      <c r="C150" s="51" t="s">
        <v>10</v>
      </c>
      <c r="D150" s="1">
        <f>E150+F150+G150+H150+I150+J150</f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6" x14ac:dyDescent="0.25">
      <c r="A151" s="92"/>
      <c r="B151" s="121"/>
      <c r="C151" s="51" t="s">
        <v>11</v>
      </c>
      <c r="D151" s="1">
        <f>E151+F151+G151+H151+I151+J151</f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31.2" x14ac:dyDescent="0.25">
      <c r="A152" s="92"/>
      <c r="B152" s="121"/>
      <c r="C152" s="51" t="s">
        <v>66</v>
      </c>
      <c r="D152" s="1">
        <f>E152+F152+G152+H152+I152+J152</f>
        <v>1600.3</v>
      </c>
      <c r="E152" s="1">
        <v>1600.3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31.2" x14ac:dyDescent="0.25">
      <c r="A153" s="92"/>
      <c r="B153" s="121"/>
      <c r="C153" s="70" t="s">
        <v>80</v>
      </c>
      <c r="D153" s="71">
        <f>E153</f>
        <v>1600.3</v>
      </c>
      <c r="E153" s="71">
        <v>1600.3</v>
      </c>
      <c r="F153" s="71">
        <v>0</v>
      </c>
      <c r="G153" s="71">
        <v>0</v>
      </c>
      <c r="H153" s="71">
        <v>0</v>
      </c>
      <c r="I153" s="71">
        <v>0</v>
      </c>
      <c r="J153" s="71">
        <v>0</v>
      </c>
      <c r="K153" s="1">
        <v>0</v>
      </c>
      <c r="L153" s="71">
        <v>0</v>
      </c>
      <c r="M153" s="71">
        <v>0</v>
      </c>
      <c r="N153" s="71">
        <v>0</v>
      </c>
      <c r="O153" s="1">
        <v>0</v>
      </c>
    </row>
    <row r="154" spans="1:15" ht="21.75" customHeight="1" x14ac:dyDescent="0.25">
      <c r="A154" s="92"/>
      <c r="B154" s="122"/>
      <c r="C154" s="51" t="s">
        <v>13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8" customHeight="1" x14ac:dyDescent="0.25">
      <c r="A155" s="91" t="s">
        <v>112</v>
      </c>
      <c r="B155" s="116" t="s">
        <v>142</v>
      </c>
      <c r="C155" s="51" t="s">
        <v>7</v>
      </c>
      <c r="D155" s="1">
        <f>D156+D157+D159+D160</f>
        <v>3488.1</v>
      </c>
      <c r="E155" s="1">
        <f t="shared" ref="E155:K155" si="58">E156+E157+E159+E160</f>
        <v>3088.1</v>
      </c>
      <c r="F155" s="1">
        <f t="shared" si="58"/>
        <v>0</v>
      </c>
      <c r="G155" s="1">
        <f t="shared" si="58"/>
        <v>0</v>
      </c>
      <c r="H155" s="1">
        <f t="shared" si="58"/>
        <v>400</v>
      </c>
      <c r="I155" s="1">
        <f t="shared" si="58"/>
        <v>0</v>
      </c>
      <c r="J155" s="1">
        <f t="shared" si="58"/>
        <v>0</v>
      </c>
      <c r="K155" s="1">
        <f t="shared" si="58"/>
        <v>0</v>
      </c>
      <c r="L155" s="1">
        <f>L156+L157+L159+L160</f>
        <v>0</v>
      </c>
      <c r="M155" s="1">
        <f>M156+M157+M159+M160</f>
        <v>0</v>
      </c>
      <c r="N155" s="1">
        <f>N156+N157+N159+N160</f>
        <v>0</v>
      </c>
      <c r="O155" s="1">
        <f>O156+O157+O159+O160</f>
        <v>0</v>
      </c>
    </row>
    <row r="156" spans="1:15" ht="15.6" x14ac:dyDescent="0.25">
      <c r="A156" s="92"/>
      <c r="B156" s="116"/>
      <c r="C156" s="51" t="s">
        <v>10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.75" customHeight="1" x14ac:dyDescent="0.25">
      <c r="A157" s="92"/>
      <c r="B157" s="116"/>
      <c r="C157" s="51" t="s">
        <v>70</v>
      </c>
      <c r="D157" s="1">
        <f>D158</f>
        <v>2692</v>
      </c>
      <c r="E157" s="1">
        <f t="shared" ref="E157:M157" si="59">E158</f>
        <v>2692</v>
      </c>
      <c r="F157" s="1">
        <f t="shared" si="59"/>
        <v>0</v>
      </c>
      <c r="G157" s="1">
        <f t="shared" si="59"/>
        <v>0</v>
      </c>
      <c r="H157" s="1">
        <f t="shared" si="59"/>
        <v>0</v>
      </c>
      <c r="I157" s="1">
        <f t="shared" si="59"/>
        <v>0</v>
      </c>
      <c r="J157" s="1">
        <f t="shared" si="59"/>
        <v>0</v>
      </c>
      <c r="K157" s="1">
        <v>0</v>
      </c>
      <c r="L157" s="1">
        <f t="shared" si="59"/>
        <v>0</v>
      </c>
      <c r="M157" s="1">
        <f t="shared" si="59"/>
        <v>0</v>
      </c>
      <c r="N157" s="1">
        <v>0</v>
      </c>
      <c r="O157" s="1">
        <v>0</v>
      </c>
    </row>
    <row r="158" spans="1:15" ht="31.2" x14ac:dyDescent="0.25">
      <c r="A158" s="92"/>
      <c r="B158" s="116"/>
      <c r="C158" s="70" t="s">
        <v>82</v>
      </c>
      <c r="D158" s="71">
        <f>E158+F158+G158+H158+I158+J158</f>
        <v>2692</v>
      </c>
      <c r="E158" s="71">
        <v>2692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1">
        <v>0</v>
      </c>
      <c r="L158" s="71">
        <v>0</v>
      </c>
      <c r="M158" s="71">
        <v>0</v>
      </c>
      <c r="N158" s="1">
        <v>0</v>
      </c>
      <c r="O158" s="1">
        <v>0</v>
      </c>
    </row>
    <row r="159" spans="1:15" ht="15.6" x14ac:dyDescent="0.25">
      <c r="A159" s="92"/>
      <c r="B159" s="116"/>
      <c r="C159" s="51" t="s">
        <v>12</v>
      </c>
      <c r="D159" s="1">
        <f>E159+F159+G159+H159+I159+J159</f>
        <v>796.1</v>
      </c>
      <c r="E159" s="1">
        <v>396.1</v>
      </c>
      <c r="F159" s="1">
        <v>0</v>
      </c>
      <c r="G159" s="1">
        <v>0</v>
      </c>
      <c r="H159" s="1">
        <v>400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6" x14ac:dyDescent="0.25">
      <c r="A160" s="92"/>
      <c r="B160" s="116"/>
      <c r="C160" s="51" t="s">
        <v>13</v>
      </c>
      <c r="D160" s="1">
        <f>E160+F160+G160+H160+I160+J160</f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8" ht="15.6" x14ac:dyDescent="0.25">
      <c r="A161" s="91" t="s">
        <v>113</v>
      </c>
      <c r="B161" s="120" t="s">
        <v>76</v>
      </c>
      <c r="C161" s="58" t="s">
        <v>7</v>
      </c>
      <c r="D161" s="1">
        <f t="shared" ref="D161:D167" si="60">E161+F161+G161+H161+I161+J161</f>
        <v>123.9</v>
      </c>
      <c r="E161" s="1">
        <f t="shared" ref="E161:O161" si="61">E163+E164+E165+E167</f>
        <v>123.9</v>
      </c>
      <c r="F161" s="1">
        <f t="shared" si="61"/>
        <v>0</v>
      </c>
      <c r="G161" s="1">
        <f t="shared" si="61"/>
        <v>0</v>
      </c>
      <c r="H161" s="1">
        <f t="shared" si="61"/>
        <v>0</v>
      </c>
      <c r="I161" s="1">
        <f t="shared" si="61"/>
        <v>0</v>
      </c>
      <c r="J161" s="1">
        <f t="shared" si="61"/>
        <v>0</v>
      </c>
      <c r="K161" s="1">
        <f t="shared" si="61"/>
        <v>0</v>
      </c>
      <c r="L161" s="1">
        <f t="shared" si="61"/>
        <v>0</v>
      </c>
      <c r="M161" s="1">
        <f t="shared" si="61"/>
        <v>0</v>
      </c>
      <c r="N161" s="1">
        <f t="shared" si="61"/>
        <v>0</v>
      </c>
      <c r="O161" s="1">
        <f t="shared" si="61"/>
        <v>0</v>
      </c>
    </row>
    <row r="162" spans="1:18" ht="31.2" x14ac:dyDescent="0.25">
      <c r="A162" s="91"/>
      <c r="B162" s="121"/>
      <c r="C162" s="72" t="s">
        <v>80</v>
      </c>
      <c r="D162" s="71">
        <f t="shared" si="60"/>
        <v>123.9</v>
      </c>
      <c r="E162" s="71">
        <f t="shared" ref="E162:O162" si="62">E166</f>
        <v>123.9</v>
      </c>
      <c r="F162" s="71">
        <f t="shared" si="62"/>
        <v>0</v>
      </c>
      <c r="G162" s="71">
        <f t="shared" si="62"/>
        <v>0</v>
      </c>
      <c r="H162" s="71">
        <f t="shared" si="62"/>
        <v>0</v>
      </c>
      <c r="I162" s="71">
        <f t="shared" si="62"/>
        <v>0</v>
      </c>
      <c r="J162" s="71">
        <f t="shared" si="62"/>
        <v>0</v>
      </c>
      <c r="K162" s="71">
        <f t="shared" si="62"/>
        <v>0</v>
      </c>
      <c r="L162" s="71">
        <f t="shared" si="62"/>
        <v>0</v>
      </c>
      <c r="M162" s="71">
        <f t="shared" si="62"/>
        <v>0</v>
      </c>
      <c r="N162" s="71">
        <f t="shared" si="62"/>
        <v>0</v>
      </c>
      <c r="O162" s="71">
        <f t="shared" si="62"/>
        <v>0</v>
      </c>
    </row>
    <row r="163" spans="1:18" ht="15.6" x14ac:dyDescent="0.25">
      <c r="A163" s="91"/>
      <c r="B163" s="121"/>
      <c r="C163" s="58" t="s">
        <v>10</v>
      </c>
      <c r="D163" s="1">
        <f t="shared" si="60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6" x14ac:dyDescent="0.25">
      <c r="A164" s="91"/>
      <c r="B164" s="121"/>
      <c r="C164" s="58" t="s">
        <v>11</v>
      </c>
      <c r="D164" s="1">
        <f t="shared" si="60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8" ht="31.2" x14ac:dyDescent="0.25">
      <c r="A165" s="91"/>
      <c r="B165" s="121"/>
      <c r="C165" s="51" t="s">
        <v>66</v>
      </c>
      <c r="D165" s="1">
        <f t="shared" si="60"/>
        <v>123.9</v>
      </c>
      <c r="E165" s="1">
        <f>E166</f>
        <v>123.9</v>
      </c>
      <c r="F165" s="1">
        <f>F166</f>
        <v>0</v>
      </c>
      <c r="G165" s="1">
        <f>G166</f>
        <v>0</v>
      </c>
      <c r="H165" s="1">
        <f>H166</f>
        <v>0</v>
      </c>
      <c r="I165" s="1">
        <f>I166</f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31.2" x14ac:dyDescent="0.25">
      <c r="A166" s="91"/>
      <c r="B166" s="121"/>
      <c r="C166" s="72" t="s">
        <v>80</v>
      </c>
      <c r="D166" s="71">
        <f t="shared" si="60"/>
        <v>123.9</v>
      </c>
      <c r="E166" s="71">
        <v>123.9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67"/>
      <c r="Q166" s="67"/>
      <c r="R166" s="67"/>
    </row>
    <row r="167" spans="1:18" ht="20.25" customHeight="1" x14ac:dyDescent="0.25">
      <c r="A167" s="91"/>
      <c r="B167" s="122"/>
      <c r="C167" s="58" t="s">
        <v>13</v>
      </c>
      <c r="D167" s="1">
        <f t="shared" si="60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67"/>
      <c r="Q167" s="67"/>
      <c r="R167" s="67"/>
    </row>
    <row r="168" spans="1:18" ht="17.25" customHeight="1" x14ac:dyDescent="0.25">
      <c r="A168" s="91" t="s">
        <v>114</v>
      </c>
      <c r="B168" s="116" t="s">
        <v>79</v>
      </c>
      <c r="C168" s="51" t="s">
        <v>7</v>
      </c>
      <c r="D168" s="1">
        <f t="shared" ref="D168:D174" si="63">E168+F168+G168+H168+I168+J168</f>
        <v>1187</v>
      </c>
      <c r="E168" s="1">
        <f t="shared" ref="E168:K168" si="64">E170+E171+E172+E174</f>
        <v>1187</v>
      </c>
      <c r="F168" s="1">
        <f t="shared" si="64"/>
        <v>0</v>
      </c>
      <c r="G168" s="1">
        <f t="shared" si="64"/>
        <v>0</v>
      </c>
      <c r="H168" s="1">
        <f t="shared" si="64"/>
        <v>0</v>
      </c>
      <c r="I168" s="1">
        <f t="shared" si="64"/>
        <v>0</v>
      </c>
      <c r="J168" s="1">
        <f t="shared" si="64"/>
        <v>0</v>
      </c>
      <c r="K168" s="1">
        <f t="shared" si="64"/>
        <v>0</v>
      </c>
      <c r="L168" s="1">
        <f>L170+L171+L172+L174</f>
        <v>0</v>
      </c>
      <c r="M168" s="1">
        <f>M170+M171+M172+M174</f>
        <v>0</v>
      </c>
      <c r="N168" s="1">
        <f>N170+N171+N172+N174</f>
        <v>0</v>
      </c>
      <c r="O168" s="1">
        <f>O170+O171+O172+O174</f>
        <v>0</v>
      </c>
      <c r="P168" s="73"/>
      <c r="Q168" s="73"/>
      <c r="R168" s="67"/>
    </row>
    <row r="169" spans="1:18" ht="31.2" x14ac:dyDescent="0.25">
      <c r="A169" s="92"/>
      <c r="B169" s="117"/>
      <c r="C169" s="70" t="s">
        <v>80</v>
      </c>
      <c r="D169" s="71">
        <f t="shared" si="63"/>
        <v>1187</v>
      </c>
      <c r="E169" s="71">
        <f t="shared" ref="E169:K169" si="65">E173</f>
        <v>1187</v>
      </c>
      <c r="F169" s="71">
        <f t="shared" si="65"/>
        <v>0</v>
      </c>
      <c r="G169" s="71">
        <f t="shared" si="65"/>
        <v>0</v>
      </c>
      <c r="H169" s="71">
        <f t="shared" si="65"/>
        <v>0</v>
      </c>
      <c r="I169" s="71">
        <f t="shared" si="65"/>
        <v>0</v>
      </c>
      <c r="J169" s="71">
        <f t="shared" si="65"/>
        <v>0</v>
      </c>
      <c r="K169" s="71">
        <f t="shared" si="65"/>
        <v>0</v>
      </c>
      <c r="L169" s="71">
        <f>L173</f>
        <v>0</v>
      </c>
      <c r="M169" s="71">
        <f>M173</f>
        <v>0</v>
      </c>
      <c r="N169" s="71">
        <f>N173</f>
        <v>0</v>
      </c>
      <c r="O169" s="71">
        <f>O173</f>
        <v>0</v>
      </c>
      <c r="P169" s="74"/>
      <c r="Q169" s="74"/>
      <c r="R169" s="67"/>
    </row>
    <row r="170" spans="1:18" ht="15.6" x14ac:dyDescent="0.25">
      <c r="A170" s="92"/>
      <c r="B170" s="117"/>
      <c r="C170" s="51" t="s">
        <v>10</v>
      </c>
      <c r="D170" s="1">
        <f t="shared" si="6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73"/>
      <c r="Q170" s="73"/>
      <c r="R170" s="67"/>
    </row>
    <row r="171" spans="1:18" ht="15.6" x14ac:dyDescent="0.25">
      <c r="A171" s="92"/>
      <c r="B171" s="117"/>
      <c r="C171" s="51" t="s">
        <v>11</v>
      </c>
      <c r="D171" s="1">
        <f t="shared" si="63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73"/>
      <c r="Q171" s="73"/>
      <c r="R171" s="67"/>
    </row>
    <row r="172" spans="1:18" ht="32.25" customHeight="1" x14ac:dyDescent="0.25">
      <c r="A172" s="92"/>
      <c r="B172" s="117"/>
      <c r="C172" s="51" t="s">
        <v>66</v>
      </c>
      <c r="D172" s="1">
        <f t="shared" si="63"/>
        <v>1187</v>
      </c>
      <c r="E172" s="1">
        <f t="shared" ref="E172:O172" si="66">E173</f>
        <v>1187</v>
      </c>
      <c r="F172" s="1">
        <f t="shared" si="66"/>
        <v>0</v>
      </c>
      <c r="G172" s="1">
        <f t="shared" si="66"/>
        <v>0</v>
      </c>
      <c r="H172" s="1">
        <f t="shared" si="66"/>
        <v>0</v>
      </c>
      <c r="I172" s="1">
        <f t="shared" si="66"/>
        <v>0</v>
      </c>
      <c r="J172" s="1">
        <f t="shared" si="66"/>
        <v>0</v>
      </c>
      <c r="K172" s="1">
        <v>0</v>
      </c>
      <c r="L172" s="1">
        <f t="shared" si="66"/>
        <v>0</v>
      </c>
      <c r="M172" s="1">
        <f t="shared" si="66"/>
        <v>0</v>
      </c>
      <c r="N172" s="1">
        <f t="shared" si="66"/>
        <v>0</v>
      </c>
      <c r="O172" s="1">
        <f t="shared" si="66"/>
        <v>0</v>
      </c>
      <c r="P172" s="73"/>
      <c r="Q172" s="73"/>
      <c r="R172" s="67"/>
    </row>
    <row r="173" spans="1:18" ht="32.25" customHeight="1" x14ac:dyDescent="0.25">
      <c r="A173" s="92"/>
      <c r="B173" s="117"/>
      <c r="C173" s="70" t="s">
        <v>80</v>
      </c>
      <c r="D173" s="71">
        <f t="shared" si="63"/>
        <v>1187</v>
      </c>
      <c r="E173" s="71">
        <v>1187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1">
        <v>0</v>
      </c>
      <c r="L173" s="71">
        <v>0</v>
      </c>
      <c r="M173" s="71">
        <v>0</v>
      </c>
      <c r="N173" s="71">
        <v>0</v>
      </c>
      <c r="O173" s="71">
        <v>0</v>
      </c>
      <c r="P173" s="73"/>
      <c r="Q173" s="73"/>
      <c r="R173" s="67"/>
    </row>
    <row r="174" spans="1:18" ht="18" customHeight="1" x14ac:dyDescent="0.25">
      <c r="A174" s="92"/>
      <c r="B174" s="117"/>
      <c r="C174" s="51" t="s">
        <v>13</v>
      </c>
      <c r="D174" s="1">
        <f t="shared" si="63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3"/>
      <c r="Q174" s="73"/>
      <c r="R174" s="67"/>
    </row>
    <row r="175" spans="1:18" ht="15.6" x14ac:dyDescent="0.25">
      <c r="A175" s="91" t="s">
        <v>115</v>
      </c>
      <c r="B175" s="91" t="s">
        <v>214</v>
      </c>
      <c r="C175" s="51" t="s">
        <v>7</v>
      </c>
      <c r="D175" s="1">
        <f t="shared" ref="D175:D180" si="67">E175+F175+G175+H175+I175+J175</f>
        <v>3590.6</v>
      </c>
      <c r="E175" s="1">
        <f>E176+E177+E178+E180</f>
        <v>2639.6</v>
      </c>
      <c r="F175" s="1">
        <f t="shared" ref="F175:K175" si="68">F176+F177+F178+F180</f>
        <v>951</v>
      </c>
      <c r="G175" s="1">
        <f t="shared" si="68"/>
        <v>0</v>
      </c>
      <c r="H175" s="1">
        <f t="shared" si="68"/>
        <v>0</v>
      </c>
      <c r="I175" s="1">
        <f t="shared" si="68"/>
        <v>0</v>
      </c>
      <c r="J175" s="1">
        <f t="shared" si="68"/>
        <v>0</v>
      </c>
      <c r="K175" s="1">
        <f t="shared" si="68"/>
        <v>0</v>
      </c>
      <c r="L175" s="1">
        <f>L176+L177+L178+L180</f>
        <v>0</v>
      </c>
      <c r="M175" s="1">
        <f>M176+M177+M178+M180</f>
        <v>0</v>
      </c>
      <c r="N175" s="1">
        <f>N176+N177+N178+N180</f>
        <v>0</v>
      </c>
      <c r="O175" s="1">
        <f>O176+O177+O178+O180</f>
        <v>0</v>
      </c>
      <c r="P175" s="67"/>
      <c r="Q175" s="67"/>
      <c r="R175" s="67"/>
    </row>
    <row r="176" spans="1:18" ht="15.6" x14ac:dyDescent="0.25">
      <c r="A176" s="92"/>
      <c r="B176" s="91"/>
      <c r="C176" s="51" t="s">
        <v>10</v>
      </c>
      <c r="D176" s="1">
        <f t="shared" si="67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6" x14ac:dyDescent="0.25">
      <c r="A177" s="92"/>
      <c r="B177" s="91"/>
      <c r="C177" s="51" t="s">
        <v>11</v>
      </c>
      <c r="D177" s="1">
        <f t="shared" si="67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31.2" x14ac:dyDescent="0.25">
      <c r="A178" s="92"/>
      <c r="B178" s="91"/>
      <c r="C178" s="51" t="s">
        <v>66</v>
      </c>
      <c r="D178" s="1">
        <f t="shared" si="67"/>
        <v>3590.6</v>
      </c>
      <c r="E178" s="1">
        <v>2639.6</v>
      </c>
      <c r="F178" s="1">
        <v>951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31.2" x14ac:dyDescent="0.25">
      <c r="A179" s="92"/>
      <c r="B179" s="91"/>
      <c r="C179" s="70" t="s">
        <v>80</v>
      </c>
      <c r="D179" s="71">
        <f t="shared" si="67"/>
        <v>3590.6</v>
      </c>
      <c r="E179" s="71">
        <f>E178</f>
        <v>2639.6</v>
      </c>
      <c r="F179" s="71">
        <v>951</v>
      </c>
      <c r="G179" s="71">
        <v>0</v>
      </c>
      <c r="H179" s="71">
        <v>0</v>
      </c>
      <c r="I179" s="71">
        <v>0</v>
      </c>
      <c r="J179" s="71">
        <v>0</v>
      </c>
      <c r="K179" s="1">
        <v>0</v>
      </c>
      <c r="L179" s="71">
        <v>0</v>
      </c>
      <c r="M179" s="71">
        <v>0</v>
      </c>
      <c r="N179" s="71">
        <v>0</v>
      </c>
      <c r="O179" s="1">
        <v>0</v>
      </c>
    </row>
    <row r="180" spans="1:15" ht="21" customHeight="1" x14ac:dyDescent="0.25">
      <c r="A180" s="92"/>
      <c r="B180" s="91"/>
      <c r="C180" s="51" t="s">
        <v>13</v>
      </c>
      <c r="D180" s="1">
        <f t="shared" si="67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ht="15.6" x14ac:dyDescent="0.25">
      <c r="A181" s="91" t="s">
        <v>116</v>
      </c>
      <c r="B181" s="91" t="s">
        <v>218</v>
      </c>
      <c r="C181" s="51" t="s">
        <v>7</v>
      </c>
      <c r="D181" s="1">
        <f>E181+F181+G181+H181+I181+J181+K181+L181+M181+N181+O181</f>
        <v>5050.3999999999996</v>
      </c>
      <c r="E181" s="1">
        <f t="shared" ref="E181:O181" si="69">E182+E183+E184+E185</f>
        <v>0</v>
      </c>
      <c r="F181" s="1">
        <f t="shared" si="69"/>
        <v>0</v>
      </c>
      <c r="G181" s="1">
        <f t="shared" si="69"/>
        <v>332.6</v>
      </c>
      <c r="H181" s="1">
        <f>H182+H183+H184+H185</f>
        <v>984.5</v>
      </c>
      <c r="I181" s="1">
        <f t="shared" si="69"/>
        <v>690</v>
      </c>
      <c r="J181" s="1">
        <f t="shared" si="69"/>
        <v>160</v>
      </c>
      <c r="K181" s="1">
        <f t="shared" si="69"/>
        <v>450</v>
      </c>
      <c r="L181" s="1">
        <f t="shared" si="69"/>
        <v>0</v>
      </c>
      <c r="M181" s="1">
        <f t="shared" si="69"/>
        <v>0</v>
      </c>
      <c r="N181" s="1">
        <f t="shared" si="69"/>
        <v>0</v>
      </c>
      <c r="O181" s="1">
        <f t="shared" si="69"/>
        <v>2433.3000000000002</v>
      </c>
    </row>
    <row r="182" spans="1:15" ht="15.6" x14ac:dyDescent="0.25">
      <c r="A182" s="92"/>
      <c r="B182" s="91"/>
      <c r="C182" s="51" t="s">
        <v>10</v>
      </c>
      <c r="D182" s="1">
        <f>E182+F182+G182+H182+I182+J182+K182+L182+M182+N182+O182</f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6" x14ac:dyDescent="0.25">
      <c r="A183" s="92"/>
      <c r="B183" s="91"/>
      <c r="C183" s="51" t="s">
        <v>11</v>
      </c>
      <c r="D183" s="1">
        <f>E183+F183+G183+H183+I183+J183+K183+L183+M183+N183+O183</f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6" x14ac:dyDescent="0.25">
      <c r="A184" s="92"/>
      <c r="B184" s="91"/>
      <c r="C184" s="51" t="s">
        <v>12</v>
      </c>
      <c r="D184" s="1">
        <f>E184+F184+G184+H184+I184+J184+K184+L184+M184+N184+O184</f>
        <v>5050.3999999999996</v>
      </c>
      <c r="E184" s="1">
        <v>0</v>
      </c>
      <c r="F184" s="1">
        <v>0</v>
      </c>
      <c r="G184" s="1">
        <v>332.6</v>
      </c>
      <c r="H184" s="1">
        <v>984.5</v>
      </c>
      <c r="I184" s="1">
        <v>690</v>
      </c>
      <c r="J184" s="1">
        <f>2000-1800-40</f>
        <v>160</v>
      </c>
      <c r="K184" s="1">
        <f>2000-1550</f>
        <v>450</v>
      </c>
      <c r="L184" s="1">
        <v>0</v>
      </c>
      <c r="M184" s="1">
        <v>0</v>
      </c>
      <c r="N184" s="1">
        <v>0</v>
      </c>
      <c r="O184" s="1">
        <v>2433.3000000000002</v>
      </c>
    </row>
    <row r="185" spans="1:15" ht="27" customHeight="1" x14ac:dyDescent="0.25">
      <c r="A185" s="92"/>
      <c r="B185" s="91"/>
      <c r="C185" s="51" t="s">
        <v>13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ht="15.6" x14ac:dyDescent="0.25">
      <c r="A186" s="91" t="s">
        <v>117</v>
      </c>
      <c r="B186" s="91" t="s">
        <v>225</v>
      </c>
      <c r="C186" s="51" t="s">
        <v>7</v>
      </c>
      <c r="D186" s="1">
        <f t="shared" ref="D186:D195" si="70">E186+F186+G186+H186+I186+J186</f>
        <v>3968.3</v>
      </c>
      <c r="E186" s="1">
        <f t="shared" ref="E186:J186" si="71">E187+E188+E189+E190</f>
        <v>0</v>
      </c>
      <c r="F186" s="1">
        <f t="shared" si="71"/>
        <v>0</v>
      </c>
      <c r="G186" s="1">
        <f t="shared" si="71"/>
        <v>0</v>
      </c>
      <c r="H186" s="1">
        <f t="shared" si="71"/>
        <v>3968.3</v>
      </c>
      <c r="I186" s="1">
        <f t="shared" si="71"/>
        <v>0</v>
      </c>
      <c r="J186" s="1">
        <f t="shared" si="71"/>
        <v>0</v>
      </c>
      <c r="K186" s="1">
        <v>0</v>
      </c>
      <c r="L186" s="1">
        <f>L187+L188+L189+L190</f>
        <v>0</v>
      </c>
      <c r="M186" s="1">
        <f>M187+M188+M189+M190</f>
        <v>0</v>
      </c>
      <c r="N186" s="1">
        <f>N187+N188+N189+N190</f>
        <v>0</v>
      </c>
      <c r="O186" s="1">
        <f>O187+O188+O189+O190</f>
        <v>0</v>
      </c>
    </row>
    <row r="187" spans="1:15" ht="15.6" x14ac:dyDescent="0.25">
      <c r="A187" s="92"/>
      <c r="B187" s="91"/>
      <c r="C187" s="51" t="s">
        <v>10</v>
      </c>
      <c r="D187" s="1">
        <f t="shared" si="70"/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6" x14ac:dyDescent="0.25">
      <c r="A188" s="92"/>
      <c r="B188" s="91"/>
      <c r="C188" s="51" t="s">
        <v>11</v>
      </c>
      <c r="D188" s="1">
        <f t="shared" si="70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6" x14ac:dyDescent="0.25">
      <c r="A189" s="92"/>
      <c r="B189" s="91"/>
      <c r="C189" s="51" t="s">
        <v>12</v>
      </c>
      <c r="D189" s="1">
        <f t="shared" si="70"/>
        <v>3968.3</v>
      </c>
      <c r="E189" s="1">
        <v>0</v>
      </c>
      <c r="F189" s="1">
        <v>0</v>
      </c>
      <c r="G189" s="1">
        <v>0</v>
      </c>
      <c r="H189" s="1">
        <v>3968.3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24" customHeight="1" x14ac:dyDescent="0.25">
      <c r="A190" s="92"/>
      <c r="B190" s="91"/>
      <c r="C190" s="51" t="s">
        <v>13</v>
      </c>
      <c r="D190" s="1">
        <f t="shared" si="70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ht="15.6" x14ac:dyDescent="0.25">
      <c r="A191" s="91" t="s">
        <v>118</v>
      </c>
      <c r="B191" s="91" t="s">
        <v>226</v>
      </c>
      <c r="C191" s="51" t="s">
        <v>7</v>
      </c>
      <c r="D191" s="1">
        <f t="shared" si="70"/>
        <v>15790</v>
      </c>
      <c r="E191" s="1">
        <f t="shared" ref="E191:K191" si="72">E192+E193+E194+E195</f>
        <v>0</v>
      </c>
      <c r="F191" s="1">
        <f t="shared" si="72"/>
        <v>15790</v>
      </c>
      <c r="G191" s="1">
        <f t="shared" si="72"/>
        <v>0</v>
      </c>
      <c r="H191" s="1">
        <f t="shared" si="72"/>
        <v>0</v>
      </c>
      <c r="I191" s="1">
        <f t="shared" si="72"/>
        <v>0</v>
      </c>
      <c r="J191" s="1">
        <f t="shared" si="72"/>
        <v>0</v>
      </c>
      <c r="K191" s="1">
        <f t="shared" si="72"/>
        <v>0</v>
      </c>
      <c r="L191" s="1">
        <f>L192+L193+L194+L195</f>
        <v>0</v>
      </c>
      <c r="M191" s="1">
        <f>M192+M193+M194+M195</f>
        <v>0</v>
      </c>
      <c r="N191" s="1">
        <f>N192+N193+N194+N195</f>
        <v>0</v>
      </c>
      <c r="O191" s="1">
        <f>O192+O193+O194+O195</f>
        <v>0</v>
      </c>
    </row>
    <row r="192" spans="1:15" ht="18" customHeight="1" x14ac:dyDescent="0.25">
      <c r="A192" s="92"/>
      <c r="B192" s="91"/>
      <c r="C192" s="58" t="s">
        <v>10</v>
      </c>
      <c r="D192" s="1">
        <f t="shared" si="70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8" customHeight="1" x14ac:dyDescent="0.25">
      <c r="A193" s="92"/>
      <c r="B193" s="91"/>
      <c r="C193" s="58" t="s">
        <v>11</v>
      </c>
      <c r="D193" s="1">
        <f t="shared" si="70"/>
        <v>15000</v>
      </c>
      <c r="E193" s="1">
        <v>0</v>
      </c>
      <c r="F193" s="1">
        <v>15000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0" ht="15.6" x14ac:dyDescent="0.25">
      <c r="A194" s="92"/>
      <c r="B194" s="91"/>
      <c r="C194" s="58" t="s">
        <v>12</v>
      </c>
      <c r="D194" s="1">
        <f t="shared" si="70"/>
        <v>790</v>
      </c>
      <c r="E194" s="1">
        <v>0</v>
      </c>
      <c r="F194" s="1">
        <v>790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21.75" customHeight="1" x14ac:dyDescent="0.25">
      <c r="A195" s="92"/>
      <c r="B195" s="91"/>
      <c r="C195" s="58" t="s">
        <v>13</v>
      </c>
      <c r="D195" s="1">
        <f t="shared" si="70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6" x14ac:dyDescent="0.25">
      <c r="A196" s="91" t="s">
        <v>119</v>
      </c>
      <c r="B196" s="91" t="s">
        <v>385</v>
      </c>
      <c r="C196" s="51" t="s">
        <v>7</v>
      </c>
      <c r="D196" s="1">
        <f>E196+F196+G196+H196+I196+J196+J196+K196+L196+M196+N196+O196</f>
        <v>2404851</v>
      </c>
      <c r="E196" s="1">
        <f t="shared" ref="E196:M196" si="73">E197+E198+E199+E200</f>
        <v>0</v>
      </c>
      <c r="F196" s="1">
        <f t="shared" si="73"/>
        <v>0</v>
      </c>
      <c r="G196" s="1">
        <f t="shared" si="73"/>
        <v>27664</v>
      </c>
      <c r="H196" s="1">
        <f t="shared" si="73"/>
        <v>50456.399999999994</v>
      </c>
      <c r="I196" s="1">
        <f t="shared" si="73"/>
        <v>17092.099999999999</v>
      </c>
      <c r="J196" s="1">
        <f t="shared" si="73"/>
        <v>373247.1</v>
      </c>
      <c r="K196" s="1">
        <f t="shared" si="73"/>
        <v>961953.29999999993</v>
      </c>
      <c r="L196" s="1">
        <f t="shared" si="73"/>
        <v>115031</v>
      </c>
      <c r="M196" s="1">
        <f t="shared" si="73"/>
        <v>250160</v>
      </c>
      <c r="N196" s="1">
        <f>N197+N198+N199+N200</f>
        <v>236000</v>
      </c>
      <c r="O196" s="1">
        <f>O197+O198+O199+O200</f>
        <v>0</v>
      </c>
      <c r="P196" s="60"/>
      <c r="Q196" s="69"/>
      <c r="R196" s="75"/>
      <c r="T196" s="76"/>
    </row>
    <row r="197" spans="1:20" ht="15.6" x14ac:dyDescent="0.25">
      <c r="A197" s="92"/>
      <c r="B197" s="91"/>
      <c r="C197" s="58" t="s">
        <v>10</v>
      </c>
      <c r="D197" s="1">
        <f>E197+F197+G197+H197+I197+J197+K197+L197+M197+N197+O197</f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6" x14ac:dyDescent="0.25">
      <c r="A198" s="92"/>
      <c r="B198" s="91"/>
      <c r="C198" s="58" t="s">
        <v>11</v>
      </c>
      <c r="D198" s="1">
        <f>E198+F198+G198+H198+I198+J198+K198+L198+M198+N198+O198</f>
        <v>1879265.5</v>
      </c>
      <c r="E198" s="1">
        <v>0</v>
      </c>
      <c r="F198" s="1">
        <v>0</v>
      </c>
      <c r="G198" s="1">
        <v>26276.799999999999</v>
      </c>
      <c r="H198" s="1">
        <v>47416.2</v>
      </c>
      <c r="I198" s="1">
        <v>16128.9</v>
      </c>
      <c r="J198" s="1">
        <v>350852.3</v>
      </c>
      <c r="K198" s="1">
        <f>968171.1-63934.9</f>
        <v>904236.2</v>
      </c>
      <c r="L198" s="1">
        <v>90675.1</v>
      </c>
      <c r="M198" s="1">
        <v>221840</v>
      </c>
      <c r="N198" s="1">
        <v>221840</v>
      </c>
      <c r="O198" s="1">
        <v>0</v>
      </c>
      <c r="P198" s="77"/>
      <c r="Q198" s="67"/>
    </row>
    <row r="199" spans="1:20" ht="15.6" x14ac:dyDescent="0.25">
      <c r="A199" s="92"/>
      <c r="B199" s="91"/>
      <c r="C199" s="58" t="s">
        <v>12</v>
      </c>
      <c r="D199" s="1">
        <f>E199+F199+G199+H199+I199+J199+K199+L199+M199+N199+O199</f>
        <v>152338.4</v>
      </c>
      <c r="E199" s="1">
        <v>0</v>
      </c>
      <c r="F199" s="1">
        <v>0</v>
      </c>
      <c r="G199" s="1">
        <v>1387.2</v>
      </c>
      <c r="H199" s="1">
        <v>3040.2</v>
      </c>
      <c r="I199" s="1">
        <v>963.2</v>
      </c>
      <c r="J199" s="1">
        <v>22394.799999999999</v>
      </c>
      <c r="K199" s="1">
        <f>61798.1-4081</f>
        <v>57717.1</v>
      </c>
      <c r="L199" s="1">
        <v>24355.9</v>
      </c>
      <c r="M199" s="1">
        <v>28320</v>
      </c>
      <c r="N199" s="1">
        <v>14160</v>
      </c>
      <c r="O199" s="1">
        <v>0</v>
      </c>
      <c r="P199" s="77"/>
      <c r="Q199" s="67"/>
    </row>
    <row r="200" spans="1:20" ht="28.5" customHeight="1" x14ac:dyDescent="0.25">
      <c r="A200" s="92"/>
      <c r="B200" s="91"/>
      <c r="C200" s="58" t="s">
        <v>13</v>
      </c>
      <c r="D200" s="1">
        <f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62"/>
      <c r="Q200" s="62"/>
    </row>
    <row r="201" spans="1:20" ht="15.6" x14ac:dyDescent="0.25">
      <c r="A201" s="91" t="s">
        <v>213</v>
      </c>
      <c r="B201" s="91" t="s">
        <v>299</v>
      </c>
      <c r="C201" s="51" t="s">
        <v>7</v>
      </c>
      <c r="D201" s="1">
        <f>D202+D203+D204+D205</f>
        <v>20916.2</v>
      </c>
      <c r="E201" s="1">
        <f t="shared" ref="E201:K201" si="74">E202+E203+E204+E205</f>
        <v>0</v>
      </c>
      <c r="F201" s="1">
        <f t="shared" si="74"/>
        <v>0</v>
      </c>
      <c r="G201" s="1">
        <f t="shared" si="74"/>
        <v>0</v>
      </c>
      <c r="H201" s="1">
        <f t="shared" si="74"/>
        <v>0</v>
      </c>
      <c r="I201" s="1">
        <f t="shared" si="74"/>
        <v>1845.8</v>
      </c>
      <c r="J201" s="1">
        <f t="shared" si="74"/>
        <v>4535.2</v>
      </c>
      <c r="K201" s="1">
        <f t="shared" si="74"/>
        <v>14535.2</v>
      </c>
      <c r="L201" s="1">
        <f>L202+L203+L204+L205</f>
        <v>0</v>
      </c>
      <c r="M201" s="1">
        <f>M202+M203+M204+M205</f>
        <v>0</v>
      </c>
      <c r="N201" s="1">
        <f>N202+N203+N204+N205</f>
        <v>0</v>
      </c>
      <c r="O201" s="1">
        <f>O202+O203+O204+O205</f>
        <v>0</v>
      </c>
      <c r="P201" s="60" t="s">
        <v>355</v>
      </c>
      <c r="Q201" s="69"/>
      <c r="T201" s="76"/>
    </row>
    <row r="202" spans="1:20" ht="15.6" x14ac:dyDescent="0.25">
      <c r="A202" s="92"/>
      <c r="B202" s="92"/>
      <c r="C202" s="51" t="s">
        <v>10</v>
      </c>
      <c r="D202" s="1">
        <f t="shared" ref="D202:D233" si="75"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20" ht="15.6" x14ac:dyDescent="0.25">
      <c r="A203" s="92"/>
      <c r="B203" s="92"/>
      <c r="C203" s="51" t="s">
        <v>11</v>
      </c>
      <c r="D203" s="1">
        <f t="shared" si="75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62"/>
      <c r="Q203" s="62"/>
    </row>
    <row r="204" spans="1:20" ht="15.6" x14ac:dyDescent="0.25">
      <c r="A204" s="92"/>
      <c r="B204" s="92"/>
      <c r="C204" s="51" t="s">
        <v>12</v>
      </c>
      <c r="D204" s="1">
        <f t="shared" si="75"/>
        <v>20916.2</v>
      </c>
      <c r="E204" s="1">
        <v>0</v>
      </c>
      <c r="F204" s="1">
        <v>0</v>
      </c>
      <c r="G204" s="1">
        <v>0</v>
      </c>
      <c r="H204" s="1">
        <v>0</v>
      </c>
      <c r="I204" s="1">
        <v>1845.8</v>
      </c>
      <c r="J204" s="1">
        <f>4243-69.6+361.8</f>
        <v>4535.2</v>
      </c>
      <c r="K204" s="1">
        <v>14535.2</v>
      </c>
      <c r="L204" s="1">
        <v>0</v>
      </c>
      <c r="M204" s="1">
        <v>0</v>
      </c>
      <c r="N204" s="1">
        <v>0</v>
      </c>
      <c r="O204" s="1">
        <v>0</v>
      </c>
    </row>
    <row r="205" spans="1:20" ht="24" customHeight="1" x14ac:dyDescent="0.25">
      <c r="A205" s="92"/>
      <c r="B205" s="92"/>
      <c r="C205" s="51" t="s">
        <v>13</v>
      </c>
      <c r="D205" s="1">
        <f t="shared" si="75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20" ht="15.6" x14ac:dyDescent="0.25">
      <c r="A206" s="91" t="s">
        <v>253</v>
      </c>
      <c r="B206" s="91" t="s">
        <v>257</v>
      </c>
      <c r="C206" s="51" t="s">
        <v>7</v>
      </c>
      <c r="D206" s="1">
        <f t="shared" si="75"/>
        <v>7962.8</v>
      </c>
      <c r="E206" s="1">
        <f t="shared" ref="E206:J206" si="76">E207+E208+E209+E210</f>
        <v>0</v>
      </c>
      <c r="F206" s="1">
        <f t="shared" si="76"/>
        <v>0</v>
      </c>
      <c r="G206" s="1">
        <f t="shared" si="76"/>
        <v>0</v>
      </c>
      <c r="H206" s="1">
        <f t="shared" si="76"/>
        <v>0</v>
      </c>
      <c r="I206" s="1">
        <f t="shared" si="76"/>
        <v>10.3</v>
      </c>
      <c r="J206" s="1">
        <f t="shared" si="76"/>
        <v>0</v>
      </c>
      <c r="K206" s="1">
        <f>K207+K208+K209+K210</f>
        <v>7952.5</v>
      </c>
      <c r="L206" s="1">
        <f>L207+L208+L209+L210</f>
        <v>0</v>
      </c>
      <c r="M206" s="1">
        <f>M207+M208+M209+M210</f>
        <v>0</v>
      </c>
      <c r="N206" s="1">
        <f>N207+N208+N209+N210</f>
        <v>0</v>
      </c>
      <c r="O206" s="1">
        <f>O207+O208+O209+O210</f>
        <v>0</v>
      </c>
      <c r="P206" s="64" t="s">
        <v>355</v>
      </c>
    </row>
    <row r="207" spans="1:20" ht="15.6" x14ac:dyDescent="0.25">
      <c r="A207" s="92"/>
      <c r="B207" s="92"/>
      <c r="C207" s="51" t="s">
        <v>10</v>
      </c>
      <c r="D207" s="1">
        <f t="shared" si="75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6" x14ac:dyDescent="0.25">
      <c r="A208" s="92"/>
      <c r="B208" s="92"/>
      <c r="C208" s="51" t="s">
        <v>11</v>
      </c>
      <c r="D208" s="1">
        <f t="shared" si="75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6" ht="15.6" x14ac:dyDescent="0.25">
      <c r="A209" s="92"/>
      <c r="B209" s="92"/>
      <c r="C209" s="51" t="s">
        <v>12</v>
      </c>
      <c r="D209" s="1">
        <f t="shared" si="75"/>
        <v>7962.8</v>
      </c>
      <c r="E209" s="1">
        <v>0</v>
      </c>
      <c r="F209" s="1">
        <v>0</v>
      </c>
      <c r="G209" s="1">
        <v>0</v>
      </c>
      <c r="H209" s="1">
        <v>0</v>
      </c>
      <c r="I209" s="1">
        <v>10.3</v>
      </c>
      <c r="J209" s="1">
        <f>10000-10000</f>
        <v>0</v>
      </c>
      <c r="K209" s="1">
        <f>10000-1800-110-137.5</f>
        <v>7952.5</v>
      </c>
      <c r="L209" s="1">
        <v>0</v>
      </c>
      <c r="M209" s="1">
        <v>0</v>
      </c>
      <c r="N209" s="1">
        <v>0</v>
      </c>
      <c r="O209" s="1">
        <v>0</v>
      </c>
    </row>
    <row r="210" spans="1:16" ht="18.75" customHeight="1" x14ac:dyDescent="0.25">
      <c r="A210" s="92"/>
      <c r="B210" s="92"/>
      <c r="C210" s="58" t="s">
        <v>13</v>
      </c>
      <c r="D210" s="1">
        <f t="shared" si="7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6" x14ac:dyDescent="0.25">
      <c r="A211" s="91" t="s">
        <v>254</v>
      </c>
      <c r="B211" s="91" t="s">
        <v>293</v>
      </c>
      <c r="C211" s="51" t="s">
        <v>7</v>
      </c>
      <c r="D211" s="1">
        <f t="shared" si="75"/>
        <v>5482.5</v>
      </c>
      <c r="E211" s="1">
        <f t="shared" ref="E211:J211" si="77">E212+E213+E214+E215</f>
        <v>0</v>
      </c>
      <c r="F211" s="1">
        <f t="shared" si="77"/>
        <v>0</v>
      </c>
      <c r="G211" s="1">
        <f t="shared" si="77"/>
        <v>0</v>
      </c>
      <c r="H211" s="1">
        <f t="shared" si="77"/>
        <v>0</v>
      </c>
      <c r="I211" s="1">
        <f t="shared" si="77"/>
        <v>0</v>
      </c>
      <c r="J211" s="1">
        <f t="shared" si="77"/>
        <v>2736.5</v>
      </c>
      <c r="K211" s="1">
        <f>K212+K213+K214+K215</f>
        <v>2746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4" t="s">
        <v>355</v>
      </c>
    </row>
    <row r="212" spans="1:16" ht="15.6" x14ac:dyDescent="0.25">
      <c r="A212" s="92"/>
      <c r="B212" s="92"/>
      <c r="C212" s="51" t="s">
        <v>10</v>
      </c>
      <c r="D212" s="1">
        <f t="shared" si="7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6" x14ac:dyDescent="0.25">
      <c r="A213" s="92"/>
      <c r="B213" s="92"/>
      <c r="C213" s="51" t="s">
        <v>11</v>
      </c>
      <c r="D213" s="1">
        <f t="shared" si="75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6" x14ac:dyDescent="0.25">
      <c r="A214" s="92"/>
      <c r="B214" s="92"/>
      <c r="C214" s="51" t="s">
        <v>12</v>
      </c>
      <c r="D214" s="1">
        <f t="shared" si="75"/>
        <v>5482.5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f>2800-63.5</f>
        <v>2736.5</v>
      </c>
      <c r="K214" s="1">
        <v>2746</v>
      </c>
      <c r="L214" s="1">
        <v>0</v>
      </c>
      <c r="M214" s="1">
        <v>0</v>
      </c>
      <c r="N214" s="1">
        <v>0</v>
      </c>
      <c r="O214" s="1">
        <v>0</v>
      </c>
    </row>
    <row r="215" spans="1:16" ht="17.25" customHeight="1" x14ac:dyDescent="0.25">
      <c r="A215" s="92"/>
      <c r="B215" s="92"/>
      <c r="C215" s="58" t="s">
        <v>13</v>
      </c>
      <c r="D215" s="1">
        <f t="shared" si="7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6" x14ac:dyDescent="0.25">
      <c r="A216" s="91" t="s">
        <v>255</v>
      </c>
      <c r="B216" s="91" t="s">
        <v>341</v>
      </c>
      <c r="C216" s="51" t="s">
        <v>7</v>
      </c>
      <c r="D216" s="1">
        <f t="shared" si="75"/>
        <v>230</v>
      </c>
      <c r="E216" s="1">
        <f t="shared" ref="E216:J216" si="78">E217+E218+E219+E220</f>
        <v>0</v>
      </c>
      <c r="F216" s="1">
        <f t="shared" si="78"/>
        <v>0</v>
      </c>
      <c r="G216" s="1">
        <f t="shared" si="78"/>
        <v>0</v>
      </c>
      <c r="H216" s="1">
        <f t="shared" si="78"/>
        <v>0</v>
      </c>
      <c r="I216" s="1">
        <f t="shared" si="78"/>
        <v>0</v>
      </c>
      <c r="J216" s="1">
        <f t="shared" si="78"/>
        <v>230</v>
      </c>
      <c r="K216" s="1">
        <f>K217+K218+K219+K220</f>
        <v>0</v>
      </c>
      <c r="L216" s="1">
        <f>L217+L218+L219+L220</f>
        <v>0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</row>
    <row r="217" spans="1:16" ht="15.6" x14ac:dyDescent="0.25">
      <c r="A217" s="92"/>
      <c r="B217" s="92"/>
      <c r="C217" s="51" t="s">
        <v>10</v>
      </c>
      <c r="D217" s="1">
        <f t="shared" si="7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6" x14ac:dyDescent="0.25">
      <c r="A218" s="92"/>
      <c r="B218" s="92"/>
      <c r="C218" s="51" t="s">
        <v>11</v>
      </c>
      <c r="D218" s="1">
        <f t="shared" si="75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6" x14ac:dyDescent="0.25">
      <c r="A219" s="92"/>
      <c r="B219" s="92"/>
      <c r="C219" s="51" t="s">
        <v>12</v>
      </c>
      <c r="D219" s="1">
        <f t="shared" si="75"/>
        <v>230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8500-8500+300-65.1-4.9</f>
        <v>230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6" ht="17.25" customHeight="1" x14ac:dyDescent="0.25">
      <c r="A220" s="92"/>
      <c r="B220" s="92"/>
      <c r="C220" s="51" t="s">
        <v>13</v>
      </c>
      <c r="D220" s="1">
        <f t="shared" si="7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6" x14ac:dyDescent="0.25">
      <c r="A221" s="91" t="s">
        <v>256</v>
      </c>
      <c r="B221" s="91" t="s">
        <v>258</v>
      </c>
      <c r="C221" s="51" t="s">
        <v>7</v>
      </c>
      <c r="D221" s="1">
        <f t="shared" si="75"/>
        <v>159.99999999999997</v>
      </c>
      <c r="E221" s="1">
        <f t="shared" ref="E221:J221" si="79">E222+E223+E224+E225</f>
        <v>0</v>
      </c>
      <c r="F221" s="1">
        <f t="shared" si="79"/>
        <v>0</v>
      </c>
      <c r="G221" s="1">
        <f t="shared" si="79"/>
        <v>0</v>
      </c>
      <c r="H221" s="1">
        <f t="shared" si="79"/>
        <v>0</v>
      </c>
      <c r="I221" s="1">
        <f t="shared" si="79"/>
        <v>160</v>
      </c>
      <c r="J221" s="1">
        <f t="shared" si="79"/>
        <v>0</v>
      </c>
      <c r="K221" s="1">
        <f>K222+K223+K224+K225</f>
        <v>-2.2648549702353193E-14</v>
      </c>
      <c r="L221" s="1">
        <f>L222+L223+L224+L225</f>
        <v>0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6" x14ac:dyDescent="0.25">
      <c r="A222" s="92"/>
      <c r="B222" s="92"/>
      <c r="C222" s="51" t="s">
        <v>10</v>
      </c>
      <c r="D222" s="1">
        <f t="shared" si="7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6" x14ac:dyDescent="0.25">
      <c r="A223" s="92"/>
      <c r="B223" s="92"/>
      <c r="C223" s="51" t="s">
        <v>11</v>
      </c>
      <c r="D223" s="1">
        <f t="shared" si="75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6" x14ac:dyDescent="0.25">
      <c r="A224" s="92"/>
      <c r="B224" s="92"/>
      <c r="C224" s="51" t="s">
        <v>12</v>
      </c>
      <c r="D224" s="1">
        <f t="shared" si="75"/>
        <v>159.99999999999997</v>
      </c>
      <c r="E224" s="1">
        <v>0</v>
      </c>
      <c r="F224" s="1">
        <v>0</v>
      </c>
      <c r="G224" s="1">
        <v>0</v>
      </c>
      <c r="H224" s="1">
        <v>0</v>
      </c>
      <c r="I224" s="1">
        <v>160</v>
      </c>
      <c r="J224" s="1">
        <f>2000-600-1400</f>
        <v>0</v>
      </c>
      <c r="K224" s="1">
        <f>454.9-451-3.9</f>
        <v>-2.2648549702353193E-14</v>
      </c>
      <c r="L224" s="1">
        <v>0</v>
      </c>
      <c r="M224" s="1">
        <v>0</v>
      </c>
      <c r="N224" s="1">
        <v>0</v>
      </c>
      <c r="O224" s="1">
        <v>0</v>
      </c>
    </row>
    <row r="225" spans="1:15" ht="24" customHeight="1" x14ac:dyDescent="0.25">
      <c r="A225" s="92"/>
      <c r="B225" s="92"/>
      <c r="C225" s="58" t="s">
        <v>13</v>
      </c>
      <c r="D225" s="1">
        <f t="shared" si="7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15" ht="15.6" x14ac:dyDescent="0.25">
      <c r="A226" s="91" t="s">
        <v>272</v>
      </c>
      <c r="B226" s="89" t="s">
        <v>273</v>
      </c>
      <c r="C226" s="51" t="s">
        <v>7</v>
      </c>
      <c r="D226" s="1">
        <f t="shared" si="75"/>
        <v>1402.5</v>
      </c>
      <c r="E226" s="1">
        <f t="shared" ref="E226:J226" si="80">E227+E228+E229+E230</f>
        <v>0</v>
      </c>
      <c r="F226" s="1">
        <f t="shared" si="80"/>
        <v>0</v>
      </c>
      <c r="G226" s="1">
        <f t="shared" si="80"/>
        <v>0</v>
      </c>
      <c r="H226" s="1">
        <f t="shared" si="80"/>
        <v>0</v>
      </c>
      <c r="I226" s="1">
        <f t="shared" si="80"/>
        <v>1402.5</v>
      </c>
      <c r="J226" s="1">
        <f t="shared" si="80"/>
        <v>0</v>
      </c>
      <c r="K226" s="1">
        <f>K227+K228+K229+K230</f>
        <v>0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15" ht="15.6" x14ac:dyDescent="0.25">
      <c r="A227" s="92"/>
      <c r="B227" s="127"/>
      <c r="C227" s="51" t="s">
        <v>10</v>
      </c>
      <c r="D227" s="1">
        <f t="shared" si="7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 ht="15.6" x14ac:dyDescent="0.25">
      <c r="A228" s="92"/>
      <c r="B228" s="127"/>
      <c r="C228" s="51" t="s">
        <v>11</v>
      </c>
      <c r="D228" s="1">
        <f t="shared" si="75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5" ht="15.6" x14ac:dyDescent="0.25">
      <c r="A229" s="92"/>
      <c r="B229" s="127"/>
      <c r="C229" s="51" t="s">
        <v>12</v>
      </c>
      <c r="D229" s="1">
        <f t="shared" si="75"/>
        <v>1402.5</v>
      </c>
      <c r="E229" s="1">
        <v>0</v>
      </c>
      <c r="F229" s="1">
        <v>0</v>
      </c>
      <c r="G229" s="1">
        <v>0</v>
      </c>
      <c r="H229" s="1">
        <v>0</v>
      </c>
      <c r="I229" s="1">
        <v>1402.5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21.75" customHeight="1" x14ac:dyDescent="0.25">
      <c r="A230" s="92"/>
      <c r="B230" s="128"/>
      <c r="C230" s="58" t="s">
        <v>13</v>
      </c>
      <c r="D230" s="1">
        <f t="shared" si="7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15" ht="15.6" x14ac:dyDescent="0.25">
      <c r="A231" s="91" t="s">
        <v>280</v>
      </c>
      <c r="B231" s="89" t="s">
        <v>281</v>
      </c>
      <c r="C231" s="51" t="s">
        <v>7</v>
      </c>
      <c r="D231" s="1">
        <f t="shared" si="75"/>
        <v>4280.7</v>
      </c>
      <c r="E231" s="1">
        <f t="shared" ref="E231:J231" si="81">E232+E233+E234+E235</f>
        <v>0</v>
      </c>
      <c r="F231" s="1">
        <f t="shared" si="81"/>
        <v>0</v>
      </c>
      <c r="G231" s="1">
        <f t="shared" si="81"/>
        <v>0</v>
      </c>
      <c r="H231" s="1">
        <f t="shared" si="81"/>
        <v>0</v>
      </c>
      <c r="I231" s="1">
        <f t="shared" si="81"/>
        <v>4280.7</v>
      </c>
      <c r="J231" s="1">
        <f t="shared" si="81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15" ht="15.6" x14ac:dyDescent="0.25">
      <c r="A232" s="92"/>
      <c r="B232" s="127"/>
      <c r="C232" s="51" t="s">
        <v>10</v>
      </c>
      <c r="D232" s="1">
        <f t="shared" si="7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 ht="15.6" x14ac:dyDescent="0.25">
      <c r="A233" s="92"/>
      <c r="B233" s="127"/>
      <c r="C233" s="51" t="s">
        <v>11</v>
      </c>
      <c r="D233" s="1">
        <f t="shared" si="75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5" ht="15.6" x14ac:dyDescent="0.25">
      <c r="A234" s="92"/>
      <c r="B234" s="127"/>
      <c r="C234" s="51" t="s">
        <v>12</v>
      </c>
      <c r="D234" s="1">
        <f t="shared" ref="D234:D265" si="82">E234+F234+G234+H234+I234+J234+K234+L234+M234+N234+O234</f>
        <v>4280.7</v>
      </c>
      <c r="E234" s="1">
        <v>0</v>
      </c>
      <c r="F234" s="1">
        <v>0</v>
      </c>
      <c r="G234" s="1">
        <v>0</v>
      </c>
      <c r="H234" s="1">
        <v>0</v>
      </c>
      <c r="I234" s="1">
        <v>4280.7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23.25" customHeight="1" x14ac:dyDescent="0.25">
      <c r="A235" s="92"/>
      <c r="B235" s="128"/>
      <c r="C235" s="51" t="s">
        <v>13</v>
      </c>
      <c r="D235" s="1">
        <f t="shared" si="82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5" ht="15.6" x14ac:dyDescent="0.25">
      <c r="A236" s="91" t="s">
        <v>294</v>
      </c>
      <c r="B236" s="89" t="s">
        <v>372</v>
      </c>
      <c r="C236" s="51" t="s">
        <v>43</v>
      </c>
      <c r="D236" s="1">
        <f t="shared" si="82"/>
        <v>765449.6</v>
      </c>
      <c r="E236" s="1">
        <f t="shared" ref="E236:J236" si="83">E237+E238+E239+E240</f>
        <v>0</v>
      </c>
      <c r="F236" s="1">
        <f t="shared" si="83"/>
        <v>0</v>
      </c>
      <c r="G236" s="1">
        <f t="shared" si="83"/>
        <v>0</v>
      </c>
      <c r="H236" s="1">
        <f t="shared" si="83"/>
        <v>0</v>
      </c>
      <c r="I236" s="1">
        <f t="shared" si="83"/>
        <v>0</v>
      </c>
      <c r="J236" s="1">
        <f t="shared" si="83"/>
        <v>159665.60000000001</v>
      </c>
      <c r="K236" s="1">
        <f>K237+K238+K239+K240</f>
        <v>151446</v>
      </c>
      <c r="L236" s="1">
        <f>L237+L238+L239+L240</f>
        <v>151446</v>
      </c>
      <c r="M236" s="1">
        <f>M237+M238+M239+M240</f>
        <v>151446</v>
      </c>
      <c r="N236" s="1">
        <f>N237+N238+N239+N240</f>
        <v>151446</v>
      </c>
      <c r="O236" s="1">
        <f>O237+O238+O239+O240</f>
        <v>0</v>
      </c>
    </row>
    <row r="237" spans="1:15" ht="15.6" x14ac:dyDescent="0.25">
      <c r="A237" s="92"/>
      <c r="B237" s="127"/>
      <c r="C237" s="51" t="s">
        <v>10</v>
      </c>
      <c r="D237" s="1">
        <f t="shared" si="82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15" ht="15.6" x14ac:dyDescent="0.25">
      <c r="A238" s="92"/>
      <c r="B238" s="127"/>
      <c r="C238" s="51" t="s">
        <v>11</v>
      </c>
      <c r="D238" s="1">
        <f t="shared" si="82"/>
        <v>765449.6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159665.60000000001</v>
      </c>
      <c r="K238" s="1">
        <f>173506.2-22060.2</f>
        <v>151446</v>
      </c>
      <c r="L238" s="1">
        <f>151446</f>
        <v>151446</v>
      </c>
      <c r="M238" s="1">
        <f>151446</f>
        <v>151446</v>
      </c>
      <c r="N238" s="1">
        <v>151446</v>
      </c>
      <c r="O238" s="1">
        <v>0</v>
      </c>
    </row>
    <row r="239" spans="1:15" ht="15.6" x14ac:dyDescent="0.25">
      <c r="A239" s="92"/>
      <c r="B239" s="127"/>
      <c r="C239" s="51" t="s">
        <v>12</v>
      </c>
      <c r="D239" s="1">
        <f t="shared" si="82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24" customHeight="1" x14ac:dyDescent="0.25">
      <c r="A240" s="92"/>
      <c r="B240" s="128"/>
      <c r="C240" s="58" t="s">
        <v>13</v>
      </c>
      <c r="D240" s="1">
        <f t="shared" si="82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ht="15.6" x14ac:dyDescent="0.25">
      <c r="A241" s="91" t="s">
        <v>300</v>
      </c>
      <c r="B241" s="91" t="s">
        <v>306</v>
      </c>
      <c r="C241" s="51" t="s">
        <v>7</v>
      </c>
      <c r="D241" s="1">
        <f t="shared" si="82"/>
        <v>1528</v>
      </c>
      <c r="E241" s="1">
        <f t="shared" ref="E241:J241" si="84">E242+E243+E244+E245</f>
        <v>0</v>
      </c>
      <c r="F241" s="1">
        <f t="shared" si="84"/>
        <v>0</v>
      </c>
      <c r="G241" s="1">
        <f t="shared" si="84"/>
        <v>0</v>
      </c>
      <c r="H241" s="1">
        <f t="shared" si="84"/>
        <v>0</v>
      </c>
      <c r="I241" s="1">
        <f t="shared" si="84"/>
        <v>1528</v>
      </c>
      <c r="J241" s="1">
        <f t="shared" si="84"/>
        <v>0</v>
      </c>
      <c r="K241" s="1">
        <f>K242+K243+K244+K245</f>
        <v>0</v>
      </c>
      <c r="L241" s="1">
        <f>L242+L243+L244+L245</f>
        <v>0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</row>
    <row r="242" spans="1:15" ht="15.6" x14ac:dyDescent="0.25">
      <c r="A242" s="92"/>
      <c r="B242" s="92"/>
      <c r="C242" s="51" t="s">
        <v>10</v>
      </c>
      <c r="D242" s="1">
        <f t="shared" si="8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6" x14ac:dyDescent="0.25">
      <c r="A243" s="92"/>
      <c r="B243" s="92"/>
      <c r="C243" s="51" t="s">
        <v>11</v>
      </c>
      <c r="D243" s="1">
        <f t="shared" si="82"/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</row>
    <row r="244" spans="1:15" ht="15.6" x14ac:dyDescent="0.25">
      <c r="A244" s="92"/>
      <c r="B244" s="92"/>
      <c r="C244" s="51" t="s">
        <v>12</v>
      </c>
      <c r="D244" s="1">
        <f t="shared" si="82"/>
        <v>1528</v>
      </c>
      <c r="E244" s="1">
        <v>0</v>
      </c>
      <c r="F244" s="1">
        <v>0</v>
      </c>
      <c r="G244" s="1">
        <v>0</v>
      </c>
      <c r="H244" s="1">
        <v>0</v>
      </c>
      <c r="I244" s="1">
        <v>1528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24.75" customHeight="1" x14ac:dyDescent="0.25">
      <c r="A245" s="92"/>
      <c r="B245" s="92"/>
      <c r="C245" s="58" t="s">
        <v>13</v>
      </c>
      <c r="D245" s="1">
        <f t="shared" si="8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42" customHeight="1" x14ac:dyDescent="0.25">
      <c r="A246" s="91" t="s">
        <v>302</v>
      </c>
      <c r="B246" s="91" t="s">
        <v>377</v>
      </c>
      <c r="C246" s="51" t="s">
        <v>7</v>
      </c>
      <c r="D246" s="1">
        <f t="shared" si="82"/>
        <v>50891.799999999996</v>
      </c>
      <c r="E246" s="1">
        <f t="shared" ref="E246:J246" si="85">E247+E248+E249+E250</f>
        <v>0</v>
      </c>
      <c r="F246" s="1">
        <f t="shared" si="85"/>
        <v>0</v>
      </c>
      <c r="G246" s="1">
        <f t="shared" si="85"/>
        <v>0</v>
      </c>
      <c r="H246" s="1">
        <f t="shared" si="85"/>
        <v>0</v>
      </c>
      <c r="I246" s="1">
        <f t="shared" si="85"/>
        <v>0</v>
      </c>
      <c r="J246" s="1">
        <f t="shared" si="85"/>
        <v>50891.799999999996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15" ht="19.5" customHeight="1" x14ac:dyDescent="0.25">
      <c r="A247" s="92"/>
      <c r="B247" s="92"/>
      <c r="C247" s="51" t="s">
        <v>10</v>
      </c>
      <c r="D247" s="1">
        <f t="shared" si="8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15.6" x14ac:dyDescent="0.25">
      <c r="A248" s="92"/>
      <c r="B248" s="92"/>
      <c r="C248" s="51" t="s">
        <v>11</v>
      </c>
      <c r="D248" s="1">
        <f t="shared" si="82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ht="15.6" x14ac:dyDescent="0.25">
      <c r="A249" s="92"/>
      <c r="B249" s="92"/>
      <c r="C249" s="51" t="s">
        <v>12</v>
      </c>
      <c r="D249" s="1">
        <f t="shared" si="82"/>
        <v>50891.799999999996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f>58078.1-10000+10000-9132.4+146.1+1800</f>
        <v>50891.799999999996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29.25" customHeight="1" x14ac:dyDescent="0.25">
      <c r="A250" s="92"/>
      <c r="B250" s="92"/>
      <c r="C250" s="58" t="s">
        <v>13</v>
      </c>
      <c r="D250" s="1">
        <f t="shared" si="8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6" x14ac:dyDescent="0.25">
      <c r="A251" s="91" t="s">
        <v>305</v>
      </c>
      <c r="B251" s="89" t="s">
        <v>321</v>
      </c>
      <c r="C251" s="51" t="s">
        <v>7</v>
      </c>
      <c r="D251" s="1">
        <f t="shared" si="82"/>
        <v>0</v>
      </c>
      <c r="E251" s="1">
        <f t="shared" ref="E251:J251" si="86">E252+E253+E254+E255</f>
        <v>0</v>
      </c>
      <c r="F251" s="1">
        <f t="shared" si="86"/>
        <v>0</v>
      </c>
      <c r="G251" s="1">
        <f t="shared" si="86"/>
        <v>0</v>
      </c>
      <c r="H251" s="1">
        <f t="shared" si="86"/>
        <v>0</v>
      </c>
      <c r="I251" s="1">
        <f t="shared" si="86"/>
        <v>0</v>
      </c>
      <c r="J251" s="1">
        <f t="shared" si="86"/>
        <v>0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15" ht="15.6" x14ac:dyDescent="0.25">
      <c r="A252" s="92"/>
      <c r="B252" s="127"/>
      <c r="C252" s="51" t="s">
        <v>10</v>
      </c>
      <c r="D252" s="1">
        <f t="shared" si="8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6" x14ac:dyDescent="0.25">
      <c r="A253" s="92"/>
      <c r="B253" s="127"/>
      <c r="C253" s="51" t="s">
        <v>11</v>
      </c>
      <c r="D253" s="1">
        <f t="shared" si="82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ht="15.6" x14ac:dyDescent="0.25">
      <c r="A254" s="92"/>
      <c r="B254" s="127"/>
      <c r="C254" s="51" t="s">
        <v>12</v>
      </c>
      <c r="D254" s="1">
        <f t="shared" si="82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21.75" customHeight="1" x14ac:dyDescent="0.25">
      <c r="A255" s="92"/>
      <c r="B255" s="128"/>
      <c r="C255" s="58" t="s">
        <v>13</v>
      </c>
      <c r="D255" s="1">
        <f t="shared" si="8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6" x14ac:dyDescent="0.25">
      <c r="A256" s="91" t="s">
        <v>320</v>
      </c>
      <c r="B256" s="89" t="s">
        <v>324</v>
      </c>
      <c r="C256" s="58" t="s">
        <v>7</v>
      </c>
      <c r="D256" s="1">
        <f t="shared" si="82"/>
        <v>1919</v>
      </c>
      <c r="E256" s="1">
        <f t="shared" ref="E256:J256" si="87">E257+E258+E259+E260</f>
        <v>0</v>
      </c>
      <c r="F256" s="1">
        <f t="shared" si="87"/>
        <v>0</v>
      </c>
      <c r="G256" s="1">
        <f t="shared" si="87"/>
        <v>0</v>
      </c>
      <c r="H256" s="1">
        <f t="shared" si="87"/>
        <v>0</v>
      </c>
      <c r="I256" s="1">
        <f t="shared" si="87"/>
        <v>0</v>
      </c>
      <c r="J256" s="1">
        <f t="shared" si="87"/>
        <v>1919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6" ht="15.6" x14ac:dyDescent="0.25">
      <c r="A257" s="92"/>
      <c r="B257" s="127"/>
      <c r="C257" s="58" t="s">
        <v>10</v>
      </c>
      <c r="D257" s="1">
        <f t="shared" si="8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6" ht="15.6" x14ac:dyDescent="0.25">
      <c r="A258" s="92"/>
      <c r="B258" s="127"/>
      <c r="C258" s="58" t="s">
        <v>11</v>
      </c>
      <c r="D258" s="1">
        <f t="shared" si="82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6" ht="15.6" x14ac:dyDescent="0.25">
      <c r="A259" s="92"/>
      <c r="B259" s="127"/>
      <c r="C259" s="58" t="s">
        <v>12</v>
      </c>
      <c r="D259" s="1">
        <f t="shared" si="82"/>
        <v>1919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f>2000-81</f>
        <v>1919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23.25" customHeight="1" x14ac:dyDescent="0.25">
      <c r="A260" s="92"/>
      <c r="B260" s="128"/>
      <c r="C260" s="58" t="s">
        <v>13</v>
      </c>
      <c r="D260" s="1">
        <f t="shared" si="8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6" ht="15.6" x14ac:dyDescent="0.25">
      <c r="A261" s="91" t="s">
        <v>322</v>
      </c>
      <c r="B261" s="89" t="s">
        <v>325</v>
      </c>
      <c r="C261" s="58" t="s">
        <v>7</v>
      </c>
      <c r="D261" s="1">
        <f t="shared" si="82"/>
        <v>15794.3</v>
      </c>
      <c r="E261" s="1">
        <f t="shared" ref="E261:J261" si="88">E262+E263+E264+E265</f>
        <v>0</v>
      </c>
      <c r="F261" s="1">
        <f t="shared" si="88"/>
        <v>0</v>
      </c>
      <c r="G261" s="1">
        <f t="shared" si="88"/>
        <v>0</v>
      </c>
      <c r="H261" s="1">
        <f t="shared" si="88"/>
        <v>0</v>
      </c>
      <c r="I261" s="1">
        <f t="shared" si="88"/>
        <v>0</v>
      </c>
      <c r="J261" s="1">
        <f t="shared" si="88"/>
        <v>7794.2999999999993</v>
      </c>
      <c r="K261" s="1">
        <f>K262+K263+K264+K265</f>
        <v>8000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6" ht="16.5" customHeight="1" x14ac:dyDescent="0.25">
      <c r="A262" s="92"/>
      <c r="B262" s="127"/>
      <c r="C262" s="51" t="s">
        <v>10</v>
      </c>
      <c r="D262" s="1">
        <f t="shared" si="8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6" ht="16.5" customHeight="1" x14ac:dyDescent="0.25">
      <c r="A263" s="92"/>
      <c r="B263" s="127"/>
      <c r="C263" s="51" t="s">
        <v>11</v>
      </c>
      <c r="D263" s="1">
        <f t="shared" si="82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6" ht="16.5" customHeight="1" x14ac:dyDescent="0.25">
      <c r="A264" s="92"/>
      <c r="B264" s="127"/>
      <c r="C264" s="51" t="s">
        <v>12</v>
      </c>
      <c r="D264" s="1">
        <f t="shared" si="82"/>
        <v>15794.3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8000-205.6-0.1</f>
        <v>7794.2999999999993</v>
      </c>
      <c r="K264" s="1">
        <v>8000</v>
      </c>
      <c r="L264" s="1">
        <v>0</v>
      </c>
      <c r="M264" s="1">
        <v>0</v>
      </c>
      <c r="N264" s="1">
        <v>0</v>
      </c>
      <c r="O264" s="1">
        <v>0</v>
      </c>
    </row>
    <row r="265" spans="1:16" ht="27.75" customHeight="1" x14ac:dyDescent="0.25">
      <c r="A265" s="92"/>
      <c r="B265" s="128"/>
      <c r="C265" s="58" t="s">
        <v>13</v>
      </c>
      <c r="D265" s="1">
        <f t="shared" si="8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6" ht="15.6" x14ac:dyDescent="0.25">
      <c r="A266" s="91" t="s">
        <v>323</v>
      </c>
      <c r="B266" s="91" t="s">
        <v>340</v>
      </c>
      <c r="C266" s="58" t="s">
        <v>7</v>
      </c>
      <c r="D266" s="1">
        <f t="shared" ref="D266:D275" si="89">E266+F266+G266+H266+I266+J266+K266+L266+M266+N266+O266</f>
        <v>9202</v>
      </c>
      <c r="E266" s="1">
        <f t="shared" ref="E266:J266" si="90">E267+E268+E269+E270</f>
        <v>0</v>
      </c>
      <c r="F266" s="1">
        <f t="shared" si="90"/>
        <v>0</v>
      </c>
      <c r="G266" s="1">
        <f t="shared" si="90"/>
        <v>0</v>
      </c>
      <c r="H266" s="1">
        <f t="shared" si="90"/>
        <v>0</v>
      </c>
      <c r="I266" s="1">
        <f t="shared" si="90"/>
        <v>0</v>
      </c>
      <c r="J266" s="1">
        <f t="shared" si="90"/>
        <v>9202</v>
      </c>
      <c r="K266" s="1">
        <f>K267+K268+K269+K270</f>
        <v>0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6" ht="16.5" customHeight="1" x14ac:dyDescent="0.25">
      <c r="A267" s="92"/>
      <c r="B267" s="92"/>
      <c r="C267" s="51" t="s">
        <v>10</v>
      </c>
      <c r="D267" s="1">
        <f t="shared" si="89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6" ht="16.5" customHeight="1" x14ac:dyDescent="0.25">
      <c r="A268" s="92"/>
      <c r="B268" s="92"/>
      <c r="C268" s="51" t="s">
        <v>11</v>
      </c>
      <c r="D268" s="1">
        <f t="shared" si="89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6" ht="16.5" customHeight="1" x14ac:dyDescent="0.25">
      <c r="A269" s="92"/>
      <c r="B269" s="92"/>
      <c r="C269" s="51" t="s">
        <v>12</v>
      </c>
      <c r="D269" s="1">
        <f t="shared" si="89"/>
        <v>9202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10000-798</f>
        <v>9202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6" ht="24.75" customHeight="1" x14ac:dyDescent="0.25">
      <c r="A270" s="92"/>
      <c r="B270" s="92"/>
      <c r="C270" s="58" t="s">
        <v>13</v>
      </c>
      <c r="D270" s="1">
        <f t="shared" si="89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6" ht="41.25" customHeight="1" x14ac:dyDescent="0.25">
      <c r="A271" s="91" t="s">
        <v>337</v>
      </c>
      <c r="B271" s="91" t="s">
        <v>378</v>
      </c>
      <c r="C271" s="58" t="s">
        <v>7</v>
      </c>
      <c r="D271" s="1">
        <f t="shared" si="89"/>
        <v>8744.6</v>
      </c>
      <c r="E271" s="1">
        <f t="shared" ref="E271:J271" si="91">E272+E273+E274+E275</f>
        <v>0</v>
      </c>
      <c r="F271" s="1">
        <f t="shared" si="91"/>
        <v>0</v>
      </c>
      <c r="G271" s="1">
        <f t="shared" si="91"/>
        <v>0</v>
      </c>
      <c r="H271" s="1">
        <f>H272+H273+H274+H275</f>
        <v>0</v>
      </c>
      <c r="I271" s="1">
        <f t="shared" si="91"/>
        <v>0</v>
      </c>
      <c r="J271" s="1">
        <f t="shared" si="91"/>
        <v>8679.5</v>
      </c>
      <c r="K271" s="1">
        <f>K272+K273+K274+K275</f>
        <v>65.099999999999994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P271" s="64" t="s">
        <v>349</v>
      </c>
    </row>
    <row r="272" spans="1:16" ht="16.5" customHeight="1" x14ac:dyDescent="0.25">
      <c r="A272" s="92"/>
      <c r="B272" s="92"/>
      <c r="C272" s="51" t="s">
        <v>10</v>
      </c>
      <c r="D272" s="1">
        <f t="shared" si="89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15" ht="16.5" customHeight="1" x14ac:dyDescent="0.25">
      <c r="A273" s="92"/>
      <c r="B273" s="92"/>
      <c r="C273" s="51" t="s">
        <v>11</v>
      </c>
      <c r="D273" s="1">
        <f t="shared" si="89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15" ht="16.5" customHeight="1" x14ac:dyDescent="0.25">
      <c r="A274" s="92"/>
      <c r="B274" s="92"/>
      <c r="C274" s="51" t="s">
        <v>12</v>
      </c>
      <c r="D274" s="1">
        <f t="shared" si="89"/>
        <v>8744.6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8846.9-23.4-144</f>
        <v>8679.5</v>
      </c>
      <c r="K274" s="1">
        <f>0+65.1</f>
        <v>65.099999999999994</v>
      </c>
      <c r="L274" s="1">
        <v>0</v>
      </c>
      <c r="M274" s="1">
        <v>0</v>
      </c>
      <c r="N274" s="1">
        <v>0</v>
      </c>
      <c r="O274" s="1">
        <v>0</v>
      </c>
    </row>
    <row r="275" spans="1:15" ht="16.5" customHeight="1" x14ac:dyDescent="0.25">
      <c r="A275" s="92"/>
      <c r="B275" s="92"/>
      <c r="C275" s="58" t="s">
        <v>13</v>
      </c>
      <c r="D275" s="1">
        <f t="shared" si="89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15" ht="42" customHeight="1" x14ac:dyDescent="0.25">
      <c r="A276" s="91" t="s">
        <v>367</v>
      </c>
      <c r="B276" s="91" t="s">
        <v>384</v>
      </c>
      <c r="C276" s="58" t="s">
        <v>7</v>
      </c>
      <c r="D276" s="1">
        <f t="shared" ref="D276:D297" si="92">E276+F276+G276+H276+I276+J276+K276+L276+M276+N276+O276</f>
        <v>25000</v>
      </c>
      <c r="E276" s="1">
        <f t="shared" ref="E276:O276" si="93">E277+E278+E279+E280</f>
        <v>0</v>
      </c>
      <c r="F276" s="1">
        <f t="shared" si="93"/>
        <v>0</v>
      </c>
      <c r="G276" s="1">
        <f t="shared" si="93"/>
        <v>0</v>
      </c>
      <c r="H276" s="1">
        <f t="shared" si="93"/>
        <v>0</v>
      </c>
      <c r="I276" s="1">
        <f t="shared" si="93"/>
        <v>0</v>
      </c>
      <c r="J276" s="1">
        <f t="shared" si="93"/>
        <v>0</v>
      </c>
      <c r="K276" s="1">
        <f t="shared" si="93"/>
        <v>0</v>
      </c>
      <c r="L276" s="1">
        <f t="shared" si="93"/>
        <v>25000</v>
      </c>
      <c r="M276" s="1">
        <f t="shared" si="93"/>
        <v>0</v>
      </c>
      <c r="N276" s="1">
        <f t="shared" si="93"/>
        <v>0</v>
      </c>
      <c r="O276" s="1">
        <f t="shared" si="93"/>
        <v>0</v>
      </c>
    </row>
    <row r="277" spans="1:15" ht="16.5" customHeight="1" x14ac:dyDescent="0.25">
      <c r="A277" s="92"/>
      <c r="B277" s="92"/>
      <c r="C277" s="51" t="s">
        <v>10</v>
      </c>
      <c r="D277" s="1">
        <f t="shared" si="92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15" ht="16.5" customHeight="1" x14ac:dyDescent="0.25">
      <c r="A278" s="92"/>
      <c r="B278" s="92"/>
      <c r="C278" s="51" t="s">
        <v>11</v>
      </c>
      <c r="D278" s="1">
        <f t="shared" si="92"/>
        <v>23500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23500</v>
      </c>
      <c r="M278" s="1">
        <v>0</v>
      </c>
      <c r="N278" s="1">
        <v>0</v>
      </c>
      <c r="O278" s="1">
        <v>0</v>
      </c>
    </row>
    <row r="279" spans="1:15" ht="16.5" customHeight="1" x14ac:dyDescent="0.25">
      <c r="A279" s="92"/>
      <c r="B279" s="92"/>
      <c r="C279" s="51" t="s">
        <v>12</v>
      </c>
      <c r="D279" s="1">
        <f t="shared" si="92"/>
        <v>1500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1500</v>
      </c>
      <c r="M279" s="1">
        <v>0</v>
      </c>
      <c r="N279" s="1">
        <v>0</v>
      </c>
      <c r="O279" s="1">
        <v>0</v>
      </c>
    </row>
    <row r="280" spans="1:15" ht="23.25" customHeight="1" x14ac:dyDescent="0.25">
      <c r="A280" s="92"/>
      <c r="B280" s="92"/>
      <c r="C280" s="58" t="s">
        <v>13</v>
      </c>
      <c r="D280" s="1">
        <f t="shared" si="92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15" ht="15.6" x14ac:dyDescent="0.25">
      <c r="A281" s="91" t="s">
        <v>368</v>
      </c>
      <c r="B281" s="91" t="s">
        <v>369</v>
      </c>
      <c r="C281" s="58" t="s">
        <v>7</v>
      </c>
      <c r="D281" s="1">
        <f t="shared" si="92"/>
        <v>1934.9</v>
      </c>
      <c r="E281" s="1">
        <f t="shared" ref="E281:O281" si="94">E282+E283+E284+E285</f>
        <v>0</v>
      </c>
      <c r="F281" s="1">
        <f t="shared" si="94"/>
        <v>0</v>
      </c>
      <c r="G281" s="1">
        <f t="shared" si="94"/>
        <v>0</v>
      </c>
      <c r="H281" s="1">
        <f t="shared" si="94"/>
        <v>0</v>
      </c>
      <c r="I281" s="1">
        <f t="shared" si="94"/>
        <v>0</v>
      </c>
      <c r="J281" s="1">
        <f t="shared" si="94"/>
        <v>0</v>
      </c>
      <c r="K281" s="1">
        <f t="shared" si="94"/>
        <v>1934.9</v>
      </c>
      <c r="L281" s="1">
        <f t="shared" si="94"/>
        <v>0</v>
      </c>
      <c r="M281" s="1">
        <f t="shared" si="94"/>
        <v>0</v>
      </c>
      <c r="N281" s="1">
        <f t="shared" si="94"/>
        <v>0</v>
      </c>
      <c r="O281" s="1">
        <f t="shared" si="94"/>
        <v>0</v>
      </c>
    </row>
    <row r="282" spans="1:15" ht="16.5" customHeight="1" x14ac:dyDescent="0.25">
      <c r="A282" s="92"/>
      <c r="B282" s="92"/>
      <c r="C282" s="51" t="s">
        <v>10</v>
      </c>
      <c r="D282" s="1">
        <f t="shared" si="92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 ht="16.5" customHeight="1" x14ac:dyDescent="0.25">
      <c r="A283" s="92"/>
      <c r="B283" s="92"/>
      <c r="C283" s="51" t="s">
        <v>11</v>
      </c>
      <c r="D283" s="1">
        <f t="shared" si="92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 ht="16.5" customHeight="1" x14ac:dyDescent="0.25">
      <c r="A284" s="92"/>
      <c r="B284" s="92"/>
      <c r="C284" s="51" t="s">
        <v>12</v>
      </c>
      <c r="D284" s="1">
        <f t="shared" si="92"/>
        <v>1934.9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f>2000-65.1</f>
        <v>1934.9</v>
      </c>
      <c r="L284" s="1">
        <v>0</v>
      </c>
      <c r="M284" s="1">
        <v>0</v>
      </c>
      <c r="N284" s="1">
        <v>0</v>
      </c>
      <c r="O284" s="1">
        <v>0</v>
      </c>
    </row>
    <row r="285" spans="1:15" ht="24" customHeight="1" x14ac:dyDescent="0.25">
      <c r="A285" s="92"/>
      <c r="B285" s="92"/>
      <c r="C285" s="58" t="s">
        <v>13</v>
      </c>
      <c r="D285" s="1">
        <f t="shared" si="92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15" ht="15.6" x14ac:dyDescent="0.25">
      <c r="A286" s="91" t="s">
        <v>370</v>
      </c>
      <c r="B286" s="91" t="s">
        <v>395</v>
      </c>
      <c r="C286" s="58" t="s">
        <v>7</v>
      </c>
      <c r="D286" s="1">
        <f t="shared" si="92"/>
        <v>0</v>
      </c>
      <c r="E286" s="1">
        <f t="shared" ref="E286:O287" si="95">E287+E288+E289+E290</f>
        <v>0</v>
      </c>
      <c r="F286" s="1">
        <f t="shared" si="95"/>
        <v>0</v>
      </c>
      <c r="G286" s="1">
        <f t="shared" si="95"/>
        <v>0</v>
      </c>
      <c r="H286" s="1">
        <f t="shared" si="95"/>
        <v>0</v>
      </c>
      <c r="I286" s="1">
        <f t="shared" si="95"/>
        <v>0</v>
      </c>
      <c r="J286" s="1">
        <f t="shared" si="95"/>
        <v>0</v>
      </c>
      <c r="K286" s="1">
        <f t="shared" si="95"/>
        <v>0</v>
      </c>
      <c r="L286" s="1">
        <f t="shared" si="95"/>
        <v>0</v>
      </c>
      <c r="M286" s="1">
        <f t="shared" si="95"/>
        <v>0</v>
      </c>
      <c r="N286" s="1">
        <f t="shared" si="95"/>
        <v>0</v>
      </c>
      <c r="O286" s="1">
        <f t="shared" si="95"/>
        <v>0</v>
      </c>
    </row>
    <row r="287" spans="1:15" ht="16.5" customHeight="1" x14ac:dyDescent="0.25">
      <c r="A287" s="92"/>
      <c r="B287" s="92"/>
      <c r="C287" s="51" t="s">
        <v>10</v>
      </c>
      <c r="D287" s="1">
        <f t="shared" si="92"/>
        <v>0</v>
      </c>
      <c r="E287" s="1">
        <f t="shared" si="95"/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15" ht="16.5" customHeight="1" x14ac:dyDescent="0.25">
      <c r="A288" s="92"/>
      <c r="B288" s="92"/>
      <c r="C288" s="51" t="s">
        <v>11</v>
      </c>
      <c r="D288" s="1">
        <f t="shared" si="92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15" ht="16.5" customHeight="1" x14ac:dyDescent="0.25">
      <c r="A289" s="92"/>
      <c r="B289" s="92"/>
      <c r="C289" s="51" t="s">
        <v>12</v>
      </c>
      <c r="D289" s="1">
        <f t="shared" si="92"/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15" ht="21.75" customHeight="1" x14ac:dyDescent="0.25">
      <c r="A290" s="92"/>
      <c r="B290" s="92"/>
      <c r="C290" s="58" t="s">
        <v>13</v>
      </c>
      <c r="D290" s="1">
        <f t="shared" si="92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15" ht="15.6" hidden="1" x14ac:dyDescent="0.25">
      <c r="A291" s="91" t="s">
        <v>371</v>
      </c>
      <c r="B291" s="91" t="s">
        <v>301</v>
      </c>
      <c r="C291" s="58" t="s">
        <v>7</v>
      </c>
      <c r="D291" s="1">
        <f t="shared" si="92"/>
        <v>0</v>
      </c>
      <c r="E291" s="1">
        <f t="shared" ref="E291:O291" si="96">E292+E293+E294+E295</f>
        <v>0</v>
      </c>
      <c r="F291" s="1">
        <f t="shared" si="96"/>
        <v>0</v>
      </c>
      <c r="G291" s="1">
        <f t="shared" si="96"/>
        <v>0</v>
      </c>
      <c r="H291" s="1">
        <f t="shared" si="96"/>
        <v>0</v>
      </c>
      <c r="I291" s="1">
        <f t="shared" si="96"/>
        <v>0</v>
      </c>
      <c r="J291" s="1">
        <f t="shared" si="96"/>
        <v>0</v>
      </c>
      <c r="K291" s="1">
        <f t="shared" si="96"/>
        <v>0</v>
      </c>
      <c r="L291" s="1">
        <f t="shared" si="96"/>
        <v>0</v>
      </c>
      <c r="M291" s="1">
        <f t="shared" si="96"/>
        <v>0</v>
      </c>
      <c r="N291" s="1">
        <f t="shared" si="96"/>
        <v>0</v>
      </c>
      <c r="O291" s="1">
        <f t="shared" si="96"/>
        <v>0</v>
      </c>
    </row>
    <row r="292" spans="1:15" ht="16.5" hidden="1" customHeight="1" x14ac:dyDescent="0.25">
      <c r="A292" s="92"/>
      <c r="B292" s="92"/>
      <c r="C292" s="51" t="s">
        <v>10</v>
      </c>
      <c r="D292" s="1">
        <f t="shared" si="92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15" ht="16.5" hidden="1" customHeight="1" x14ac:dyDescent="0.25">
      <c r="A293" s="92"/>
      <c r="B293" s="92"/>
      <c r="C293" s="51" t="s">
        <v>11</v>
      </c>
      <c r="D293" s="1">
        <f t="shared" si="92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15" ht="16.5" hidden="1" customHeight="1" x14ac:dyDescent="0.25">
      <c r="A294" s="92"/>
      <c r="B294" s="92"/>
      <c r="C294" s="51" t="s">
        <v>12</v>
      </c>
      <c r="D294" s="1">
        <f t="shared" si="92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f>4000-4000</f>
        <v>0</v>
      </c>
      <c r="L294" s="1">
        <v>0</v>
      </c>
      <c r="M294" s="1">
        <v>0</v>
      </c>
      <c r="N294" s="1">
        <v>0</v>
      </c>
      <c r="O294" s="1">
        <v>0</v>
      </c>
    </row>
    <row r="295" spans="1:15" ht="24" hidden="1" customHeight="1" x14ac:dyDescent="0.25">
      <c r="A295" s="92"/>
      <c r="B295" s="92"/>
      <c r="C295" s="58" t="s">
        <v>13</v>
      </c>
      <c r="D295" s="1">
        <f t="shared" si="92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15" s="8" customFormat="1" ht="24.75" customHeight="1" x14ac:dyDescent="0.25">
      <c r="A296" s="89" t="s">
        <v>371</v>
      </c>
      <c r="B296" s="89" t="s">
        <v>380</v>
      </c>
      <c r="C296" s="58" t="s">
        <v>7</v>
      </c>
      <c r="D296" s="1">
        <f t="shared" si="92"/>
        <v>231199.80000000002</v>
      </c>
      <c r="E296" s="1">
        <f>E297+E298+E299+E300</f>
        <v>0</v>
      </c>
      <c r="F296" s="1">
        <f t="shared" ref="F296:O296" si="97">F297+F298+F299+F300</f>
        <v>0</v>
      </c>
      <c r="G296" s="1">
        <f t="shared" si="97"/>
        <v>0</v>
      </c>
      <c r="H296" s="1">
        <f t="shared" si="97"/>
        <v>0</v>
      </c>
      <c r="I296" s="1">
        <f t="shared" si="97"/>
        <v>0</v>
      </c>
      <c r="J296" s="1">
        <f t="shared" si="97"/>
        <v>0</v>
      </c>
      <c r="K296" s="1">
        <f t="shared" si="97"/>
        <v>96985.5</v>
      </c>
      <c r="L296" s="1">
        <f t="shared" si="97"/>
        <v>44738.1</v>
      </c>
      <c r="M296" s="1">
        <f t="shared" si="97"/>
        <v>44738.1</v>
      </c>
      <c r="N296" s="1">
        <f t="shared" si="97"/>
        <v>44738.1</v>
      </c>
      <c r="O296" s="1">
        <f t="shared" si="97"/>
        <v>0</v>
      </c>
    </row>
    <row r="297" spans="1:15" s="8" customFormat="1" ht="24.75" customHeight="1" x14ac:dyDescent="0.25">
      <c r="A297" s="104"/>
      <c r="B297" s="104"/>
      <c r="C297" s="51" t="s">
        <v>10</v>
      </c>
      <c r="D297" s="1">
        <f t="shared" si="92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15" s="8" customFormat="1" ht="24.75" customHeight="1" x14ac:dyDescent="0.25">
      <c r="A298" s="104"/>
      <c r="B298" s="104"/>
      <c r="C298" s="51" t="s">
        <v>11</v>
      </c>
      <c r="D298" s="1">
        <f>E298+F298+G298+H298+I298+J298+K298+L298+M298+N298+O298</f>
        <v>231199.80000000002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f>139260-42274.5</f>
        <v>96985.5</v>
      </c>
      <c r="L298" s="1">
        <f>44738.1</f>
        <v>44738.1</v>
      </c>
      <c r="M298" s="1">
        <f>44738.1</f>
        <v>44738.1</v>
      </c>
      <c r="N298" s="1">
        <v>44738.1</v>
      </c>
      <c r="O298" s="1">
        <v>0</v>
      </c>
    </row>
    <row r="299" spans="1:15" s="8" customFormat="1" ht="24.75" customHeight="1" x14ac:dyDescent="0.25">
      <c r="A299" s="104"/>
      <c r="B299" s="104"/>
      <c r="C299" s="51" t="s">
        <v>12</v>
      </c>
      <c r="D299" s="1">
        <f t="shared" ref="D299:D305" si="98">E299+F299+G299+H299+I299+J299+K299+L299+M299+N299+O299</f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15" s="8" customFormat="1" ht="24.75" customHeight="1" x14ac:dyDescent="0.25">
      <c r="A300" s="90"/>
      <c r="B300" s="90"/>
      <c r="C300" s="58" t="s">
        <v>13</v>
      </c>
      <c r="D300" s="1">
        <f t="shared" si="98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15" s="8" customFormat="1" ht="22.5" customHeight="1" x14ac:dyDescent="0.25">
      <c r="A301" s="91" t="s">
        <v>418</v>
      </c>
      <c r="B301" s="91" t="s">
        <v>387</v>
      </c>
      <c r="C301" s="51" t="s">
        <v>7</v>
      </c>
      <c r="D301" s="1">
        <f t="shared" si="98"/>
        <v>553.4</v>
      </c>
      <c r="E301" s="1">
        <f>E302+E303+E304+E305</f>
        <v>0</v>
      </c>
      <c r="F301" s="1">
        <f t="shared" ref="F301:L301" si="99">F302+F303+F304+F305</f>
        <v>0</v>
      </c>
      <c r="G301" s="1">
        <f t="shared" si="99"/>
        <v>0</v>
      </c>
      <c r="H301" s="1">
        <f t="shared" si="99"/>
        <v>0</v>
      </c>
      <c r="I301" s="1">
        <f t="shared" si="99"/>
        <v>0</v>
      </c>
      <c r="J301" s="1">
        <f t="shared" si="99"/>
        <v>0</v>
      </c>
      <c r="K301" s="1">
        <f t="shared" si="99"/>
        <v>553.4</v>
      </c>
      <c r="L301" s="1">
        <f t="shared" si="99"/>
        <v>0</v>
      </c>
      <c r="M301" s="1">
        <f t="shared" ref="M301" si="100">M302+M303+M304+M305</f>
        <v>0</v>
      </c>
      <c r="N301" s="1">
        <f t="shared" ref="N301" si="101">N302+N303+N304+N305</f>
        <v>0</v>
      </c>
      <c r="O301" s="1">
        <f t="shared" ref="O301" si="102">O302+O303+O304+O305</f>
        <v>0</v>
      </c>
    </row>
    <row r="302" spans="1:15" s="8" customFormat="1" ht="22.5" customHeight="1" x14ac:dyDescent="0.25">
      <c r="A302" s="92"/>
      <c r="B302" s="91"/>
      <c r="C302" s="58" t="s">
        <v>10</v>
      </c>
      <c r="D302" s="1">
        <f t="shared" si="98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15" s="8" customFormat="1" ht="22.5" customHeight="1" x14ac:dyDescent="0.25">
      <c r="A303" s="92"/>
      <c r="B303" s="91"/>
      <c r="C303" s="58" t="s">
        <v>11</v>
      </c>
      <c r="D303" s="1">
        <f>E303+F303+G303+H303+I303+J303+K303+L303+M303+N303+O303</f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</row>
    <row r="304" spans="1:15" s="8" customFormat="1" ht="22.5" customHeight="1" x14ac:dyDescent="0.25">
      <c r="A304" s="92"/>
      <c r="B304" s="91"/>
      <c r="C304" s="58" t="s">
        <v>12</v>
      </c>
      <c r="D304" s="1">
        <f t="shared" si="98"/>
        <v>553.4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553.4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5">
      <c r="A305" s="92"/>
      <c r="B305" s="91"/>
      <c r="C305" s="58" t="s">
        <v>13</v>
      </c>
      <c r="D305" s="1">
        <f t="shared" si="98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18.75" customHeight="1" x14ac:dyDescent="0.25">
      <c r="A306" s="91" t="s">
        <v>388</v>
      </c>
      <c r="B306" s="91" t="s">
        <v>390</v>
      </c>
      <c r="C306" s="51" t="s">
        <v>7</v>
      </c>
      <c r="D306" s="1">
        <f t="shared" ref="D306:D307" si="103">E306+F306+G306+H306+I306+J306+K306+L306+M306+N306+O306</f>
        <v>2700</v>
      </c>
      <c r="E306" s="1">
        <f>E307+E308+E309+E310</f>
        <v>0</v>
      </c>
      <c r="F306" s="1">
        <f t="shared" ref="F306:O306" si="104">F307+F308+F309+F310</f>
        <v>0</v>
      </c>
      <c r="G306" s="1">
        <f t="shared" si="104"/>
        <v>0</v>
      </c>
      <c r="H306" s="1">
        <f t="shared" si="104"/>
        <v>0</v>
      </c>
      <c r="I306" s="1">
        <f t="shared" si="104"/>
        <v>0</v>
      </c>
      <c r="J306" s="1">
        <f t="shared" si="104"/>
        <v>0</v>
      </c>
      <c r="K306" s="1">
        <f t="shared" si="104"/>
        <v>2700</v>
      </c>
      <c r="L306" s="1">
        <f t="shared" si="104"/>
        <v>0</v>
      </c>
      <c r="M306" s="1">
        <f t="shared" si="104"/>
        <v>0</v>
      </c>
      <c r="N306" s="1">
        <f t="shared" si="104"/>
        <v>0</v>
      </c>
      <c r="O306" s="1">
        <f t="shared" si="104"/>
        <v>0</v>
      </c>
    </row>
    <row r="307" spans="1:15" s="8" customFormat="1" ht="18.75" customHeight="1" x14ac:dyDescent="0.25">
      <c r="A307" s="92"/>
      <c r="B307" s="91"/>
      <c r="C307" s="58" t="s">
        <v>10</v>
      </c>
      <c r="D307" s="1">
        <f t="shared" si="103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5">
      <c r="A308" s="92"/>
      <c r="B308" s="91"/>
      <c r="C308" s="58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18.75" customHeight="1" x14ac:dyDescent="0.25">
      <c r="A309" s="92"/>
      <c r="B309" s="91"/>
      <c r="C309" s="58" t="s">
        <v>12</v>
      </c>
      <c r="D309" s="1">
        <f t="shared" ref="D309:D310" si="105">E309+F309+G309+H309+I309+J309+K309+L309+M309+N309+O309</f>
        <v>2700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2700</v>
      </c>
      <c r="L309" s="1">
        <v>0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5">
      <c r="A310" s="92"/>
      <c r="B310" s="91"/>
      <c r="C310" s="58" t="s">
        <v>13</v>
      </c>
      <c r="D310" s="1">
        <f t="shared" si="105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5">
      <c r="A311" s="89" t="s">
        <v>389</v>
      </c>
      <c r="B311" s="89" t="s">
        <v>397</v>
      </c>
      <c r="C311" s="51" t="s">
        <v>7</v>
      </c>
      <c r="D311" s="1">
        <f>SUM(D312:D315)</f>
        <v>451</v>
      </c>
      <c r="E311" s="1">
        <f t="shared" ref="E311:J311" si="106">SUM(E312:E315)</f>
        <v>0</v>
      </c>
      <c r="F311" s="1">
        <f t="shared" si="106"/>
        <v>0</v>
      </c>
      <c r="G311" s="1">
        <f t="shared" si="106"/>
        <v>0</v>
      </c>
      <c r="H311" s="1">
        <f t="shared" si="106"/>
        <v>0</v>
      </c>
      <c r="I311" s="1">
        <f t="shared" si="106"/>
        <v>0</v>
      </c>
      <c r="J311" s="1">
        <f t="shared" si="106"/>
        <v>0</v>
      </c>
      <c r="K311" s="1">
        <f>SUM(K312:K315)</f>
        <v>451</v>
      </c>
      <c r="L311" s="1">
        <v>0</v>
      </c>
      <c r="M311" s="1">
        <v>0</v>
      </c>
      <c r="N311" s="1">
        <v>0</v>
      </c>
      <c r="O311" s="1">
        <v>0</v>
      </c>
    </row>
    <row r="312" spans="1:15" s="8" customFormat="1" ht="18.75" customHeight="1" x14ac:dyDescent="0.25">
      <c r="A312" s="104"/>
      <c r="B312" s="104"/>
      <c r="C312" s="58" t="s">
        <v>10</v>
      </c>
      <c r="D312" s="1">
        <f>SUM(E312:O312)</f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5">
      <c r="A313" s="104"/>
      <c r="B313" s="104"/>
      <c r="C313" s="58" t="s">
        <v>11</v>
      </c>
      <c r="D313" s="1">
        <f t="shared" ref="D313:D315" si="107">SUM(E313:O313)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5">
      <c r="A314" s="104"/>
      <c r="B314" s="104"/>
      <c r="C314" s="58" t="s">
        <v>12</v>
      </c>
      <c r="D314" s="1">
        <f t="shared" si="107"/>
        <v>451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451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5">
      <c r="A315" s="90"/>
      <c r="B315" s="90"/>
      <c r="C315" s="58" t="s">
        <v>13</v>
      </c>
      <c r="D315" s="1">
        <f t="shared" si="107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customHeight="1" x14ac:dyDescent="0.25">
      <c r="A316" s="89" t="s">
        <v>396</v>
      </c>
      <c r="B316" s="89" t="s">
        <v>412</v>
      </c>
      <c r="C316" s="51" t="s">
        <v>7</v>
      </c>
      <c r="D316" s="1">
        <f>SUM(D317:D320)</f>
        <v>3553.2</v>
      </c>
      <c r="E316" s="1">
        <f t="shared" ref="E316:J316" si="108">SUM(E317:E320)</f>
        <v>0</v>
      </c>
      <c r="F316" s="1">
        <f t="shared" si="108"/>
        <v>0</v>
      </c>
      <c r="G316" s="1">
        <f t="shared" si="108"/>
        <v>0</v>
      </c>
      <c r="H316" s="1">
        <f t="shared" si="108"/>
        <v>0</v>
      </c>
      <c r="I316" s="1">
        <f t="shared" si="108"/>
        <v>0</v>
      </c>
      <c r="J316" s="1">
        <f t="shared" si="108"/>
        <v>0</v>
      </c>
      <c r="K316" s="1">
        <f>SUM(K317:K320)</f>
        <v>3553.2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customHeight="1" x14ac:dyDescent="0.25">
      <c r="A317" s="104"/>
      <c r="B317" s="104"/>
      <c r="C317" s="58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customHeight="1" x14ac:dyDescent="0.25">
      <c r="A318" s="104"/>
      <c r="B318" s="104"/>
      <c r="C318" s="58" t="s">
        <v>11</v>
      </c>
      <c r="D318" s="1">
        <f t="shared" ref="D318:D320" si="109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customHeight="1" x14ac:dyDescent="0.25">
      <c r="A319" s="104"/>
      <c r="B319" s="104"/>
      <c r="C319" s="58" t="s">
        <v>12</v>
      </c>
      <c r="D319" s="1">
        <f t="shared" si="109"/>
        <v>3553.2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3553.2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customHeight="1" x14ac:dyDescent="0.25">
      <c r="A320" s="90"/>
      <c r="B320" s="90"/>
      <c r="C320" s="58" t="s">
        <v>13</v>
      </c>
      <c r="D320" s="1">
        <f t="shared" si="109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5" ht="15.6" x14ac:dyDescent="0.25">
      <c r="A321" s="91" t="s">
        <v>146</v>
      </c>
      <c r="B321" s="116" t="s">
        <v>205</v>
      </c>
      <c r="C321" s="51" t="s">
        <v>7</v>
      </c>
      <c r="D321" s="1">
        <f>D322+D323+D324+D325</f>
        <v>228112.80000000002</v>
      </c>
      <c r="E321" s="1">
        <f>E322+E323+E324+E325</f>
        <v>24704.6</v>
      </c>
      <c r="F321" s="1">
        <f t="shared" ref="F321:O321" si="110">F322+F323+F324+F325</f>
        <v>23418.400000000001</v>
      </c>
      <c r="G321" s="1">
        <f t="shared" si="110"/>
        <v>28089.699999999997</v>
      </c>
      <c r="H321" s="1">
        <f t="shared" si="110"/>
        <v>23411.7</v>
      </c>
      <c r="I321" s="1">
        <f t="shared" si="110"/>
        <v>24700.5</v>
      </c>
      <c r="J321" s="1">
        <f t="shared" si="110"/>
        <v>23045.699999999997</v>
      </c>
      <c r="K321" s="1">
        <f t="shared" si="110"/>
        <v>23013.5</v>
      </c>
      <c r="L321" s="1">
        <f t="shared" si="110"/>
        <v>10634.1</v>
      </c>
      <c r="M321" s="1">
        <f t="shared" si="110"/>
        <v>11276</v>
      </c>
      <c r="N321" s="1">
        <f t="shared" si="110"/>
        <v>11331.099999999999</v>
      </c>
      <c r="O321" s="1">
        <f t="shared" si="110"/>
        <v>24487.5</v>
      </c>
    </row>
    <row r="322" spans="1:25" ht="16.5" customHeight="1" x14ac:dyDescent="0.25">
      <c r="A322" s="91"/>
      <c r="B322" s="116"/>
      <c r="C322" s="51" t="s">
        <v>10</v>
      </c>
      <c r="D322" s="1">
        <f t="shared" ref="D322:D367" si="111">E322+F322+G322+H322+I322+J322+K322+L322+M322+N322+O322</f>
        <v>0</v>
      </c>
      <c r="E322" s="1">
        <f>E327+E337+E347</f>
        <v>0</v>
      </c>
      <c r="F322" s="1">
        <f t="shared" ref="F322:O322" si="112">F327+F337+F347</f>
        <v>0</v>
      </c>
      <c r="G322" s="1">
        <f t="shared" si="112"/>
        <v>0</v>
      </c>
      <c r="H322" s="1">
        <f t="shared" si="112"/>
        <v>0</v>
      </c>
      <c r="I322" s="1">
        <f t="shared" si="112"/>
        <v>0</v>
      </c>
      <c r="J322" s="1">
        <f t="shared" si="112"/>
        <v>0</v>
      </c>
      <c r="K322" s="1">
        <f t="shared" si="112"/>
        <v>0</v>
      </c>
      <c r="L322" s="1">
        <f t="shared" si="112"/>
        <v>0</v>
      </c>
      <c r="M322" s="1">
        <f t="shared" si="112"/>
        <v>0</v>
      </c>
      <c r="N322" s="1">
        <f t="shared" si="112"/>
        <v>0</v>
      </c>
      <c r="O322" s="1">
        <f t="shared" si="112"/>
        <v>0</v>
      </c>
      <c r="P322" s="62"/>
      <c r="Q322" s="62"/>
    </row>
    <row r="323" spans="1:25" ht="18" customHeight="1" x14ac:dyDescent="0.25">
      <c r="A323" s="91"/>
      <c r="B323" s="116"/>
      <c r="C323" s="51" t="s">
        <v>11</v>
      </c>
      <c r="D323" s="1">
        <f t="shared" si="111"/>
        <v>23608.400000000001</v>
      </c>
      <c r="E323" s="1">
        <f>E328+E333+E338+E343+E348</f>
        <v>0</v>
      </c>
      <c r="F323" s="1">
        <f t="shared" ref="F323:O323" si="113">F328+F333+F338+F343+F348</f>
        <v>0</v>
      </c>
      <c r="G323" s="1">
        <f t="shared" si="113"/>
        <v>0</v>
      </c>
      <c r="H323" s="1">
        <f t="shared" si="113"/>
        <v>0</v>
      </c>
      <c r="I323" s="1">
        <f t="shared" si="113"/>
        <v>16106.5</v>
      </c>
      <c r="J323" s="1">
        <f>J328+J333+J338+J343+J348</f>
        <v>7501.9</v>
      </c>
      <c r="K323" s="1">
        <f t="shared" si="113"/>
        <v>0</v>
      </c>
      <c r="L323" s="1">
        <f t="shared" si="113"/>
        <v>0</v>
      </c>
      <c r="M323" s="1">
        <f t="shared" si="113"/>
        <v>0</v>
      </c>
      <c r="N323" s="1">
        <f t="shared" si="113"/>
        <v>0</v>
      </c>
      <c r="O323" s="1">
        <f t="shared" si="113"/>
        <v>0</v>
      </c>
    </row>
    <row r="324" spans="1:25" ht="18" customHeight="1" x14ac:dyDescent="0.25">
      <c r="A324" s="91"/>
      <c r="B324" s="116"/>
      <c r="C324" s="51" t="s">
        <v>12</v>
      </c>
      <c r="D324" s="1">
        <f t="shared" si="111"/>
        <v>204504.40000000002</v>
      </c>
      <c r="E324" s="1">
        <f>E329+E339+E349+E354+E334+E344</f>
        <v>24704.6</v>
      </c>
      <c r="F324" s="1">
        <f t="shared" ref="F324:I324" si="114">F329+F339+F349+F354+F334+F344</f>
        <v>23418.400000000001</v>
      </c>
      <c r="G324" s="1">
        <f t="shared" si="114"/>
        <v>28089.699999999997</v>
      </c>
      <c r="H324" s="1">
        <f t="shared" si="114"/>
        <v>23411.7</v>
      </c>
      <c r="I324" s="1">
        <f t="shared" si="114"/>
        <v>8594</v>
      </c>
      <c r="J324" s="1">
        <f>J329+J339+J349+J354+J334+J344</f>
        <v>15543.8</v>
      </c>
      <c r="K324" s="1">
        <f>K329+K339+K349+K354+K334+K344+K359</f>
        <v>23013.5</v>
      </c>
      <c r="L324" s="1">
        <f t="shared" ref="L324:O324" si="115">L329+L339+L349+L354+L334+L344+L359</f>
        <v>10634.1</v>
      </c>
      <c r="M324" s="1">
        <f t="shared" si="115"/>
        <v>11276</v>
      </c>
      <c r="N324" s="1">
        <f t="shared" si="115"/>
        <v>11331.099999999999</v>
      </c>
      <c r="O324" s="1">
        <f t="shared" si="115"/>
        <v>24487.5</v>
      </c>
    </row>
    <row r="325" spans="1:25" ht="18" customHeight="1" x14ac:dyDescent="0.25">
      <c r="A325" s="91"/>
      <c r="B325" s="116"/>
      <c r="C325" s="51" t="s">
        <v>13</v>
      </c>
      <c r="D325" s="1">
        <f t="shared" si="111"/>
        <v>0</v>
      </c>
      <c r="E325" s="1">
        <f>E330+E340+E350</f>
        <v>0</v>
      </c>
      <c r="F325" s="1">
        <f t="shared" ref="F325:O325" si="116">F330+F340+F350</f>
        <v>0</v>
      </c>
      <c r="G325" s="1">
        <f t="shared" si="116"/>
        <v>0</v>
      </c>
      <c r="H325" s="1">
        <f t="shared" si="116"/>
        <v>0</v>
      </c>
      <c r="I325" s="1">
        <f t="shared" si="116"/>
        <v>0</v>
      </c>
      <c r="J325" s="1">
        <f t="shared" si="116"/>
        <v>0</v>
      </c>
      <c r="K325" s="1">
        <f t="shared" si="116"/>
        <v>0</v>
      </c>
      <c r="L325" s="1">
        <f t="shared" si="116"/>
        <v>0</v>
      </c>
      <c r="M325" s="1">
        <f t="shared" si="116"/>
        <v>0</v>
      </c>
      <c r="N325" s="1">
        <f t="shared" si="116"/>
        <v>0</v>
      </c>
      <c r="O325" s="1">
        <f t="shared" si="116"/>
        <v>0</v>
      </c>
    </row>
    <row r="326" spans="1:25" ht="15.6" x14ac:dyDescent="0.25">
      <c r="A326" s="91" t="s">
        <v>147</v>
      </c>
      <c r="B326" s="116" t="s">
        <v>52</v>
      </c>
      <c r="C326" s="51" t="s">
        <v>7</v>
      </c>
      <c r="D326" s="1">
        <f t="shared" si="111"/>
        <v>86139.900000000009</v>
      </c>
      <c r="E326" s="1">
        <f t="shared" ref="E326:O326" si="117">E327+E328+E329+E330</f>
        <v>5089.5</v>
      </c>
      <c r="F326" s="1">
        <f t="shared" si="117"/>
        <v>6465</v>
      </c>
      <c r="G326" s="1">
        <f t="shared" si="117"/>
        <v>8661.7999999999993</v>
      </c>
      <c r="H326" s="1">
        <f t="shared" si="117"/>
        <v>9358.2000000000007</v>
      </c>
      <c r="I326" s="1">
        <f t="shared" si="117"/>
        <v>8594</v>
      </c>
      <c r="J326" s="1">
        <f>J327+J328+J329+J330</f>
        <v>7198.9000000000005</v>
      </c>
      <c r="K326" s="1">
        <f t="shared" si="117"/>
        <v>12364.6</v>
      </c>
      <c r="L326" s="1">
        <f t="shared" si="117"/>
        <v>5576.5</v>
      </c>
      <c r="M326" s="1">
        <f t="shared" si="117"/>
        <v>5913.1</v>
      </c>
      <c r="N326" s="1">
        <f t="shared" si="117"/>
        <v>5942</v>
      </c>
      <c r="O326" s="1">
        <f t="shared" si="117"/>
        <v>10976.3</v>
      </c>
    </row>
    <row r="327" spans="1:25" ht="15.6" x14ac:dyDescent="0.25">
      <c r="A327" s="91"/>
      <c r="B327" s="116"/>
      <c r="C327" s="51" t="s">
        <v>10</v>
      </c>
      <c r="D327" s="1">
        <f t="shared" si="111"/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</row>
    <row r="328" spans="1:25" ht="15.6" x14ac:dyDescent="0.25">
      <c r="A328" s="91"/>
      <c r="B328" s="116"/>
      <c r="C328" s="51" t="s">
        <v>11</v>
      </c>
      <c r="D328" s="1">
        <f t="shared" si="111"/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</row>
    <row r="329" spans="1:25" ht="15.6" x14ac:dyDescent="0.25">
      <c r="A329" s="91"/>
      <c r="B329" s="116"/>
      <c r="C329" s="51" t="s">
        <v>12</v>
      </c>
      <c r="D329" s="1">
        <f t="shared" si="111"/>
        <v>86139.900000000009</v>
      </c>
      <c r="E329" s="1">
        <v>5089.5</v>
      </c>
      <c r="F329" s="1">
        <v>6465</v>
      </c>
      <c r="G329" s="1">
        <v>8661.7999999999993</v>
      </c>
      <c r="H329" s="1">
        <v>9358.2000000000007</v>
      </c>
      <c r="I329" s="1">
        <v>8594</v>
      </c>
      <c r="J329" s="1">
        <f>2886.8+1860.3+2451.8</f>
        <v>7198.9000000000005</v>
      </c>
      <c r="K329" s="1">
        <f>8859.6+1000+555+1950</f>
        <v>12364.6</v>
      </c>
      <c r="L329" s="1">
        <f>5576.5</f>
        <v>5576.5</v>
      </c>
      <c r="M329" s="1">
        <f>5913.1</f>
        <v>5913.1</v>
      </c>
      <c r="N329" s="1">
        <v>5942</v>
      </c>
      <c r="O329" s="1">
        <v>10976.3</v>
      </c>
      <c r="Y329" s="64">
        <v>1950</v>
      </c>
    </row>
    <row r="330" spans="1:25" ht="15.6" x14ac:dyDescent="0.25">
      <c r="A330" s="91"/>
      <c r="B330" s="116"/>
      <c r="C330" s="58" t="s">
        <v>13</v>
      </c>
      <c r="D330" s="1">
        <f t="shared" si="111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</row>
    <row r="331" spans="1:25" ht="15.6" x14ac:dyDescent="0.25">
      <c r="A331" s="91" t="s">
        <v>148</v>
      </c>
      <c r="B331" s="116" t="s">
        <v>366</v>
      </c>
      <c r="C331" s="51" t="s">
        <v>7</v>
      </c>
      <c r="D331" s="1">
        <f t="shared" si="111"/>
        <v>11065.3</v>
      </c>
      <c r="E331" s="1">
        <f t="shared" ref="E331:O331" si="118">E332+E333+E334+E335</f>
        <v>0</v>
      </c>
      <c r="F331" s="1">
        <f t="shared" si="118"/>
        <v>0</v>
      </c>
      <c r="G331" s="1">
        <f t="shared" si="118"/>
        <v>0</v>
      </c>
      <c r="H331" s="1">
        <f t="shared" si="118"/>
        <v>0</v>
      </c>
      <c r="I331" s="1">
        <f t="shared" si="118"/>
        <v>7430.4</v>
      </c>
      <c r="J331" s="1">
        <f t="shared" si="118"/>
        <v>3634.8999999999996</v>
      </c>
      <c r="K331" s="1">
        <f t="shared" si="118"/>
        <v>0</v>
      </c>
      <c r="L331" s="1">
        <f t="shared" si="118"/>
        <v>0</v>
      </c>
      <c r="M331" s="1">
        <f t="shared" si="118"/>
        <v>0</v>
      </c>
      <c r="N331" s="1">
        <f t="shared" si="118"/>
        <v>0</v>
      </c>
      <c r="O331" s="1">
        <f t="shared" si="118"/>
        <v>0</v>
      </c>
    </row>
    <row r="332" spans="1:25" ht="21" customHeight="1" x14ac:dyDescent="0.25">
      <c r="A332" s="91"/>
      <c r="B332" s="116"/>
      <c r="C332" s="51" t="s">
        <v>10</v>
      </c>
      <c r="D332" s="1">
        <f t="shared" si="111"/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</row>
    <row r="333" spans="1:25" ht="15.6" x14ac:dyDescent="0.25">
      <c r="A333" s="91"/>
      <c r="B333" s="116"/>
      <c r="C333" s="51" t="s">
        <v>11</v>
      </c>
      <c r="D333" s="1">
        <f t="shared" si="111"/>
        <v>11065.3</v>
      </c>
      <c r="E333" s="1">
        <v>0</v>
      </c>
      <c r="F333" s="1">
        <v>0</v>
      </c>
      <c r="G333" s="1">
        <v>0</v>
      </c>
      <c r="H333" s="1">
        <v>0</v>
      </c>
      <c r="I333" s="1">
        <f>6602.5+827.9</f>
        <v>7430.4</v>
      </c>
      <c r="J333" s="1">
        <f>6521.7-2886.8</f>
        <v>3634.8999999999996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</row>
    <row r="334" spans="1:25" ht="15.6" x14ac:dyDescent="0.25">
      <c r="A334" s="91"/>
      <c r="B334" s="116"/>
      <c r="C334" s="51" t="s">
        <v>12</v>
      </c>
      <c r="D334" s="1">
        <f t="shared" si="111"/>
        <v>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</row>
    <row r="335" spans="1:25" ht="21.75" customHeight="1" x14ac:dyDescent="0.25">
      <c r="A335" s="91"/>
      <c r="B335" s="116"/>
      <c r="C335" s="58" t="s">
        <v>13</v>
      </c>
      <c r="D335" s="1">
        <f t="shared" si="111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</row>
    <row r="336" spans="1:25" ht="15.75" customHeight="1" x14ac:dyDescent="0.25">
      <c r="A336" s="91" t="s">
        <v>149</v>
      </c>
      <c r="B336" s="116" t="s">
        <v>58</v>
      </c>
      <c r="C336" s="51" t="s">
        <v>7</v>
      </c>
      <c r="D336" s="1">
        <f t="shared" si="111"/>
        <v>113316</v>
      </c>
      <c r="E336" s="1">
        <f t="shared" ref="E336:O336" si="119">E337+E338+E340+E339</f>
        <v>17919.099999999999</v>
      </c>
      <c r="F336" s="1">
        <f t="shared" si="119"/>
        <v>16953.400000000001</v>
      </c>
      <c r="G336" s="1">
        <f t="shared" si="119"/>
        <v>16137.9</v>
      </c>
      <c r="H336" s="1">
        <f t="shared" si="119"/>
        <v>14053.5</v>
      </c>
      <c r="I336" s="1">
        <f t="shared" si="119"/>
        <v>0</v>
      </c>
      <c r="J336" s="1">
        <f t="shared" si="119"/>
        <v>8344.9</v>
      </c>
      <c r="K336" s="1">
        <f t="shared" si="119"/>
        <v>10648.9</v>
      </c>
      <c r="L336" s="1">
        <f t="shared" si="119"/>
        <v>5037.6000000000004</v>
      </c>
      <c r="M336" s="1">
        <f t="shared" si="119"/>
        <v>5341.7</v>
      </c>
      <c r="N336" s="1">
        <f t="shared" si="119"/>
        <v>5367.8</v>
      </c>
      <c r="O336" s="1">
        <f t="shared" si="119"/>
        <v>13511.2</v>
      </c>
    </row>
    <row r="337" spans="1:25" ht="15.75" customHeight="1" x14ac:dyDescent="0.25">
      <c r="A337" s="91"/>
      <c r="B337" s="116"/>
      <c r="C337" s="51" t="s">
        <v>10</v>
      </c>
      <c r="D337" s="1">
        <f t="shared" si="111"/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</row>
    <row r="338" spans="1:25" ht="15.75" customHeight="1" x14ac:dyDescent="0.25">
      <c r="A338" s="91"/>
      <c r="B338" s="116"/>
      <c r="C338" s="51" t="s">
        <v>11</v>
      </c>
      <c r="D338" s="1">
        <f t="shared" si="111"/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</row>
    <row r="339" spans="1:25" ht="15.75" customHeight="1" x14ac:dyDescent="0.25">
      <c r="A339" s="91"/>
      <c r="B339" s="116"/>
      <c r="C339" s="51" t="s">
        <v>12</v>
      </c>
      <c r="D339" s="1">
        <f t="shared" si="111"/>
        <v>113316</v>
      </c>
      <c r="E339" s="1">
        <v>17919.099999999999</v>
      </c>
      <c r="F339" s="1">
        <v>16953.400000000001</v>
      </c>
      <c r="G339" s="1">
        <v>16137.9</v>
      </c>
      <c r="H339" s="1">
        <v>14053.5</v>
      </c>
      <c r="I339" s="1">
        <v>0</v>
      </c>
      <c r="J339" s="1">
        <f>0+2600+6251.4-506.5</f>
        <v>8344.9</v>
      </c>
      <c r="K339" s="1">
        <f>13474.9-2900+74</f>
        <v>10648.9</v>
      </c>
      <c r="L339" s="1">
        <f>5037.6</f>
        <v>5037.6000000000004</v>
      </c>
      <c r="M339" s="1">
        <f>5341.7</f>
        <v>5341.7</v>
      </c>
      <c r="N339" s="1">
        <v>5367.8</v>
      </c>
      <c r="O339" s="1">
        <v>13511.2</v>
      </c>
      <c r="Y339" s="64">
        <v>-2021.4</v>
      </c>
    </row>
    <row r="340" spans="1:25" ht="22.5" customHeight="1" x14ac:dyDescent="0.25">
      <c r="A340" s="91"/>
      <c r="B340" s="116"/>
      <c r="C340" s="58" t="s">
        <v>13</v>
      </c>
      <c r="D340" s="1">
        <f t="shared" si="111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3">
        <v>0</v>
      </c>
      <c r="K340" s="3">
        <v>0</v>
      </c>
      <c r="L340" s="3">
        <v>0</v>
      </c>
      <c r="M340" s="3">
        <v>0</v>
      </c>
      <c r="N340" s="3">
        <v>0</v>
      </c>
      <c r="O340" s="3">
        <v>0</v>
      </c>
    </row>
    <row r="341" spans="1:25" ht="18.75" customHeight="1" x14ac:dyDescent="0.25">
      <c r="A341" s="91" t="s">
        <v>210</v>
      </c>
      <c r="B341" s="116" t="s">
        <v>265</v>
      </c>
      <c r="C341" s="58" t="s">
        <v>7</v>
      </c>
      <c r="D341" s="1">
        <f t="shared" si="111"/>
        <v>12543.1</v>
      </c>
      <c r="E341" s="1">
        <f t="shared" ref="E341:O341" si="120">E342+E343+E345+E344</f>
        <v>0</v>
      </c>
      <c r="F341" s="1">
        <f t="shared" si="120"/>
        <v>0</v>
      </c>
      <c r="G341" s="1">
        <f t="shared" si="120"/>
        <v>0</v>
      </c>
      <c r="H341" s="1">
        <f t="shared" si="120"/>
        <v>0</v>
      </c>
      <c r="I341" s="1">
        <f t="shared" si="120"/>
        <v>8676.1</v>
      </c>
      <c r="J341" s="1">
        <f t="shared" si="120"/>
        <v>3867</v>
      </c>
      <c r="K341" s="1">
        <f t="shared" si="120"/>
        <v>0</v>
      </c>
      <c r="L341" s="1">
        <f t="shared" si="120"/>
        <v>0</v>
      </c>
      <c r="M341" s="1">
        <f t="shared" si="120"/>
        <v>0</v>
      </c>
      <c r="N341" s="1">
        <f t="shared" si="120"/>
        <v>0</v>
      </c>
      <c r="O341" s="1">
        <f t="shared" si="120"/>
        <v>0</v>
      </c>
    </row>
    <row r="342" spans="1:25" ht="18.75" customHeight="1" x14ac:dyDescent="0.25">
      <c r="A342" s="91"/>
      <c r="B342" s="116"/>
      <c r="C342" s="58" t="s">
        <v>10</v>
      </c>
      <c r="D342" s="1">
        <f t="shared" si="111"/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</row>
    <row r="343" spans="1:25" ht="18.75" customHeight="1" x14ac:dyDescent="0.25">
      <c r="A343" s="91"/>
      <c r="B343" s="116"/>
      <c r="C343" s="58" t="s">
        <v>11</v>
      </c>
      <c r="D343" s="1">
        <f t="shared" si="111"/>
        <v>12543.1</v>
      </c>
      <c r="E343" s="1">
        <v>0</v>
      </c>
      <c r="F343" s="1">
        <v>0</v>
      </c>
      <c r="G343" s="1">
        <v>0</v>
      </c>
      <c r="H343" s="1">
        <v>0</v>
      </c>
      <c r="I343" s="1">
        <f>10280.7-1604.6</f>
        <v>8676.1</v>
      </c>
      <c r="J343" s="1">
        <f>10118.4-6251.4</f>
        <v>3867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</row>
    <row r="344" spans="1:25" ht="18.75" customHeight="1" x14ac:dyDescent="0.25">
      <c r="A344" s="91"/>
      <c r="B344" s="116"/>
      <c r="C344" s="58" t="s">
        <v>12</v>
      </c>
      <c r="D344" s="1">
        <f t="shared" si="111"/>
        <v>0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</row>
    <row r="345" spans="1:25" ht="18.75" customHeight="1" x14ac:dyDescent="0.25">
      <c r="A345" s="91"/>
      <c r="B345" s="116"/>
      <c r="C345" s="58" t="s">
        <v>13</v>
      </c>
      <c r="D345" s="1">
        <f t="shared" si="111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3">
        <v>0</v>
      </c>
      <c r="K345" s="3">
        <v>0</v>
      </c>
      <c r="L345" s="1">
        <v>0</v>
      </c>
      <c r="M345" s="1">
        <v>0</v>
      </c>
      <c r="N345" s="1">
        <v>0</v>
      </c>
      <c r="O345" s="1">
        <v>0</v>
      </c>
    </row>
    <row r="346" spans="1:25" ht="15.75" customHeight="1" x14ac:dyDescent="0.25">
      <c r="A346" s="91" t="s">
        <v>270</v>
      </c>
      <c r="B346" s="116" t="s">
        <v>22</v>
      </c>
      <c r="C346" s="51" t="s">
        <v>7</v>
      </c>
      <c r="D346" s="1">
        <f t="shared" si="111"/>
        <v>1696</v>
      </c>
      <c r="E346" s="1">
        <f t="shared" ref="E346:K346" si="121">E347+E348+E349+E350</f>
        <v>1696</v>
      </c>
      <c r="F346" s="1">
        <f t="shared" si="121"/>
        <v>0</v>
      </c>
      <c r="G346" s="1">
        <f t="shared" si="121"/>
        <v>0</v>
      </c>
      <c r="H346" s="1">
        <f t="shared" si="121"/>
        <v>0</v>
      </c>
      <c r="I346" s="1">
        <f t="shared" si="121"/>
        <v>0</v>
      </c>
      <c r="J346" s="1">
        <f t="shared" si="121"/>
        <v>0</v>
      </c>
      <c r="K346" s="1">
        <f t="shared" si="121"/>
        <v>0</v>
      </c>
      <c r="L346" s="1">
        <f>L347+L348+L349+L350</f>
        <v>0</v>
      </c>
      <c r="M346" s="1">
        <f>M347+M348+M349+M350</f>
        <v>0</v>
      </c>
      <c r="N346" s="1">
        <f>N347+N348+N349+N350</f>
        <v>0</v>
      </c>
      <c r="O346" s="1">
        <f>O347+O348+O349+O350</f>
        <v>0</v>
      </c>
    </row>
    <row r="347" spans="1:25" ht="15.75" customHeight="1" x14ac:dyDescent="0.25">
      <c r="A347" s="91"/>
      <c r="B347" s="116"/>
      <c r="C347" s="51" t="s">
        <v>10</v>
      </c>
      <c r="D347" s="1">
        <f t="shared" si="111"/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</row>
    <row r="348" spans="1:25" ht="15.75" customHeight="1" x14ac:dyDescent="0.25">
      <c r="A348" s="91"/>
      <c r="B348" s="116"/>
      <c r="C348" s="51" t="s">
        <v>11</v>
      </c>
      <c r="D348" s="1">
        <f t="shared" si="111"/>
        <v>0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</row>
    <row r="349" spans="1:25" ht="15.75" customHeight="1" x14ac:dyDescent="0.25">
      <c r="A349" s="91"/>
      <c r="B349" s="116"/>
      <c r="C349" s="51" t="s">
        <v>12</v>
      </c>
      <c r="D349" s="1">
        <f t="shared" si="111"/>
        <v>1696</v>
      </c>
      <c r="E349" s="1">
        <v>1696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</row>
    <row r="350" spans="1:25" ht="18" customHeight="1" x14ac:dyDescent="0.25">
      <c r="A350" s="91"/>
      <c r="B350" s="116"/>
      <c r="C350" s="58" t="s">
        <v>13</v>
      </c>
      <c r="D350" s="1">
        <f t="shared" si="111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</row>
    <row r="351" spans="1:25" ht="15.6" x14ac:dyDescent="0.25">
      <c r="A351" s="91" t="s">
        <v>271</v>
      </c>
      <c r="B351" s="91" t="s">
        <v>238</v>
      </c>
      <c r="C351" s="51" t="s">
        <v>7</v>
      </c>
      <c r="D351" s="1">
        <f t="shared" si="111"/>
        <v>3290</v>
      </c>
      <c r="E351" s="1">
        <f>E352+E353+E354+E355</f>
        <v>0</v>
      </c>
      <c r="F351" s="1">
        <f t="shared" ref="F351:K351" si="122">F352+F353+F354+F355</f>
        <v>0</v>
      </c>
      <c r="G351" s="1">
        <f t="shared" si="122"/>
        <v>3290</v>
      </c>
      <c r="H351" s="1">
        <f t="shared" si="122"/>
        <v>0</v>
      </c>
      <c r="I351" s="1">
        <f t="shared" si="122"/>
        <v>0</v>
      </c>
      <c r="J351" s="1">
        <f t="shared" si="122"/>
        <v>0</v>
      </c>
      <c r="K351" s="1">
        <f t="shared" si="122"/>
        <v>0</v>
      </c>
      <c r="L351" s="1">
        <f>L352+L353+L354+L355</f>
        <v>0</v>
      </c>
      <c r="M351" s="1">
        <f>M352+M353+M354+M355</f>
        <v>0</v>
      </c>
      <c r="N351" s="1">
        <f>N352+N353+N354+N355</f>
        <v>0</v>
      </c>
      <c r="O351" s="1">
        <f>O352+O353+O354+O355</f>
        <v>0</v>
      </c>
    </row>
    <row r="352" spans="1:25" ht="15.6" x14ac:dyDescent="0.25">
      <c r="A352" s="91"/>
      <c r="B352" s="91"/>
      <c r="C352" s="51" t="s">
        <v>10</v>
      </c>
      <c r="D352" s="1">
        <f t="shared" si="111"/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</row>
    <row r="353" spans="1:15" ht="15.6" x14ac:dyDescent="0.25">
      <c r="A353" s="91"/>
      <c r="B353" s="91"/>
      <c r="C353" s="51" t="s">
        <v>11</v>
      </c>
      <c r="D353" s="1">
        <f t="shared" si="111"/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</row>
    <row r="354" spans="1:15" ht="15.6" x14ac:dyDescent="0.25">
      <c r="A354" s="91"/>
      <c r="B354" s="91"/>
      <c r="C354" s="51" t="s">
        <v>12</v>
      </c>
      <c r="D354" s="1">
        <f t="shared" si="111"/>
        <v>3290</v>
      </c>
      <c r="E354" s="1">
        <v>0</v>
      </c>
      <c r="F354" s="1">
        <v>0</v>
      </c>
      <c r="G354" s="1">
        <v>3290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</row>
    <row r="355" spans="1:15" ht="23.25" customHeight="1" x14ac:dyDescent="0.25">
      <c r="A355" s="91"/>
      <c r="B355" s="91"/>
      <c r="C355" s="58" t="s">
        <v>13</v>
      </c>
      <c r="D355" s="1">
        <f t="shared" si="111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</row>
    <row r="356" spans="1:15" ht="23.25" customHeight="1" x14ac:dyDescent="0.25">
      <c r="A356" s="91" t="s">
        <v>393</v>
      </c>
      <c r="B356" s="91" t="s">
        <v>404</v>
      </c>
      <c r="C356" s="51" t="s">
        <v>7</v>
      </c>
      <c r="D356" s="1">
        <f>E356+F356+G356+H356+I356+J356+K356+L356+M356+N356+O356</f>
        <v>62.5</v>
      </c>
      <c r="E356" s="1">
        <f>SUM(E357:E360)</f>
        <v>0</v>
      </c>
      <c r="F356" s="1">
        <f t="shared" ref="F356:O356" si="123">SUM(F357:F360)</f>
        <v>0</v>
      </c>
      <c r="G356" s="1">
        <f t="shared" si="123"/>
        <v>0</v>
      </c>
      <c r="H356" s="1">
        <f t="shared" si="123"/>
        <v>0</v>
      </c>
      <c r="I356" s="1">
        <f t="shared" si="123"/>
        <v>0</v>
      </c>
      <c r="J356" s="1">
        <f t="shared" si="123"/>
        <v>0</v>
      </c>
      <c r="K356" s="1">
        <f t="shared" si="123"/>
        <v>0</v>
      </c>
      <c r="L356" s="1">
        <f t="shared" si="123"/>
        <v>20</v>
      </c>
      <c r="M356" s="1">
        <f t="shared" si="123"/>
        <v>21.2</v>
      </c>
      <c r="N356" s="1">
        <f t="shared" si="123"/>
        <v>21.3</v>
      </c>
      <c r="O356" s="1">
        <f t="shared" si="123"/>
        <v>0</v>
      </c>
    </row>
    <row r="357" spans="1:15" ht="23.25" customHeight="1" x14ac:dyDescent="0.25">
      <c r="A357" s="91"/>
      <c r="B357" s="91"/>
      <c r="C357" s="51" t="s">
        <v>10</v>
      </c>
      <c r="D357" s="1">
        <f t="shared" ref="D357:D360" si="124">E357+F357+G357+H357+I357+J357+K357+L357+M357+N357+O357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</row>
    <row r="358" spans="1:15" ht="23.25" customHeight="1" x14ac:dyDescent="0.25">
      <c r="A358" s="91"/>
      <c r="B358" s="91"/>
      <c r="C358" s="51" t="s">
        <v>11</v>
      </c>
      <c r="D358" s="1">
        <f t="shared" si="124"/>
        <v>0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</row>
    <row r="359" spans="1:15" ht="23.25" customHeight="1" x14ac:dyDescent="0.25">
      <c r="A359" s="91"/>
      <c r="B359" s="91"/>
      <c r="C359" s="51" t="s">
        <v>12</v>
      </c>
      <c r="D359" s="1">
        <f t="shared" si="124"/>
        <v>62.5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f>550.5-550.5</f>
        <v>0</v>
      </c>
      <c r="L359" s="1">
        <f>20</f>
        <v>20</v>
      </c>
      <c r="M359" s="1">
        <f>21.2</f>
        <v>21.2</v>
      </c>
      <c r="N359" s="1">
        <v>21.3</v>
      </c>
      <c r="O359" s="1">
        <v>0</v>
      </c>
    </row>
    <row r="360" spans="1:15" ht="23.25" customHeight="1" x14ac:dyDescent="0.25">
      <c r="A360" s="91"/>
      <c r="B360" s="91"/>
      <c r="C360" s="58" t="s">
        <v>13</v>
      </c>
      <c r="D360" s="1">
        <f t="shared" si="124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</row>
    <row r="361" spans="1:15" ht="15.6" x14ac:dyDescent="0.25">
      <c r="A361" s="91" t="s">
        <v>150</v>
      </c>
      <c r="B361" s="116" t="s">
        <v>386</v>
      </c>
      <c r="C361" s="51" t="s">
        <v>7</v>
      </c>
      <c r="D361" s="1">
        <f>E361+F361+G361+H361+I361+J361+K361+L361+M361+N361+O361</f>
        <v>39968.339999999997</v>
      </c>
      <c r="E361" s="1">
        <f>E362+E363+E364+E366</f>
        <v>3741.9</v>
      </c>
      <c r="F361" s="1">
        <f t="shared" ref="F361:O361" si="125">F362+F363+F364+F366</f>
        <v>2450</v>
      </c>
      <c r="G361" s="1">
        <f t="shared" si="125"/>
        <v>2262.1</v>
      </c>
      <c r="H361" s="1">
        <f t="shared" si="125"/>
        <v>1999</v>
      </c>
      <c r="I361" s="1">
        <f t="shared" si="125"/>
        <v>13558.599999999999</v>
      </c>
      <c r="J361" s="1">
        <f>J362+J363+J364+J366</f>
        <v>8475.2999999999993</v>
      </c>
      <c r="K361" s="1">
        <f t="shared" si="125"/>
        <v>5655.54</v>
      </c>
      <c r="L361" s="1">
        <f t="shared" si="125"/>
        <v>299.2</v>
      </c>
      <c r="M361" s="1">
        <f t="shared" si="125"/>
        <v>267.3</v>
      </c>
      <c r="N361" s="1">
        <f t="shared" si="125"/>
        <v>253.60000000000002</v>
      </c>
      <c r="O361" s="1">
        <f t="shared" si="125"/>
        <v>1005.8</v>
      </c>
    </row>
    <row r="362" spans="1:15" ht="15.6" x14ac:dyDescent="0.25">
      <c r="A362" s="91"/>
      <c r="B362" s="116"/>
      <c r="C362" s="51" t="s">
        <v>10</v>
      </c>
      <c r="D362" s="1">
        <f t="shared" si="111"/>
        <v>0</v>
      </c>
      <c r="E362" s="1">
        <f>E368+E375+E380</f>
        <v>0</v>
      </c>
      <c r="F362" s="1">
        <f t="shared" ref="F362:O362" si="126">F368+F375+F380</f>
        <v>0</v>
      </c>
      <c r="G362" s="1">
        <f t="shared" si="126"/>
        <v>0</v>
      </c>
      <c r="H362" s="1">
        <f t="shared" si="126"/>
        <v>0</v>
      </c>
      <c r="I362" s="1">
        <f t="shared" si="126"/>
        <v>0</v>
      </c>
      <c r="J362" s="1">
        <f t="shared" si="126"/>
        <v>0</v>
      </c>
      <c r="K362" s="1">
        <f t="shared" si="126"/>
        <v>0</v>
      </c>
      <c r="L362" s="1">
        <f t="shared" si="126"/>
        <v>0</v>
      </c>
      <c r="M362" s="1">
        <f t="shared" si="126"/>
        <v>0</v>
      </c>
      <c r="N362" s="1">
        <f t="shared" si="126"/>
        <v>0</v>
      </c>
      <c r="O362" s="1">
        <f t="shared" si="126"/>
        <v>0</v>
      </c>
    </row>
    <row r="363" spans="1:15" ht="15.6" x14ac:dyDescent="0.25">
      <c r="A363" s="91"/>
      <c r="B363" s="116"/>
      <c r="C363" s="51" t="s">
        <v>11</v>
      </c>
      <c r="D363" s="1">
        <f t="shared" si="111"/>
        <v>22235.8</v>
      </c>
      <c r="E363" s="1">
        <f t="shared" ref="E363:O363" si="127">E369+E376+E381</f>
        <v>0</v>
      </c>
      <c r="F363" s="1">
        <f t="shared" si="127"/>
        <v>0</v>
      </c>
      <c r="G363" s="1">
        <f t="shared" si="127"/>
        <v>0</v>
      </c>
      <c r="H363" s="1">
        <f t="shared" si="127"/>
        <v>0</v>
      </c>
      <c r="I363" s="1">
        <f>I369+I376+I381</f>
        <v>11234.3</v>
      </c>
      <c r="J363" s="1">
        <f>J369+J376+J381+J386</f>
        <v>7403.7</v>
      </c>
      <c r="K363" s="1">
        <f t="shared" si="127"/>
        <v>3597.8</v>
      </c>
      <c r="L363" s="1">
        <f t="shared" si="127"/>
        <v>0</v>
      </c>
      <c r="M363" s="1">
        <f t="shared" si="127"/>
        <v>0</v>
      </c>
      <c r="N363" s="1">
        <f t="shared" si="127"/>
        <v>0</v>
      </c>
      <c r="O363" s="1">
        <f t="shared" si="127"/>
        <v>0</v>
      </c>
    </row>
    <row r="364" spans="1:15" ht="31.2" x14ac:dyDescent="0.25">
      <c r="A364" s="91"/>
      <c r="B364" s="116"/>
      <c r="C364" s="51" t="s">
        <v>66</v>
      </c>
      <c r="D364" s="1">
        <f t="shared" si="111"/>
        <v>17732.539999999997</v>
      </c>
      <c r="E364" s="1">
        <f>E370+E377+E382+E387</f>
        <v>3741.9</v>
      </c>
      <c r="F364" s="1">
        <f t="shared" ref="F364:J364" si="128">F370+F377+F382+F387</f>
        <v>2450</v>
      </c>
      <c r="G364" s="1">
        <f t="shared" si="128"/>
        <v>2262.1</v>
      </c>
      <c r="H364" s="1">
        <f t="shared" si="128"/>
        <v>1999</v>
      </c>
      <c r="I364" s="1">
        <f>I370+I377+I382+I387</f>
        <v>2324.3000000000002</v>
      </c>
      <c r="J364" s="1">
        <f t="shared" si="128"/>
        <v>1071.5999999999999</v>
      </c>
      <c r="K364" s="1">
        <f>K370+K377+K382+K387+K392</f>
        <v>2057.7399999999998</v>
      </c>
      <c r="L364" s="1">
        <f t="shared" ref="L364:O364" si="129">L370+L377+L382+L387+L392</f>
        <v>299.2</v>
      </c>
      <c r="M364" s="1">
        <f t="shared" si="129"/>
        <v>267.3</v>
      </c>
      <c r="N364" s="1">
        <f t="shared" si="129"/>
        <v>253.60000000000002</v>
      </c>
      <c r="O364" s="1">
        <f t="shared" si="129"/>
        <v>1005.8</v>
      </c>
    </row>
    <row r="365" spans="1:15" ht="31.2" x14ac:dyDescent="0.25">
      <c r="A365" s="91"/>
      <c r="B365" s="116"/>
      <c r="C365" s="70" t="s">
        <v>80</v>
      </c>
      <c r="D365" s="1">
        <f t="shared" si="111"/>
        <v>3631.3</v>
      </c>
      <c r="E365" s="1">
        <f t="shared" ref="E365:K365" si="130">E371+E378+E383</f>
        <v>2932.6</v>
      </c>
      <c r="F365" s="1">
        <f t="shared" si="130"/>
        <v>0</v>
      </c>
      <c r="G365" s="1">
        <f t="shared" si="130"/>
        <v>0</v>
      </c>
      <c r="H365" s="1">
        <f t="shared" si="130"/>
        <v>0</v>
      </c>
      <c r="I365" s="1">
        <f>I371+I378+I383</f>
        <v>698.7</v>
      </c>
      <c r="J365" s="1">
        <f t="shared" si="130"/>
        <v>0</v>
      </c>
      <c r="K365" s="1">
        <f t="shared" si="130"/>
        <v>0</v>
      </c>
      <c r="L365" s="1">
        <f>L371+L378+L383</f>
        <v>0</v>
      </c>
      <c r="M365" s="1">
        <f>M371+M378+M383</f>
        <v>0</v>
      </c>
      <c r="N365" s="1">
        <f>N371+N378+N383</f>
        <v>0</v>
      </c>
      <c r="O365" s="1">
        <f>O371+O378+O383</f>
        <v>0</v>
      </c>
    </row>
    <row r="366" spans="1:15" ht="24" customHeight="1" x14ac:dyDescent="0.25">
      <c r="A366" s="91"/>
      <c r="B366" s="116"/>
      <c r="C366" s="51" t="s">
        <v>13</v>
      </c>
      <c r="D366" s="1">
        <f t="shared" si="111"/>
        <v>0</v>
      </c>
      <c r="E366" s="1"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</row>
    <row r="367" spans="1:15" ht="15.6" x14ac:dyDescent="0.25">
      <c r="A367" s="91" t="s">
        <v>151</v>
      </c>
      <c r="B367" s="116" t="s">
        <v>45</v>
      </c>
      <c r="C367" s="51" t="s">
        <v>7</v>
      </c>
      <c r="D367" s="1">
        <f t="shared" si="111"/>
        <v>12849.8</v>
      </c>
      <c r="E367" s="1">
        <f t="shared" ref="E367:O367" si="131">E368+E369+E370+E373</f>
        <v>3437.4</v>
      </c>
      <c r="F367" s="1">
        <f t="shared" si="131"/>
        <v>2000</v>
      </c>
      <c r="G367" s="1">
        <f t="shared" si="131"/>
        <v>2000</v>
      </c>
      <c r="H367" s="1">
        <f t="shared" si="131"/>
        <v>1905.6</v>
      </c>
      <c r="I367" s="1">
        <f t="shared" si="131"/>
        <v>698.69999999999993</v>
      </c>
      <c r="J367" s="1">
        <f t="shared" si="131"/>
        <v>599</v>
      </c>
      <c r="K367" s="1">
        <f t="shared" si="131"/>
        <v>775.5</v>
      </c>
      <c r="L367" s="1">
        <f t="shared" si="131"/>
        <v>181.4</v>
      </c>
      <c r="M367" s="1">
        <f t="shared" si="131"/>
        <v>192.3</v>
      </c>
      <c r="N367" s="1">
        <f t="shared" si="131"/>
        <v>193.3</v>
      </c>
      <c r="O367" s="1">
        <f t="shared" si="131"/>
        <v>866.6</v>
      </c>
    </row>
    <row r="368" spans="1:15" ht="15.75" customHeight="1" x14ac:dyDescent="0.25">
      <c r="A368" s="91"/>
      <c r="B368" s="116"/>
      <c r="C368" s="51" t="s">
        <v>10</v>
      </c>
      <c r="D368" s="1">
        <f t="shared" ref="D368:D373" si="132">E368+F368+G368+H368+I368+J368+K368+L368+M368+N368+O368</f>
        <v>0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</row>
    <row r="369" spans="1:24" ht="15.75" customHeight="1" x14ac:dyDescent="0.25">
      <c r="A369" s="91"/>
      <c r="B369" s="116"/>
      <c r="C369" s="51" t="s">
        <v>11</v>
      </c>
      <c r="D369" s="1">
        <f t="shared" si="132"/>
        <v>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</row>
    <row r="370" spans="1:24" ht="31.2" x14ac:dyDescent="0.25">
      <c r="A370" s="91"/>
      <c r="B370" s="116"/>
      <c r="C370" s="51" t="s">
        <v>66</v>
      </c>
      <c r="D370" s="1">
        <f t="shared" si="132"/>
        <v>12849.8</v>
      </c>
      <c r="E370" s="1">
        <v>3437.4</v>
      </c>
      <c r="F370" s="1">
        <v>2000</v>
      </c>
      <c r="G370" s="1">
        <v>2000</v>
      </c>
      <c r="H370" s="1">
        <v>1905.6</v>
      </c>
      <c r="I370" s="1">
        <f>734.4-35.7</f>
        <v>698.69999999999993</v>
      </c>
      <c r="J370" s="1">
        <f>1907.8-800-508.8</f>
        <v>599</v>
      </c>
      <c r="K370" s="1">
        <v>775.5</v>
      </c>
      <c r="L370" s="1">
        <f>181.4</f>
        <v>181.4</v>
      </c>
      <c r="M370" s="1">
        <f>192.3</f>
        <v>192.3</v>
      </c>
      <c r="N370" s="1">
        <v>193.3</v>
      </c>
      <c r="O370" s="1">
        <v>866.6</v>
      </c>
    </row>
    <row r="371" spans="1:24" ht="31.2" x14ac:dyDescent="0.25">
      <c r="A371" s="91"/>
      <c r="B371" s="116"/>
      <c r="C371" s="70" t="s">
        <v>80</v>
      </c>
      <c r="D371" s="1">
        <f t="shared" si="132"/>
        <v>3631.3</v>
      </c>
      <c r="E371" s="71">
        <v>2932.6</v>
      </c>
      <c r="F371" s="71">
        <v>0</v>
      </c>
      <c r="G371" s="71">
        <v>0</v>
      </c>
      <c r="H371" s="71">
        <v>0</v>
      </c>
      <c r="I371" s="71">
        <v>698.7</v>
      </c>
      <c r="J371" s="71">
        <v>0</v>
      </c>
      <c r="K371" s="71">
        <v>0</v>
      </c>
      <c r="L371" s="71">
        <v>0</v>
      </c>
      <c r="M371" s="71">
        <v>0</v>
      </c>
      <c r="N371" s="71">
        <v>0</v>
      </c>
      <c r="O371" s="71">
        <v>0</v>
      </c>
    </row>
    <row r="372" spans="1:24" ht="31.2" x14ac:dyDescent="0.25">
      <c r="A372" s="91"/>
      <c r="B372" s="116"/>
      <c r="C372" s="70" t="s">
        <v>82</v>
      </c>
      <c r="D372" s="1">
        <f t="shared" si="132"/>
        <v>475.5</v>
      </c>
      <c r="E372" s="1">
        <v>0</v>
      </c>
      <c r="F372" s="1">
        <v>0</v>
      </c>
      <c r="G372" s="1">
        <v>0</v>
      </c>
      <c r="H372" s="1">
        <v>475.5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</row>
    <row r="373" spans="1:24" ht="18.75" customHeight="1" x14ac:dyDescent="0.25">
      <c r="A373" s="91"/>
      <c r="B373" s="116"/>
      <c r="C373" s="51" t="s">
        <v>13</v>
      </c>
      <c r="D373" s="1">
        <f t="shared" si="132"/>
        <v>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</row>
    <row r="374" spans="1:24" ht="21" customHeight="1" x14ac:dyDescent="0.25">
      <c r="A374" s="91" t="s">
        <v>152</v>
      </c>
      <c r="B374" s="116" t="s">
        <v>50</v>
      </c>
      <c r="C374" s="51" t="s">
        <v>7</v>
      </c>
      <c r="D374" s="1">
        <f t="shared" ref="D374:D420" si="133">E374+F374+G374+H374+I374+J374+K374+L374+M374+N374+O374</f>
        <v>1787.5</v>
      </c>
      <c r="E374" s="1">
        <f t="shared" ref="E374:O374" si="134">E375+E376+E377+E378</f>
        <v>304.5</v>
      </c>
      <c r="F374" s="1">
        <f t="shared" si="134"/>
        <v>450</v>
      </c>
      <c r="G374" s="1">
        <f t="shared" si="134"/>
        <v>262.10000000000002</v>
      </c>
      <c r="H374" s="1">
        <f t="shared" si="134"/>
        <v>93.4</v>
      </c>
      <c r="I374" s="1">
        <f t="shared" si="134"/>
        <v>346.4</v>
      </c>
      <c r="J374" s="1">
        <f t="shared" si="134"/>
        <v>0</v>
      </c>
      <c r="K374" s="1">
        <f t="shared" si="134"/>
        <v>0</v>
      </c>
      <c r="L374" s="1">
        <f t="shared" si="134"/>
        <v>56.6</v>
      </c>
      <c r="M374" s="1">
        <f t="shared" si="134"/>
        <v>75</v>
      </c>
      <c r="N374" s="1">
        <f t="shared" si="134"/>
        <v>60.3</v>
      </c>
      <c r="O374" s="1">
        <f t="shared" si="134"/>
        <v>139.19999999999999</v>
      </c>
    </row>
    <row r="375" spans="1:24" ht="17.25" customHeight="1" x14ac:dyDescent="0.25">
      <c r="A375" s="91"/>
      <c r="B375" s="116"/>
      <c r="C375" s="51" t="s">
        <v>10</v>
      </c>
      <c r="D375" s="1">
        <f t="shared" si="133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</row>
    <row r="376" spans="1:24" ht="17.25" customHeight="1" x14ac:dyDescent="0.25">
      <c r="A376" s="91"/>
      <c r="B376" s="116"/>
      <c r="C376" s="51" t="s">
        <v>11</v>
      </c>
      <c r="D376" s="1">
        <f t="shared" si="133"/>
        <v>0</v>
      </c>
      <c r="E376" s="1">
        <v>0</v>
      </c>
      <c r="F376" s="1">
        <v>0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</row>
    <row r="377" spans="1:24" ht="21" customHeight="1" x14ac:dyDescent="0.25">
      <c r="A377" s="91"/>
      <c r="B377" s="116"/>
      <c r="C377" s="51" t="s">
        <v>12</v>
      </c>
      <c r="D377" s="1">
        <f t="shared" si="133"/>
        <v>1787.5</v>
      </c>
      <c r="E377" s="1">
        <v>304.5</v>
      </c>
      <c r="F377" s="1">
        <v>450</v>
      </c>
      <c r="G377" s="1">
        <v>262.10000000000002</v>
      </c>
      <c r="H377" s="1">
        <v>93.4</v>
      </c>
      <c r="I377" s="1">
        <f>504.9-158.5</f>
        <v>346.4</v>
      </c>
      <c r="J377" s="1">
        <f>227.7-227.7</f>
        <v>0</v>
      </c>
      <c r="K377" s="1">
        <f>420-320-100</f>
        <v>0</v>
      </c>
      <c r="L377" s="1">
        <f>56.6</f>
        <v>56.6</v>
      </c>
      <c r="M377" s="1">
        <f>75</f>
        <v>75</v>
      </c>
      <c r="N377" s="1">
        <v>60.3</v>
      </c>
      <c r="O377" s="1">
        <v>139.19999999999999</v>
      </c>
      <c r="X377" s="64">
        <v>-77.099999999999994</v>
      </c>
    </row>
    <row r="378" spans="1:24" ht="24" customHeight="1" x14ac:dyDescent="0.25">
      <c r="A378" s="91"/>
      <c r="B378" s="116"/>
      <c r="C378" s="51" t="s">
        <v>13</v>
      </c>
      <c r="D378" s="1">
        <f t="shared" si="133"/>
        <v>0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</row>
    <row r="379" spans="1:24" ht="15.6" x14ac:dyDescent="0.25">
      <c r="A379" s="91" t="s">
        <v>277</v>
      </c>
      <c r="B379" s="116" t="s">
        <v>275</v>
      </c>
      <c r="C379" s="78" t="s">
        <v>7</v>
      </c>
      <c r="D379" s="3">
        <f t="shared" si="133"/>
        <v>24278.44</v>
      </c>
      <c r="E379" s="3">
        <f>E380+E381+E382+E383</f>
        <v>0</v>
      </c>
      <c r="F379" s="3">
        <f t="shared" ref="F379:O379" si="135">F380+F381+F382+F383</f>
        <v>0</v>
      </c>
      <c r="G379" s="3">
        <f t="shared" si="135"/>
        <v>0</v>
      </c>
      <c r="H379" s="3">
        <f t="shared" si="135"/>
        <v>0</v>
      </c>
      <c r="I379" s="3">
        <f t="shared" si="135"/>
        <v>12513.5</v>
      </c>
      <c r="J379" s="3">
        <f t="shared" si="135"/>
        <v>7876.2999999999993</v>
      </c>
      <c r="K379" s="3">
        <f t="shared" si="135"/>
        <v>3827.44</v>
      </c>
      <c r="L379" s="3">
        <f t="shared" si="135"/>
        <v>61.2</v>
      </c>
      <c r="M379" s="3">
        <f t="shared" si="135"/>
        <v>0</v>
      </c>
      <c r="N379" s="3">
        <f t="shared" si="135"/>
        <v>0</v>
      </c>
      <c r="O379" s="3">
        <f t="shared" si="135"/>
        <v>0</v>
      </c>
    </row>
    <row r="380" spans="1:24" ht="15.6" x14ac:dyDescent="0.25">
      <c r="A380" s="91"/>
      <c r="B380" s="118"/>
      <c r="C380" s="58" t="s">
        <v>10</v>
      </c>
      <c r="D380" s="3">
        <f t="shared" si="133"/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</row>
    <row r="381" spans="1:24" ht="15.6" x14ac:dyDescent="0.25">
      <c r="A381" s="91"/>
      <c r="B381" s="118"/>
      <c r="C381" s="58" t="s">
        <v>11</v>
      </c>
      <c r="D381" s="3">
        <f t="shared" si="133"/>
        <v>22235.8</v>
      </c>
      <c r="E381" s="3">
        <v>0</v>
      </c>
      <c r="F381" s="3">
        <v>0</v>
      </c>
      <c r="G381" s="3">
        <v>0</v>
      </c>
      <c r="H381" s="3">
        <v>0</v>
      </c>
      <c r="I381" s="3">
        <v>11234.3</v>
      </c>
      <c r="J381" s="3">
        <v>7403.7</v>
      </c>
      <c r="K381" s="3">
        <v>3597.8</v>
      </c>
      <c r="L381" s="3">
        <v>0</v>
      </c>
      <c r="M381" s="3">
        <v>0</v>
      </c>
      <c r="N381" s="3">
        <v>0</v>
      </c>
      <c r="O381" s="3">
        <v>0</v>
      </c>
    </row>
    <row r="382" spans="1:24" ht="15.6" x14ac:dyDescent="0.25">
      <c r="A382" s="91"/>
      <c r="B382" s="118"/>
      <c r="C382" s="58" t="s">
        <v>12</v>
      </c>
      <c r="D382" s="3">
        <f t="shared" si="133"/>
        <v>2042.64</v>
      </c>
      <c r="E382" s="3">
        <v>0</v>
      </c>
      <c r="F382" s="3">
        <v>0</v>
      </c>
      <c r="G382" s="3">
        <v>0</v>
      </c>
      <c r="H382" s="3">
        <v>0</v>
      </c>
      <c r="I382" s="3">
        <f>1850-570.8</f>
        <v>1279.2</v>
      </c>
      <c r="J382" s="3">
        <f>3000-545.9-1981.5</f>
        <v>472.59999999999991</v>
      </c>
      <c r="K382" s="3">
        <v>229.64</v>
      </c>
      <c r="L382" s="3">
        <f>61.2</f>
        <v>61.2</v>
      </c>
      <c r="M382" s="3">
        <v>0</v>
      </c>
      <c r="N382" s="3">
        <v>0</v>
      </c>
      <c r="O382" s="3">
        <v>0</v>
      </c>
    </row>
    <row r="383" spans="1:24" ht="15" customHeight="1" x14ac:dyDescent="0.25">
      <c r="A383" s="91"/>
      <c r="B383" s="118"/>
      <c r="C383" s="58" t="s">
        <v>13</v>
      </c>
      <c r="D383" s="3">
        <f t="shared" si="133"/>
        <v>0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v>0</v>
      </c>
    </row>
    <row r="384" spans="1:24" ht="15.6" x14ac:dyDescent="0.25">
      <c r="A384" s="91" t="s">
        <v>292</v>
      </c>
      <c r="B384" s="116" t="s">
        <v>290</v>
      </c>
      <c r="C384" s="78" t="s">
        <v>7</v>
      </c>
      <c r="D384" s="3">
        <f t="shared" si="133"/>
        <v>0</v>
      </c>
      <c r="E384" s="3">
        <f>E385+E386+E387+E388</f>
        <v>0</v>
      </c>
      <c r="F384" s="3">
        <f t="shared" ref="F384:O384" si="136">F385+F386+F387+F388</f>
        <v>0</v>
      </c>
      <c r="G384" s="3">
        <f t="shared" si="136"/>
        <v>0</v>
      </c>
      <c r="H384" s="3">
        <f t="shared" si="136"/>
        <v>0</v>
      </c>
      <c r="I384" s="3">
        <f t="shared" si="136"/>
        <v>0</v>
      </c>
      <c r="J384" s="3">
        <f t="shared" si="136"/>
        <v>0</v>
      </c>
      <c r="K384" s="3">
        <f t="shared" si="136"/>
        <v>0</v>
      </c>
      <c r="L384" s="3">
        <f t="shared" si="136"/>
        <v>0</v>
      </c>
      <c r="M384" s="3">
        <f t="shared" si="136"/>
        <v>0</v>
      </c>
      <c r="N384" s="3">
        <f t="shared" si="136"/>
        <v>0</v>
      </c>
      <c r="O384" s="3">
        <f t="shared" si="136"/>
        <v>0</v>
      </c>
    </row>
    <row r="385" spans="1:15" ht="15.6" x14ac:dyDescent="0.25">
      <c r="A385" s="91"/>
      <c r="B385" s="118"/>
      <c r="C385" s="58" t="s">
        <v>10</v>
      </c>
      <c r="D385" s="3">
        <f t="shared" si="133"/>
        <v>0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</row>
    <row r="386" spans="1:15" ht="15.6" x14ac:dyDescent="0.25">
      <c r="A386" s="91"/>
      <c r="B386" s="118"/>
      <c r="C386" s="58" t="s">
        <v>11</v>
      </c>
      <c r="D386" s="3">
        <f t="shared" si="133"/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</row>
    <row r="387" spans="1:15" ht="15.6" x14ac:dyDescent="0.25">
      <c r="A387" s="91"/>
      <c r="B387" s="118"/>
      <c r="C387" s="58" t="s">
        <v>12</v>
      </c>
      <c r="D387" s="3">
        <f t="shared" si="133"/>
        <v>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  <c r="O387" s="3">
        <f>N387*104%</f>
        <v>0</v>
      </c>
    </row>
    <row r="388" spans="1:15" ht="18" customHeight="1" x14ac:dyDescent="0.25">
      <c r="A388" s="91"/>
      <c r="B388" s="118"/>
      <c r="C388" s="58" t="s">
        <v>13</v>
      </c>
      <c r="D388" s="3">
        <f t="shared" si="133"/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3">
        <v>0</v>
      </c>
    </row>
    <row r="389" spans="1:15" ht="18" customHeight="1" x14ac:dyDescent="0.25">
      <c r="A389" s="91" t="s">
        <v>415</v>
      </c>
      <c r="B389" s="116" t="s">
        <v>416</v>
      </c>
      <c r="C389" s="78" t="s">
        <v>7</v>
      </c>
      <c r="D389" s="3">
        <f t="shared" si="133"/>
        <v>1052.5999999999999</v>
      </c>
      <c r="E389" s="3">
        <f>E390+E391+E392+E393</f>
        <v>0</v>
      </c>
      <c r="F389" s="3">
        <f t="shared" ref="F389:O389" si="137">F390+F391+F392+F393</f>
        <v>0</v>
      </c>
      <c r="G389" s="3">
        <f t="shared" si="137"/>
        <v>0</v>
      </c>
      <c r="H389" s="3">
        <f t="shared" si="137"/>
        <v>0</v>
      </c>
      <c r="I389" s="3">
        <f t="shared" si="137"/>
        <v>0</v>
      </c>
      <c r="J389" s="3">
        <f t="shared" si="137"/>
        <v>0</v>
      </c>
      <c r="K389" s="3">
        <f t="shared" si="137"/>
        <v>1052.5999999999999</v>
      </c>
      <c r="L389" s="3">
        <f t="shared" si="137"/>
        <v>0</v>
      </c>
      <c r="M389" s="3">
        <f t="shared" si="137"/>
        <v>0</v>
      </c>
      <c r="N389" s="3">
        <f t="shared" si="137"/>
        <v>0</v>
      </c>
      <c r="O389" s="3">
        <f t="shared" si="137"/>
        <v>0</v>
      </c>
    </row>
    <row r="390" spans="1:15" ht="18" customHeight="1" x14ac:dyDescent="0.25">
      <c r="A390" s="91"/>
      <c r="B390" s="118"/>
      <c r="C390" s="58" t="s">
        <v>10</v>
      </c>
      <c r="D390" s="3">
        <f t="shared" si="133"/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  <c r="M390" s="3">
        <v>0</v>
      </c>
      <c r="N390" s="3">
        <v>0</v>
      </c>
      <c r="O390" s="3">
        <v>0</v>
      </c>
    </row>
    <row r="391" spans="1:15" ht="18" customHeight="1" x14ac:dyDescent="0.25">
      <c r="A391" s="91"/>
      <c r="B391" s="118"/>
      <c r="C391" s="58" t="s">
        <v>11</v>
      </c>
      <c r="D391" s="3">
        <f t="shared" si="133"/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0</v>
      </c>
      <c r="N391" s="3">
        <v>0</v>
      </c>
      <c r="O391" s="3">
        <v>0</v>
      </c>
    </row>
    <row r="392" spans="1:15" ht="18" customHeight="1" x14ac:dyDescent="0.25">
      <c r="A392" s="91"/>
      <c r="B392" s="118"/>
      <c r="C392" s="58" t="s">
        <v>12</v>
      </c>
      <c r="D392" s="3">
        <f t="shared" si="133"/>
        <v>1052.5999999999999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1052.5999999999999</v>
      </c>
      <c r="L392" s="3">
        <v>0</v>
      </c>
      <c r="M392" s="3">
        <v>0</v>
      </c>
      <c r="N392" s="3">
        <v>0</v>
      </c>
      <c r="O392" s="3">
        <v>0</v>
      </c>
    </row>
    <row r="393" spans="1:15" ht="18" customHeight="1" x14ac:dyDescent="0.25">
      <c r="A393" s="91"/>
      <c r="B393" s="118"/>
      <c r="C393" s="58" t="s">
        <v>13</v>
      </c>
      <c r="D393" s="3">
        <f t="shared" si="133"/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  <c r="M393" s="3">
        <v>0</v>
      </c>
      <c r="N393" s="3">
        <v>0</v>
      </c>
      <c r="O393" s="3">
        <v>0</v>
      </c>
    </row>
    <row r="394" spans="1:15" ht="15.6" x14ac:dyDescent="0.25">
      <c r="A394" s="91" t="s">
        <v>313</v>
      </c>
      <c r="B394" s="116" t="s">
        <v>374</v>
      </c>
      <c r="C394" s="78" t="s">
        <v>7</v>
      </c>
      <c r="D394" s="3">
        <f t="shared" si="133"/>
        <v>426605.23</v>
      </c>
      <c r="E394" s="3">
        <f>E395+E396+E397+E398</f>
        <v>0</v>
      </c>
      <c r="F394" s="3">
        <f t="shared" ref="F394:O394" si="138">F395+F396+F397+F398</f>
        <v>0</v>
      </c>
      <c r="G394" s="3">
        <f t="shared" si="138"/>
        <v>0</v>
      </c>
      <c r="H394" s="3">
        <f t="shared" si="138"/>
        <v>0</v>
      </c>
      <c r="I394" s="3">
        <f t="shared" si="138"/>
        <v>0</v>
      </c>
      <c r="J394" s="3">
        <f t="shared" si="138"/>
        <v>208238.7</v>
      </c>
      <c r="K394" s="3">
        <f>K395+K396+K397+K398</f>
        <v>218366.53</v>
      </c>
      <c r="L394" s="3">
        <f t="shared" si="138"/>
        <v>0</v>
      </c>
      <c r="M394" s="3">
        <f t="shared" si="138"/>
        <v>0</v>
      </c>
      <c r="N394" s="3">
        <f t="shared" si="138"/>
        <v>0</v>
      </c>
      <c r="O394" s="3">
        <f t="shared" si="138"/>
        <v>0</v>
      </c>
    </row>
    <row r="395" spans="1:15" ht="15.6" x14ac:dyDescent="0.25">
      <c r="A395" s="91"/>
      <c r="B395" s="118"/>
      <c r="C395" s="58" t="s">
        <v>10</v>
      </c>
      <c r="D395" s="3">
        <f t="shared" si="133"/>
        <v>115023.2</v>
      </c>
      <c r="E395" s="3">
        <f t="shared" ref="E395:O395" si="139">E400+E405</f>
        <v>0</v>
      </c>
      <c r="F395" s="3">
        <f t="shared" si="139"/>
        <v>0</v>
      </c>
      <c r="G395" s="3">
        <f t="shared" si="139"/>
        <v>0</v>
      </c>
      <c r="H395" s="3">
        <f t="shared" si="139"/>
        <v>0</v>
      </c>
      <c r="I395" s="3">
        <f t="shared" si="139"/>
        <v>0</v>
      </c>
      <c r="J395" s="3">
        <f t="shared" si="139"/>
        <v>0</v>
      </c>
      <c r="K395" s="3">
        <f t="shared" si="139"/>
        <v>115023.2</v>
      </c>
      <c r="L395" s="3">
        <f t="shared" si="139"/>
        <v>0</v>
      </c>
      <c r="M395" s="3">
        <f t="shared" si="139"/>
        <v>0</v>
      </c>
      <c r="N395" s="3">
        <f t="shared" si="139"/>
        <v>0</v>
      </c>
      <c r="O395" s="3">
        <f t="shared" si="139"/>
        <v>0</v>
      </c>
    </row>
    <row r="396" spans="1:15" ht="15.6" x14ac:dyDescent="0.25">
      <c r="A396" s="91"/>
      <c r="B396" s="118"/>
      <c r="C396" s="58" t="s">
        <v>11</v>
      </c>
      <c r="D396" s="3">
        <f t="shared" si="133"/>
        <v>287838.81</v>
      </c>
      <c r="E396" s="3">
        <f>E401+E406</f>
        <v>0</v>
      </c>
      <c r="F396" s="3">
        <f t="shared" ref="F396:O396" si="140">F401+F406</f>
        <v>0</v>
      </c>
      <c r="G396" s="3">
        <f t="shared" si="140"/>
        <v>0</v>
      </c>
      <c r="H396" s="3">
        <f t="shared" si="140"/>
        <v>0</v>
      </c>
      <c r="I396" s="3">
        <f t="shared" si="140"/>
        <v>0</v>
      </c>
      <c r="J396" s="3">
        <f t="shared" si="140"/>
        <v>193000</v>
      </c>
      <c r="K396" s="3">
        <f t="shared" si="140"/>
        <v>94838.81</v>
      </c>
      <c r="L396" s="3">
        <f t="shared" si="140"/>
        <v>0</v>
      </c>
      <c r="M396" s="3">
        <f t="shared" si="140"/>
        <v>0</v>
      </c>
      <c r="N396" s="3">
        <f t="shared" si="140"/>
        <v>0</v>
      </c>
      <c r="O396" s="3">
        <f t="shared" si="140"/>
        <v>0</v>
      </c>
    </row>
    <row r="397" spans="1:15" ht="15.6" x14ac:dyDescent="0.25">
      <c r="A397" s="91"/>
      <c r="B397" s="118"/>
      <c r="C397" s="58" t="s">
        <v>12</v>
      </c>
      <c r="D397" s="3">
        <f t="shared" si="133"/>
        <v>23743.22</v>
      </c>
      <c r="E397" s="3">
        <f>E402+E407</f>
        <v>0</v>
      </c>
      <c r="F397" s="3">
        <f t="shared" ref="F397:O397" si="141">F402+F407</f>
        <v>0</v>
      </c>
      <c r="G397" s="3">
        <f t="shared" si="141"/>
        <v>0</v>
      </c>
      <c r="H397" s="3">
        <f t="shared" si="141"/>
        <v>0</v>
      </c>
      <c r="I397" s="3">
        <f t="shared" si="141"/>
        <v>0</v>
      </c>
      <c r="J397" s="3">
        <f t="shared" si="141"/>
        <v>15238.7</v>
      </c>
      <c r="K397" s="3">
        <f>K402+K407+K412</f>
        <v>8504.52</v>
      </c>
      <c r="L397" s="3">
        <f t="shared" si="141"/>
        <v>0</v>
      </c>
      <c r="M397" s="3">
        <f t="shared" si="141"/>
        <v>0</v>
      </c>
      <c r="N397" s="3">
        <f t="shared" si="141"/>
        <v>0</v>
      </c>
      <c r="O397" s="3">
        <f t="shared" si="141"/>
        <v>0</v>
      </c>
    </row>
    <row r="398" spans="1:15" ht="15.6" x14ac:dyDescent="0.25">
      <c r="A398" s="91"/>
      <c r="B398" s="118"/>
      <c r="C398" s="58" t="s">
        <v>13</v>
      </c>
      <c r="D398" s="3">
        <f t="shared" si="133"/>
        <v>0</v>
      </c>
      <c r="E398" s="3">
        <f>E403+E408</f>
        <v>0</v>
      </c>
      <c r="F398" s="3">
        <f t="shared" ref="F398:O398" si="142">F403+F408</f>
        <v>0</v>
      </c>
      <c r="G398" s="3">
        <f t="shared" si="142"/>
        <v>0</v>
      </c>
      <c r="H398" s="3">
        <f t="shared" si="142"/>
        <v>0</v>
      </c>
      <c r="I398" s="3">
        <f t="shared" si="142"/>
        <v>0</v>
      </c>
      <c r="J398" s="3">
        <f t="shared" si="142"/>
        <v>0</v>
      </c>
      <c r="K398" s="3">
        <f t="shared" si="142"/>
        <v>0</v>
      </c>
      <c r="L398" s="3">
        <f t="shared" si="142"/>
        <v>0</v>
      </c>
      <c r="M398" s="3">
        <f t="shared" si="142"/>
        <v>0</v>
      </c>
      <c r="N398" s="3">
        <f t="shared" si="142"/>
        <v>0</v>
      </c>
      <c r="O398" s="3">
        <f t="shared" si="142"/>
        <v>0</v>
      </c>
    </row>
    <row r="399" spans="1:15" ht="29.25" customHeight="1" x14ac:dyDescent="0.25">
      <c r="A399" s="91" t="s">
        <v>333</v>
      </c>
      <c r="B399" s="116" t="s">
        <v>409</v>
      </c>
      <c r="C399" s="78" t="s">
        <v>7</v>
      </c>
      <c r="D399" s="1">
        <f t="shared" si="133"/>
        <v>420220.53</v>
      </c>
      <c r="E399" s="1">
        <f>E400+E401+E402+E403</f>
        <v>0</v>
      </c>
      <c r="F399" s="1">
        <f t="shared" ref="F399:O399" si="143">F400+F401+F402+F403</f>
        <v>0</v>
      </c>
      <c r="G399" s="1">
        <f t="shared" si="143"/>
        <v>0</v>
      </c>
      <c r="H399" s="1">
        <f t="shared" si="143"/>
        <v>0</v>
      </c>
      <c r="I399" s="1">
        <f t="shared" si="143"/>
        <v>0</v>
      </c>
      <c r="J399" s="1">
        <f t="shared" si="143"/>
        <v>208238.7</v>
      </c>
      <c r="K399" s="1">
        <f t="shared" si="143"/>
        <v>211981.83000000002</v>
      </c>
      <c r="L399" s="1">
        <f t="shared" si="143"/>
        <v>0</v>
      </c>
      <c r="M399" s="1">
        <f t="shared" si="143"/>
        <v>0</v>
      </c>
      <c r="N399" s="1">
        <f t="shared" si="143"/>
        <v>0</v>
      </c>
      <c r="O399" s="1">
        <f t="shared" si="143"/>
        <v>0</v>
      </c>
    </row>
    <row r="400" spans="1:15" ht="24" customHeight="1" x14ac:dyDescent="0.25">
      <c r="A400" s="91"/>
      <c r="B400" s="118"/>
      <c r="C400" s="58" t="s">
        <v>10</v>
      </c>
      <c r="D400" s="1">
        <f t="shared" si="133"/>
        <v>115023.2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115023.2</v>
      </c>
      <c r="L400" s="1">
        <v>0</v>
      </c>
      <c r="M400" s="1">
        <v>0</v>
      </c>
      <c r="N400" s="1">
        <v>0</v>
      </c>
      <c r="O400" s="1">
        <v>0</v>
      </c>
    </row>
    <row r="401" spans="1:15" ht="24" customHeight="1" x14ac:dyDescent="0.25">
      <c r="A401" s="91"/>
      <c r="B401" s="118"/>
      <c r="C401" s="58" t="s">
        <v>11</v>
      </c>
      <c r="D401" s="1">
        <f t="shared" si="133"/>
        <v>287838.81</v>
      </c>
      <c r="E401" s="1">
        <v>0</v>
      </c>
      <c r="F401" s="1">
        <v>0</v>
      </c>
      <c r="G401" s="1">
        <v>0</v>
      </c>
      <c r="H401" s="1">
        <v>0</v>
      </c>
      <c r="I401" s="1">
        <v>0</v>
      </c>
      <c r="J401" s="1">
        <v>193000</v>
      </c>
      <c r="K401" s="1">
        <v>94838.81</v>
      </c>
      <c r="L401" s="1">
        <v>0</v>
      </c>
      <c r="M401" s="1">
        <v>0</v>
      </c>
      <c r="N401" s="1">
        <v>0</v>
      </c>
      <c r="O401" s="1">
        <v>0</v>
      </c>
    </row>
    <row r="402" spans="1:15" ht="20.25" customHeight="1" x14ac:dyDescent="0.25">
      <c r="A402" s="91"/>
      <c r="B402" s="118"/>
      <c r="C402" s="58" t="s">
        <v>12</v>
      </c>
      <c r="D402" s="1">
        <f t="shared" si="133"/>
        <v>17358.52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f>12319.1+2918+1.6</f>
        <v>15238.7</v>
      </c>
      <c r="K402" s="1">
        <v>2119.8200000000002</v>
      </c>
      <c r="L402" s="1">
        <v>0</v>
      </c>
      <c r="M402" s="1">
        <v>0</v>
      </c>
      <c r="N402" s="1">
        <v>0</v>
      </c>
      <c r="O402" s="1">
        <v>0</v>
      </c>
    </row>
    <row r="403" spans="1:15" ht="30.75" customHeight="1" x14ac:dyDescent="0.25">
      <c r="A403" s="91"/>
      <c r="B403" s="118"/>
      <c r="C403" s="58" t="s">
        <v>13</v>
      </c>
      <c r="D403" s="1">
        <f t="shared" si="133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</row>
    <row r="404" spans="1:15" ht="25.5" customHeight="1" x14ac:dyDescent="0.25">
      <c r="A404" s="89" t="s">
        <v>383</v>
      </c>
      <c r="B404" s="116" t="s">
        <v>410</v>
      </c>
      <c r="C404" s="78" t="s">
        <v>7</v>
      </c>
      <c r="D404" s="1">
        <f>E404+F404+G404+H404+I404+J404+K404+L404+M404+N404+O404</f>
        <v>4584.7</v>
      </c>
      <c r="E404" s="1">
        <f>E405+E406+E407+E408</f>
        <v>0</v>
      </c>
      <c r="F404" s="1">
        <f t="shared" ref="F404:O404" si="144">F405+F406+F407+F408</f>
        <v>0</v>
      </c>
      <c r="G404" s="1">
        <f t="shared" si="144"/>
        <v>0</v>
      </c>
      <c r="H404" s="1">
        <f t="shared" si="144"/>
        <v>0</v>
      </c>
      <c r="I404" s="1">
        <f t="shared" si="144"/>
        <v>0</v>
      </c>
      <c r="J404" s="1">
        <f t="shared" si="144"/>
        <v>0</v>
      </c>
      <c r="K404" s="1">
        <f t="shared" si="144"/>
        <v>4584.7</v>
      </c>
      <c r="L404" s="1">
        <f t="shared" si="144"/>
        <v>0</v>
      </c>
      <c r="M404" s="1">
        <f t="shared" si="144"/>
        <v>0</v>
      </c>
      <c r="N404" s="1">
        <f t="shared" si="144"/>
        <v>0</v>
      </c>
      <c r="O404" s="1">
        <f t="shared" si="144"/>
        <v>0</v>
      </c>
    </row>
    <row r="405" spans="1:15" ht="25.5" customHeight="1" x14ac:dyDescent="0.25">
      <c r="A405" s="104"/>
      <c r="B405" s="118"/>
      <c r="C405" s="58" t="s">
        <v>10</v>
      </c>
      <c r="D405" s="1">
        <f t="shared" ref="D405:D413" si="145">E405+F405+G405+H405+I405+J405+K405+L405+M405+N405+O405</f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15" ht="25.5" customHeight="1" x14ac:dyDescent="0.25">
      <c r="A406" s="104"/>
      <c r="B406" s="118"/>
      <c r="C406" s="58" t="s">
        <v>11</v>
      </c>
      <c r="D406" s="1">
        <f t="shared" si="145"/>
        <v>0</v>
      </c>
      <c r="E406" s="1">
        <v>0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</row>
    <row r="407" spans="1:15" ht="25.5" customHeight="1" x14ac:dyDescent="0.25">
      <c r="A407" s="104"/>
      <c r="B407" s="118"/>
      <c r="C407" s="58" t="s">
        <v>12</v>
      </c>
      <c r="D407" s="1">
        <f t="shared" si="145"/>
        <v>4584.7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4584.7</v>
      </c>
      <c r="L407" s="1">
        <v>0</v>
      </c>
      <c r="M407" s="1">
        <v>0</v>
      </c>
      <c r="N407" s="1">
        <v>0</v>
      </c>
      <c r="O407" s="1">
        <v>0</v>
      </c>
    </row>
    <row r="408" spans="1:15" ht="25.5" customHeight="1" x14ac:dyDescent="0.25">
      <c r="A408" s="90"/>
      <c r="B408" s="118"/>
      <c r="C408" s="58" t="s">
        <v>13</v>
      </c>
      <c r="D408" s="1">
        <f t="shared" si="145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15" ht="25.5" customHeight="1" x14ac:dyDescent="0.25">
      <c r="A409" s="89" t="s">
        <v>408</v>
      </c>
      <c r="B409" s="116" t="s">
        <v>411</v>
      </c>
      <c r="C409" s="78" t="s">
        <v>7</v>
      </c>
      <c r="D409" s="1">
        <f>E409+F409+G409+H409+I409+J409+K409+L409+M409+N409+O409</f>
        <v>1800</v>
      </c>
      <c r="E409" s="1">
        <f>E410+E411+E412+E413</f>
        <v>0</v>
      </c>
      <c r="F409" s="1">
        <f t="shared" ref="F409:O409" si="146">F410+F411+F412+F413</f>
        <v>0</v>
      </c>
      <c r="G409" s="1">
        <f t="shared" si="146"/>
        <v>0</v>
      </c>
      <c r="H409" s="1">
        <f t="shared" si="146"/>
        <v>0</v>
      </c>
      <c r="I409" s="1">
        <f t="shared" si="146"/>
        <v>0</v>
      </c>
      <c r="J409" s="1">
        <f t="shared" si="146"/>
        <v>0</v>
      </c>
      <c r="K409" s="1">
        <f t="shared" si="146"/>
        <v>1800</v>
      </c>
      <c r="L409" s="1">
        <f t="shared" si="146"/>
        <v>0</v>
      </c>
      <c r="M409" s="1">
        <f t="shared" si="146"/>
        <v>0</v>
      </c>
      <c r="N409" s="1">
        <f t="shared" si="146"/>
        <v>0</v>
      </c>
      <c r="O409" s="1">
        <f t="shared" si="146"/>
        <v>0</v>
      </c>
    </row>
    <row r="410" spans="1:15" ht="25.5" customHeight="1" x14ac:dyDescent="0.25">
      <c r="A410" s="104"/>
      <c r="B410" s="118"/>
      <c r="C410" s="58" t="s">
        <v>10</v>
      </c>
      <c r="D410" s="1">
        <f t="shared" si="145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15" ht="25.5" customHeight="1" x14ac:dyDescent="0.25">
      <c r="A411" s="104"/>
      <c r="B411" s="118"/>
      <c r="C411" s="58" t="s">
        <v>11</v>
      </c>
      <c r="D411" s="1">
        <f t="shared" si="145"/>
        <v>0</v>
      </c>
      <c r="E411" s="1">
        <v>0</v>
      </c>
      <c r="F411" s="1">
        <v>0</v>
      </c>
      <c r="G411" s="1">
        <v>0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</row>
    <row r="412" spans="1:15" ht="25.5" customHeight="1" x14ac:dyDescent="0.25">
      <c r="A412" s="104"/>
      <c r="B412" s="118"/>
      <c r="C412" s="58" t="s">
        <v>12</v>
      </c>
      <c r="D412" s="1">
        <f t="shared" si="145"/>
        <v>1800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1800</v>
      </c>
      <c r="L412" s="1">
        <v>0</v>
      </c>
      <c r="M412" s="1">
        <v>0</v>
      </c>
      <c r="N412" s="1">
        <v>0</v>
      </c>
      <c r="O412" s="1">
        <v>0</v>
      </c>
    </row>
    <row r="413" spans="1:15" ht="23.25" customHeight="1" x14ac:dyDescent="0.25">
      <c r="A413" s="90"/>
      <c r="B413" s="118"/>
      <c r="C413" s="58" t="s">
        <v>13</v>
      </c>
      <c r="D413" s="1">
        <f t="shared" si="145"/>
        <v>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15" ht="15.6" x14ac:dyDescent="0.25">
      <c r="A414" s="91" t="s">
        <v>318</v>
      </c>
      <c r="B414" s="116" t="s">
        <v>375</v>
      </c>
      <c r="C414" s="78" t="s">
        <v>7</v>
      </c>
      <c r="D414" s="3">
        <f t="shared" si="133"/>
        <v>26043.600000000002</v>
      </c>
      <c r="E414" s="3">
        <f>E415+E416+E417+E418</f>
        <v>0</v>
      </c>
      <c r="F414" s="3">
        <f t="shared" ref="F414:O414" si="147">F415+F416+F417+F418</f>
        <v>0</v>
      </c>
      <c r="G414" s="3">
        <f t="shared" si="147"/>
        <v>0</v>
      </c>
      <c r="H414" s="3">
        <f t="shared" si="147"/>
        <v>0</v>
      </c>
      <c r="I414" s="3">
        <f t="shared" si="147"/>
        <v>0</v>
      </c>
      <c r="J414" s="3">
        <f t="shared" si="147"/>
        <v>0</v>
      </c>
      <c r="K414" s="3">
        <f t="shared" si="147"/>
        <v>25529.200000000001</v>
      </c>
      <c r="L414" s="3">
        <f t="shared" si="147"/>
        <v>98.2</v>
      </c>
      <c r="M414" s="3">
        <f t="shared" si="147"/>
        <v>416.2</v>
      </c>
      <c r="N414" s="3">
        <f t="shared" si="147"/>
        <v>0</v>
      </c>
      <c r="O414" s="3">
        <f t="shared" si="147"/>
        <v>0</v>
      </c>
    </row>
    <row r="415" spans="1:15" ht="15.6" x14ac:dyDescent="0.25">
      <c r="A415" s="91"/>
      <c r="B415" s="118"/>
      <c r="C415" s="58" t="s">
        <v>10</v>
      </c>
      <c r="D415" s="3">
        <f t="shared" si="133"/>
        <v>0</v>
      </c>
      <c r="E415" s="3">
        <f>E420+E425</f>
        <v>0</v>
      </c>
      <c r="F415" s="3">
        <f t="shared" ref="F415:O415" si="148">F420+F425</f>
        <v>0</v>
      </c>
      <c r="G415" s="3">
        <f t="shared" si="148"/>
        <v>0</v>
      </c>
      <c r="H415" s="3">
        <f t="shared" si="148"/>
        <v>0</v>
      </c>
      <c r="I415" s="3">
        <f t="shared" si="148"/>
        <v>0</v>
      </c>
      <c r="J415" s="3">
        <f t="shared" si="148"/>
        <v>0</v>
      </c>
      <c r="K415" s="3">
        <f t="shared" si="148"/>
        <v>0</v>
      </c>
      <c r="L415" s="3">
        <f t="shared" si="148"/>
        <v>0</v>
      </c>
      <c r="M415" s="3">
        <f t="shared" si="148"/>
        <v>0</v>
      </c>
      <c r="N415" s="3">
        <f t="shared" si="148"/>
        <v>0</v>
      </c>
      <c r="O415" s="3">
        <f t="shared" si="148"/>
        <v>0</v>
      </c>
    </row>
    <row r="416" spans="1:15" ht="15.6" x14ac:dyDescent="0.25">
      <c r="A416" s="91"/>
      <c r="B416" s="118"/>
      <c r="C416" s="58" t="s">
        <v>11</v>
      </c>
      <c r="D416" s="3">
        <f t="shared" si="133"/>
        <v>23997.4</v>
      </c>
      <c r="E416" s="3">
        <f>E421+E426</f>
        <v>0</v>
      </c>
      <c r="F416" s="3">
        <f t="shared" ref="F416:O416" si="149">F421+F426</f>
        <v>0</v>
      </c>
      <c r="G416" s="3">
        <f t="shared" si="149"/>
        <v>0</v>
      </c>
      <c r="H416" s="3">
        <f t="shared" si="149"/>
        <v>0</v>
      </c>
      <c r="I416" s="3">
        <f t="shared" si="149"/>
        <v>0</v>
      </c>
      <c r="J416" s="3">
        <f t="shared" si="149"/>
        <v>0</v>
      </c>
      <c r="K416" s="3">
        <f t="shared" si="149"/>
        <v>23997.4</v>
      </c>
      <c r="L416" s="3">
        <f t="shared" si="149"/>
        <v>0</v>
      </c>
      <c r="M416" s="3">
        <f t="shared" si="149"/>
        <v>0</v>
      </c>
      <c r="N416" s="3">
        <f t="shared" si="149"/>
        <v>0</v>
      </c>
      <c r="O416" s="3">
        <f t="shared" si="149"/>
        <v>0</v>
      </c>
    </row>
    <row r="417" spans="1:23" ht="15.6" x14ac:dyDescent="0.25">
      <c r="A417" s="91"/>
      <c r="B417" s="118"/>
      <c r="C417" s="58" t="s">
        <v>12</v>
      </c>
      <c r="D417" s="3">
        <f t="shared" si="133"/>
        <v>2046.2</v>
      </c>
      <c r="E417" s="3">
        <f>E422+E427</f>
        <v>0</v>
      </c>
      <c r="F417" s="3">
        <f t="shared" ref="F417:O417" si="150">F422+F427</f>
        <v>0</v>
      </c>
      <c r="G417" s="3">
        <f t="shared" si="150"/>
        <v>0</v>
      </c>
      <c r="H417" s="3">
        <f t="shared" si="150"/>
        <v>0</v>
      </c>
      <c r="I417" s="3">
        <f t="shared" si="150"/>
        <v>0</v>
      </c>
      <c r="J417" s="3">
        <f t="shared" si="150"/>
        <v>0</v>
      </c>
      <c r="K417" s="3">
        <f t="shared" si="150"/>
        <v>1531.8</v>
      </c>
      <c r="L417" s="3">
        <f t="shared" si="150"/>
        <v>98.2</v>
      </c>
      <c r="M417" s="3">
        <f t="shared" si="150"/>
        <v>416.2</v>
      </c>
      <c r="N417" s="3">
        <f t="shared" si="150"/>
        <v>0</v>
      </c>
      <c r="O417" s="3">
        <f t="shared" si="150"/>
        <v>0</v>
      </c>
    </row>
    <row r="418" spans="1:23" ht="18.75" customHeight="1" x14ac:dyDescent="0.25">
      <c r="A418" s="91"/>
      <c r="B418" s="118"/>
      <c r="C418" s="58" t="s">
        <v>13</v>
      </c>
      <c r="D418" s="3">
        <f t="shared" si="133"/>
        <v>0</v>
      </c>
      <c r="E418" s="3">
        <f>E423+E428</f>
        <v>0</v>
      </c>
      <c r="F418" s="3">
        <f t="shared" ref="F418:O418" si="151">F423+F428</f>
        <v>0</v>
      </c>
      <c r="G418" s="3">
        <f t="shared" si="151"/>
        <v>0</v>
      </c>
      <c r="H418" s="3">
        <f t="shared" si="151"/>
        <v>0</v>
      </c>
      <c r="I418" s="3">
        <f t="shared" si="151"/>
        <v>0</v>
      </c>
      <c r="J418" s="3">
        <f t="shared" si="151"/>
        <v>0</v>
      </c>
      <c r="K418" s="3">
        <f t="shared" si="151"/>
        <v>0</v>
      </c>
      <c r="L418" s="3">
        <f t="shared" si="151"/>
        <v>0</v>
      </c>
      <c r="M418" s="3">
        <f t="shared" si="151"/>
        <v>0</v>
      </c>
      <c r="N418" s="3">
        <f t="shared" si="151"/>
        <v>0</v>
      </c>
      <c r="O418" s="3">
        <f t="shared" si="151"/>
        <v>0</v>
      </c>
    </row>
    <row r="419" spans="1:23" ht="15.6" x14ac:dyDescent="0.25">
      <c r="A419" s="91" t="s">
        <v>334</v>
      </c>
      <c r="B419" s="116" t="s">
        <v>319</v>
      </c>
      <c r="C419" s="78" t="s">
        <v>7</v>
      </c>
      <c r="D419" s="1">
        <f t="shared" si="133"/>
        <v>514.4</v>
      </c>
      <c r="E419" s="1">
        <f t="shared" ref="E419:J419" si="152">E420+E421+E422+E423</f>
        <v>0</v>
      </c>
      <c r="F419" s="1">
        <f t="shared" si="152"/>
        <v>0</v>
      </c>
      <c r="G419" s="1">
        <f t="shared" si="152"/>
        <v>0</v>
      </c>
      <c r="H419" s="1">
        <f t="shared" si="152"/>
        <v>0</v>
      </c>
      <c r="I419" s="1">
        <f t="shared" si="152"/>
        <v>0</v>
      </c>
      <c r="J419" s="1">
        <f t="shared" si="152"/>
        <v>0</v>
      </c>
      <c r="K419" s="1">
        <f>K420+K421+K422+K423</f>
        <v>0</v>
      </c>
      <c r="L419" s="1">
        <f>L420+L421+L422+L423</f>
        <v>98.2</v>
      </c>
      <c r="M419" s="1">
        <f>M420+M421+M422+M423</f>
        <v>416.2</v>
      </c>
      <c r="N419" s="1">
        <f>N420+N421+N422+N423</f>
        <v>0</v>
      </c>
      <c r="O419" s="1">
        <f>O420+O421+O422+O423</f>
        <v>0</v>
      </c>
      <c r="W419" s="79"/>
    </row>
    <row r="420" spans="1:23" ht="15.6" x14ac:dyDescent="0.25">
      <c r="A420" s="91"/>
      <c r="B420" s="118"/>
      <c r="C420" s="58" t="s">
        <v>10</v>
      </c>
      <c r="D420" s="1">
        <f t="shared" si="133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W420" s="79"/>
    </row>
    <row r="421" spans="1:23" ht="15.6" x14ac:dyDescent="0.25">
      <c r="A421" s="91"/>
      <c r="B421" s="118"/>
      <c r="C421" s="58" t="s">
        <v>11</v>
      </c>
      <c r="D421" s="1">
        <f t="shared" ref="D421:D454" si="153">E421+F421+G421+H421+I421+J421+K421+L421+M421+N421+O421</f>
        <v>0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W421" s="79"/>
    </row>
    <row r="422" spans="1:23" ht="15.6" x14ac:dyDescent="0.25">
      <c r="A422" s="91"/>
      <c r="B422" s="118"/>
      <c r="C422" s="58" t="s">
        <v>12</v>
      </c>
      <c r="D422" s="1">
        <f t="shared" si="153"/>
        <v>514.4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98.2</v>
      </c>
      <c r="M422" s="1">
        <v>416.2</v>
      </c>
      <c r="N422" s="1">
        <v>0</v>
      </c>
      <c r="O422" s="1">
        <v>0</v>
      </c>
      <c r="W422" s="79"/>
    </row>
    <row r="423" spans="1:23" ht="17.25" customHeight="1" x14ac:dyDescent="0.25">
      <c r="A423" s="91"/>
      <c r="B423" s="118"/>
      <c r="C423" s="58" t="s">
        <v>13</v>
      </c>
      <c r="D423" s="1">
        <f t="shared" si="153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W423" s="79"/>
    </row>
    <row r="424" spans="1:23" ht="17.25" customHeight="1" x14ac:dyDescent="0.25">
      <c r="A424" s="89" t="s">
        <v>381</v>
      </c>
      <c r="B424" s="89" t="s">
        <v>382</v>
      </c>
      <c r="C424" s="78" t="s">
        <v>7</v>
      </c>
      <c r="D424" s="1">
        <f>E424+F424+G424+H424+I424+J424+K424+L424+M424+N424+O424</f>
        <v>25529.200000000001</v>
      </c>
      <c r="E424" s="1">
        <f>E425+E426+E427+E428</f>
        <v>0</v>
      </c>
      <c r="F424" s="1">
        <f t="shared" ref="F424:O424" si="154">F425+F426+F427+F428</f>
        <v>0</v>
      </c>
      <c r="G424" s="1">
        <f t="shared" si="154"/>
        <v>0</v>
      </c>
      <c r="H424" s="1">
        <f t="shared" si="154"/>
        <v>0</v>
      </c>
      <c r="I424" s="1">
        <f t="shared" si="154"/>
        <v>0</v>
      </c>
      <c r="J424" s="1">
        <f t="shared" si="154"/>
        <v>0</v>
      </c>
      <c r="K424" s="1">
        <f>K425+K426+K427+K428</f>
        <v>25529.200000000001</v>
      </c>
      <c r="L424" s="1">
        <f t="shared" si="154"/>
        <v>0</v>
      </c>
      <c r="M424" s="1">
        <f t="shared" si="154"/>
        <v>0</v>
      </c>
      <c r="N424" s="1">
        <f t="shared" si="154"/>
        <v>0</v>
      </c>
      <c r="O424" s="1">
        <f t="shared" si="154"/>
        <v>0</v>
      </c>
      <c r="W424" s="79"/>
    </row>
    <row r="425" spans="1:23" ht="17.25" customHeight="1" x14ac:dyDescent="0.25">
      <c r="A425" s="104"/>
      <c r="B425" s="104"/>
      <c r="C425" s="58" t="s">
        <v>10</v>
      </c>
      <c r="D425" s="1">
        <f t="shared" ref="D425:D428" si="155">E425+F425+G425+H425+I425+J425+K425+L425+M425+N425+O425</f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  <c r="W425" s="79"/>
    </row>
    <row r="426" spans="1:23" ht="17.25" customHeight="1" x14ac:dyDescent="0.25">
      <c r="A426" s="104"/>
      <c r="B426" s="104"/>
      <c r="C426" s="58" t="s">
        <v>11</v>
      </c>
      <c r="D426" s="1">
        <f t="shared" si="155"/>
        <v>23997.4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23997.4</v>
      </c>
      <c r="L426" s="1">
        <v>0</v>
      </c>
      <c r="M426" s="1">
        <v>0</v>
      </c>
      <c r="N426" s="1">
        <v>0</v>
      </c>
      <c r="O426" s="1">
        <v>0</v>
      </c>
      <c r="W426" s="79"/>
    </row>
    <row r="427" spans="1:23" ht="17.25" customHeight="1" x14ac:dyDescent="0.25">
      <c r="A427" s="104"/>
      <c r="B427" s="104"/>
      <c r="C427" s="58" t="s">
        <v>12</v>
      </c>
      <c r="D427" s="1">
        <f t="shared" si="155"/>
        <v>1531.8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f>1531.8</f>
        <v>1531.8</v>
      </c>
      <c r="L427" s="1">
        <v>0</v>
      </c>
      <c r="M427" s="1">
        <v>0</v>
      </c>
      <c r="N427" s="1">
        <v>0</v>
      </c>
      <c r="O427" s="1">
        <v>0</v>
      </c>
      <c r="W427" s="79"/>
    </row>
    <row r="428" spans="1:23" ht="17.25" customHeight="1" x14ac:dyDescent="0.25">
      <c r="A428" s="90"/>
      <c r="B428" s="90"/>
      <c r="C428" s="58" t="s">
        <v>13</v>
      </c>
      <c r="D428" s="1">
        <f t="shared" si="155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W428" s="79"/>
    </row>
    <row r="429" spans="1:23" ht="15.75" customHeight="1" x14ac:dyDescent="0.25">
      <c r="A429" s="96" t="s">
        <v>33</v>
      </c>
      <c r="B429" s="126" t="s">
        <v>46</v>
      </c>
      <c r="C429" s="51" t="s">
        <v>7</v>
      </c>
      <c r="D429" s="2">
        <f t="shared" si="153"/>
        <v>33183.800000000003</v>
      </c>
      <c r="E429" s="2">
        <f>E430+E431+E432+E433</f>
        <v>20400</v>
      </c>
      <c r="F429" s="2">
        <f t="shared" ref="F429:O429" si="156">F430+F431+F432+F433</f>
        <v>3430</v>
      </c>
      <c r="G429" s="2">
        <f t="shared" si="156"/>
        <v>2049.1999999999998</v>
      </c>
      <c r="H429" s="2">
        <f t="shared" si="156"/>
        <v>3688.6</v>
      </c>
      <c r="I429" s="2">
        <f t="shared" si="156"/>
        <v>2475</v>
      </c>
      <c r="J429" s="2">
        <f>J430+J431+J432+J433</f>
        <v>227.4</v>
      </c>
      <c r="K429" s="2">
        <f t="shared" si="156"/>
        <v>251</v>
      </c>
      <c r="L429" s="2">
        <f t="shared" si="156"/>
        <v>157.5</v>
      </c>
      <c r="M429" s="2">
        <f>M430+M431+M432+M433</f>
        <v>167</v>
      </c>
      <c r="N429" s="2">
        <f t="shared" si="156"/>
        <v>167.8</v>
      </c>
      <c r="O429" s="2">
        <f t="shared" si="156"/>
        <v>170.3</v>
      </c>
      <c r="P429" s="62"/>
      <c r="Q429" s="62"/>
      <c r="W429" s="79"/>
    </row>
    <row r="430" spans="1:23" ht="15.75" customHeight="1" x14ac:dyDescent="0.25">
      <c r="A430" s="96"/>
      <c r="B430" s="116"/>
      <c r="C430" s="51" t="s">
        <v>10</v>
      </c>
      <c r="D430" s="1">
        <f t="shared" si="153"/>
        <v>0</v>
      </c>
      <c r="E430" s="1">
        <f>E435</f>
        <v>0</v>
      </c>
      <c r="F430" s="1">
        <f t="shared" ref="F430:O430" si="157">F435</f>
        <v>0</v>
      </c>
      <c r="G430" s="1">
        <f t="shared" si="157"/>
        <v>0</v>
      </c>
      <c r="H430" s="1">
        <f t="shared" si="157"/>
        <v>0</v>
      </c>
      <c r="I430" s="1">
        <f t="shared" si="157"/>
        <v>0</v>
      </c>
      <c r="J430" s="1">
        <f t="shared" si="157"/>
        <v>0</v>
      </c>
      <c r="K430" s="1">
        <f t="shared" si="157"/>
        <v>0</v>
      </c>
      <c r="L430" s="1">
        <f t="shared" si="157"/>
        <v>0</v>
      </c>
      <c r="M430" s="1">
        <f t="shared" si="157"/>
        <v>0</v>
      </c>
      <c r="N430" s="1">
        <f t="shared" si="157"/>
        <v>0</v>
      </c>
      <c r="O430" s="1">
        <f t="shared" si="157"/>
        <v>0</v>
      </c>
      <c r="W430" s="79"/>
    </row>
    <row r="431" spans="1:23" ht="15.75" customHeight="1" x14ac:dyDescent="0.25">
      <c r="A431" s="96"/>
      <c r="B431" s="116"/>
      <c r="C431" s="51" t="s">
        <v>11</v>
      </c>
      <c r="D431" s="1">
        <f t="shared" si="153"/>
        <v>0</v>
      </c>
      <c r="E431" s="1">
        <f>E436</f>
        <v>0</v>
      </c>
      <c r="F431" s="1">
        <f t="shared" ref="F431:O431" si="158">F445</f>
        <v>0</v>
      </c>
      <c r="G431" s="1">
        <f t="shared" si="158"/>
        <v>0</v>
      </c>
      <c r="H431" s="1">
        <f t="shared" si="158"/>
        <v>0</v>
      </c>
      <c r="I431" s="1">
        <f t="shared" si="158"/>
        <v>0</v>
      </c>
      <c r="J431" s="1">
        <f t="shared" si="158"/>
        <v>0</v>
      </c>
      <c r="K431" s="1">
        <f t="shared" si="158"/>
        <v>0</v>
      </c>
      <c r="L431" s="1">
        <f t="shared" si="158"/>
        <v>0</v>
      </c>
      <c r="M431" s="1">
        <f t="shared" si="158"/>
        <v>0</v>
      </c>
      <c r="N431" s="1">
        <f t="shared" si="158"/>
        <v>0</v>
      </c>
      <c r="O431" s="1">
        <f t="shared" si="158"/>
        <v>0</v>
      </c>
    </row>
    <row r="432" spans="1:23" ht="15.75" customHeight="1" x14ac:dyDescent="0.25">
      <c r="A432" s="96"/>
      <c r="B432" s="116"/>
      <c r="C432" s="51" t="s">
        <v>12</v>
      </c>
      <c r="D432" s="1">
        <f t="shared" si="153"/>
        <v>2918.8000000000006</v>
      </c>
      <c r="E432" s="1">
        <f>E437</f>
        <v>400</v>
      </c>
      <c r="F432" s="1">
        <f>F437</f>
        <v>430</v>
      </c>
      <c r="G432" s="1">
        <f t="shared" ref="G432:O432" si="159">G437</f>
        <v>449.2</v>
      </c>
      <c r="H432" s="1">
        <f t="shared" si="159"/>
        <v>235</v>
      </c>
      <c r="I432" s="1">
        <f t="shared" si="159"/>
        <v>263.60000000000002</v>
      </c>
      <c r="J432" s="1">
        <f t="shared" si="159"/>
        <v>227.4</v>
      </c>
      <c r="K432" s="1">
        <f t="shared" si="159"/>
        <v>251</v>
      </c>
      <c r="L432" s="1">
        <f t="shared" si="159"/>
        <v>157.5</v>
      </c>
      <c r="M432" s="1">
        <f t="shared" si="159"/>
        <v>167</v>
      </c>
      <c r="N432" s="1">
        <f t="shared" si="159"/>
        <v>167.8</v>
      </c>
      <c r="O432" s="1">
        <f t="shared" si="159"/>
        <v>170.3</v>
      </c>
    </row>
    <row r="433" spans="1:15" ht="15.6" x14ac:dyDescent="0.25">
      <c r="A433" s="96"/>
      <c r="B433" s="116"/>
      <c r="C433" s="51" t="s">
        <v>13</v>
      </c>
      <c r="D433" s="1">
        <f t="shared" si="153"/>
        <v>30265</v>
      </c>
      <c r="E433" s="1">
        <f>E438</f>
        <v>20000</v>
      </c>
      <c r="F433" s="1">
        <f t="shared" ref="F433:O433" si="160">F438</f>
        <v>3000</v>
      </c>
      <c r="G433" s="1">
        <f t="shared" si="160"/>
        <v>1600</v>
      </c>
      <c r="H433" s="1">
        <f t="shared" si="160"/>
        <v>3453.6</v>
      </c>
      <c r="I433" s="1">
        <f t="shared" si="160"/>
        <v>2211.4</v>
      </c>
      <c r="J433" s="1">
        <f t="shared" si="160"/>
        <v>0</v>
      </c>
      <c r="K433" s="1">
        <f t="shared" si="160"/>
        <v>0</v>
      </c>
      <c r="L433" s="1">
        <f t="shared" si="160"/>
        <v>0</v>
      </c>
      <c r="M433" s="1">
        <f t="shared" si="160"/>
        <v>0</v>
      </c>
      <c r="N433" s="1">
        <f t="shared" si="160"/>
        <v>0</v>
      </c>
      <c r="O433" s="1">
        <f t="shared" si="160"/>
        <v>0</v>
      </c>
    </row>
    <row r="434" spans="1:15" ht="19.5" customHeight="1" x14ac:dyDescent="0.25">
      <c r="A434" s="91" t="s">
        <v>133</v>
      </c>
      <c r="B434" s="116" t="s">
        <v>120</v>
      </c>
      <c r="C434" s="51" t="s">
        <v>7</v>
      </c>
      <c r="D434" s="1">
        <f t="shared" si="153"/>
        <v>33183.800000000003</v>
      </c>
      <c r="E434" s="1">
        <f t="shared" ref="E434:O434" si="161">E435+E436+E437+E438</f>
        <v>20400</v>
      </c>
      <c r="F434" s="1">
        <f t="shared" si="161"/>
        <v>3430</v>
      </c>
      <c r="G434" s="1">
        <f t="shared" si="161"/>
        <v>2049.1999999999998</v>
      </c>
      <c r="H434" s="1">
        <f t="shared" si="161"/>
        <v>3688.6</v>
      </c>
      <c r="I434" s="1">
        <f t="shared" si="161"/>
        <v>2475</v>
      </c>
      <c r="J434" s="1">
        <f t="shared" si="161"/>
        <v>227.4</v>
      </c>
      <c r="K434" s="1">
        <f t="shared" si="161"/>
        <v>251</v>
      </c>
      <c r="L434" s="1">
        <f t="shared" si="161"/>
        <v>157.5</v>
      </c>
      <c r="M434" s="1">
        <f t="shared" si="161"/>
        <v>167</v>
      </c>
      <c r="N434" s="1">
        <f t="shared" si="161"/>
        <v>167.8</v>
      </c>
      <c r="O434" s="1">
        <f t="shared" si="161"/>
        <v>170.3</v>
      </c>
    </row>
    <row r="435" spans="1:15" ht="23.25" customHeight="1" x14ac:dyDescent="0.25">
      <c r="A435" s="91"/>
      <c r="B435" s="116"/>
      <c r="C435" s="51" t="s">
        <v>10</v>
      </c>
      <c r="D435" s="1">
        <f t="shared" si="153"/>
        <v>0</v>
      </c>
      <c r="E435" s="1">
        <f t="shared" ref="E435:O435" si="162">E440+E445+E450</f>
        <v>0</v>
      </c>
      <c r="F435" s="1">
        <f t="shared" si="162"/>
        <v>0</v>
      </c>
      <c r="G435" s="1">
        <f t="shared" si="162"/>
        <v>0</v>
      </c>
      <c r="H435" s="1">
        <f t="shared" si="162"/>
        <v>0</v>
      </c>
      <c r="I435" s="1">
        <f t="shared" si="162"/>
        <v>0</v>
      </c>
      <c r="J435" s="1">
        <f t="shared" si="162"/>
        <v>0</v>
      </c>
      <c r="K435" s="1">
        <f t="shared" si="162"/>
        <v>0</v>
      </c>
      <c r="L435" s="1">
        <f t="shared" si="162"/>
        <v>0</v>
      </c>
      <c r="M435" s="1">
        <f t="shared" si="162"/>
        <v>0</v>
      </c>
      <c r="N435" s="1">
        <f t="shared" si="162"/>
        <v>0</v>
      </c>
      <c r="O435" s="1">
        <f t="shared" si="162"/>
        <v>0</v>
      </c>
    </row>
    <row r="436" spans="1:15" ht="23.25" customHeight="1" x14ac:dyDescent="0.25">
      <c r="A436" s="91"/>
      <c r="B436" s="116"/>
      <c r="C436" s="51" t="s">
        <v>11</v>
      </c>
      <c r="D436" s="1">
        <f t="shared" si="153"/>
        <v>0</v>
      </c>
      <c r="E436" s="1">
        <f t="shared" ref="E436:O436" si="163">E441+E446+E451</f>
        <v>0</v>
      </c>
      <c r="F436" s="1">
        <f t="shared" si="163"/>
        <v>0</v>
      </c>
      <c r="G436" s="1">
        <f t="shared" si="163"/>
        <v>0</v>
      </c>
      <c r="H436" s="1">
        <f t="shared" si="163"/>
        <v>0</v>
      </c>
      <c r="I436" s="1">
        <f t="shared" si="163"/>
        <v>0</v>
      </c>
      <c r="J436" s="1">
        <f t="shared" si="163"/>
        <v>0</v>
      </c>
      <c r="K436" s="1">
        <f t="shared" si="163"/>
        <v>0</v>
      </c>
      <c r="L436" s="1">
        <f t="shared" si="163"/>
        <v>0</v>
      </c>
      <c r="M436" s="1">
        <f t="shared" si="163"/>
        <v>0</v>
      </c>
      <c r="N436" s="1">
        <f t="shared" si="163"/>
        <v>0</v>
      </c>
      <c r="O436" s="1">
        <f t="shared" si="163"/>
        <v>0</v>
      </c>
    </row>
    <row r="437" spans="1:15" ht="23.25" customHeight="1" x14ac:dyDescent="0.25">
      <c r="A437" s="91"/>
      <c r="B437" s="116"/>
      <c r="C437" s="51" t="s">
        <v>12</v>
      </c>
      <c r="D437" s="1">
        <f t="shared" si="153"/>
        <v>2918.8000000000006</v>
      </c>
      <c r="E437" s="1">
        <f t="shared" ref="E437:O437" si="164">E442+E447+E452</f>
        <v>400</v>
      </c>
      <c r="F437" s="1">
        <f t="shared" si="164"/>
        <v>430</v>
      </c>
      <c r="G437" s="1">
        <f t="shared" si="164"/>
        <v>449.2</v>
      </c>
      <c r="H437" s="1">
        <f t="shared" si="164"/>
        <v>235</v>
      </c>
      <c r="I437" s="1">
        <f>I442+I447+I452</f>
        <v>263.60000000000002</v>
      </c>
      <c r="J437" s="1">
        <f t="shared" si="164"/>
        <v>227.4</v>
      </c>
      <c r="K437" s="1">
        <f t="shared" si="164"/>
        <v>251</v>
      </c>
      <c r="L437" s="1">
        <f t="shared" si="164"/>
        <v>157.5</v>
      </c>
      <c r="M437" s="1">
        <f t="shared" si="164"/>
        <v>167</v>
      </c>
      <c r="N437" s="1">
        <f t="shared" si="164"/>
        <v>167.8</v>
      </c>
      <c r="O437" s="1">
        <f t="shared" si="164"/>
        <v>170.3</v>
      </c>
    </row>
    <row r="438" spans="1:15" ht="23.25" customHeight="1" x14ac:dyDescent="0.25">
      <c r="A438" s="91"/>
      <c r="B438" s="116"/>
      <c r="C438" s="51" t="s">
        <v>13</v>
      </c>
      <c r="D438" s="1">
        <f t="shared" si="153"/>
        <v>30265</v>
      </c>
      <c r="E438" s="1">
        <f t="shared" ref="E438:O438" si="165">E443+E448+E453</f>
        <v>20000</v>
      </c>
      <c r="F438" s="1">
        <f t="shared" si="165"/>
        <v>3000</v>
      </c>
      <c r="G438" s="1">
        <f t="shared" si="165"/>
        <v>1600</v>
      </c>
      <c r="H438" s="1">
        <f t="shared" si="165"/>
        <v>3453.6</v>
      </c>
      <c r="I438" s="1">
        <f t="shared" si="165"/>
        <v>2211.4</v>
      </c>
      <c r="J438" s="1">
        <f t="shared" si="165"/>
        <v>0</v>
      </c>
      <c r="K438" s="1">
        <f t="shared" si="165"/>
        <v>0</v>
      </c>
      <c r="L438" s="1">
        <f t="shared" si="165"/>
        <v>0</v>
      </c>
      <c r="M438" s="1">
        <f t="shared" si="165"/>
        <v>0</v>
      </c>
      <c r="N438" s="1">
        <f t="shared" si="165"/>
        <v>0</v>
      </c>
      <c r="O438" s="1">
        <f t="shared" si="165"/>
        <v>0</v>
      </c>
    </row>
    <row r="439" spans="1:15" ht="15.6" x14ac:dyDescent="0.25">
      <c r="A439" s="91" t="s">
        <v>121</v>
      </c>
      <c r="B439" s="116" t="s">
        <v>86</v>
      </c>
      <c r="C439" s="58" t="s">
        <v>7</v>
      </c>
      <c r="D439" s="1">
        <f t="shared" si="153"/>
        <v>3933.4</v>
      </c>
      <c r="E439" s="1">
        <f t="shared" ref="E439:J439" si="166">E440+E441+E442+E443</f>
        <v>0</v>
      </c>
      <c r="F439" s="1">
        <f t="shared" si="166"/>
        <v>0</v>
      </c>
      <c r="G439" s="1">
        <f t="shared" si="166"/>
        <v>0</v>
      </c>
      <c r="H439" s="1">
        <f t="shared" si="166"/>
        <v>2662</v>
      </c>
      <c r="I439" s="1">
        <f t="shared" si="166"/>
        <v>1271.4000000000001</v>
      </c>
      <c r="J439" s="1">
        <f t="shared" si="166"/>
        <v>0</v>
      </c>
      <c r="K439" s="1">
        <f>K440+K441+K442+K443</f>
        <v>0</v>
      </c>
      <c r="L439" s="1">
        <f>L440+L441+L442+L443</f>
        <v>0</v>
      </c>
      <c r="M439" s="1">
        <f>M440+M441+M442+M443</f>
        <v>0</v>
      </c>
      <c r="N439" s="1">
        <f>N440+N441+N442+N443</f>
        <v>0</v>
      </c>
      <c r="O439" s="1">
        <f>O440+O441+O442+O443</f>
        <v>0</v>
      </c>
    </row>
    <row r="440" spans="1:15" ht="15.75" customHeight="1" x14ac:dyDescent="0.25">
      <c r="A440" s="91"/>
      <c r="B440" s="116"/>
      <c r="C440" s="58" t="s">
        <v>10</v>
      </c>
      <c r="D440" s="1">
        <f t="shared" si="153"/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</row>
    <row r="441" spans="1:15" ht="15.75" customHeight="1" x14ac:dyDescent="0.25">
      <c r="A441" s="91"/>
      <c r="B441" s="116"/>
      <c r="C441" s="58" t="s">
        <v>11</v>
      </c>
      <c r="D441" s="1">
        <f t="shared" si="153"/>
        <v>0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</row>
    <row r="442" spans="1:15" ht="15.75" customHeight="1" x14ac:dyDescent="0.25">
      <c r="A442" s="91"/>
      <c r="B442" s="116"/>
      <c r="C442" s="58" t="s">
        <v>12</v>
      </c>
      <c r="D442" s="1">
        <f t="shared" si="153"/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</row>
    <row r="443" spans="1:15" ht="15.6" x14ac:dyDescent="0.25">
      <c r="A443" s="91"/>
      <c r="B443" s="116"/>
      <c r="C443" s="58" t="s">
        <v>13</v>
      </c>
      <c r="D443" s="1">
        <f t="shared" si="153"/>
        <v>3933.4</v>
      </c>
      <c r="E443" s="1">
        <v>0</v>
      </c>
      <c r="F443" s="1">
        <v>0</v>
      </c>
      <c r="G443" s="1">
        <v>0</v>
      </c>
      <c r="H443" s="1">
        <v>2662</v>
      </c>
      <c r="I443" s="1">
        <f>837+48.7+385.7</f>
        <v>1271.4000000000001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15" ht="15.6" x14ac:dyDescent="0.25">
      <c r="A444" s="91" t="s">
        <v>122</v>
      </c>
      <c r="B444" s="116" t="s">
        <v>32</v>
      </c>
      <c r="C444" s="58" t="s">
        <v>7</v>
      </c>
      <c r="D444" s="1">
        <f t="shared" si="153"/>
        <v>2918.8000000000006</v>
      </c>
      <c r="E444" s="1">
        <f t="shared" ref="E444:J444" si="167">E445+E446+E447+E448</f>
        <v>400</v>
      </c>
      <c r="F444" s="1">
        <f t="shared" si="167"/>
        <v>430</v>
      </c>
      <c r="G444" s="1">
        <f t="shared" si="167"/>
        <v>449.2</v>
      </c>
      <c r="H444" s="1">
        <f t="shared" si="167"/>
        <v>235</v>
      </c>
      <c r="I444" s="1">
        <f t="shared" si="167"/>
        <v>263.60000000000002</v>
      </c>
      <c r="J444" s="1">
        <f t="shared" si="167"/>
        <v>227.4</v>
      </c>
      <c r="K444" s="1">
        <f>K445+K446+K447+K448</f>
        <v>251</v>
      </c>
      <c r="L444" s="1">
        <f>L445+L446+L447+L448</f>
        <v>157.5</v>
      </c>
      <c r="M444" s="1">
        <f>M445+M446+M447+M448</f>
        <v>167</v>
      </c>
      <c r="N444" s="1">
        <f>N445+N446+N447+N448</f>
        <v>167.8</v>
      </c>
      <c r="O444" s="1">
        <f>O445+O446+O447+O448</f>
        <v>170.3</v>
      </c>
    </row>
    <row r="445" spans="1:15" ht="15.6" x14ac:dyDescent="0.25">
      <c r="A445" s="91"/>
      <c r="B445" s="116"/>
      <c r="C445" s="51" t="s">
        <v>10</v>
      </c>
      <c r="D445" s="1">
        <f t="shared" si="153"/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</row>
    <row r="446" spans="1:15" ht="15.6" x14ac:dyDescent="0.25">
      <c r="A446" s="91"/>
      <c r="B446" s="116"/>
      <c r="C446" s="51" t="s">
        <v>11</v>
      </c>
      <c r="D446" s="1">
        <f t="shared" si="153"/>
        <v>0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</row>
    <row r="447" spans="1:15" ht="15.6" x14ac:dyDescent="0.25">
      <c r="A447" s="91"/>
      <c r="B447" s="116"/>
      <c r="C447" s="51" t="s">
        <v>12</v>
      </c>
      <c r="D447" s="1">
        <f t="shared" si="153"/>
        <v>2918.8000000000006</v>
      </c>
      <c r="E447" s="1">
        <v>400</v>
      </c>
      <c r="F447" s="1">
        <v>430</v>
      </c>
      <c r="G447" s="1">
        <v>449.2</v>
      </c>
      <c r="H447" s="1">
        <v>235</v>
      </c>
      <c r="I447" s="1">
        <f>251.9+11.7</f>
        <v>263.60000000000002</v>
      </c>
      <c r="J447" s="3">
        <f>278.5-51.1</f>
        <v>227.4</v>
      </c>
      <c r="K447" s="3">
        <f>278.5-27.5</f>
        <v>251</v>
      </c>
      <c r="L447" s="3">
        <f>157.5</f>
        <v>157.5</v>
      </c>
      <c r="M447" s="3">
        <f>167</f>
        <v>167</v>
      </c>
      <c r="N447" s="1">
        <v>167.8</v>
      </c>
      <c r="O447" s="1">
        <v>170.3</v>
      </c>
    </row>
    <row r="448" spans="1:15" ht="15.6" x14ac:dyDescent="0.25">
      <c r="A448" s="91"/>
      <c r="B448" s="116"/>
      <c r="C448" s="51" t="s">
        <v>13</v>
      </c>
      <c r="D448" s="1">
        <f t="shared" si="153"/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</row>
    <row r="449" spans="1:17" ht="15.6" x14ac:dyDescent="0.3">
      <c r="A449" s="91" t="s">
        <v>247</v>
      </c>
      <c r="B449" s="116" t="s">
        <v>57</v>
      </c>
      <c r="C449" s="80" t="s">
        <v>7</v>
      </c>
      <c r="D449" s="1">
        <f t="shared" si="153"/>
        <v>26331.599999999999</v>
      </c>
      <c r="E449" s="1">
        <f>E453+E452+E451</f>
        <v>20000</v>
      </c>
      <c r="F449" s="1">
        <f t="shared" ref="F449:O449" si="168">F450+F451+F452+F453</f>
        <v>3000</v>
      </c>
      <c r="G449" s="1">
        <f t="shared" si="168"/>
        <v>1600</v>
      </c>
      <c r="H449" s="1">
        <f t="shared" si="168"/>
        <v>791.6</v>
      </c>
      <c r="I449" s="1">
        <f t="shared" si="168"/>
        <v>940</v>
      </c>
      <c r="J449" s="1">
        <f t="shared" si="168"/>
        <v>0</v>
      </c>
      <c r="K449" s="1">
        <f t="shared" si="168"/>
        <v>0</v>
      </c>
      <c r="L449" s="1">
        <f t="shared" si="168"/>
        <v>0</v>
      </c>
      <c r="M449" s="1">
        <f t="shared" si="168"/>
        <v>0</v>
      </c>
      <c r="N449" s="1">
        <f t="shared" si="168"/>
        <v>0</v>
      </c>
      <c r="O449" s="1">
        <f t="shared" si="168"/>
        <v>0</v>
      </c>
    </row>
    <row r="450" spans="1:17" ht="15.6" x14ac:dyDescent="0.25">
      <c r="A450" s="91"/>
      <c r="B450" s="116"/>
      <c r="C450" s="51" t="s">
        <v>10</v>
      </c>
      <c r="D450" s="1">
        <f t="shared" si="153"/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</row>
    <row r="451" spans="1:17" ht="15.6" x14ac:dyDescent="0.25">
      <c r="A451" s="91"/>
      <c r="B451" s="116"/>
      <c r="C451" s="51" t="s">
        <v>11</v>
      </c>
      <c r="D451" s="1">
        <f t="shared" si="153"/>
        <v>0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0</v>
      </c>
    </row>
    <row r="452" spans="1:17" ht="15.6" x14ac:dyDescent="0.25">
      <c r="A452" s="91"/>
      <c r="B452" s="116"/>
      <c r="C452" s="51" t="s">
        <v>12</v>
      </c>
      <c r="D452" s="1">
        <f t="shared" si="153"/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3">
        <v>0</v>
      </c>
      <c r="K452" s="3">
        <v>0</v>
      </c>
      <c r="L452" s="3">
        <v>0</v>
      </c>
      <c r="M452" s="3">
        <v>0</v>
      </c>
      <c r="N452" s="3">
        <v>0</v>
      </c>
      <c r="O452" s="3">
        <v>0</v>
      </c>
    </row>
    <row r="453" spans="1:17" ht="15.6" x14ac:dyDescent="0.25">
      <c r="A453" s="91"/>
      <c r="B453" s="116"/>
      <c r="C453" s="51" t="s">
        <v>13</v>
      </c>
      <c r="D453" s="1">
        <f t="shared" si="153"/>
        <v>26331.599999999999</v>
      </c>
      <c r="E453" s="1">
        <v>20000</v>
      </c>
      <c r="F453" s="1">
        <v>3000</v>
      </c>
      <c r="G453" s="1">
        <v>1600</v>
      </c>
      <c r="H453" s="1">
        <v>791.6</v>
      </c>
      <c r="I453" s="1">
        <v>940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7" ht="15.6" x14ac:dyDescent="0.25">
      <c r="A454" s="96" t="s">
        <v>39</v>
      </c>
      <c r="B454" s="129" t="s">
        <v>332</v>
      </c>
      <c r="C454" s="68" t="s">
        <v>7</v>
      </c>
      <c r="D454" s="2">
        <f t="shared" si="153"/>
        <v>153871.69999999998</v>
      </c>
      <c r="E454" s="2">
        <f t="shared" ref="E454:O454" si="169">E456+E457+E458+E460</f>
        <v>13860</v>
      </c>
      <c r="F454" s="2">
        <f t="shared" si="169"/>
        <v>15421.9</v>
      </c>
      <c r="G454" s="2">
        <f t="shared" si="169"/>
        <v>19594</v>
      </c>
      <c r="H454" s="2">
        <f t="shared" si="169"/>
        <v>13152.1</v>
      </c>
      <c r="I454" s="2">
        <f t="shared" si="169"/>
        <v>23011</v>
      </c>
      <c r="J454" s="2">
        <f t="shared" si="169"/>
        <v>14576.6</v>
      </c>
      <c r="K454" s="2">
        <f t="shared" si="169"/>
        <v>18850.3</v>
      </c>
      <c r="L454" s="2">
        <f t="shared" si="169"/>
        <v>7423.7</v>
      </c>
      <c r="M454" s="2">
        <f t="shared" si="169"/>
        <v>7871.8</v>
      </c>
      <c r="N454" s="2">
        <f>N456+N457+N458+N460</f>
        <v>7910.3</v>
      </c>
      <c r="O454" s="2">
        <f t="shared" si="169"/>
        <v>12200</v>
      </c>
      <c r="P454" s="62"/>
      <c r="Q454" s="62"/>
    </row>
    <row r="455" spans="1:17" ht="50.25" customHeight="1" x14ac:dyDescent="0.25">
      <c r="A455" s="96"/>
      <c r="B455" s="130"/>
      <c r="C455" s="70" t="s">
        <v>65</v>
      </c>
      <c r="D455" s="71">
        <f t="shared" ref="D455:D460" si="170">E455+F455+G455+H455+I455+J455+K455+L455+M455+N455+O455</f>
        <v>1971.3999999999999</v>
      </c>
      <c r="E455" s="71">
        <f>E465</f>
        <v>752.3</v>
      </c>
      <c r="F455" s="71">
        <f t="shared" ref="F455:O455" si="171">F465</f>
        <v>0</v>
      </c>
      <c r="G455" s="71">
        <f t="shared" si="171"/>
        <v>1219.0999999999999</v>
      </c>
      <c r="H455" s="71">
        <f t="shared" si="171"/>
        <v>0</v>
      </c>
      <c r="I455" s="71">
        <f t="shared" si="171"/>
        <v>0</v>
      </c>
      <c r="J455" s="71">
        <f t="shared" si="171"/>
        <v>0</v>
      </c>
      <c r="K455" s="71">
        <f t="shared" si="171"/>
        <v>0</v>
      </c>
      <c r="L455" s="71">
        <f t="shared" si="171"/>
        <v>0</v>
      </c>
      <c r="M455" s="71">
        <f t="shared" si="171"/>
        <v>0</v>
      </c>
      <c r="N455" s="71">
        <f t="shared" si="171"/>
        <v>0</v>
      </c>
      <c r="O455" s="71">
        <f t="shared" si="171"/>
        <v>0</v>
      </c>
    </row>
    <row r="456" spans="1:17" ht="18.75" customHeight="1" x14ac:dyDescent="0.25">
      <c r="A456" s="96"/>
      <c r="B456" s="130"/>
      <c r="C456" s="51" t="s">
        <v>10</v>
      </c>
      <c r="D456" s="1">
        <f t="shared" si="170"/>
        <v>0</v>
      </c>
      <c r="E456" s="1">
        <f>E462+E479</f>
        <v>0</v>
      </c>
      <c r="F456" s="1">
        <f t="shared" ref="F456:O456" si="172">F462+F479</f>
        <v>0</v>
      </c>
      <c r="G456" s="1">
        <f t="shared" si="172"/>
        <v>0</v>
      </c>
      <c r="H456" s="1">
        <f t="shared" si="172"/>
        <v>0</v>
      </c>
      <c r="I456" s="1">
        <f t="shared" si="172"/>
        <v>0</v>
      </c>
      <c r="J456" s="1">
        <v>0</v>
      </c>
      <c r="K456" s="1">
        <f t="shared" si="172"/>
        <v>0</v>
      </c>
      <c r="L456" s="1">
        <f t="shared" si="172"/>
        <v>0</v>
      </c>
      <c r="M456" s="1">
        <f t="shared" si="172"/>
        <v>0</v>
      </c>
      <c r="N456" s="1">
        <f t="shared" si="172"/>
        <v>0</v>
      </c>
      <c r="O456" s="1">
        <f t="shared" si="172"/>
        <v>0</v>
      </c>
    </row>
    <row r="457" spans="1:17" ht="16.5" customHeight="1" x14ac:dyDescent="0.25">
      <c r="A457" s="96"/>
      <c r="B457" s="130"/>
      <c r="C457" s="51" t="s">
        <v>11</v>
      </c>
      <c r="D457" s="1">
        <f t="shared" si="170"/>
        <v>708.6</v>
      </c>
      <c r="E457" s="1">
        <f t="shared" ref="E457:O457" si="173">E463+E480</f>
        <v>0</v>
      </c>
      <c r="F457" s="1">
        <f t="shared" si="173"/>
        <v>0</v>
      </c>
      <c r="G457" s="1">
        <f t="shared" si="173"/>
        <v>0</v>
      </c>
      <c r="H457" s="1">
        <f t="shared" si="173"/>
        <v>0</v>
      </c>
      <c r="I457" s="1">
        <f t="shared" si="173"/>
        <v>0</v>
      </c>
      <c r="J457" s="1">
        <v>708.6</v>
      </c>
      <c r="K457" s="1">
        <f t="shared" si="173"/>
        <v>0</v>
      </c>
      <c r="L457" s="1">
        <f t="shared" si="173"/>
        <v>0</v>
      </c>
      <c r="M457" s="1">
        <f t="shared" si="173"/>
        <v>0</v>
      </c>
      <c r="N457" s="1">
        <f t="shared" si="173"/>
        <v>0</v>
      </c>
      <c r="O457" s="1">
        <f t="shared" si="173"/>
        <v>0</v>
      </c>
    </row>
    <row r="458" spans="1:17" ht="32.25" customHeight="1" x14ac:dyDescent="0.25">
      <c r="A458" s="96"/>
      <c r="B458" s="130"/>
      <c r="C458" s="51" t="s">
        <v>66</v>
      </c>
      <c r="D458" s="1">
        <f t="shared" si="170"/>
        <v>153163.09999999998</v>
      </c>
      <c r="E458" s="1">
        <f t="shared" ref="E458:O458" si="174">E464+E481</f>
        <v>13860</v>
      </c>
      <c r="F458" s="1">
        <f t="shared" si="174"/>
        <v>15421.9</v>
      </c>
      <c r="G458" s="1">
        <f t="shared" si="174"/>
        <v>19594</v>
      </c>
      <c r="H458" s="1">
        <f t="shared" si="174"/>
        <v>13152.1</v>
      </c>
      <c r="I458" s="1">
        <f t="shared" si="174"/>
        <v>23011</v>
      </c>
      <c r="J458" s="1">
        <f t="shared" si="174"/>
        <v>13868</v>
      </c>
      <c r="K458" s="1">
        <f t="shared" si="174"/>
        <v>18850.3</v>
      </c>
      <c r="L458" s="1">
        <f t="shared" si="174"/>
        <v>7423.7</v>
      </c>
      <c r="M458" s="1">
        <f t="shared" si="174"/>
        <v>7871.8</v>
      </c>
      <c r="N458" s="1">
        <f t="shared" si="174"/>
        <v>7910.3</v>
      </c>
      <c r="O458" s="1">
        <f t="shared" si="174"/>
        <v>12200</v>
      </c>
    </row>
    <row r="459" spans="1:17" ht="32.25" customHeight="1" x14ac:dyDescent="0.25">
      <c r="A459" s="96"/>
      <c r="B459" s="130"/>
      <c r="C459" s="70" t="s">
        <v>80</v>
      </c>
      <c r="D459" s="71">
        <f t="shared" si="170"/>
        <v>1971.3999999999999</v>
      </c>
      <c r="E459" s="71">
        <f>E465</f>
        <v>752.3</v>
      </c>
      <c r="F459" s="71">
        <f t="shared" ref="F459:O459" si="175">F465</f>
        <v>0</v>
      </c>
      <c r="G459" s="71">
        <f t="shared" si="175"/>
        <v>1219.0999999999999</v>
      </c>
      <c r="H459" s="71">
        <f t="shared" si="175"/>
        <v>0</v>
      </c>
      <c r="I459" s="71">
        <f t="shared" si="175"/>
        <v>0</v>
      </c>
      <c r="J459" s="71">
        <f t="shared" si="175"/>
        <v>0</v>
      </c>
      <c r="K459" s="71">
        <f t="shared" si="175"/>
        <v>0</v>
      </c>
      <c r="L459" s="71">
        <f t="shared" si="175"/>
        <v>0</v>
      </c>
      <c r="M459" s="71">
        <f t="shared" si="175"/>
        <v>0</v>
      </c>
      <c r="N459" s="71">
        <f t="shared" si="175"/>
        <v>0</v>
      </c>
      <c r="O459" s="71">
        <f t="shared" si="175"/>
        <v>0</v>
      </c>
    </row>
    <row r="460" spans="1:17" ht="15.6" x14ac:dyDescent="0.25">
      <c r="A460" s="96"/>
      <c r="B460" s="131"/>
      <c r="C460" s="51" t="s">
        <v>13</v>
      </c>
      <c r="D460" s="1">
        <f t="shared" si="170"/>
        <v>0</v>
      </c>
      <c r="E460" s="1">
        <f>E466+E478</f>
        <v>0</v>
      </c>
      <c r="F460" s="1">
        <f t="shared" ref="F460:O460" si="176">F466</f>
        <v>0</v>
      </c>
      <c r="G460" s="1">
        <f t="shared" si="176"/>
        <v>0</v>
      </c>
      <c r="H460" s="1">
        <f t="shared" si="176"/>
        <v>0</v>
      </c>
      <c r="I460" s="1">
        <f t="shared" si="176"/>
        <v>0</v>
      </c>
      <c r="J460" s="1">
        <f t="shared" si="176"/>
        <v>0</v>
      </c>
      <c r="K460" s="1">
        <f t="shared" si="176"/>
        <v>0</v>
      </c>
      <c r="L460" s="1">
        <f t="shared" si="176"/>
        <v>0</v>
      </c>
      <c r="M460" s="1">
        <f t="shared" si="176"/>
        <v>0</v>
      </c>
      <c r="N460" s="1">
        <f t="shared" si="176"/>
        <v>0</v>
      </c>
      <c r="O460" s="1">
        <f t="shared" si="176"/>
        <v>0</v>
      </c>
    </row>
    <row r="461" spans="1:17" ht="15.6" x14ac:dyDescent="0.25">
      <c r="A461" s="89" t="s">
        <v>354</v>
      </c>
      <c r="B461" s="91" t="s">
        <v>92</v>
      </c>
      <c r="C461" s="51" t="s">
        <v>7</v>
      </c>
      <c r="D461" s="1">
        <f t="shared" ref="D461:D499" si="177">E461+F461+G461+H461+I461+J461+K461+L461+M461+N461+O461</f>
        <v>153163.09999999998</v>
      </c>
      <c r="E461" s="1">
        <f t="shared" ref="E461:O461" si="178">E464+E462+E463+E466</f>
        <v>13860</v>
      </c>
      <c r="F461" s="1">
        <f t="shared" si="178"/>
        <v>15421.9</v>
      </c>
      <c r="G461" s="1">
        <f t="shared" si="178"/>
        <v>19594</v>
      </c>
      <c r="H461" s="1">
        <f t="shared" si="178"/>
        <v>13152.1</v>
      </c>
      <c r="I461" s="1">
        <f t="shared" si="178"/>
        <v>23011</v>
      </c>
      <c r="J461" s="1">
        <f t="shared" si="178"/>
        <v>13868</v>
      </c>
      <c r="K461" s="1">
        <f t="shared" si="178"/>
        <v>18850.3</v>
      </c>
      <c r="L461" s="1">
        <f t="shared" si="178"/>
        <v>7423.7</v>
      </c>
      <c r="M461" s="1">
        <f t="shared" si="178"/>
        <v>7871.8</v>
      </c>
      <c r="N461" s="1">
        <f t="shared" si="178"/>
        <v>7910.3</v>
      </c>
      <c r="O461" s="1">
        <f t="shared" si="178"/>
        <v>12200</v>
      </c>
    </row>
    <row r="462" spans="1:17" ht="15.6" x14ac:dyDescent="0.25">
      <c r="A462" s="127"/>
      <c r="B462" s="91"/>
      <c r="C462" s="51" t="s">
        <v>10</v>
      </c>
      <c r="D462" s="1">
        <f t="shared" si="177"/>
        <v>0</v>
      </c>
      <c r="E462" s="1">
        <f>E468+E474</f>
        <v>0</v>
      </c>
      <c r="F462" s="1">
        <f t="shared" ref="F462:O462" si="179">F468+F474</f>
        <v>0</v>
      </c>
      <c r="G462" s="1">
        <f t="shared" si="179"/>
        <v>0</v>
      </c>
      <c r="H462" s="1">
        <f t="shared" si="179"/>
        <v>0</v>
      </c>
      <c r="I462" s="1">
        <f t="shared" si="179"/>
        <v>0</v>
      </c>
      <c r="J462" s="1">
        <f t="shared" si="179"/>
        <v>0</v>
      </c>
      <c r="K462" s="1">
        <f t="shared" si="179"/>
        <v>0</v>
      </c>
      <c r="L462" s="1">
        <f t="shared" si="179"/>
        <v>0</v>
      </c>
      <c r="M462" s="1">
        <f t="shared" si="179"/>
        <v>0</v>
      </c>
      <c r="N462" s="1">
        <f t="shared" si="179"/>
        <v>0</v>
      </c>
      <c r="O462" s="1">
        <f t="shared" si="179"/>
        <v>0</v>
      </c>
    </row>
    <row r="463" spans="1:17" ht="15.6" x14ac:dyDescent="0.25">
      <c r="A463" s="127"/>
      <c r="B463" s="91"/>
      <c r="C463" s="51" t="s">
        <v>11</v>
      </c>
      <c r="D463" s="1">
        <f t="shared" si="177"/>
        <v>0</v>
      </c>
      <c r="E463" s="1">
        <f t="shared" ref="E463:O463" si="180">E469+E475</f>
        <v>0</v>
      </c>
      <c r="F463" s="1">
        <f t="shared" si="180"/>
        <v>0</v>
      </c>
      <c r="G463" s="1">
        <f t="shared" si="180"/>
        <v>0</v>
      </c>
      <c r="H463" s="1">
        <f t="shared" si="180"/>
        <v>0</v>
      </c>
      <c r="I463" s="1">
        <f t="shared" si="180"/>
        <v>0</v>
      </c>
      <c r="J463" s="1">
        <f t="shared" si="180"/>
        <v>0</v>
      </c>
      <c r="K463" s="1">
        <f t="shared" si="180"/>
        <v>0</v>
      </c>
      <c r="L463" s="1">
        <f t="shared" si="180"/>
        <v>0</v>
      </c>
      <c r="M463" s="1">
        <f t="shared" si="180"/>
        <v>0</v>
      </c>
      <c r="N463" s="1">
        <f t="shared" si="180"/>
        <v>0</v>
      </c>
      <c r="O463" s="1">
        <f t="shared" si="180"/>
        <v>0</v>
      </c>
    </row>
    <row r="464" spans="1:17" ht="31.5" customHeight="1" x14ac:dyDescent="0.25">
      <c r="A464" s="127"/>
      <c r="B464" s="91"/>
      <c r="C464" s="51" t="s">
        <v>66</v>
      </c>
      <c r="D464" s="1">
        <f t="shared" si="177"/>
        <v>153163.09999999998</v>
      </c>
      <c r="E464" s="1">
        <f>E470+E476</f>
        <v>13860</v>
      </c>
      <c r="F464" s="1">
        <f t="shared" ref="F464:O464" si="181">F470+F476</f>
        <v>15421.9</v>
      </c>
      <c r="G464" s="1">
        <f t="shared" si="181"/>
        <v>19594</v>
      </c>
      <c r="H464" s="1">
        <f t="shared" si="181"/>
        <v>13152.1</v>
      </c>
      <c r="I464" s="1">
        <f t="shared" si="181"/>
        <v>23011</v>
      </c>
      <c r="J464" s="1">
        <f>J470+J476</f>
        <v>13868</v>
      </c>
      <c r="K464" s="1">
        <f t="shared" si="181"/>
        <v>18850.3</v>
      </c>
      <c r="L464" s="1">
        <f t="shared" si="181"/>
        <v>7423.7</v>
      </c>
      <c r="M464" s="1">
        <f t="shared" si="181"/>
        <v>7871.8</v>
      </c>
      <c r="N464" s="1">
        <f t="shared" si="181"/>
        <v>7910.3</v>
      </c>
      <c r="O464" s="1">
        <f t="shared" si="181"/>
        <v>12200</v>
      </c>
    </row>
    <row r="465" spans="1:15" ht="33" customHeight="1" x14ac:dyDescent="0.25">
      <c r="A465" s="127"/>
      <c r="B465" s="91"/>
      <c r="C465" s="70" t="s">
        <v>80</v>
      </c>
      <c r="D465" s="1">
        <f t="shared" si="177"/>
        <v>1971.3999999999999</v>
      </c>
      <c r="E465" s="71">
        <f>E471</f>
        <v>752.3</v>
      </c>
      <c r="F465" s="71">
        <f t="shared" ref="F465:O465" si="182">F471</f>
        <v>0</v>
      </c>
      <c r="G465" s="71">
        <f t="shared" si="182"/>
        <v>1219.0999999999999</v>
      </c>
      <c r="H465" s="71">
        <f t="shared" si="182"/>
        <v>0</v>
      </c>
      <c r="I465" s="71">
        <f t="shared" si="182"/>
        <v>0</v>
      </c>
      <c r="J465" s="71">
        <f t="shared" si="182"/>
        <v>0</v>
      </c>
      <c r="K465" s="71">
        <f t="shared" si="182"/>
        <v>0</v>
      </c>
      <c r="L465" s="71">
        <f t="shared" si="182"/>
        <v>0</v>
      </c>
      <c r="M465" s="71">
        <f t="shared" si="182"/>
        <v>0</v>
      </c>
      <c r="N465" s="71">
        <f t="shared" si="182"/>
        <v>0</v>
      </c>
      <c r="O465" s="71">
        <f t="shared" si="182"/>
        <v>0</v>
      </c>
    </row>
    <row r="466" spans="1:15" ht="17.25" customHeight="1" x14ac:dyDescent="0.25">
      <c r="A466" s="128"/>
      <c r="B466" s="91"/>
      <c r="C466" s="51" t="s">
        <v>13</v>
      </c>
      <c r="D466" s="1">
        <f t="shared" si="177"/>
        <v>0</v>
      </c>
      <c r="E466" s="1">
        <f t="shared" ref="E466:O466" si="183">E472+E477</f>
        <v>0</v>
      </c>
      <c r="F466" s="1">
        <f t="shared" si="183"/>
        <v>0</v>
      </c>
      <c r="G466" s="1">
        <f t="shared" si="183"/>
        <v>0</v>
      </c>
      <c r="H466" s="1">
        <f t="shared" si="183"/>
        <v>0</v>
      </c>
      <c r="I466" s="1">
        <f t="shared" si="183"/>
        <v>0</v>
      </c>
      <c r="J466" s="1">
        <f t="shared" si="183"/>
        <v>0</v>
      </c>
      <c r="K466" s="1">
        <f t="shared" si="183"/>
        <v>0</v>
      </c>
      <c r="L466" s="1">
        <f t="shared" si="183"/>
        <v>0</v>
      </c>
      <c r="M466" s="1">
        <f t="shared" si="183"/>
        <v>0</v>
      </c>
      <c r="N466" s="1">
        <f t="shared" si="183"/>
        <v>0</v>
      </c>
      <c r="O466" s="1">
        <f t="shared" si="183"/>
        <v>0</v>
      </c>
    </row>
    <row r="467" spans="1:15" ht="17.25" customHeight="1" x14ac:dyDescent="0.25">
      <c r="A467" s="119" t="s">
        <v>134</v>
      </c>
      <c r="B467" s="116" t="s">
        <v>138</v>
      </c>
      <c r="C467" s="51" t="s">
        <v>7</v>
      </c>
      <c r="D467" s="1">
        <f t="shared" si="177"/>
        <v>31409.299999999996</v>
      </c>
      <c r="E467" s="1">
        <f t="shared" ref="E467:O467" si="184">E468+E469+E470+E472</f>
        <v>6610.3</v>
      </c>
      <c r="F467" s="1">
        <f t="shared" si="184"/>
        <v>5421.9</v>
      </c>
      <c r="G467" s="1">
        <f t="shared" si="184"/>
        <v>1966.9</v>
      </c>
      <c r="H467" s="1">
        <f t="shared" si="184"/>
        <v>945.9</v>
      </c>
      <c r="I467" s="1">
        <f t="shared" si="184"/>
        <v>11181</v>
      </c>
      <c r="J467" s="1">
        <f t="shared" si="184"/>
        <v>2488.6000000000004</v>
      </c>
      <c r="K467" s="1">
        <f t="shared" si="184"/>
        <v>1158.3</v>
      </c>
      <c r="L467" s="1">
        <f t="shared" si="184"/>
        <v>523.5</v>
      </c>
      <c r="M467" s="1">
        <f t="shared" si="184"/>
        <v>555.1</v>
      </c>
      <c r="N467" s="1">
        <f t="shared" si="184"/>
        <v>557.79999999999995</v>
      </c>
      <c r="O467" s="1">
        <f t="shared" si="184"/>
        <v>0</v>
      </c>
    </row>
    <row r="468" spans="1:15" ht="15.6" x14ac:dyDescent="0.25">
      <c r="A468" s="119"/>
      <c r="B468" s="116"/>
      <c r="C468" s="51" t="s">
        <v>10</v>
      </c>
      <c r="D468" s="1">
        <f t="shared" si="177"/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</row>
    <row r="469" spans="1:15" ht="15.6" x14ac:dyDescent="0.25">
      <c r="A469" s="119"/>
      <c r="B469" s="116"/>
      <c r="C469" s="51" t="s">
        <v>11</v>
      </c>
      <c r="D469" s="1">
        <f t="shared" si="177"/>
        <v>0</v>
      </c>
      <c r="E469" s="1">
        <v>0</v>
      </c>
      <c r="F469" s="1">
        <v>0</v>
      </c>
      <c r="G469" s="1">
        <v>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</row>
    <row r="470" spans="1:15" ht="31.2" x14ac:dyDescent="0.25">
      <c r="A470" s="119"/>
      <c r="B470" s="116"/>
      <c r="C470" s="51" t="s">
        <v>66</v>
      </c>
      <c r="D470" s="1">
        <f t="shared" si="177"/>
        <v>31409.299999999996</v>
      </c>
      <c r="E470" s="1">
        <v>6610.3</v>
      </c>
      <c r="F470" s="1">
        <v>5421.9</v>
      </c>
      <c r="G470" s="1">
        <v>1966.9</v>
      </c>
      <c r="H470" s="1">
        <v>945.9</v>
      </c>
      <c r="I470" s="1">
        <v>11181</v>
      </c>
      <c r="J470" s="1">
        <f>1513.4+227.7+600+147.5</f>
        <v>2488.6000000000004</v>
      </c>
      <c r="K470" s="1">
        <f>1059.4+633.1+454-1078.2+90</f>
        <v>1158.3</v>
      </c>
      <c r="L470" s="1">
        <f>523.5</f>
        <v>523.5</v>
      </c>
      <c r="M470" s="1">
        <f>555.1</f>
        <v>555.1</v>
      </c>
      <c r="N470" s="1">
        <v>557.79999999999995</v>
      </c>
      <c r="O470" s="1">
        <v>0</v>
      </c>
    </row>
    <row r="471" spans="1:15" ht="31.2" x14ac:dyDescent="0.25">
      <c r="A471" s="119"/>
      <c r="B471" s="116"/>
      <c r="C471" s="70" t="s">
        <v>80</v>
      </c>
      <c r="D471" s="71">
        <f t="shared" si="177"/>
        <v>1971.3999999999999</v>
      </c>
      <c r="E471" s="71">
        <v>752.3</v>
      </c>
      <c r="F471" s="71">
        <v>0</v>
      </c>
      <c r="G471" s="71">
        <v>1219.0999999999999</v>
      </c>
      <c r="H471" s="71">
        <v>0</v>
      </c>
      <c r="I471" s="71">
        <v>0</v>
      </c>
      <c r="J471" s="71">
        <v>0</v>
      </c>
      <c r="K471" s="71">
        <v>0</v>
      </c>
      <c r="L471" s="71">
        <v>0</v>
      </c>
      <c r="M471" s="71">
        <v>0</v>
      </c>
      <c r="N471" s="71">
        <v>0</v>
      </c>
      <c r="O471" s="71">
        <v>0</v>
      </c>
    </row>
    <row r="472" spans="1:15" ht="19.5" customHeight="1" x14ac:dyDescent="0.25">
      <c r="A472" s="119"/>
      <c r="B472" s="116"/>
      <c r="C472" s="51" t="s">
        <v>13</v>
      </c>
      <c r="D472" s="1">
        <f t="shared" si="177"/>
        <v>0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</row>
    <row r="473" spans="1:15" ht="15.6" x14ac:dyDescent="0.25">
      <c r="A473" s="119" t="s">
        <v>84</v>
      </c>
      <c r="B473" s="116" t="s">
        <v>59</v>
      </c>
      <c r="C473" s="51" t="s">
        <v>7</v>
      </c>
      <c r="D473" s="1">
        <f t="shared" si="177"/>
        <v>121753.79999999999</v>
      </c>
      <c r="E473" s="1">
        <f t="shared" ref="E473:O473" si="185">E474+E475+E476+E477</f>
        <v>7249.7</v>
      </c>
      <c r="F473" s="1">
        <f t="shared" si="185"/>
        <v>10000</v>
      </c>
      <c r="G473" s="1">
        <f t="shared" si="185"/>
        <v>17627.099999999999</v>
      </c>
      <c r="H473" s="1">
        <f t="shared" si="185"/>
        <v>12206.2</v>
      </c>
      <c r="I473" s="1">
        <f t="shared" si="185"/>
        <v>11830</v>
      </c>
      <c r="J473" s="1">
        <f t="shared" si="185"/>
        <v>11379.4</v>
      </c>
      <c r="K473" s="1">
        <f t="shared" si="185"/>
        <v>17692</v>
      </c>
      <c r="L473" s="1">
        <f t="shared" si="185"/>
        <v>6900.2</v>
      </c>
      <c r="M473" s="1">
        <f t="shared" si="185"/>
        <v>7316.7</v>
      </c>
      <c r="N473" s="1">
        <f t="shared" si="185"/>
        <v>7352.5</v>
      </c>
      <c r="O473" s="1">
        <f t="shared" si="185"/>
        <v>12200</v>
      </c>
    </row>
    <row r="474" spans="1:15" ht="15.6" x14ac:dyDescent="0.25">
      <c r="A474" s="119"/>
      <c r="B474" s="116"/>
      <c r="C474" s="51" t="s">
        <v>10</v>
      </c>
      <c r="D474" s="1">
        <f t="shared" si="177"/>
        <v>0</v>
      </c>
      <c r="E474" s="1">
        <v>0</v>
      </c>
      <c r="F474" s="1">
        <v>0</v>
      </c>
      <c r="G474" s="1">
        <v>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</row>
    <row r="475" spans="1:15" ht="15.6" x14ac:dyDescent="0.25">
      <c r="A475" s="119"/>
      <c r="B475" s="116"/>
      <c r="C475" s="51" t="s">
        <v>11</v>
      </c>
      <c r="D475" s="1">
        <f t="shared" si="177"/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</row>
    <row r="476" spans="1:15" ht="15.6" x14ac:dyDescent="0.25">
      <c r="A476" s="119"/>
      <c r="B476" s="116"/>
      <c r="C476" s="51" t="s">
        <v>12</v>
      </c>
      <c r="D476" s="1">
        <f t="shared" si="177"/>
        <v>121753.79999999999</v>
      </c>
      <c r="E476" s="1">
        <v>7249.7</v>
      </c>
      <c r="F476" s="1">
        <v>10000</v>
      </c>
      <c r="G476" s="1">
        <v>17627.099999999999</v>
      </c>
      <c r="H476" s="1">
        <v>12206.2</v>
      </c>
      <c r="I476" s="1">
        <v>11830</v>
      </c>
      <c r="J476" s="1">
        <f>11444.4-65</f>
        <v>11379.4</v>
      </c>
      <c r="K476" s="1">
        <f>8540+1940+2150+143.2+4918.8</f>
        <v>17692</v>
      </c>
      <c r="L476" s="1">
        <f>6900.2</f>
        <v>6900.2</v>
      </c>
      <c r="M476" s="1">
        <f>7316.7</f>
        <v>7316.7</v>
      </c>
      <c r="N476" s="1">
        <v>7352.5</v>
      </c>
      <c r="O476" s="1">
        <v>12200</v>
      </c>
    </row>
    <row r="477" spans="1:15" ht="26.25" customHeight="1" x14ac:dyDescent="0.25">
      <c r="A477" s="119"/>
      <c r="B477" s="116"/>
      <c r="C477" s="58" t="s">
        <v>13</v>
      </c>
      <c r="D477" s="1">
        <f t="shared" si="177"/>
        <v>0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</row>
    <row r="478" spans="1:15" ht="15.6" x14ac:dyDescent="0.25">
      <c r="A478" s="89" t="s">
        <v>356</v>
      </c>
      <c r="B478" s="91" t="s">
        <v>363</v>
      </c>
      <c r="C478" s="51" t="s">
        <v>7</v>
      </c>
      <c r="D478" s="1">
        <f t="shared" si="177"/>
        <v>708.6</v>
      </c>
      <c r="E478" s="1">
        <f t="shared" ref="E478:O478" si="186">E481+E479+E480+E482</f>
        <v>0</v>
      </c>
      <c r="F478" s="1">
        <f t="shared" si="186"/>
        <v>0</v>
      </c>
      <c r="G478" s="1">
        <f t="shared" si="186"/>
        <v>0</v>
      </c>
      <c r="H478" s="1">
        <f t="shared" si="186"/>
        <v>0</v>
      </c>
      <c r="I478" s="1">
        <f t="shared" si="186"/>
        <v>0</v>
      </c>
      <c r="J478" s="1">
        <f t="shared" si="186"/>
        <v>708.6</v>
      </c>
      <c r="K478" s="1">
        <f t="shared" si="186"/>
        <v>0</v>
      </c>
      <c r="L478" s="1">
        <f t="shared" si="186"/>
        <v>0</v>
      </c>
      <c r="M478" s="1">
        <f t="shared" si="186"/>
        <v>0</v>
      </c>
      <c r="N478" s="1">
        <f t="shared" si="186"/>
        <v>0</v>
      </c>
      <c r="O478" s="1">
        <f t="shared" si="186"/>
        <v>0</v>
      </c>
    </row>
    <row r="479" spans="1:15" ht="15.6" x14ac:dyDescent="0.25">
      <c r="A479" s="127"/>
      <c r="B479" s="91"/>
      <c r="C479" s="51" t="s">
        <v>10</v>
      </c>
      <c r="D479" s="1">
        <f t="shared" si="177"/>
        <v>0</v>
      </c>
      <c r="E479" s="1">
        <f>E484</f>
        <v>0</v>
      </c>
      <c r="F479" s="1">
        <f t="shared" ref="F479:O479" si="187">F484</f>
        <v>0</v>
      </c>
      <c r="G479" s="1">
        <f t="shared" si="187"/>
        <v>0</v>
      </c>
      <c r="H479" s="1">
        <f t="shared" si="187"/>
        <v>0</v>
      </c>
      <c r="I479" s="1">
        <f t="shared" si="187"/>
        <v>0</v>
      </c>
      <c r="J479" s="1">
        <f t="shared" si="187"/>
        <v>0</v>
      </c>
      <c r="K479" s="1">
        <f t="shared" si="187"/>
        <v>0</v>
      </c>
      <c r="L479" s="1">
        <f t="shared" si="187"/>
        <v>0</v>
      </c>
      <c r="M479" s="1">
        <f t="shared" si="187"/>
        <v>0</v>
      </c>
      <c r="N479" s="1">
        <f t="shared" si="187"/>
        <v>0</v>
      </c>
      <c r="O479" s="1">
        <f t="shared" si="187"/>
        <v>0</v>
      </c>
    </row>
    <row r="480" spans="1:15" ht="15.6" x14ac:dyDescent="0.25">
      <c r="A480" s="127"/>
      <c r="B480" s="91"/>
      <c r="C480" s="51" t="s">
        <v>11</v>
      </c>
      <c r="D480" s="1">
        <f t="shared" si="177"/>
        <v>708.6</v>
      </c>
      <c r="E480" s="1">
        <f>E485</f>
        <v>0</v>
      </c>
      <c r="F480" s="1">
        <f t="shared" ref="F480:O480" si="188">F485</f>
        <v>0</v>
      </c>
      <c r="G480" s="1">
        <f t="shared" si="188"/>
        <v>0</v>
      </c>
      <c r="H480" s="1">
        <f t="shared" si="188"/>
        <v>0</v>
      </c>
      <c r="I480" s="1">
        <f t="shared" si="188"/>
        <v>0</v>
      </c>
      <c r="J480" s="1">
        <f t="shared" si="188"/>
        <v>708.6</v>
      </c>
      <c r="K480" s="1">
        <f t="shared" si="188"/>
        <v>0</v>
      </c>
      <c r="L480" s="1">
        <f t="shared" si="188"/>
        <v>0</v>
      </c>
      <c r="M480" s="1">
        <f t="shared" si="188"/>
        <v>0</v>
      </c>
      <c r="N480" s="1">
        <f t="shared" si="188"/>
        <v>0</v>
      </c>
      <c r="O480" s="1">
        <f t="shared" si="188"/>
        <v>0</v>
      </c>
    </row>
    <row r="481" spans="1:17" ht="31.5" customHeight="1" x14ac:dyDescent="0.25">
      <c r="A481" s="127"/>
      <c r="B481" s="91"/>
      <c r="C481" s="51" t="s">
        <v>66</v>
      </c>
      <c r="D481" s="1">
        <f t="shared" si="177"/>
        <v>0</v>
      </c>
      <c r="E481" s="1">
        <f>E486</f>
        <v>0</v>
      </c>
      <c r="F481" s="1">
        <f t="shared" ref="F481:O481" si="189">F486</f>
        <v>0</v>
      </c>
      <c r="G481" s="1">
        <f t="shared" si="189"/>
        <v>0</v>
      </c>
      <c r="H481" s="1">
        <f t="shared" si="189"/>
        <v>0</v>
      </c>
      <c r="I481" s="1">
        <f t="shared" si="189"/>
        <v>0</v>
      </c>
      <c r="J481" s="1">
        <f t="shared" si="189"/>
        <v>0</v>
      </c>
      <c r="K481" s="1">
        <f t="shared" si="189"/>
        <v>0</v>
      </c>
      <c r="L481" s="1">
        <f t="shared" si="189"/>
        <v>0</v>
      </c>
      <c r="M481" s="1">
        <f t="shared" si="189"/>
        <v>0</v>
      </c>
      <c r="N481" s="1">
        <f t="shared" si="189"/>
        <v>0</v>
      </c>
      <c r="O481" s="1">
        <f t="shared" si="189"/>
        <v>0</v>
      </c>
    </row>
    <row r="482" spans="1:17" ht="17.25" customHeight="1" x14ac:dyDescent="0.25">
      <c r="A482" s="128"/>
      <c r="B482" s="91"/>
      <c r="C482" s="51" t="s">
        <v>13</v>
      </c>
      <c r="D482" s="1">
        <f t="shared" si="177"/>
        <v>0</v>
      </c>
      <c r="E482" s="1">
        <f>E487</f>
        <v>0</v>
      </c>
      <c r="F482" s="1">
        <f t="shared" ref="F482:O482" si="190">F487</f>
        <v>0</v>
      </c>
      <c r="G482" s="1">
        <f t="shared" si="190"/>
        <v>0</v>
      </c>
      <c r="H482" s="1">
        <f t="shared" si="190"/>
        <v>0</v>
      </c>
      <c r="I482" s="1">
        <f t="shared" si="190"/>
        <v>0</v>
      </c>
      <c r="J482" s="1">
        <f t="shared" si="190"/>
        <v>0</v>
      </c>
      <c r="K482" s="1">
        <f t="shared" si="190"/>
        <v>0</v>
      </c>
      <c r="L482" s="1">
        <f t="shared" si="190"/>
        <v>0</v>
      </c>
      <c r="M482" s="1">
        <f t="shared" si="190"/>
        <v>0</v>
      </c>
      <c r="N482" s="1">
        <f t="shared" si="190"/>
        <v>0</v>
      </c>
      <c r="O482" s="1">
        <f t="shared" si="190"/>
        <v>0</v>
      </c>
    </row>
    <row r="483" spans="1:17" ht="15.6" x14ac:dyDescent="0.25">
      <c r="A483" s="119" t="s">
        <v>357</v>
      </c>
      <c r="B483" s="116" t="s">
        <v>364</v>
      </c>
      <c r="C483" s="51" t="s">
        <v>7</v>
      </c>
      <c r="D483" s="1">
        <f t="shared" si="177"/>
        <v>708.6</v>
      </c>
      <c r="E483" s="1">
        <f t="shared" ref="E483:O483" si="191">E484+E485+E486+E487</f>
        <v>0</v>
      </c>
      <c r="F483" s="1">
        <f t="shared" si="191"/>
        <v>0</v>
      </c>
      <c r="G483" s="1">
        <f t="shared" si="191"/>
        <v>0</v>
      </c>
      <c r="H483" s="1">
        <f t="shared" si="191"/>
        <v>0</v>
      </c>
      <c r="I483" s="1">
        <f t="shared" si="191"/>
        <v>0</v>
      </c>
      <c r="J483" s="1">
        <f t="shared" si="191"/>
        <v>708.6</v>
      </c>
      <c r="K483" s="1">
        <f t="shared" si="191"/>
        <v>0</v>
      </c>
      <c r="L483" s="1">
        <f t="shared" si="191"/>
        <v>0</v>
      </c>
      <c r="M483" s="1">
        <f t="shared" si="191"/>
        <v>0</v>
      </c>
      <c r="N483" s="1">
        <f t="shared" si="191"/>
        <v>0</v>
      </c>
      <c r="O483" s="1">
        <f t="shared" si="191"/>
        <v>0</v>
      </c>
    </row>
    <row r="484" spans="1:17" ht="15.6" x14ac:dyDescent="0.25">
      <c r="A484" s="119"/>
      <c r="B484" s="116"/>
      <c r="C484" s="51" t="s">
        <v>10</v>
      </c>
      <c r="D484" s="1">
        <f t="shared" si="177"/>
        <v>0</v>
      </c>
      <c r="E484" s="1">
        <v>0</v>
      </c>
      <c r="F484" s="1">
        <v>0</v>
      </c>
      <c r="G484" s="1">
        <v>0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0</v>
      </c>
    </row>
    <row r="485" spans="1:17" ht="15.6" x14ac:dyDescent="0.25">
      <c r="A485" s="119"/>
      <c r="B485" s="116"/>
      <c r="C485" s="51" t="s">
        <v>11</v>
      </c>
      <c r="D485" s="1">
        <f t="shared" si="177"/>
        <v>708.6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708.6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</row>
    <row r="486" spans="1:17" ht="23.25" customHeight="1" x14ac:dyDescent="0.25">
      <c r="A486" s="119"/>
      <c r="B486" s="116"/>
      <c r="C486" s="51" t="s">
        <v>12</v>
      </c>
      <c r="D486" s="1">
        <f t="shared" si="177"/>
        <v>0</v>
      </c>
      <c r="E486" s="1">
        <v>0</v>
      </c>
      <c r="F486" s="1">
        <v>0</v>
      </c>
      <c r="G486" s="1">
        <v>0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</row>
    <row r="487" spans="1:17" ht="24.75" customHeight="1" x14ac:dyDescent="0.25">
      <c r="A487" s="119"/>
      <c r="B487" s="116"/>
      <c r="C487" s="58" t="s">
        <v>13</v>
      </c>
      <c r="D487" s="1">
        <f t="shared" si="177"/>
        <v>0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</row>
    <row r="488" spans="1:17" ht="15.75" customHeight="1" x14ac:dyDescent="0.25">
      <c r="A488" s="96" t="s">
        <v>31</v>
      </c>
      <c r="B488" s="126" t="s">
        <v>331</v>
      </c>
      <c r="C488" s="59" t="s">
        <v>7</v>
      </c>
      <c r="D488" s="2">
        <f t="shared" si="177"/>
        <v>3831903.9619999998</v>
      </c>
      <c r="E488" s="2">
        <f>E489+E490+E491+E493</f>
        <v>228156.69999999998</v>
      </c>
      <c r="F488" s="2">
        <f>F489+F490+F491+F493</f>
        <v>279787.8</v>
      </c>
      <c r="G488" s="2">
        <f t="shared" ref="G488:O488" si="192">SUM(G489:G493)</f>
        <v>257795.10000000003</v>
      </c>
      <c r="H488" s="2">
        <f t="shared" si="192"/>
        <v>267713.5</v>
      </c>
      <c r="I488" s="2">
        <f t="shared" si="192"/>
        <v>352068.4</v>
      </c>
      <c r="J488" s="2">
        <f t="shared" si="192"/>
        <v>478026.3</v>
      </c>
      <c r="K488" s="2">
        <f t="shared" si="192"/>
        <v>782597.86199999996</v>
      </c>
      <c r="L488" s="2">
        <f t="shared" si="192"/>
        <v>256848.3</v>
      </c>
      <c r="M488" s="2">
        <f t="shared" si="192"/>
        <v>315166.60000000003</v>
      </c>
      <c r="N488" s="2">
        <f t="shared" si="192"/>
        <v>339200.3</v>
      </c>
      <c r="O488" s="2">
        <f t="shared" si="192"/>
        <v>274543.09999999998</v>
      </c>
      <c r="P488" s="60"/>
      <c r="Q488" s="69"/>
    </row>
    <row r="489" spans="1:17" ht="15.6" x14ac:dyDescent="0.25">
      <c r="A489" s="96"/>
      <c r="B489" s="126"/>
      <c r="C489" s="58" t="s">
        <v>10</v>
      </c>
      <c r="D489" s="1">
        <f t="shared" si="177"/>
        <v>0</v>
      </c>
      <c r="E489" s="1">
        <f>E506+E516+E526+E541+E551+E557</f>
        <v>0</v>
      </c>
      <c r="F489" s="1">
        <f t="shared" ref="F489:O489" si="193">F506+F516+F526+F541+F551+F557</f>
        <v>0</v>
      </c>
      <c r="G489" s="1">
        <f t="shared" si="193"/>
        <v>0</v>
      </c>
      <c r="H489" s="1">
        <f t="shared" si="193"/>
        <v>0</v>
      </c>
      <c r="I489" s="1">
        <f>I506+I516+I526+I541+I551+I557</f>
        <v>0</v>
      </c>
      <c r="J489" s="1">
        <f t="shared" si="193"/>
        <v>0</v>
      </c>
      <c r="K489" s="1">
        <f t="shared" si="193"/>
        <v>0</v>
      </c>
      <c r="L489" s="1">
        <f t="shared" si="193"/>
        <v>0</v>
      </c>
      <c r="M489" s="1">
        <f t="shared" si="193"/>
        <v>0</v>
      </c>
      <c r="N489" s="1">
        <f t="shared" si="193"/>
        <v>0</v>
      </c>
      <c r="O489" s="1">
        <f t="shared" si="193"/>
        <v>0</v>
      </c>
      <c r="P489" s="62"/>
      <c r="Q489" s="62"/>
    </row>
    <row r="490" spans="1:17" ht="15.6" x14ac:dyDescent="0.25">
      <c r="A490" s="96"/>
      <c r="B490" s="126"/>
      <c r="C490" s="58" t="s">
        <v>11</v>
      </c>
      <c r="D490" s="1">
        <f t="shared" si="177"/>
        <v>829361.5</v>
      </c>
      <c r="E490" s="1">
        <f t="shared" ref="E490:H491" si="194">E496+E599</f>
        <v>0</v>
      </c>
      <c r="F490" s="1">
        <f t="shared" si="194"/>
        <v>0</v>
      </c>
      <c r="G490" s="1">
        <f t="shared" si="194"/>
        <v>0</v>
      </c>
      <c r="H490" s="1">
        <f t="shared" si="194"/>
        <v>0</v>
      </c>
      <c r="I490" s="1">
        <f>I496+I599+I609</f>
        <v>159753.70000000001</v>
      </c>
      <c r="J490" s="1">
        <f>J496+J599+J609</f>
        <v>282920.3</v>
      </c>
      <c r="K490" s="1">
        <f>K496+K599</f>
        <v>386687.5</v>
      </c>
      <c r="L490" s="1">
        <f>L496+L599</f>
        <v>0</v>
      </c>
      <c r="M490" s="1">
        <f>M496+M599</f>
        <v>0</v>
      </c>
      <c r="N490" s="1">
        <f>N496+N599</f>
        <v>0</v>
      </c>
      <c r="O490" s="1">
        <f>O496+O599</f>
        <v>0</v>
      </c>
    </row>
    <row r="491" spans="1:17" ht="31.5" customHeight="1" x14ac:dyDescent="0.25">
      <c r="A491" s="96"/>
      <c r="B491" s="126"/>
      <c r="C491" s="58" t="s">
        <v>66</v>
      </c>
      <c r="D491" s="1">
        <f t="shared" si="177"/>
        <v>3002542.4619999998</v>
      </c>
      <c r="E491" s="1">
        <f t="shared" si="194"/>
        <v>228156.69999999998</v>
      </c>
      <c r="F491" s="1">
        <f t="shared" si="194"/>
        <v>279787.8</v>
      </c>
      <c r="G491" s="1">
        <f t="shared" si="194"/>
        <v>257795.10000000003</v>
      </c>
      <c r="H491" s="1">
        <f t="shared" si="194"/>
        <v>267713.5</v>
      </c>
      <c r="I491" s="1">
        <f>I497+I600+I610</f>
        <v>192314.7</v>
      </c>
      <c r="J491" s="1">
        <f>J497+J600+J610</f>
        <v>195106</v>
      </c>
      <c r="K491" s="1">
        <f>K497+K600+K620</f>
        <v>395910.36199999996</v>
      </c>
      <c r="L491" s="1">
        <f t="shared" ref="L491:O491" si="195">L497+L600+L620</f>
        <v>256848.3</v>
      </c>
      <c r="M491" s="1">
        <f t="shared" si="195"/>
        <v>315166.60000000003</v>
      </c>
      <c r="N491" s="1">
        <f t="shared" si="195"/>
        <v>339200.3</v>
      </c>
      <c r="O491" s="1">
        <f t="shared" si="195"/>
        <v>274543.09999999998</v>
      </c>
    </row>
    <row r="492" spans="1:17" ht="31.2" x14ac:dyDescent="0.25">
      <c r="A492" s="96"/>
      <c r="B492" s="126"/>
      <c r="C492" s="70" t="s">
        <v>80</v>
      </c>
      <c r="D492" s="71">
        <f t="shared" si="177"/>
        <v>59050</v>
      </c>
      <c r="E492" s="71">
        <f>E498</f>
        <v>30550</v>
      </c>
      <c r="F492" s="71">
        <f>F560</f>
        <v>28500</v>
      </c>
      <c r="G492" s="71">
        <f>G560</f>
        <v>0</v>
      </c>
      <c r="H492" s="71">
        <f>H560</f>
        <v>0</v>
      </c>
      <c r="I492" s="71">
        <f>I560</f>
        <v>0</v>
      </c>
      <c r="J492" s="1">
        <f t="shared" ref="J492:O492" si="196">J509+J519+J529+J544+J554+J560</f>
        <v>0</v>
      </c>
      <c r="K492" s="1">
        <f t="shared" si="196"/>
        <v>0</v>
      </c>
      <c r="L492" s="1">
        <f t="shared" si="196"/>
        <v>0</v>
      </c>
      <c r="M492" s="1">
        <f t="shared" si="196"/>
        <v>0</v>
      </c>
      <c r="N492" s="1">
        <f t="shared" si="196"/>
        <v>0</v>
      </c>
      <c r="O492" s="1">
        <f t="shared" si="196"/>
        <v>0</v>
      </c>
    </row>
    <row r="493" spans="1:17" ht="19.5" customHeight="1" x14ac:dyDescent="0.25">
      <c r="A493" s="96"/>
      <c r="B493" s="126"/>
      <c r="C493" s="58" t="s">
        <v>13</v>
      </c>
      <c r="D493" s="1">
        <f t="shared" si="177"/>
        <v>0</v>
      </c>
      <c r="E493" s="1">
        <f>E509+E519+E529+E544+E555+E561</f>
        <v>0</v>
      </c>
      <c r="F493" s="1">
        <f>F509+F519+F529+F544+F555+F561</f>
        <v>0</v>
      </c>
      <c r="G493" s="1">
        <f>G509+G519+G529+G544+G555+G561</f>
        <v>0</v>
      </c>
      <c r="H493" s="1">
        <v>0</v>
      </c>
      <c r="I493" s="1">
        <f t="shared" ref="I493:O493" si="197">I509+I519+I529+I544+I555+I561</f>
        <v>0</v>
      </c>
      <c r="J493" s="1">
        <f t="shared" si="197"/>
        <v>0</v>
      </c>
      <c r="K493" s="1">
        <f t="shared" si="197"/>
        <v>0</v>
      </c>
      <c r="L493" s="1">
        <f t="shared" si="197"/>
        <v>0</v>
      </c>
      <c r="M493" s="1">
        <f t="shared" si="197"/>
        <v>0</v>
      </c>
      <c r="N493" s="1">
        <f t="shared" si="197"/>
        <v>0</v>
      </c>
      <c r="O493" s="1">
        <f t="shared" si="197"/>
        <v>0</v>
      </c>
    </row>
    <row r="494" spans="1:17" ht="15.6" x14ac:dyDescent="0.25">
      <c r="A494" s="91" t="s">
        <v>34</v>
      </c>
      <c r="B494" s="91" t="s">
        <v>123</v>
      </c>
      <c r="C494" s="58" t="s">
        <v>7</v>
      </c>
      <c r="D494" s="1">
        <f t="shared" si="177"/>
        <v>3126047.5619999999</v>
      </c>
      <c r="E494" s="1">
        <f>E495+E496+E497+E499</f>
        <v>228156.69999999998</v>
      </c>
      <c r="F494" s="1">
        <f t="shared" ref="F494:O494" si="198">F495+F496+F497+F499</f>
        <v>279787.8</v>
      </c>
      <c r="G494" s="1">
        <f t="shared" si="198"/>
        <v>257795.10000000003</v>
      </c>
      <c r="H494" s="1">
        <f t="shared" si="198"/>
        <v>267713.5</v>
      </c>
      <c r="I494" s="1">
        <f t="shared" si="198"/>
        <v>299568.40000000002</v>
      </c>
      <c r="J494" s="1">
        <f>J495+J496+J497+J499</f>
        <v>249909.09999999998</v>
      </c>
      <c r="K494" s="1">
        <f>K495+K496+K497+K499</f>
        <v>357358.66200000001</v>
      </c>
      <c r="L494" s="1">
        <f t="shared" si="198"/>
        <v>256848.3</v>
      </c>
      <c r="M494" s="1">
        <f t="shared" si="198"/>
        <v>315166.60000000003</v>
      </c>
      <c r="N494" s="1">
        <f t="shared" si="198"/>
        <v>339200.3</v>
      </c>
      <c r="O494" s="1">
        <f t="shared" si="198"/>
        <v>274543.09999999998</v>
      </c>
      <c r="P494" s="60"/>
      <c r="Q494" s="69"/>
    </row>
    <row r="495" spans="1:17" ht="18" customHeight="1" x14ac:dyDescent="0.25">
      <c r="A495" s="92"/>
      <c r="B495" s="117"/>
      <c r="C495" s="58" t="s">
        <v>10</v>
      </c>
      <c r="D495" s="1">
        <f t="shared" si="177"/>
        <v>0</v>
      </c>
      <c r="E495" s="1">
        <f t="shared" ref="E495:O495" si="199">E506+E516+E526+E541+E551+E557</f>
        <v>0</v>
      </c>
      <c r="F495" s="1">
        <f t="shared" si="199"/>
        <v>0</v>
      </c>
      <c r="G495" s="1">
        <f t="shared" si="199"/>
        <v>0</v>
      </c>
      <c r="H495" s="1">
        <f t="shared" si="199"/>
        <v>0</v>
      </c>
      <c r="I495" s="1">
        <f t="shared" si="199"/>
        <v>0</v>
      </c>
      <c r="J495" s="1">
        <f t="shared" si="199"/>
        <v>0</v>
      </c>
      <c r="K495" s="1">
        <f t="shared" si="199"/>
        <v>0</v>
      </c>
      <c r="L495" s="1">
        <f t="shared" si="199"/>
        <v>0</v>
      </c>
      <c r="M495" s="1">
        <f t="shared" si="199"/>
        <v>0</v>
      </c>
      <c r="N495" s="1">
        <f t="shared" si="199"/>
        <v>0</v>
      </c>
      <c r="O495" s="1">
        <f t="shared" si="199"/>
        <v>0</v>
      </c>
    </row>
    <row r="496" spans="1:17" ht="16.5" customHeight="1" x14ac:dyDescent="0.25">
      <c r="A496" s="92"/>
      <c r="B496" s="117"/>
      <c r="C496" s="58" t="s">
        <v>11</v>
      </c>
      <c r="D496" s="1">
        <f t="shared" si="177"/>
        <v>178807.9</v>
      </c>
      <c r="E496" s="1">
        <f>E507+E517+E527+E542+E552+E558+E512+E522+E532+E537+E547+E564+E599</f>
        <v>0</v>
      </c>
      <c r="F496" s="1">
        <f>F507+F517+F527+F542+F552+F558+F512+F522+F532+F537+F547+F564+F599</f>
        <v>0</v>
      </c>
      <c r="G496" s="1">
        <f>G507+G517+G527+G542+G552+G558+G512+G522+G532+G537+G547+G564+G599</f>
        <v>0</v>
      </c>
      <c r="H496" s="1">
        <f>H507+H517+H527+H542+H552+H558+H512+H522+H532+H537+H547+H564+H599</f>
        <v>0</v>
      </c>
      <c r="I496" s="1">
        <f t="shared" ref="I496:O496" si="200">I507+I517+I527+I542+I552+I558+I512+I522+I532+I537+I547+I564</f>
        <v>109753.7</v>
      </c>
      <c r="J496" s="1">
        <f t="shared" si="200"/>
        <v>69054.2</v>
      </c>
      <c r="K496" s="1">
        <f t="shared" si="200"/>
        <v>0</v>
      </c>
      <c r="L496" s="1">
        <f t="shared" si="200"/>
        <v>0</v>
      </c>
      <c r="M496" s="1">
        <f t="shared" si="200"/>
        <v>0</v>
      </c>
      <c r="N496" s="1">
        <f t="shared" si="200"/>
        <v>0</v>
      </c>
      <c r="O496" s="1">
        <f t="shared" si="200"/>
        <v>0</v>
      </c>
    </row>
    <row r="497" spans="1:15" ht="31.2" x14ac:dyDescent="0.25">
      <c r="A497" s="92"/>
      <c r="B497" s="117"/>
      <c r="C497" s="58" t="s">
        <v>66</v>
      </c>
      <c r="D497" s="1">
        <f t="shared" si="177"/>
        <v>2947239.662</v>
      </c>
      <c r="E497" s="1">
        <f>E503+E508+E518+E523+E528+E538+E543+E553+E559+E565++E548+E600+E570</f>
        <v>228156.69999999998</v>
      </c>
      <c r="F497" s="1">
        <f>F503+F508+F518+F523+F528+F538+F543+F553+F559+F565++F548+F600+F570</f>
        <v>279787.8</v>
      </c>
      <c r="G497" s="1">
        <f>G503+G508+G518+G523+G528+G538+G543+G553+G559+G565++G548+G600+G570</f>
        <v>257795.10000000003</v>
      </c>
      <c r="H497" s="1">
        <f>H503+H508+H518+H523+H528+H538+H543+H553+H559+H565++H548+H600+H570</f>
        <v>267713.5</v>
      </c>
      <c r="I497" s="1">
        <f>I503+I508+I518+I523+I528+I538+I543+I553+I559+I565++I548+I570</f>
        <v>189814.7</v>
      </c>
      <c r="J497" s="1">
        <f>J503+J508+J518+J523+J528+J538+J543+J553+J559+J565++J548+J570</f>
        <v>180854.9</v>
      </c>
      <c r="K497" s="1">
        <f>K503+K508+K518+K523+K528+K538+K543+K553+K559+K565++K548+K570+K575+K580+K585+K590+K595</f>
        <v>357358.66200000001</v>
      </c>
      <c r="L497" s="1">
        <f t="shared" ref="L497:O497" si="201">L503+L508+L518+L523+L528+L538+L543+L553+L559+L565++L548+L570+L575+L580+L585+L590+L595</f>
        <v>256848.3</v>
      </c>
      <c r="M497" s="1">
        <f t="shared" si="201"/>
        <v>315166.60000000003</v>
      </c>
      <c r="N497" s="1">
        <f t="shared" si="201"/>
        <v>339200.3</v>
      </c>
      <c r="O497" s="1">
        <f t="shared" si="201"/>
        <v>274543.09999999998</v>
      </c>
    </row>
    <row r="498" spans="1:15" ht="31.2" x14ac:dyDescent="0.25">
      <c r="A498" s="92"/>
      <c r="B498" s="117"/>
      <c r="C498" s="70" t="s">
        <v>80</v>
      </c>
      <c r="D498" s="71">
        <f t="shared" si="177"/>
        <v>59050</v>
      </c>
      <c r="E498" s="71">
        <f>E560+E554</f>
        <v>30550</v>
      </c>
      <c r="F498" s="71">
        <f>F560+F554</f>
        <v>28500</v>
      </c>
      <c r="G498" s="71">
        <f>G560+G554</f>
        <v>0</v>
      </c>
      <c r="H498" s="71">
        <f>H560+H554</f>
        <v>0</v>
      </c>
      <c r="I498" s="71">
        <f>I560+I554</f>
        <v>0</v>
      </c>
      <c r="J498" s="1">
        <f t="shared" ref="J498:O498" si="202">J509+J519+J529+J544+J554+J560</f>
        <v>0</v>
      </c>
      <c r="K498" s="1">
        <f t="shared" si="202"/>
        <v>0</v>
      </c>
      <c r="L498" s="1">
        <f t="shared" si="202"/>
        <v>0</v>
      </c>
      <c r="M498" s="1">
        <f t="shared" si="202"/>
        <v>0</v>
      </c>
      <c r="N498" s="1">
        <f t="shared" si="202"/>
        <v>0</v>
      </c>
      <c r="O498" s="1">
        <f t="shared" si="202"/>
        <v>0</v>
      </c>
    </row>
    <row r="499" spans="1:15" ht="17.25" customHeight="1" x14ac:dyDescent="0.25">
      <c r="A499" s="92"/>
      <c r="B499" s="117"/>
      <c r="C499" s="58" t="s">
        <v>13</v>
      </c>
      <c r="D499" s="1">
        <f t="shared" si="177"/>
        <v>0</v>
      </c>
      <c r="E499" s="1">
        <f>E519+E529+E544+E555+E561</f>
        <v>0</v>
      </c>
      <c r="F499" s="1">
        <f>F519+F529+F544+F555+F561</f>
        <v>0</v>
      </c>
      <c r="G499" s="1">
        <f>G519+G529+G544+G555+G561</f>
        <v>0</v>
      </c>
      <c r="H499" s="1">
        <f>H519+H529+H544+H555+H561</f>
        <v>0</v>
      </c>
      <c r="I499" s="1">
        <f>I519+I529+I544+I555+I561</f>
        <v>0</v>
      </c>
      <c r="J499" s="1">
        <v>0</v>
      </c>
      <c r="K499" s="1">
        <v>0</v>
      </c>
      <c r="L499" s="1">
        <v>0</v>
      </c>
      <c r="M499" s="1">
        <v>0</v>
      </c>
      <c r="N499" s="1">
        <v>0</v>
      </c>
      <c r="O499" s="1">
        <v>0</v>
      </c>
    </row>
    <row r="500" spans="1:15" ht="15.6" x14ac:dyDescent="0.25">
      <c r="A500" s="91" t="s">
        <v>124</v>
      </c>
      <c r="B500" s="116" t="s">
        <v>153</v>
      </c>
      <c r="C500" s="58" t="s">
        <v>7</v>
      </c>
      <c r="D500" s="1">
        <f>SUM(D501:D504)</f>
        <v>42071.3</v>
      </c>
      <c r="E500" s="1">
        <f t="shared" ref="E500:J500" si="203">SUM(E501:E504)</f>
        <v>42071.3</v>
      </c>
      <c r="F500" s="1">
        <f t="shared" si="203"/>
        <v>0</v>
      </c>
      <c r="G500" s="1">
        <f t="shared" si="203"/>
        <v>0</v>
      </c>
      <c r="H500" s="1">
        <f t="shared" si="203"/>
        <v>0</v>
      </c>
      <c r="I500" s="1">
        <f t="shared" si="203"/>
        <v>0</v>
      </c>
      <c r="J500" s="1">
        <f t="shared" si="203"/>
        <v>0</v>
      </c>
      <c r="K500" s="1">
        <v>0</v>
      </c>
      <c r="L500" s="1">
        <f>SUM(L501:L504)</f>
        <v>0</v>
      </c>
      <c r="M500" s="1">
        <f>SUM(M501:M504)</f>
        <v>0</v>
      </c>
      <c r="N500" s="1">
        <f>SUM(N501:N504)</f>
        <v>0</v>
      </c>
      <c r="O500" s="1">
        <v>0</v>
      </c>
    </row>
    <row r="501" spans="1:15" ht="18.75" customHeight="1" x14ac:dyDescent="0.25">
      <c r="A501" s="92"/>
      <c r="B501" s="116"/>
      <c r="C501" s="58" t="s">
        <v>10</v>
      </c>
      <c r="D501" s="1">
        <v>0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</row>
    <row r="502" spans="1:15" ht="17.25" customHeight="1" x14ac:dyDescent="0.25">
      <c r="A502" s="92"/>
      <c r="B502" s="116"/>
      <c r="C502" s="58" t="s">
        <v>11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v>0</v>
      </c>
      <c r="M502" s="3">
        <v>0</v>
      </c>
      <c r="N502" s="3">
        <v>0</v>
      </c>
      <c r="O502" s="3">
        <v>0</v>
      </c>
    </row>
    <row r="503" spans="1:15" ht="17.25" customHeight="1" x14ac:dyDescent="0.25">
      <c r="A503" s="92"/>
      <c r="B503" s="116"/>
      <c r="C503" s="58" t="s">
        <v>12</v>
      </c>
      <c r="D503" s="1">
        <f>SUM(E503:J503)</f>
        <v>42071.3</v>
      </c>
      <c r="E503" s="1">
        <v>42071.3</v>
      </c>
      <c r="F503" s="1">
        <v>0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</row>
    <row r="504" spans="1:15" ht="25.5" customHeight="1" x14ac:dyDescent="0.25">
      <c r="A504" s="92"/>
      <c r="B504" s="116"/>
      <c r="C504" s="58" t="s">
        <v>13</v>
      </c>
      <c r="D504" s="1">
        <f>E504+F504+G504+H504+I504+J504</f>
        <v>0</v>
      </c>
      <c r="E504" s="1">
        <v>0</v>
      </c>
      <c r="F504" s="1">
        <v>0</v>
      </c>
      <c r="G504" s="1">
        <v>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</row>
    <row r="505" spans="1:15" ht="15.75" customHeight="1" x14ac:dyDescent="0.25">
      <c r="A505" s="91" t="s">
        <v>125</v>
      </c>
      <c r="B505" s="116" t="s">
        <v>136</v>
      </c>
      <c r="C505" s="58" t="s">
        <v>7</v>
      </c>
      <c r="D505" s="1">
        <f>E505+F505+G505+H505+I505+J505+K505+L505+M505+N505+O505</f>
        <v>224030.40000000002</v>
      </c>
      <c r="E505" s="1">
        <f t="shared" ref="E505:O505" si="204">SUM(E506:E509)</f>
        <v>0</v>
      </c>
      <c r="F505" s="1">
        <f t="shared" si="204"/>
        <v>52211</v>
      </c>
      <c r="G505" s="1">
        <f t="shared" si="204"/>
        <v>40056.800000000003</v>
      </c>
      <c r="H505" s="1">
        <f t="shared" si="204"/>
        <v>54812.9</v>
      </c>
      <c r="I505" s="1">
        <f t="shared" si="204"/>
        <v>33448.6</v>
      </c>
      <c r="J505" s="1">
        <f t="shared" si="204"/>
        <v>10688.6</v>
      </c>
      <c r="K505" s="1">
        <f t="shared" si="204"/>
        <v>32812.5</v>
      </c>
      <c r="L505" s="1">
        <f t="shared" si="204"/>
        <v>0</v>
      </c>
      <c r="M505" s="1">
        <f t="shared" si="204"/>
        <v>0</v>
      </c>
      <c r="N505" s="1">
        <f t="shared" si="204"/>
        <v>0</v>
      </c>
      <c r="O505" s="1">
        <f t="shared" si="204"/>
        <v>0</v>
      </c>
    </row>
    <row r="506" spans="1:15" ht="15.75" customHeight="1" x14ac:dyDescent="0.25">
      <c r="A506" s="92"/>
      <c r="B506" s="116"/>
      <c r="C506" s="58" t="s">
        <v>10</v>
      </c>
      <c r="D506" s="1">
        <f t="shared" ref="D506:D599" si="205">E506+F506+G506+H506+I506+J506+K506+L506+M506+N506+O506</f>
        <v>0</v>
      </c>
      <c r="E506" s="1">
        <v>0</v>
      </c>
      <c r="F506" s="1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</row>
    <row r="507" spans="1:15" ht="15.75" customHeight="1" x14ac:dyDescent="0.25">
      <c r="A507" s="92"/>
      <c r="B507" s="116"/>
      <c r="C507" s="58" t="s">
        <v>11</v>
      </c>
      <c r="D507" s="1">
        <f t="shared" si="205"/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0</v>
      </c>
      <c r="N507" s="3">
        <v>0</v>
      </c>
      <c r="O507" s="3">
        <v>0</v>
      </c>
    </row>
    <row r="508" spans="1:15" ht="15.75" customHeight="1" x14ac:dyDescent="0.25">
      <c r="A508" s="92"/>
      <c r="B508" s="116"/>
      <c r="C508" s="58" t="s">
        <v>12</v>
      </c>
      <c r="D508" s="1">
        <f t="shared" si="205"/>
        <v>224030.40000000002</v>
      </c>
      <c r="E508" s="1">
        <v>0</v>
      </c>
      <c r="F508" s="1">
        <v>52211</v>
      </c>
      <c r="G508" s="1">
        <v>40056.800000000003</v>
      </c>
      <c r="H508" s="1">
        <v>54812.9</v>
      </c>
      <c r="I508" s="1">
        <f>33108.6+340</f>
        <v>33448.6</v>
      </c>
      <c r="J508" s="1">
        <f>10688.6-0.1+0.1</f>
        <v>10688.6</v>
      </c>
      <c r="K508" s="1">
        <f>33518.8-706.3</f>
        <v>32812.5</v>
      </c>
      <c r="L508" s="1">
        <v>0</v>
      </c>
      <c r="M508" s="1">
        <v>0</v>
      </c>
      <c r="N508" s="1">
        <v>0</v>
      </c>
      <c r="O508" s="1">
        <v>0</v>
      </c>
    </row>
    <row r="509" spans="1:15" ht="25.5" customHeight="1" x14ac:dyDescent="0.25">
      <c r="A509" s="92"/>
      <c r="B509" s="116"/>
      <c r="C509" s="58" t="s">
        <v>13</v>
      </c>
      <c r="D509" s="1">
        <f t="shared" si="205"/>
        <v>0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</row>
    <row r="510" spans="1:15" ht="24" customHeight="1" x14ac:dyDescent="0.25">
      <c r="A510" s="91" t="s">
        <v>126</v>
      </c>
      <c r="B510" s="116" t="s">
        <v>266</v>
      </c>
      <c r="C510" s="58" t="s">
        <v>7</v>
      </c>
      <c r="D510" s="1">
        <f t="shared" si="205"/>
        <v>54854.5</v>
      </c>
      <c r="E510" s="1">
        <f t="shared" ref="E510:O510" si="206">SUM(E511:E514)</f>
        <v>0</v>
      </c>
      <c r="F510" s="1">
        <f t="shared" si="206"/>
        <v>0</v>
      </c>
      <c r="G510" s="1">
        <f t="shared" si="206"/>
        <v>0</v>
      </c>
      <c r="H510" s="1">
        <f t="shared" si="206"/>
        <v>0</v>
      </c>
      <c r="I510" s="1">
        <f t="shared" si="206"/>
        <v>26485.599999999999</v>
      </c>
      <c r="J510" s="1">
        <f t="shared" si="206"/>
        <v>28368.9</v>
      </c>
      <c r="K510" s="1">
        <f t="shared" si="206"/>
        <v>0</v>
      </c>
      <c r="L510" s="1">
        <f t="shared" si="206"/>
        <v>0</v>
      </c>
      <c r="M510" s="1">
        <f t="shared" si="206"/>
        <v>0</v>
      </c>
      <c r="N510" s="1">
        <f t="shared" si="206"/>
        <v>0</v>
      </c>
      <c r="O510" s="1">
        <f t="shared" si="206"/>
        <v>0</v>
      </c>
    </row>
    <row r="511" spans="1:15" ht="24" customHeight="1" x14ac:dyDescent="0.25">
      <c r="A511" s="92"/>
      <c r="B511" s="116"/>
      <c r="C511" s="58" t="s">
        <v>10</v>
      </c>
      <c r="D511" s="1">
        <f t="shared" si="205"/>
        <v>0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</v>
      </c>
      <c r="O511" s="1">
        <v>0</v>
      </c>
    </row>
    <row r="512" spans="1:15" ht="24" customHeight="1" x14ac:dyDescent="0.25">
      <c r="A512" s="92"/>
      <c r="B512" s="116"/>
      <c r="C512" s="58" t="s">
        <v>11</v>
      </c>
      <c r="D512" s="1">
        <f t="shared" si="205"/>
        <v>54854.5</v>
      </c>
      <c r="E512" s="3">
        <v>0</v>
      </c>
      <c r="F512" s="3">
        <v>0</v>
      </c>
      <c r="G512" s="3">
        <v>0</v>
      </c>
      <c r="H512" s="3">
        <v>0</v>
      </c>
      <c r="I512" s="3">
        <v>26485.599999999999</v>
      </c>
      <c r="J512" s="3">
        <f>39057.5-10688.6</f>
        <v>28368.9</v>
      </c>
      <c r="K512" s="3">
        <v>0</v>
      </c>
      <c r="L512" s="3">
        <v>0</v>
      </c>
      <c r="M512" s="3">
        <v>0</v>
      </c>
      <c r="N512" s="3">
        <v>0</v>
      </c>
      <c r="O512" s="3">
        <v>0</v>
      </c>
    </row>
    <row r="513" spans="1:15" ht="24" customHeight="1" x14ac:dyDescent="0.25">
      <c r="A513" s="92"/>
      <c r="B513" s="116"/>
      <c r="C513" s="58" t="s">
        <v>12</v>
      </c>
      <c r="D513" s="1">
        <f t="shared" si="205"/>
        <v>0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15" ht="24" customHeight="1" x14ac:dyDescent="0.25">
      <c r="A514" s="92"/>
      <c r="B514" s="116"/>
      <c r="C514" s="58" t="s">
        <v>13</v>
      </c>
      <c r="D514" s="1">
        <f t="shared" si="205"/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0</v>
      </c>
    </row>
    <row r="515" spans="1:15" ht="15.75" customHeight="1" x14ac:dyDescent="0.3">
      <c r="A515" s="91" t="s">
        <v>127</v>
      </c>
      <c r="B515" s="116" t="s">
        <v>44</v>
      </c>
      <c r="C515" s="81" t="s">
        <v>7</v>
      </c>
      <c r="D515" s="1">
        <f t="shared" si="205"/>
        <v>461326.59999999992</v>
      </c>
      <c r="E515" s="3">
        <f t="shared" ref="E515:O515" si="207">E516+E517+E518+E519</f>
        <v>47997.7</v>
      </c>
      <c r="F515" s="3">
        <f t="shared" si="207"/>
        <v>54818</v>
      </c>
      <c r="G515" s="3">
        <f>G516+G517+G518+G519</f>
        <v>75015.600000000006</v>
      </c>
      <c r="H515" s="3">
        <f t="shared" si="207"/>
        <v>70853</v>
      </c>
      <c r="I515" s="3">
        <f t="shared" si="207"/>
        <v>74592.900000000009</v>
      </c>
      <c r="J515" s="3">
        <f t="shared" si="207"/>
        <v>77207.3</v>
      </c>
      <c r="K515" s="3">
        <f t="shared" si="207"/>
        <v>53504.3</v>
      </c>
      <c r="L515" s="3">
        <f t="shared" si="207"/>
        <v>1664.8</v>
      </c>
      <c r="M515" s="3">
        <f t="shared" si="207"/>
        <v>1835.8</v>
      </c>
      <c r="N515" s="3">
        <f t="shared" si="207"/>
        <v>1918.6</v>
      </c>
      <c r="O515" s="3">
        <f t="shared" si="207"/>
        <v>1918.6</v>
      </c>
    </row>
    <row r="516" spans="1:15" ht="15.75" customHeight="1" x14ac:dyDescent="0.25">
      <c r="A516" s="92"/>
      <c r="B516" s="117"/>
      <c r="C516" s="58" t="s">
        <v>10</v>
      </c>
      <c r="D516" s="1">
        <f t="shared" si="205"/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  <c r="N516" s="3">
        <v>0</v>
      </c>
      <c r="O516" s="3">
        <v>0</v>
      </c>
    </row>
    <row r="517" spans="1:15" ht="15.75" customHeight="1" x14ac:dyDescent="0.25">
      <c r="A517" s="92"/>
      <c r="B517" s="117"/>
      <c r="C517" s="58" t="s">
        <v>11</v>
      </c>
      <c r="D517" s="1">
        <f t="shared" si="205"/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  <c r="O517" s="3">
        <v>0</v>
      </c>
    </row>
    <row r="518" spans="1:15" ht="15.75" customHeight="1" x14ac:dyDescent="0.25">
      <c r="A518" s="92"/>
      <c r="B518" s="117"/>
      <c r="C518" s="58" t="s">
        <v>12</v>
      </c>
      <c r="D518" s="1">
        <f t="shared" si="205"/>
        <v>461326.59999999992</v>
      </c>
      <c r="E518" s="3">
        <v>47997.7</v>
      </c>
      <c r="F518" s="3">
        <v>54818</v>
      </c>
      <c r="G518" s="3">
        <v>75015.600000000006</v>
      </c>
      <c r="H518" s="3">
        <v>70853</v>
      </c>
      <c r="I518" s="3">
        <f>74919.3-326.4</f>
        <v>74592.900000000009</v>
      </c>
      <c r="J518" s="3">
        <f>78197.5-990.2</f>
        <v>77207.3</v>
      </c>
      <c r="K518" s="3">
        <f>83504.3-30000</f>
        <v>53504.3</v>
      </c>
      <c r="L518" s="3">
        <v>1664.8</v>
      </c>
      <c r="M518" s="3">
        <v>1835.8</v>
      </c>
      <c r="N518" s="3">
        <v>1918.6</v>
      </c>
      <c r="O518" s="3">
        <f>N518</f>
        <v>1918.6</v>
      </c>
    </row>
    <row r="519" spans="1:15" ht="15.75" customHeight="1" x14ac:dyDescent="0.25">
      <c r="A519" s="92"/>
      <c r="B519" s="117"/>
      <c r="C519" s="58" t="s">
        <v>13</v>
      </c>
      <c r="D519" s="1">
        <f t="shared" si="205"/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  <c r="N519" s="3">
        <v>0</v>
      </c>
      <c r="O519" s="3">
        <v>0</v>
      </c>
    </row>
    <row r="520" spans="1:15" ht="17.25" customHeight="1" x14ac:dyDescent="0.3">
      <c r="A520" s="89" t="s">
        <v>128</v>
      </c>
      <c r="B520" s="91" t="s">
        <v>154</v>
      </c>
      <c r="C520" s="81" t="s">
        <v>7</v>
      </c>
      <c r="D520" s="1">
        <f t="shared" si="205"/>
        <v>25746.6</v>
      </c>
      <c r="E520" s="3">
        <f t="shared" ref="E520:K520" si="208">E521+E522+E523+E524</f>
        <v>25746.6</v>
      </c>
      <c r="F520" s="3">
        <f t="shared" si="208"/>
        <v>0</v>
      </c>
      <c r="G520" s="3">
        <f t="shared" si="208"/>
        <v>0</v>
      </c>
      <c r="H520" s="3">
        <f t="shared" si="208"/>
        <v>0</v>
      </c>
      <c r="I520" s="3">
        <f t="shared" si="208"/>
        <v>0</v>
      </c>
      <c r="J520" s="3">
        <f t="shared" si="208"/>
        <v>0</v>
      </c>
      <c r="K520" s="3">
        <f t="shared" si="208"/>
        <v>0</v>
      </c>
      <c r="L520" s="3">
        <f>L521+L522+L523+L524</f>
        <v>0</v>
      </c>
      <c r="M520" s="3">
        <f>M521+M522+M523+M524</f>
        <v>0</v>
      </c>
      <c r="N520" s="3">
        <f>N521+N522+N523+N524</f>
        <v>0</v>
      </c>
      <c r="O520" s="3">
        <f>O521+O522+O523+O524</f>
        <v>0</v>
      </c>
    </row>
    <row r="521" spans="1:15" ht="17.25" customHeight="1" x14ac:dyDescent="0.25">
      <c r="A521" s="127"/>
      <c r="B521" s="117"/>
      <c r="C521" s="58" t="s">
        <v>10</v>
      </c>
      <c r="D521" s="1">
        <f t="shared" si="205"/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  <c r="O521" s="3">
        <v>0</v>
      </c>
    </row>
    <row r="522" spans="1:15" ht="18" customHeight="1" x14ac:dyDescent="0.25">
      <c r="A522" s="127"/>
      <c r="B522" s="117"/>
      <c r="C522" s="58" t="s">
        <v>11</v>
      </c>
      <c r="D522" s="1">
        <f t="shared" si="205"/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0</v>
      </c>
      <c r="O522" s="3">
        <v>0</v>
      </c>
    </row>
    <row r="523" spans="1:15" ht="15.75" customHeight="1" x14ac:dyDescent="0.25">
      <c r="A523" s="127"/>
      <c r="B523" s="117"/>
      <c r="C523" s="58" t="s">
        <v>12</v>
      </c>
      <c r="D523" s="1">
        <f t="shared" si="205"/>
        <v>25746.6</v>
      </c>
      <c r="E523" s="3">
        <v>25746.6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  <c r="O523" s="3">
        <v>0</v>
      </c>
    </row>
    <row r="524" spans="1:15" ht="33.75" customHeight="1" x14ac:dyDescent="0.25">
      <c r="A524" s="128"/>
      <c r="B524" s="117"/>
      <c r="C524" s="58" t="s">
        <v>13</v>
      </c>
      <c r="D524" s="1">
        <f t="shared" si="205"/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</row>
    <row r="525" spans="1:15" ht="15.6" x14ac:dyDescent="0.25">
      <c r="A525" s="91" t="s">
        <v>129</v>
      </c>
      <c r="B525" s="116" t="s">
        <v>137</v>
      </c>
      <c r="C525" s="78" t="s">
        <v>7</v>
      </c>
      <c r="D525" s="1">
        <f>E525+F525+G525+H525+I525+J525+K525+L525+M525+N525+O525</f>
        <v>384816.49999999994</v>
      </c>
      <c r="E525" s="3">
        <f t="shared" ref="E525:J525" si="209">SUM(E526:E529)</f>
        <v>0</v>
      </c>
      <c r="F525" s="3">
        <f t="shared" si="209"/>
        <v>36667.5</v>
      </c>
      <c r="G525" s="3">
        <f t="shared" si="209"/>
        <v>33267.5</v>
      </c>
      <c r="H525" s="3">
        <f t="shared" si="209"/>
        <v>35169.599999999999</v>
      </c>
      <c r="I525" s="3">
        <f t="shared" si="209"/>
        <v>22060.600000000002</v>
      </c>
      <c r="J525" s="3">
        <f t="shared" si="209"/>
        <v>19768.5</v>
      </c>
      <c r="K525" s="3">
        <f>SUM(K526:K529)</f>
        <v>42289.8</v>
      </c>
      <c r="L525" s="3">
        <f>SUM(L526:L529)</f>
        <v>34599.800000000003</v>
      </c>
      <c r="M525" s="3">
        <f>SUM(M526:M529)</f>
        <v>35983.800000000003</v>
      </c>
      <c r="N525" s="3">
        <f>SUM(N526:N529)</f>
        <v>37423.1</v>
      </c>
      <c r="O525" s="3">
        <f>SUM(O526:O529)</f>
        <v>87586.3</v>
      </c>
    </row>
    <row r="526" spans="1:15" ht="15.75" customHeight="1" x14ac:dyDescent="0.25">
      <c r="A526" s="92"/>
      <c r="B526" s="118"/>
      <c r="C526" s="58" t="s">
        <v>10</v>
      </c>
      <c r="D526" s="1">
        <f t="shared" si="205"/>
        <v>0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3">
        <v>0</v>
      </c>
    </row>
    <row r="527" spans="1:15" ht="15.75" customHeight="1" x14ac:dyDescent="0.25">
      <c r="A527" s="92"/>
      <c r="B527" s="118"/>
      <c r="C527" s="58" t="s">
        <v>11</v>
      </c>
      <c r="D527" s="1">
        <f t="shared" si="205"/>
        <v>0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  <c r="O527" s="3">
        <v>0</v>
      </c>
    </row>
    <row r="528" spans="1:15" ht="15.75" customHeight="1" x14ac:dyDescent="0.25">
      <c r="A528" s="92"/>
      <c r="B528" s="118"/>
      <c r="C528" s="58" t="s">
        <v>12</v>
      </c>
      <c r="D528" s="1">
        <f t="shared" si="205"/>
        <v>384816.49999999994</v>
      </c>
      <c r="E528" s="3">
        <v>0</v>
      </c>
      <c r="F528" s="3">
        <v>36667.5</v>
      </c>
      <c r="G528" s="3">
        <v>33267.5</v>
      </c>
      <c r="H528" s="3">
        <v>35169.599999999999</v>
      </c>
      <c r="I528" s="3">
        <f>23852.9-1792.3</f>
        <v>22060.600000000002</v>
      </c>
      <c r="J528" s="3">
        <f>28768.5-9000</f>
        <v>19768.5</v>
      </c>
      <c r="K528" s="3">
        <f>29083+5516.8+7690</f>
        <v>42289.8</v>
      </c>
      <c r="L528" s="3">
        <v>34599.800000000003</v>
      </c>
      <c r="M528" s="3">
        <v>35983.800000000003</v>
      </c>
      <c r="N528" s="3">
        <v>37423.1</v>
      </c>
      <c r="O528" s="3">
        <v>87586.3</v>
      </c>
    </row>
    <row r="529" spans="1:17" ht="21.75" customHeight="1" x14ac:dyDescent="0.25">
      <c r="A529" s="92"/>
      <c r="B529" s="118"/>
      <c r="C529" s="58" t="s">
        <v>13</v>
      </c>
      <c r="D529" s="1">
        <f t="shared" si="205"/>
        <v>0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  <c r="N529" s="3">
        <v>0</v>
      </c>
      <c r="O529" s="3">
        <v>0</v>
      </c>
    </row>
    <row r="530" spans="1:17" ht="22.5" customHeight="1" x14ac:dyDescent="0.3">
      <c r="A530" s="91" t="s">
        <v>206</v>
      </c>
      <c r="B530" s="116" t="s">
        <v>365</v>
      </c>
      <c r="C530" s="81" t="s">
        <v>7</v>
      </c>
      <c r="D530" s="1">
        <f>E530+F530+G530+H530+I530+J530+K530+L530+M530+N530+O530</f>
        <v>32005.9</v>
      </c>
      <c r="E530" s="3">
        <f t="shared" ref="E530:K530" si="210">SUM(E531:E534)</f>
        <v>0</v>
      </c>
      <c r="F530" s="3">
        <f t="shared" si="210"/>
        <v>0</v>
      </c>
      <c r="G530" s="3">
        <f t="shared" si="210"/>
        <v>0</v>
      </c>
      <c r="H530" s="3">
        <f t="shared" si="210"/>
        <v>0</v>
      </c>
      <c r="I530" s="3">
        <f t="shared" si="210"/>
        <v>22691.4</v>
      </c>
      <c r="J530" s="3">
        <f t="shared" si="210"/>
        <v>9314.5</v>
      </c>
      <c r="K530" s="3">
        <f t="shared" si="210"/>
        <v>0</v>
      </c>
      <c r="L530" s="3">
        <f>SUM(L531:L534)</f>
        <v>0</v>
      </c>
      <c r="M530" s="3">
        <f>SUM(M531:M534)</f>
        <v>0</v>
      </c>
      <c r="N530" s="3">
        <f>SUM(N531:N534)</f>
        <v>0</v>
      </c>
      <c r="O530" s="3">
        <f>SUM(O531:O534)</f>
        <v>0</v>
      </c>
      <c r="P530" s="62">
        <f>I528+I532</f>
        <v>44752</v>
      </c>
      <c r="Q530" s="62"/>
    </row>
    <row r="531" spans="1:17" ht="22.5" customHeight="1" x14ac:dyDescent="0.25">
      <c r="A531" s="92"/>
      <c r="B531" s="118"/>
      <c r="C531" s="58" t="s">
        <v>10</v>
      </c>
      <c r="D531" s="1">
        <f t="shared" si="205"/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</row>
    <row r="532" spans="1:17" ht="22.5" customHeight="1" x14ac:dyDescent="0.25">
      <c r="A532" s="92"/>
      <c r="B532" s="118"/>
      <c r="C532" s="58" t="s">
        <v>11</v>
      </c>
      <c r="D532" s="1">
        <f t="shared" si="205"/>
        <v>32005.9</v>
      </c>
      <c r="E532" s="3">
        <v>0</v>
      </c>
      <c r="F532" s="3">
        <v>0</v>
      </c>
      <c r="G532" s="3">
        <v>0</v>
      </c>
      <c r="H532" s="3">
        <v>0</v>
      </c>
      <c r="I532" s="3">
        <v>22691.4</v>
      </c>
      <c r="J532" s="3">
        <f>38083-28768.5</f>
        <v>9314.5</v>
      </c>
      <c r="K532" s="3">
        <v>0</v>
      </c>
      <c r="L532" s="3">
        <v>0</v>
      </c>
      <c r="M532" s="3">
        <v>0</v>
      </c>
      <c r="N532" s="3">
        <v>0</v>
      </c>
      <c r="O532" s="3">
        <v>0</v>
      </c>
    </row>
    <row r="533" spans="1:17" ht="22.5" customHeight="1" x14ac:dyDescent="0.25">
      <c r="A533" s="92"/>
      <c r="B533" s="118"/>
      <c r="C533" s="58" t="s">
        <v>12</v>
      </c>
      <c r="D533" s="1">
        <f t="shared" si="205"/>
        <v>0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  <c r="O533" s="3">
        <v>0</v>
      </c>
    </row>
    <row r="534" spans="1:17" ht="22.5" customHeight="1" x14ac:dyDescent="0.25">
      <c r="A534" s="92"/>
      <c r="B534" s="118"/>
      <c r="C534" s="58" t="s">
        <v>13</v>
      </c>
      <c r="D534" s="1">
        <f t="shared" si="205"/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  <c r="M534" s="3">
        <v>0</v>
      </c>
      <c r="N534" s="3">
        <v>0</v>
      </c>
      <c r="O534" s="3">
        <v>0</v>
      </c>
    </row>
    <row r="535" spans="1:17" ht="23.25" customHeight="1" x14ac:dyDescent="0.25">
      <c r="A535" s="91" t="s">
        <v>207</v>
      </c>
      <c r="B535" s="116" t="s">
        <v>229</v>
      </c>
      <c r="C535" s="58" t="s">
        <v>7</v>
      </c>
      <c r="D535" s="1">
        <f t="shared" si="205"/>
        <v>62441</v>
      </c>
      <c r="E535" s="3">
        <f t="shared" ref="E535:K535" si="211">SUM(E536:E539)</f>
        <v>62441</v>
      </c>
      <c r="F535" s="3">
        <f t="shared" si="211"/>
        <v>0</v>
      </c>
      <c r="G535" s="3">
        <f t="shared" si="211"/>
        <v>0</v>
      </c>
      <c r="H535" s="3">
        <f t="shared" si="211"/>
        <v>0</v>
      </c>
      <c r="I535" s="3">
        <f t="shared" si="211"/>
        <v>0</v>
      </c>
      <c r="J535" s="3">
        <f t="shared" si="211"/>
        <v>0</v>
      </c>
      <c r="K535" s="3">
        <f t="shared" si="211"/>
        <v>0</v>
      </c>
      <c r="L535" s="3">
        <f>SUM(L536:L539)</f>
        <v>0</v>
      </c>
      <c r="M535" s="3">
        <f>SUM(M536:M539)</f>
        <v>0</v>
      </c>
      <c r="N535" s="3">
        <f>SUM(N536:N539)</f>
        <v>0</v>
      </c>
      <c r="O535" s="3">
        <f>SUM(O536:O539)</f>
        <v>0</v>
      </c>
    </row>
    <row r="536" spans="1:17" ht="23.25" customHeight="1" x14ac:dyDescent="0.25">
      <c r="A536" s="92"/>
      <c r="B536" s="116"/>
      <c r="C536" s="58" t="s">
        <v>10</v>
      </c>
      <c r="D536" s="1">
        <f t="shared" si="205"/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0</v>
      </c>
      <c r="N536" s="3">
        <v>0</v>
      </c>
      <c r="O536" s="3">
        <v>0</v>
      </c>
    </row>
    <row r="537" spans="1:17" ht="23.25" customHeight="1" x14ac:dyDescent="0.25">
      <c r="A537" s="92"/>
      <c r="B537" s="116"/>
      <c r="C537" s="58" t="s">
        <v>11</v>
      </c>
      <c r="D537" s="1">
        <f t="shared" si="205"/>
        <v>0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0</v>
      </c>
      <c r="L537" s="3">
        <v>0</v>
      </c>
      <c r="M537" s="3">
        <v>0</v>
      </c>
      <c r="N537" s="3">
        <v>0</v>
      </c>
      <c r="O537" s="3">
        <v>0</v>
      </c>
    </row>
    <row r="538" spans="1:17" ht="23.25" customHeight="1" x14ac:dyDescent="0.25">
      <c r="A538" s="92"/>
      <c r="B538" s="116"/>
      <c r="C538" s="58" t="s">
        <v>12</v>
      </c>
      <c r="D538" s="1">
        <f t="shared" si="205"/>
        <v>62441</v>
      </c>
      <c r="E538" s="3">
        <v>62441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  <c r="O538" s="3">
        <v>0</v>
      </c>
    </row>
    <row r="539" spans="1:17" ht="23.25" customHeight="1" x14ac:dyDescent="0.25">
      <c r="A539" s="92"/>
      <c r="B539" s="116"/>
      <c r="C539" s="58" t="s">
        <v>13</v>
      </c>
      <c r="D539" s="1">
        <f t="shared" si="205"/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</row>
    <row r="540" spans="1:17" ht="24.75" customHeight="1" x14ac:dyDescent="0.25">
      <c r="A540" s="91" t="s">
        <v>208</v>
      </c>
      <c r="B540" s="116" t="s">
        <v>379</v>
      </c>
      <c r="C540" s="58" t="s">
        <v>7</v>
      </c>
      <c r="D540" s="1">
        <f>E540+F540+G540+H540+I540+J540+K540+L540+M540+N540+O540</f>
        <v>735191.2</v>
      </c>
      <c r="E540" s="3">
        <f t="shared" ref="E540:O540" si="212">SUM(E541:E544)</f>
        <v>1932.4</v>
      </c>
      <c r="F540" s="3">
        <f t="shared" si="212"/>
        <v>76373.399999999994</v>
      </c>
      <c r="G540" s="3">
        <f t="shared" si="212"/>
        <v>73973.399999999994</v>
      </c>
      <c r="H540" s="3">
        <f t="shared" si="212"/>
        <v>75506</v>
      </c>
      <c r="I540" s="3">
        <f t="shared" si="212"/>
        <v>14907.4</v>
      </c>
      <c r="J540" s="3">
        <f t="shared" si="212"/>
        <v>34818.300000000003</v>
      </c>
      <c r="K540" s="3">
        <f t="shared" si="212"/>
        <v>91238.9</v>
      </c>
      <c r="L540" s="3">
        <f t="shared" si="212"/>
        <v>72098</v>
      </c>
      <c r="M540" s="3">
        <f t="shared" si="212"/>
        <v>74981.899999999994</v>
      </c>
      <c r="N540" s="3">
        <f t="shared" si="212"/>
        <v>77981.2</v>
      </c>
      <c r="O540" s="3">
        <f t="shared" si="212"/>
        <v>141380.29999999999</v>
      </c>
    </row>
    <row r="541" spans="1:17" ht="24.75" customHeight="1" x14ac:dyDescent="0.25">
      <c r="A541" s="92"/>
      <c r="B541" s="116"/>
      <c r="C541" s="58" t="s">
        <v>10</v>
      </c>
      <c r="D541" s="1">
        <f t="shared" si="205"/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0</v>
      </c>
      <c r="N541" s="3">
        <v>0</v>
      </c>
      <c r="O541" s="3">
        <v>0</v>
      </c>
    </row>
    <row r="542" spans="1:17" ht="24.75" customHeight="1" x14ac:dyDescent="0.25">
      <c r="A542" s="92"/>
      <c r="B542" s="116"/>
      <c r="C542" s="58" t="s">
        <v>11</v>
      </c>
      <c r="D542" s="1">
        <f t="shared" si="205"/>
        <v>0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  <c r="O542" s="3">
        <v>0</v>
      </c>
    </row>
    <row r="543" spans="1:17" ht="24.75" customHeight="1" x14ac:dyDescent="0.25">
      <c r="A543" s="92"/>
      <c r="B543" s="116"/>
      <c r="C543" s="58" t="s">
        <v>12</v>
      </c>
      <c r="D543" s="1">
        <f t="shared" si="205"/>
        <v>735191.2</v>
      </c>
      <c r="E543" s="3">
        <v>1932.4</v>
      </c>
      <c r="F543" s="3">
        <v>76373.399999999994</v>
      </c>
      <c r="G543" s="3">
        <v>73973.399999999994</v>
      </c>
      <c r="H543" s="3">
        <v>75506</v>
      </c>
      <c r="I543" s="3">
        <f>21398.5-6491.1</f>
        <v>14907.4</v>
      </c>
      <c r="J543" s="3">
        <f>42143.1-20000+4043.7+8631.5</f>
        <v>34818.300000000003</v>
      </c>
      <c r="K543" s="3">
        <f>62603+5000+2210.9+4495+16930</f>
        <v>91238.9</v>
      </c>
      <c r="L543" s="3">
        <v>72098</v>
      </c>
      <c r="M543" s="3">
        <v>74981.899999999994</v>
      </c>
      <c r="N543" s="3">
        <v>77981.2</v>
      </c>
      <c r="O543" s="3">
        <v>141380.29999999999</v>
      </c>
    </row>
    <row r="544" spans="1:17" ht="44.25" customHeight="1" x14ac:dyDescent="0.25">
      <c r="A544" s="92"/>
      <c r="B544" s="116"/>
      <c r="C544" s="58" t="s">
        <v>13</v>
      </c>
      <c r="D544" s="1">
        <f t="shared" si="205"/>
        <v>0</v>
      </c>
      <c r="E544" s="3">
        <v>0</v>
      </c>
      <c r="F544" s="3">
        <v>0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0</v>
      </c>
      <c r="O544" s="3">
        <v>0</v>
      </c>
    </row>
    <row r="545" spans="1:15" ht="33" customHeight="1" x14ac:dyDescent="0.25">
      <c r="A545" s="91" t="s">
        <v>232</v>
      </c>
      <c r="B545" s="116" t="s">
        <v>362</v>
      </c>
      <c r="C545" s="58" t="s">
        <v>7</v>
      </c>
      <c r="D545" s="1">
        <f>E545+F545+G545+H545+I545+J545+K545+L545+M545+N545+O545</f>
        <v>91947.5</v>
      </c>
      <c r="E545" s="3">
        <f t="shared" ref="E545:O545" si="213">SUM(E546:E549)</f>
        <v>0</v>
      </c>
      <c r="F545" s="3">
        <f t="shared" si="213"/>
        <v>0</v>
      </c>
      <c r="G545" s="3">
        <f t="shared" si="213"/>
        <v>0</v>
      </c>
      <c r="H545" s="3">
        <f t="shared" si="213"/>
        <v>0</v>
      </c>
      <c r="I545" s="3">
        <f>SUM(I546:I549)</f>
        <v>60576.7</v>
      </c>
      <c r="J545" s="3">
        <f t="shared" si="213"/>
        <v>31370.799999999996</v>
      </c>
      <c r="K545" s="3">
        <f t="shared" si="213"/>
        <v>0</v>
      </c>
      <c r="L545" s="3">
        <f t="shared" si="213"/>
        <v>0</v>
      </c>
      <c r="M545" s="3">
        <f t="shared" si="213"/>
        <v>0</v>
      </c>
      <c r="N545" s="3">
        <f t="shared" si="213"/>
        <v>0</v>
      </c>
      <c r="O545" s="3">
        <f t="shared" si="213"/>
        <v>0</v>
      </c>
    </row>
    <row r="546" spans="1:15" ht="33" customHeight="1" x14ac:dyDescent="0.25">
      <c r="A546" s="92"/>
      <c r="B546" s="116"/>
      <c r="C546" s="58" t="s">
        <v>10</v>
      </c>
      <c r="D546" s="1">
        <f t="shared" si="205"/>
        <v>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  <c r="M546" s="3">
        <v>0</v>
      </c>
      <c r="N546" s="3">
        <v>0</v>
      </c>
      <c r="O546" s="3">
        <v>0</v>
      </c>
    </row>
    <row r="547" spans="1:15" ht="33" customHeight="1" x14ac:dyDescent="0.25">
      <c r="A547" s="92"/>
      <c r="B547" s="116"/>
      <c r="C547" s="58" t="s">
        <v>11</v>
      </c>
      <c r="D547" s="1">
        <f t="shared" si="205"/>
        <v>91947.5</v>
      </c>
      <c r="E547" s="3">
        <v>0</v>
      </c>
      <c r="F547" s="3">
        <v>0</v>
      </c>
      <c r="G547" s="3">
        <v>0</v>
      </c>
      <c r="H547" s="3">
        <v>0</v>
      </c>
      <c r="I547" s="3">
        <v>60576.7</v>
      </c>
      <c r="J547" s="3">
        <f>73513.9-42143.1</f>
        <v>31370.799999999996</v>
      </c>
      <c r="K547" s="3">
        <v>0</v>
      </c>
      <c r="L547" s="3">
        <v>0</v>
      </c>
      <c r="M547" s="3">
        <v>0</v>
      </c>
      <c r="N547" s="3">
        <v>0</v>
      </c>
      <c r="O547" s="3">
        <v>0</v>
      </c>
    </row>
    <row r="548" spans="1:15" ht="33" customHeight="1" x14ac:dyDescent="0.25">
      <c r="A548" s="92"/>
      <c r="B548" s="116"/>
      <c r="C548" s="58" t="s">
        <v>12</v>
      </c>
      <c r="D548" s="1">
        <f t="shared" si="205"/>
        <v>0</v>
      </c>
      <c r="E548" s="3">
        <v>0</v>
      </c>
      <c r="F548" s="3">
        <v>0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0</v>
      </c>
      <c r="O548" s="3">
        <v>0</v>
      </c>
    </row>
    <row r="549" spans="1:15" ht="33" customHeight="1" x14ac:dyDescent="0.25">
      <c r="A549" s="92"/>
      <c r="B549" s="116"/>
      <c r="C549" s="58" t="s">
        <v>13</v>
      </c>
      <c r="D549" s="1">
        <f t="shared" si="205"/>
        <v>0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  <c r="O549" s="3">
        <v>0</v>
      </c>
    </row>
    <row r="550" spans="1:15" ht="17.25" customHeight="1" x14ac:dyDescent="0.25">
      <c r="A550" s="91" t="s">
        <v>267</v>
      </c>
      <c r="B550" s="120" t="s">
        <v>53</v>
      </c>
      <c r="C550" s="58" t="s">
        <v>7</v>
      </c>
      <c r="D550" s="1">
        <f t="shared" si="205"/>
        <v>241368.66199999998</v>
      </c>
      <c r="E550" s="3">
        <f>E553+E552+E551+E555</f>
        <v>19291.8</v>
      </c>
      <c r="F550" s="3">
        <f t="shared" ref="F550:K550" si="214">SUM(F551:F555)</f>
        <v>23807.200000000001</v>
      </c>
      <c r="G550" s="3">
        <f t="shared" si="214"/>
        <v>28234.6</v>
      </c>
      <c r="H550" s="3">
        <f t="shared" si="214"/>
        <v>22369.4</v>
      </c>
      <c r="I550" s="3">
        <f t="shared" si="214"/>
        <v>22792.7</v>
      </c>
      <c r="J550" s="3">
        <f t="shared" si="214"/>
        <v>25918.3</v>
      </c>
      <c r="K550" s="3">
        <f t="shared" si="214"/>
        <v>42362.462</v>
      </c>
      <c r="L550" s="3">
        <f>SUM(L551:L555)</f>
        <v>8936.4</v>
      </c>
      <c r="M550" s="3">
        <f>SUM(M551:M555)</f>
        <v>9475.7999999999993</v>
      </c>
      <c r="N550" s="3">
        <f>SUM(N551:N555)</f>
        <v>9522.1</v>
      </c>
      <c r="O550" s="3">
        <f>SUM(O551:O555)</f>
        <v>28657.9</v>
      </c>
    </row>
    <row r="551" spans="1:15" ht="15.6" x14ac:dyDescent="0.25">
      <c r="A551" s="91"/>
      <c r="B551" s="132"/>
      <c r="C551" s="58" t="s">
        <v>10</v>
      </c>
      <c r="D551" s="1">
        <f t="shared" si="205"/>
        <v>0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  <c r="M551" s="3">
        <v>0</v>
      </c>
      <c r="N551" s="3">
        <v>0</v>
      </c>
      <c r="O551" s="3">
        <v>0</v>
      </c>
    </row>
    <row r="552" spans="1:15" ht="15.6" x14ac:dyDescent="0.25">
      <c r="A552" s="91"/>
      <c r="B552" s="132"/>
      <c r="C552" s="58" t="s">
        <v>11</v>
      </c>
      <c r="D552" s="1">
        <f t="shared" si="205"/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  <c r="M552" s="3">
        <v>0</v>
      </c>
      <c r="N552" s="3">
        <v>0</v>
      </c>
      <c r="O552" s="3">
        <v>0</v>
      </c>
    </row>
    <row r="553" spans="1:15" ht="15.6" x14ac:dyDescent="0.25">
      <c r="A553" s="91"/>
      <c r="B553" s="132"/>
      <c r="C553" s="58" t="s">
        <v>12</v>
      </c>
      <c r="D553" s="1">
        <f t="shared" si="205"/>
        <v>241368.66199999998</v>
      </c>
      <c r="E553" s="3">
        <v>19291.8</v>
      </c>
      <c r="F553" s="3">
        <v>23807.200000000001</v>
      </c>
      <c r="G553" s="3">
        <v>28234.6</v>
      </c>
      <c r="H553" s="3">
        <v>22369.4</v>
      </c>
      <c r="I553" s="3">
        <v>22792.7</v>
      </c>
      <c r="J553" s="3">
        <f>18632.6-10699.7+10699.7+882.9+4000+4000-1000-597.2</f>
        <v>25918.3</v>
      </c>
      <c r="K553" s="3">
        <f>11060+1000+77+720.212+320+757+1740.4+2283.7+17440.1-2283.7-17440.1+5201.8-555.089+0.089+15000+9149.5+77-1950-71.45-90-74</f>
        <v>42362.462</v>
      </c>
      <c r="L553" s="3">
        <v>8936.4</v>
      </c>
      <c r="M553" s="3">
        <v>9475.7999999999993</v>
      </c>
      <c r="N553" s="3">
        <v>9522.1</v>
      </c>
      <c r="O553" s="3">
        <v>28657.9</v>
      </c>
    </row>
    <row r="554" spans="1:15" ht="31.5" customHeight="1" x14ac:dyDescent="0.25">
      <c r="A554" s="91"/>
      <c r="B554" s="132"/>
      <c r="C554" s="72" t="s">
        <v>80</v>
      </c>
      <c r="D554" s="71">
        <f t="shared" si="205"/>
        <v>1874.1</v>
      </c>
      <c r="E554" s="82">
        <v>1874.1</v>
      </c>
      <c r="F554" s="82">
        <v>0</v>
      </c>
      <c r="G554" s="82">
        <v>0</v>
      </c>
      <c r="H554" s="82">
        <v>0</v>
      </c>
      <c r="I554" s="82">
        <v>0</v>
      </c>
      <c r="J554" s="82">
        <v>0</v>
      </c>
      <c r="K554" s="82">
        <v>0</v>
      </c>
      <c r="L554" s="82">
        <v>0</v>
      </c>
      <c r="M554" s="82">
        <v>0</v>
      </c>
      <c r="N554" s="82">
        <v>0</v>
      </c>
      <c r="O554" s="82">
        <v>0</v>
      </c>
    </row>
    <row r="555" spans="1:15" ht="15.6" x14ac:dyDescent="0.25">
      <c r="A555" s="91"/>
      <c r="B555" s="133"/>
      <c r="C555" s="58" t="s">
        <v>13</v>
      </c>
      <c r="D555" s="1">
        <f t="shared" si="205"/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0</v>
      </c>
      <c r="N555" s="3">
        <v>0</v>
      </c>
      <c r="O555" s="3">
        <v>0</v>
      </c>
    </row>
    <row r="556" spans="1:15" ht="21" customHeight="1" x14ac:dyDescent="0.25">
      <c r="A556" s="91" t="s">
        <v>268</v>
      </c>
      <c r="B556" s="116" t="s">
        <v>251</v>
      </c>
      <c r="C556" s="58" t="s">
        <v>7</v>
      </c>
      <c r="D556" s="1">
        <f t="shared" si="205"/>
        <v>179360.69999999998</v>
      </c>
      <c r="E556" s="3">
        <f t="shared" ref="E556:O556" si="215">E557+E558+E559+E561</f>
        <v>28675.9</v>
      </c>
      <c r="F556" s="3">
        <f t="shared" si="215"/>
        <v>35910.699999999997</v>
      </c>
      <c r="G556" s="3">
        <f t="shared" si="215"/>
        <v>6899.6</v>
      </c>
      <c r="H556" s="3">
        <f t="shared" si="215"/>
        <v>8413.2000000000007</v>
      </c>
      <c r="I556" s="3">
        <f t="shared" si="215"/>
        <v>18601.100000000002</v>
      </c>
      <c r="J556" s="3">
        <f t="shared" si="215"/>
        <v>9981.3000000000011</v>
      </c>
      <c r="K556" s="3">
        <f t="shared" si="215"/>
        <v>18751.099999999999</v>
      </c>
      <c r="L556" s="3">
        <f t="shared" si="215"/>
        <v>11877.5</v>
      </c>
      <c r="M556" s="3">
        <f t="shared" si="215"/>
        <v>12594.4</v>
      </c>
      <c r="N556" s="3">
        <f t="shared" si="215"/>
        <v>12655.9</v>
      </c>
      <c r="O556" s="3">
        <f t="shared" si="215"/>
        <v>15000</v>
      </c>
    </row>
    <row r="557" spans="1:15" ht="21" customHeight="1" x14ac:dyDescent="0.25">
      <c r="A557" s="91"/>
      <c r="B557" s="118"/>
      <c r="C557" s="58" t="s">
        <v>10</v>
      </c>
      <c r="D557" s="1">
        <f t="shared" si="205"/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  <c r="N557" s="3">
        <v>0</v>
      </c>
      <c r="O557" s="3">
        <v>0</v>
      </c>
    </row>
    <row r="558" spans="1:15" ht="21" customHeight="1" x14ac:dyDescent="0.25">
      <c r="A558" s="91"/>
      <c r="B558" s="118"/>
      <c r="C558" s="58" t="s">
        <v>11</v>
      </c>
      <c r="D558" s="1">
        <f t="shared" si="205"/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0</v>
      </c>
      <c r="N558" s="3">
        <v>0</v>
      </c>
      <c r="O558" s="3">
        <v>0</v>
      </c>
    </row>
    <row r="559" spans="1:15" ht="33" customHeight="1" x14ac:dyDescent="0.25">
      <c r="A559" s="91"/>
      <c r="B559" s="118"/>
      <c r="C559" s="58" t="s">
        <v>66</v>
      </c>
      <c r="D559" s="1">
        <f t="shared" si="205"/>
        <v>179360.69999999998</v>
      </c>
      <c r="E559" s="3">
        <f>E560</f>
        <v>28675.9</v>
      </c>
      <c r="F559" s="3">
        <v>35910.699999999997</v>
      </c>
      <c r="G559" s="3">
        <v>6899.6</v>
      </c>
      <c r="H559" s="3">
        <v>8413.2000000000007</v>
      </c>
      <c r="I559" s="3">
        <f>20814-605.6-1607.3</f>
        <v>18601.100000000002</v>
      </c>
      <c r="J559" s="3">
        <f>15000+5950-3250+1905.9-9574.5+50-100.2+0.1</f>
        <v>9981.3000000000011</v>
      </c>
      <c r="K559" s="3">
        <f>20300-1400-149+18659.2-6396.3-12262.8</f>
        <v>18751.099999999999</v>
      </c>
      <c r="L559" s="3">
        <v>11877.5</v>
      </c>
      <c r="M559" s="3">
        <v>12594.4</v>
      </c>
      <c r="N559" s="3">
        <v>12655.9</v>
      </c>
      <c r="O559" s="3">
        <v>15000</v>
      </c>
    </row>
    <row r="560" spans="1:15" ht="30.75" customHeight="1" x14ac:dyDescent="0.25">
      <c r="A560" s="91"/>
      <c r="B560" s="118"/>
      <c r="C560" s="70" t="s">
        <v>80</v>
      </c>
      <c r="D560" s="71">
        <f t="shared" si="205"/>
        <v>57175.9</v>
      </c>
      <c r="E560" s="82">
        <v>28675.9</v>
      </c>
      <c r="F560" s="82">
        <v>28500</v>
      </c>
      <c r="G560" s="82">
        <v>0</v>
      </c>
      <c r="H560" s="82">
        <v>0</v>
      </c>
      <c r="I560" s="82">
        <v>0</v>
      </c>
      <c r="J560" s="82">
        <v>0</v>
      </c>
      <c r="K560" s="82">
        <v>0</v>
      </c>
      <c r="L560" s="82">
        <v>0</v>
      </c>
      <c r="M560" s="82">
        <v>0</v>
      </c>
      <c r="N560" s="82">
        <v>0</v>
      </c>
      <c r="O560" s="82">
        <v>0</v>
      </c>
    </row>
    <row r="561" spans="1:19" ht="21" customHeight="1" x14ac:dyDescent="0.25">
      <c r="A561" s="91"/>
      <c r="B561" s="118"/>
      <c r="C561" s="58" t="s">
        <v>13</v>
      </c>
      <c r="D561" s="1">
        <f t="shared" si="205"/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0</v>
      </c>
      <c r="M561" s="3">
        <v>0</v>
      </c>
      <c r="N561" s="3">
        <v>0</v>
      </c>
      <c r="O561" s="3">
        <v>0</v>
      </c>
    </row>
    <row r="562" spans="1:19" ht="15.6" x14ac:dyDescent="0.25">
      <c r="A562" s="91" t="s">
        <v>269</v>
      </c>
      <c r="B562" s="91" t="s">
        <v>243</v>
      </c>
      <c r="C562" s="78" t="s">
        <v>7</v>
      </c>
      <c r="D562" s="1">
        <f t="shared" si="205"/>
        <v>951</v>
      </c>
      <c r="E562" s="3">
        <f>E563+E564+E565+E566</f>
        <v>0</v>
      </c>
      <c r="F562" s="3">
        <f t="shared" ref="F562:K562" si="216">F563+F564+F565+F566</f>
        <v>0</v>
      </c>
      <c r="G562" s="3">
        <f t="shared" si="216"/>
        <v>347.6</v>
      </c>
      <c r="H562" s="3">
        <f t="shared" si="216"/>
        <v>589.4</v>
      </c>
      <c r="I562" s="3">
        <f t="shared" si="216"/>
        <v>14</v>
      </c>
      <c r="J562" s="3">
        <f t="shared" si="216"/>
        <v>0</v>
      </c>
      <c r="K562" s="3">
        <f t="shared" si="216"/>
        <v>0</v>
      </c>
      <c r="L562" s="3">
        <f>L563+L564+L565+L566</f>
        <v>0</v>
      </c>
      <c r="M562" s="3">
        <f>M563+M564+M565+M566</f>
        <v>0</v>
      </c>
      <c r="N562" s="3">
        <f>N563+N564+N565+N566</f>
        <v>0</v>
      </c>
      <c r="O562" s="3">
        <f>O563+O564+O565+O566</f>
        <v>0</v>
      </c>
    </row>
    <row r="563" spans="1:19" ht="15.6" x14ac:dyDescent="0.25">
      <c r="A563" s="91"/>
      <c r="B563" s="91"/>
      <c r="C563" s="58" t="s">
        <v>10</v>
      </c>
      <c r="D563" s="1">
        <f t="shared" si="205"/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</row>
    <row r="564" spans="1:19" ht="15.6" x14ac:dyDescent="0.25">
      <c r="A564" s="91"/>
      <c r="B564" s="91"/>
      <c r="C564" s="58" t="s">
        <v>11</v>
      </c>
      <c r="D564" s="1">
        <f t="shared" si="205"/>
        <v>0</v>
      </c>
      <c r="E564" s="3">
        <v>0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  <c r="M564" s="3">
        <v>0</v>
      </c>
      <c r="N564" s="3">
        <v>0</v>
      </c>
      <c r="O564" s="3">
        <v>0</v>
      </c>
    </row>
    <row r="565" spans="1:19" ht="15.6" x14ac:dyDescent="0.25">
      <c r="A565" s="91"/>
      <c r="B565" s="91"/>
      <c r="C565" s="58" t="s">
        <v>12</v>
      </c>
      <c r="D565" s="1">
        <f t="shared" si="205"/>
        <v>951</v>
      </c>
      <c r="E565" s="3">
        <v>0</v>
      </c>
      <c r="F565" s="3">
        <v>0</v>
      </c>
      <c r="G565" s="3">
        <v>347.6</v>
      </c>
      <c r="H565" s="3">
        <v>589.4</v>
      </c>
      <c r="I565" s="3">
        <v>14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</row>
    <row r="566" spans="1:19" ht="18" customHeight="1" x14ac:dyDescent="0.25">
      <c r="A566" s="91"/>
      <c r="B566" s="91"/>
      <c r="C566" s="58" t="s">
        <v>13</v>
      </c>
      <c r="D566" s="1">
        <f t="shared" si="205"/>
        <v>0</v>
      </c>
      <c r="E566" s="3">
        <v>0</v>
      </c>
      <c r="F566" s="3">
        <v>0</v>
      </c>
      <c r="G566" s="3">
        <v>0</v>
      </c>
      <c r="H566" s="3">
        <v>0</v>
      </c>
      <c r="I566" s="3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  <c r="O566" s="3">
        <v>0</v>
      </c>
    </row>
    <row r="567" spans="1:19" ht="15.6" x14ac:dyDescent="0.25">
      <c r="A567" s="91" t="s">
        <v>308</v>
      </c>
      <c r="B567" s="91" t="s">
        <v>309</v>
      </c>
      <c r="C567" s="78" t="s">
        <v>7</v>
      </c>
      <c r="D567" s="1">
        <f t="shared" ref="D567:D596" si="217">E567+F567+G567+H567+I567+J567+K567+L567+M567+N567+O567</f>
        <v>5870</v>
      </c>
      <c r="E567" s="3">
        <f>E568+E569+E570+E571</f>
        <v>0</v>
      </c>
      <c r="F567" s="3">
        <f t="shared" ref="F567:O567" si="218">F568+F569+F570+F571</f>
        <v>0</v>
      </c>
      <c r="G567" s="3">
        <f t="shared" si="218"/>
        <v>0</v>
      </c>
      <c r="H567" s="3">
        <f t="shared" si="218"/>
        <v>0</v>
      </c>
      <c r="I567" s="3">
        <f>I568+I569+I570+I571</f>
        <v>3397.4</v>
      </c>
      <c r="J567" s="3">
        <f t="shared" si="218"/>
        <v>2472.6</v>
      </c>
      <c r="K567" s="3">
        <f t="shared" si="218"/>
        <v>0</v>
      </c>
      <c r="L567" s="3">
        <f t="shared" si="218"/>
        <v>0</v>
      </c>
      <c r="M567" s="3">
        <f t="shared" si="218"/>
        <v>0</v>
      </c>
      <c r="N567" s="3">
        <f t="shared" si="218"/>
        <v>0</v>
      </c>
      <c r="O567" s="3">
        <f t="shared" si="218"/>
        <v>0</v>
      </c>
      <c r="P567" s="60">
        <v>3397.4</v>
      </c>
      <c r="Q567" s="69">
        <f>I567-P567</f>
        <v>0</v>
      </c>
      <c r="S567" s="76"/>
    </row>
    <row r="568" spans="1:19" ht="15.6" x14ac:dyDescent="0.25">
      <c r="A568" s="91"/>
      <c r="B568" s="91"/>
      <c r="C568" s="58" t="s">
        <v>10</v>
      </c>
      <c r="D568" s="1">
        <f t="shared" si="217"/>
        <v>0</v>
      </c>
      <c r="E568" s="3">
        <v>0</v>
      </c>
      <c r="F568" s="3">
        <v>0</v>
      </c>
      <c r="G568" s="3">
        <v>0</v>
      </c>
      <c r="H568" s="3">
        <v>0</v>
      </c>
      <c r="I568" s="3">
        <v>0</v>
      </c>
      <c r="J568" s="3">
        <v>0</v>
      </c>
      <c r="K568" s="3">
        <v>0</v>
      </c>
      <c r="L568" s="3">
        <v>0</v>
      </c>
      <c r="M568" s="3">
        <v>0</v>
      </c>
      <c r="N568" s="3">
        <v>0</v>
      </c>
      <c r="O568" s="3">
        <v>0</v>
      </c>
    </row>
    <row r="569" spans="1:19" ht="15.6" x14ac:dyDescent="0.25">
      <c r="A569" s="91"/>
      <c r="B569" s="91"/>
      <c r="C569" s="58" t="s">
        <v>11</v>
      </c>
      <c r="D569" s="1">
        <f t="shared" si="217"/>
        <v>0</v>
      </c>
      <c r="E569" s="3">
        <v>0</v>
      </c>
      <c r="F569" s="3">
        <v>0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</row>
    <row r="570" spans="1:19" ht="15.6" x14ac:dyDescent="0.25">
      <c r="A570" s="91"/>
      <c r="B570" s="91"/>
      <c r="C570" s="58" t="s">
        <v>12</v>
      </c>
      <c r="D570" s="1">
        <f t="shared" si="217"/>
        <v>5870</v>
      </c>
      <c r="E570" s="3">
        <v>0</v>
      </c>
      <c r="F570" s="3">
        <v>0</v>
      </c>
      <c r="G570" s="3">
        <v>0</v>
      </c>
      <c r="H570" s="3">
        <v>0</v>
      </c>
      <c r="I570" s="3">
        <v>3397.4</v>
      </c>
      <c r="J570" s="3">
        <f>3250-648.3-129.1</f>
        <v>2472.6</v>
      </c>
      <c r="K570" s="3">
        <f>5000-5000</f>
        <v>0</v>
      </c>
      <c r="L570" s="3">
        <v>0</v>
      </c>
      <c r="M570" s="3">
        <v>0</v>
      </c>
      <c r="N570" s="3">
        <v>0</v>
      </c>
      <c r="O570" s="3">
        <v>0</v>
      </c>
    </row>
    <row r="571" spans="1:19" ht="15.6" x14ac:dyDescent="0.25">
      <c r="A571" s="91"/>
      <c r="B571" s="91"/>
      <c r="C571" s="58" t="s">
        <v>13</v>
      </c>
      <c r="D571" s="1">
        <f t="shared" si="217"/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  <c r="M571" s="3">
        <v>0</v>
      </c>
      <c r="N571" s="3">
        <v>0</v>
      </c>
      <c r="O571" s="3">
        <v>0</v>
      </c>
    </row>
    <row r="572" spans="1:19" ht="15.6" x14ac:dyDescent="0.25">
      <c r="A572" s="91" t="s">
        <v>391</v>
      </c>
      <c r="B572" s="91" t="s">
        <v>392</v>
      </c>
      <c r="C572" s="78" t="s">
        <v>7</v>
      </c>
      <c r="D572" s="1">
        <f t="shared" si="217"/>
        <v>1215.9000000000001</v>
      </c>
      <c r="E572" s="3">
        <f>E573+E574+E575+E576</f>
        <v>0</v>
      </c>
      <c r="F572" s="3">
        <f t="shared" ref="F572:O572" si="219">F573+F574+F575+F576</f>
        <v>0</v>
      </c>
      <c r="G572" s="3">
        <f t="shared" si="219"/>
        <v>0</v>
      </c>
      <c r="H572" s="3">
        <f t="shared" si="219"/>
        <v>0</v>
      </c>
      <c r="I572" s="3">
        <f>I573+I574+I575+I576</f>
        <v>0</v>
      </c>
      <c r="J572" s="3">
        <f t="shared" si="219"/>
        <v>0</v>
      </c>
      <c r="K572" s="3">
        <f t="shared" si="219"/>
        <v>1215.9000000000001</v>
      </c>
      <c r="L572" s="3">
        <f t="shared" si="219"/>
        <v>0</v>
      </c>
      <c r="M572" s="3">
        <f t="shared" si="219"/>
        <v>0</v>
      </c>
      <c r="N572" s="3">
        <f t="shared" si="219"/>
        <v>0</v>
      </c>
      <c r="O572" s="3">
        <f t="shared" si="219"/>
        <v>0</v>
      </c>
    </row>
    <row r="573" spans="1:19" ht="15.6" x14ac:dyDescent="0.25">
      <c r="A573" s="91"/>
      <c r="B573" s="91"/>
      <c r="C573" s="58" t="s">
        <v>10</v>
      </c>
      <c r="D573" s="1">
        <f t="shared" si="217"/>
        <v>0</v>
      </c>
      <c r="E573" s="3">
        <v>0</v>
      </c>
      <c r="F573" s="3">
        <v>0</v>
      </c>
      <c r="G573" s="3">
        <v>0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0</v>
      </c>
      <c r="N573" s="3">
        <v>0</v>
      </c>
      <c r="O573" s="3">
        <v>0</v>
      </c>
    </row>
    <row r="574" spans="1:19" ht="15.6" x14ac:dyDescent="0.25">
      <c r="A574" s="91"/>
      <c r="B574" s="91"/>
      <c r="C574" s="58" t="s">
        <v>11</v>
      </c>
      <c r="D574" s="1">
        <f t="shared" si="217"/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0</v>
      </c>
      <c r="N574" s="3">
        <v>0</v>
      </c>
      <c r="O574" s="3">
        <v>0</v>
      </c>
    </row>
    <row r="575" spans="1:19" ht="15.6" x14ac:dyDescent="0.25">
      <c r="A575" s="91"/>
      <c r="B575" s="91"/>
      <c r="C575" s="58" t="s">
        <v>12</v>
      </c>
      <c r="D575" s="1">
        <f t="shared" si="217"/>
        <v>1215.9000000000001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1215.9000000000001</v>
      </c>
      <c r="L575" s="3">
        <v>0</v>
      </c>
      <c r="M575" s="3">
        <v>0</v>
      </c>
      <c r="N575" s="3">
        <v>0</v>
      </c>
      <c r="O575" s="3">
        <v>0</v>
      </c>
    </row>
    <row r="576" spans="1:19" ht="15.6" x14ac:dyDescent="0.25">
      <c r="A576" s="91"/>
      <c r="B576" s="91"/>
      <c r="C576" s="58" t="s">
        <v>13</v>
      </c>
      <c r="D576" s="1">
        <f t="shared" si="217"/>
        <v>0</v>
      </c>
      <c r="E576" s="3">
        <v>0</v>
      </c>
      <c r="F576" s="3">
        <v>0</v>
      </c>
      <c r="G576" s="3">
        <v>0</v>
      </c>
      <c r="H576" s="3">
        <v>0</v>
      </c>
      <c r="I576" s="3">
        <v>0</v>
      </c>
      <c r="J576" s="3">
        <v>0</v>
      </c>
      <c r="K576" s="3">
        <v>0</v>
      </c>
      <c r="L576" s="3">
        <v>0</v>
      </c>
      <c r="M576" s="3">
        <v>0</v>
      </c>
      <c r="N576" s="3">
        <v>0</v>
      </c>
      <c r="O576" s="3">
        <v>0</v>
      </c>
    </row>
    <row r="577" spans="1:15" ht="15.6" x14ac:dyDescent="0.25">
      <c r="A577" s="91" t="s">
        <v>394</v>
      </c>
      <c r="B577" s="91" t="s">
        <v>417</v>
      </c>
      <c r="C577" s="78" t="s">
        <v>7</v>
      </c>
      <c r="D577" s="1">
        <f t="shared" si="217"/>
        <v>560061</v>
      </c>
      <c r="E577" s="3">
        <f>E578+E579+E580+E581</f>
        <v>0</v>
      </c>
      <c r="F577" s="3">
        <f t="shared" ref="F577:O577" si="220">F578+F579+F580+F581</f>
        <v>0</v>
      </c>
      <c r="G577" s="3">
        <f t="shared" si="220"/>
        <v>0</v>
      </c>
      <c r="H577" s="3">
        <f t="shared" si="220"/>
        <v>0</v>
      </c>
      <c r="I577" s="3">
        <f>I578+I579+I580+I581</f>
        <v>0</v>
      </c>
      <c r="J577" s="3">
        <f t="shared" si="220"/>
        <v>0</v>
      </c>
      <c r="K577" s="3">
        <f t="shared" si="220"/>
        <v>54693.4</v>
      </c>
      <c r="L577" s="3">
        <f t="shared" si="220"/>
        <v>126936.5</v>
      </c>
      <c r="M577" s="3">
        <f t="shared" si="220"/>
        <v>179515.2</v>
      </c>
      <c r="N577" s="3">
        <f t="shared" si="220"/>
        <v>198915.9</v>
      </c>
      <c r="O577" s="3">
        <f t="shared" si="220"/>
        <v>0</v>
      </c>
    </row>
    <row r="578" spans="1:15" ht="15.6" x14ac:dyDescent="0.25">
      <c r="A578" s="91"/>
      <c r="B578" s="91"/>
      <c r="C578" s="58" t="s">
        <v>10</v>
      </c>
      <c r="D578" s="1">
        <f t="shared" si="217"/>
        <v>0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0</v>
      </c>
      <c r="N578" s="3">
        <v>0</v>
      </c>
      <c r="O578" s="3">
        <v>0</v>
      </c>
    </row>
    <row r="579" spans="1:15" ht="15.6" x14ac:dyDescent="0.25">
      <c r="A579" s="91"/>
      <c r="B579" s="91"/>
      <c r="C579" s="58" t="s">
        <v>11</v>
      </c>
      <c r="D579" s="1">
        <f t="shared" si="217"/>
        <v>0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  <c r="M579" s="3">
        <v>0</v>
      </c>
      <c r="N579" s="3">
        <v>0</v>
      </c>
      <c r="O579" s="3">
        <v>0</v>
      </c>
    </row>
    <row r="580" spans="1:15" ht="15.6" x14ac:dyDescent="0.25">
      <c r="A580" s="91"/>
      <c r="B580" s="91"/>
      <c r="C580" s="58" t="s">
        <v>12</v>
      </c>
      <c r="D580" s="1">
        <f t="shared" si="217"/>
        <v>560061</v>
      </c>
      <c r="E580" s="3">
        <v>0</v>
      </c>
      <c r="F580" s="3">
        <v>0</v>
      </c>
      <c r="G580" s="3">
        <v>0</v>
      </c>
      <c r="H580" s="3">
        <v>0</v>
      </c>
      <c r="I580" s="3">
        <v>0</v>
      </c>
      <c r="J580" s="3">
        <v>0</v>
      </c>
      <c r="K580" s="3">
        <f>30000+22637.4+2056</f>
        <v>54693.4</v>
      </c>
      <c r="L580" s="3">
        <v>126936.5</v>
      </c>
      <c r="M580" s="3">
        <v>179515.2</v>
      </c>
      <c r="N580" s="3">
        <v>198915.9</v>
      </c>
      <c r="O580" s="3">
        <v>0</v>
      </c>
    </row>
    <row r="581" spans="1:15" ht="15.6" x14ac:dyDescent="0.25">
      <c r="A581" s="91"/>
      <c r="B581" s="91"/>
      <c r="C581" s="58" t="s">
        <v>13</v>
      </c>
      <c r="D581" s="1">
        <f t="shared" si="217"/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  <c r="M581" s="3">
        <v>0</v>
      </c>
      <c r="N581" s="3">
        <v>0</v>
      </c>
      <c r="O581" s="3">
        <v>0</v>
      </c>
    </row>
    <row r="582" spans="1:15" ht="15.6" x14ac:dyDescent="0.25">
      <c r="A582" s="91" t="s">
        <v>398</v>
      </c>
      <c r="B582" s="91" t="s">
        <v>405</v>
      </c>
      <c r="C582" s="78" t="s">
        <v>7</v>
      </c>
      <c r="D582" s="1">
        <f t="shared" ref="D582" si="221">E582+F582+G582+H582+I582+J582+K582+L582+M582+N582+O582</f>
        <v>12262.8</v>
      </c>
      <c r="E582" s="3">
        <f>E583+E584+E585+E586</f>
        <v>0</v>
      </c>
      <c r="F582" s="3">
        <f t="shared" ref="F582:O582" si="222">F583+F584+F585+F586</f>
        <v>0</v>
      </c>
      <c r="G582" s="3">
        <f t="shared" si="222"/>
        <v>0</v>
      </c>
      <c r="H582" s="3">
        <f t="shared" si="222"/>
        <v>0</v>
      </c>
      <c r="I582" s="3">
        <f>I583+I584+I585+I586</f>
        <v>0</v>
      </c>
      <c r="J582" s="3">
        <f t="shared" si="222"/>
        <v>0</v>
      </c>
      <c r="K582" s="3">
        <f t="shared" si="222"/>
        <v>12262.8</v>
      </c>
      <c r="L582" s="3">
        <f t="shared" si="222"/>
        <v>0</v>
      </c>
      <c r="M582" s="3">
        <f t="shared" si="222"/>
        <v>0</v>
      </c>
      <c r="N582" s="3">
        <f t="shared" si="222"/>
        <v>0</v>
      </c>
      <c r="O582" s="3">
        <f t="shared" si="222"/>
        <v>0</v>
      </c>
    </row>
    <row r="583" spans="1:15" ht="15.6" x14ac:dyDescent="0.25">
      <c r="A583" s="91"/>
      <c r="B583" s="91"/>
      <c r="C583" s="58" t="s">
        <v>10</v>
      </c>
      <c r="D583" s="1">
        <f t="shared" si="217"/>
        <v>0</v>
      </c>
      <c r="E583" s="3">
        <v>0</v>
      </c>
      <c r="F583" s="3">
        <v>0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</row>
    <row r="584" spans="1:15" ht="15.6" x14ac:dyDescent="0.25">
      <c r="A584" s="91"/>
      <c r="B584" s="91"/>
      <c r="C584" s="58" t="s">
        <v>11</v>
      </c>
      <c r="D584" s="1">
        <f>E584+F584+G584+H584+I584+J584+K584+L584+M584+N584+O584</f>
        <v>0</v>
      </c>
      <c r="E584" s="3">
        <v>0</v>
      </c>
      <c r="F584" s="3">
        <v>0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</row>
    <row r="585" spans="1:15" ht="15.6" x14ac:dyDescent="0.25">
      <c r="A585" s="91"/>
      <c r="B585" s="91"/>
      <c r="C585" s="58" t="s">
        <v>12</v>
      </c>
      <c r="D585" s="1">
        <f t="shared" si="217"/>
        <v>12262.8</v>
      </c>
      <c r="E585" s="3">
        <v>0</v>
      </c>
      <c r="F585" s="3">
        <v>0</v>
      </c>
      <c r="G585" s="3">
        <v>0</v>
      </c>
      <c r="H585" s="3">
        <v>0</v>
      </c>
      <c r="I585" s="3">
        <v>0</v>
      </c>
      <c r="J585" s="3">
        <v>0</v>
      </c>
      <c r="K585" s="3">
        <v>12262.8</v>
      </c>
      <c r="L585" s="3">
        <v>0</v>
      </c>
      <c r="M585" s="3">
        <v>0</v>
      </c>
      <c r="N585" s="3">
        <v>0</v>
      </c>
      <c r="O585" s="3">
        <v>0</v>
      </c>
    </row>
    <row r="586" spans="1:15" ht="15.6" x14ac:dyDescent="0.25">
      <c r="A586" s="91"/>
      <c r="B586" s="91"/>
      <c r="C586" s="58" t="s">
        <v>13</v>
      </c>
      <c r="D586" s="1">
        <f t="shared" si="217"/>
        <v>0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</row>
    <row r="587" spans="1:15" ht="15.75" customHeight="1" x14ac:dyDescent="0.25">
      <c r="A587" s="91" t="s">
        <v>399</v>
      </c>
      <c r="B587" s="91" t="s">
        <v>406</v>
      </c>
      <c r="C587" s="78" t="s">
        <v>7</v>
      </c>
      <c r="D587" s="1">
        <f t="shared" si="217"/>
        <v>2980.9</v>
      </c>
      <c r="E587" s="3">
        <f>E588+E589+E590+E591</f>
        <v>0</v>
      </c>
      <c r="F587" s="3">
        <f t="shared" ref="F587:O587" si="223">F588+F589+F590+F591</f>
        <v>0</v>
      </c>
      <c r="G587" s="3">
        <f t="shared" si="223"/>
        <v>0</v>
      </c>
      <c r="H587" s="3">
        <f t="shared" si="223"/>
        <v>0</v>
      </c>
      <c r="I587" s="3">
        <f>I588+I589+I590+I591</f>
        <v>0</v>
      </c>
      <c r="J587" s="3">
        <f t="shared" si="223"/>
        <v>0</v>
      </c>
      <c r="K587" s="3">
        <f t="shared" si="223"/>
        <v>682.40000000000009</v>
      </c>
      <c r="L587" s="3">
        <f t="shared" si="223"/>
        <v>735.3</v>
      </c>
      <c r="M587" s="3">
        <f t="shared" si="223"/>
        <v>779.7</v>
      </c>
      <c r="N587" s="3">
        <f t="shared" si="223"/>
        <v>783.5</v>
      </c>
      <c r="O587" s="3">
        <f t="shared" si="223"/>
        <v>0</v>
      </c>
    </row>
    <row r="588" spans="1:15" ht="15.6" x14ac:dyDescent="0.25">
      <c r="A588" s="91"/>
      <c r="B588" s="91"/>
      <c r="C588" s="58" t="s">
        <v>10</v>
      </c>
      <c r="D588" s="1">
        <f t="shared" si="217"/>
        <v>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  <c r="M588" s="3">
        <v>0</v>
      </c>
      <c r="N588" s="3">
        <v>0</v>
      </c>
      <c r="O588" s="3">
        <v>0</v>
      </c>
    </row>
    <row r="589" spans="1:15" ht="15.6" x14ac:dyDescent="0.25">
      <c r="A589" s="91"/>
      <c r="B589" s="91"/>
      <c r="C589" s="58" t="s">
        <v>11</v>
      </c>
      <c r="D589" s="1">
        <f>E589+F589+G589+H589+I589+J589+K589+L589+M589+N589+O589</f>
        <v>0</v>
      </c>
      <c r="E589" s="3">
        <v>0</v>
      </c>
      <c r="F589" s="3">
        <v>0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0</v>
      </c>
      <c r="M589" s="3">
        <v>0</v>
      </c>
      <c r="N589" s="3">
        <v>0</v>
      </c>
      <c r="O589" s="3">
        <v>0</v>
      </c>
    </row>
    <row r="590" spans="1:15" ht="15.6" x14ac:dyDescent="0.25">
      <c r="A590" s="91"/>
      <c r="B590" s="91"/>
      <c r="C590" s="58" t="s">
        <v>12</v>
      </c>
      <c r="D590" s="1">
        <f t="shared" si="217"/>
        <v>2980.9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f>5000-2261.6-2056</f>
        <v>682.40000000000009</v>
      </c>
      <c r="L590" s="3">
        <v>735.3</v>
      </c>
      <c r="M590" s="3">
        <v>779.7</v>
      </c>
      <c r="N590" s="3">
        <v>783.5</v>
      </c>
      <c r="O590" s="3">
        <v>0</v>
      </c>
    </row>
    <row r="591" spans="1:15" ht="15.6" x14ac:dyDescent="0.25">
      <c r="A591" s="91"/>
      <c r="B591" s="91"/>
      <c r="C591" s="58" t="s">
        <v>13</v>
      </c>
      <c r="D591" s="1">
        <f t="shared" si="217"/>
        <v>0</v>
      </c>
      <c r="E591" s="3">
        <v>0</v>
      </c>
      <c r="F591" s="3">
        <v>0</v>
      </c>
      <c r="G591" s="3">
        <v>0</v>
      </c>
      <c r="H591" s="3">
        <v>0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</row>
    <row r="592" spans="1:15" ht="15.75" customHeight="1" x14ac:dyDescent="0.25">
      <c r="A592" s="91" t="s">
        <v>407</v>
      </c>
      <c r="B592" s="91" t="s">
        <v>413</v>
      </c>
      <c r="C592" s="78" t="s">
        <v>7</v>
      </c>
      <c r="D592" s="1">
        <f t="shared" ref="D592" si="224">E592+F592+G592+H592+I592+J592+K592+L592+M592+N592+O592</f>
        <v>7545.1</v>
      </c>
      <c r="E592" s="3">
        <f>E593+E594+E595+E596</f>
        <v>0</v>
      </c>
      <c r="F592" s="3">
        <f t="shared" ref="F592:O592" si="225">F593+F594+F595+F596</f>
        <v>0</v>
      </c>
      <c r="G592" s="3">
        <f t="shared" si="225"/>
        <v>0</v>
      </c>
      <c r="H592" s="3">
        <f t="shared" si="225"/>
        <v>0</v>
      </c>
      <c r="I592" s="3">
        <f>I593+I594+I595+I596</f>
        <v>0</v>
      </c>
      <c r="J592" s="3">
        <f t="shared" si="225"/>
        <v>0</v>
      </c>
      <c r="K592" s="3">
        <f t="shared" si="225"/>
        <v>7545.1</v>
      </c>
      <c r="L592" s="3">
        <f t="shared" si="225"/>
        <v>0</v>
      </c>
      <c r="M592" s="3">
        <f t="shared" si="225"/>
        <v>0</v>
      </c>
      <c r="N592" s="3">
        <f t="shared" si="225"/>
        <v>0</v>
      </c>
      <c r="O592" s="3">
        <f t="shared" si="225"/>
        <v>0</v>
      </c>
    </row>
    <row r="593" spans="1:15" ht="15.6" x14ac:dyDescent="0.25">
      <c r="A593" s="91"/>
      <c r="B593" s="91"/>
      <c r="C593" s="58" t="s">
        <v>10</v>
      </c>
      <c r="D593" s="1">
        <f t="shared" si="217"/>
        <v>0</v>
      </c>
      <c r="E593" s="3">
        <v>0</v>
      </c>
      <c r="F593" s="3">
        <v>0</v>
      </c>
      <c r="G593" s="3">
        <v>0</v>
      </c>
      <c r="H593" s="3">
        <v>0</v>
      </c>
      <c r="I593" s="3">
        <v>0</v>
      </c>
      <c r="J593" s="3">
        <v>0</v>
      </c>
      <c r="K593" s="3">
        <v>0</v>
      </c>
      <c r="L593" s="3">
        <v>0</v>
      </c>
      <c r="M593" s="3">
        <v>0</v>
      </c>
      <c r="N593" s="3">
        <v>0</v>
      </c>
      <c r="O593" s="3">
        <v>0</v>
      </c>
    </row>
    <row r="594" spans="1:15" ht="15.6" x14ac:dyDescent="0.25">
      <c r="A594" s="91"/>
      <c r="B594" s="91"/>
      <c r="C594" s="58" t="s">
        <v>11</v>
      </c>
      <c r="D594" s="1">
        <f>E594+F594+G594+H594+I594+J594+K594+L594+M594+N594+O594</f>
        <v>0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</row>
    <row r="595" spans="1:15" ht="15.6" x14ac:dyDescent="0.25">
      <c r="A595" s="91"/>
      <c r="B595" s="91"/>
      <c r="C595" s="58" t="s">
        <v>12</v>
      </c>
      <c r="D595" s="1">
        <f t="shared" si="217"/>
        <v>7545.1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7545.1</v>
      </c>
      <c r="L595" s="3">
        <v>0</v>
      </c>
      <c r="M595" s="3">
        <v>0</v>
      </c>
      <c r="N595" s="3">
        <v>0</v>
      </c>
      <c r="O595" s="3">
        <v>0</v>
      </c>
    </row>
    <row r="596" spans="1:15" ht="15.6" x14ac:dyDescent="0.25">
      <c r="A596" s="91"/>
      <c r="B596" s="91"/>
      <c r="C596" s="58" t="s">
        <v>13</v>
      </c>
      <c r="D596" s="1">
        <f t="shared" si="217"/>
        <v>0</v>
      </c>
      <c r="E596" s="3">
        <v>0</v>
      </c>
      <c r="F596" s="3">
        <v>0</v>
      </c>
      <c r="G596" s="3">
        <v>0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  <c r="M596" s="3">
        <v>0</v>
      </c>
      <c r="N596" s="3">
        <v>0</v>
      </c>
      <c r="O596" s="3">
        <v>0</v>
      </c>
    </row>
    <row r="597" spans="1:15" ht="15.6" x14ac:dyDescent="0.25">
      <c r="A597" s="91" t="s">
        <v>283</v>
      </c>
      <c r="B597" s="91" t="s">
        <v>284</v>
      </c>
      <c r="C597" s="58" t="s">
        <v>7</v>
      </c>
      <c r="D597" s="1">
        <f t="shared" si="205"/>
        <v>691386.8</v>
      </c>
      <c r="E597" s="1">
        <f t="shared" ref="E597:O597" si="226">E598+E599+E600+E601</f>
        <v>0</v>
      </c>
      <c r="F597" s="1">
        <f t="shared" si="226"/>
        <v>0</v>
      </c>
      <c r="G597" s="1">
        <f t="shared" si="226"/>
        <v>0</v>
      </c>
      <c r="H597" s="1">
        <f t="shared" si="226"/>
        <v>0</v>
      </c>
      <c r="I597" s="1">
        <f t="shared" si="226"/>
        <v>52500</v>
      </c>
      <c r="J597" s="1">
        <f>J598+J599+J600+J601</f>
        <v>227517.2</v>
      </c>
      <c r="K597" s="1">
        <f t="shared" si="226"/>
        <v>411369.6</v>
      </c>
      <c r="L597" s="1">
        <f t="shared" si="226"/>
        <v>0</v>
      </c>
      <c r="M597" s="1">
        <f t="shared" si="226"/>
        <v>0</v>
      </c>
      <c r="N597" s="1">
        <f t="shared" si="226"/>
        <v>0</v>
      </c>
      <c r="O597" s="1">
        <f t="shared" si="226"/>
        <v>0</v>
      </c>
    </row>
    <row r="598" spans="1:15" ht="15.6" x14ac:dyDescent="0.25">
      <c r="A598" s="92"/>
      <c r="B598" s="117"/>
      <c r="C598" s="58" t="s">
        <v>10</v>
      </c>
      <c r="D598" s="1">
        <f t="shared" si="205"/>
        <v>0</v>
      </c>
      <c r="E598" s="1">
        <f>E603</f>
        <v>0</v>
      </c>
      <c r="F598" s="1">
        <f t="shared" ref="F598:K598" si="227">F603</f>
        <v>0</v>
      </c>
      <c r="G598" s="1">
        <f t="shared" si="227"/>
        <v>0</v>
      </c>
      <c r="H598" s="1">
        <f t="shared" si="227"/>
        <v>0</v>
      </c>
      <c r="I598" s="1">
        <f t="shared" si="227"/>
        <v>0</v>
      </c>
      <c r="J598" s="1">
        <f>J603</f>
        <v>0</v>
      </c>
      <c r="K598" s="1">
        <f t="shared" si="227"/>
        <v>0</v>
      </c>
      <c r="L598" s="1">
        <f>L629+L639+L650+L666+L677+L684</f>
        <v>0</v>
      </c>
      <c r="M598" s="1">
        <f>M629+M639+M650+M666+M677+M684</f>
        <v>0</v>
      </c>
      <c r="N598" s="1">
        <f>N629+N639+N650+N666+N677+N684</f>
        <v>0</v>
      </c>
      <c r="O598" s="1">
        <f>O629+O639+O650+O666+O677+O684</f>
        <v>0</v>
      </c>
    </row>
    <row r="599" spans="1:15" ht="15.6" x14ac:dyDescent="0.25">
      <c r="A599" s="92"/>
      <c r="B599" s="117"/>
      <c r="C599" s="58" t="s">
        <v>11</v>
      </c>
      <c r="D599" s="1">
        <f t="shared" si="205"/>
        <v>650553.59999999998</v>
      </c>
      <c r="E599" s="1">
        <f t="shared" ref="E599:K599" si="228">E604</f>
        <v>0</v>
      </c>
      <c r="F599" s="1">
        <f t="shared" si="228"/>
        <v>0</v>
      </c>
      <c r="G599" s="1">
        <f t="shared" si="228"/>
        <v>0</v>
      </c>
      <c r="H599" s="1">
        <f t="shared" si="228"/>
        <v>0</v>
      </c>
      <c r="I599" s="1">
        <f t="shared" si="228"/>
        <v>50000</v>
      </c>
      <c r="J599" s="1">
        <f>J604</f>
        <v>213866.1</v>
      </c>
      <c r="K599" s="1">
        <f t="shared" si="228"/>
        <v>386687.5</v>
      </c>
      <c r="L599" s="1">
        <v>0</v>
      </c>
      <c r="M599" s="1">
        <v>0</v>
      </c>
      <c r="N599" s="1">
        <v>0</v>
      </c>
      <c r="O599" s="1">
        <v>0</v>
      </c>
    </row>
    <row r="600" spans="1:15" ht="15.6" x14ac:dyDescent="0.25">
      <c r="A600" s="92"/>
      <c r="B600" s="117"/>
      <c r="C600" s="58" t="s">
        <v>12</v>
      </c>
      <c r="D600" s="1">
        <f t="shared" ref="D600:D641" si="229">E600+F600+G600+H600+I600+J600+K600+L600+M600+N600+O600</f>
        <v>40833.200000000004</v>
      </c>
      <c r="E600" s="1">
        <f t="shared" ref="E600:K600" si="230">E605</f>
        <v>0</v>
      </c>
      <c r="F600" s="1">
        <f t="shared" si="230"/>
        <v>0</v>
      </c>
      <c r="G600" s="1">
        <f t="shared" si="230"/>
        <v>0</v>
      </c>
      <c r="H600" s="1">
        <f t="shared" si="230"/>
        <v>0</v>
      </c>
      <c r="I600" s="1">
        <f t="shared" si="230"/>
        <v>2500</v>
      </c>
      <c r="J600" s="1">
        <f>J605</f>
        <v>13651.1</v>
      </c>
      <c r="K600" s="1">
        <f t="shared" si="230"/>
        <v>24682.100000000006</v>
      </c>
      <c r="L600" s="1">
        <v>0</v>
      </c>
      <c r="M600" s="1">
        <v>0</v>
      </c>
      <c r="N600" s="1">
        <v>0</v>
      </c>
      <c r="O600" s="1">
        <v>0</v>
      </c>
    </row>
    <row r="601" spans="1:15" ht="16.5" customHeight="1" x14ac:dyDescent="0.25">
      <c r="A601" s="92"/>
      <c r="B601" s="117"/>
      <c r="C601" s="58" t="s">
        <v>13</v>
      </c>
      <c r="D601" s="1">
        <f t="shared" si="229"/>
        <v>0</v>
      </c>
      <c r="E601" s="1">
        <f t="shared" ref="E601:K601" si="231">E606</f>
        <v>0</v>
      </c>
      <c r="F601" s="1">
        <f t="shared" si="231"/>
        <v>0</v>
      </c>
      <c r="G601" s="1">
        <f t="shared" si="231"/>
        <v>0</v>
      </c>
      <c r="H601" s="1">
        <f t="shared" si="231"/>
        <v>0</v>
      </c>
      <c r="I601" s="1">
        <f t="shared" si="231"/>
        <v>0</v>
      </c>
      <c r="J601" s="1">
        <f>J606</f>
        <v>0</v>
      </c>
      <c r="K601" s="1">
        <f t="shared" si="231"/>
        <v>0</v>
      </c>
      <c r="L601" s="1">
        <v>0</v>
      </c>
      <c r="M601" s="1">
        <v>0</v>
      </c>
      <c r="N601" s="1">
        <v>0</v>
      </c>
      <c r="O601" s="1">
        <v>0</v>
      </c>
    </row>
    <row r="602" spans="1:15" ht="15.6" x14ac:dyDescent="0.25">
      <c r="A602" s="91" t="s">
        <v>285</v>
      </c>
      <c r="B602" s="91" t="s">
        <v>286</v>
      </c>
      <c r="C602" s="58" t="s">
        <v>7</v>
      </c>
      <c r="D602" s="1">
        <f t="shared" si="229"/>
        <v>691386.8</v>
      </c>
      <c r="E602" s="1">
        <f t="shared" ref="E602:J602" si="232">E603+E604+E605+E606</f>
        <v>0</v>
      </c>
      <c r="F602" s="1">
        <f t="shared" si="232"/>
        <v>0</v>
      </c>
      <c r="G602" s="1">
        <f t="shared" si="232"/>
        <v>0</v>
      </c>
      <c r="H602" s="1">
        <f t="shared" si="232"/>
        <v>0</v>
      </c>
      <c r="I602" s="1">
        <f t="shared" si="232"/>
        <v>52500</v>
      </c>
      <c r="J602" s="1">
        <f t="shared" si="232"/>
        <v>227517.2</v>
      </c>
      <c r="K602" s="1">
        <f>K603+K604+K605+K606</f>
        <v>411369.6</v>
      </c>
      <c r="L602" s="1">
        <f t="shared" ref="L602:O602" si="233">L603+L604+L605+L606</f>
        <v>0</v>
      </c>
      <c r="M602" s="1">
        <f t="shared" si="233"/>
        <v>0</v>
      </c>
      <c r="N602" s="1">
        <f t="shared" si="233"/>
        <v>0</v>
      </c>
      <c r="O602" s="1">
        <f t="shared" si="233"/>
        <v>0</v>
      </c>
    </row>
    <row r="603" spans="1:15" ht="15.6" x14ac:dyDescent="0.25">
      <c r="A603" s="91"/>
      <c r="B603" s="91"/>
      <c r="C603" s="58" t="s">
        <v>10</v>
      </c>
      <c r="D603" s="1">
        <f t="shared" si="229"/>
        <v>0</v>
      </c>
      <c r="E603" s="1">
        <f t="shared" ref="E603:K603" si="234">E634+E644+E655+E671+E682+E689</f>
        <v>0</v>
      </c>
      <c r="F603" s="1">
        <f t="shared" si="234"/>
        <v>0</v>
      </c>
      <c r="G603" s="1">
        <f t="shared" si="234"/>
        <v>0</v>
      </c>
      <c r="H603" s="1">
        <f t="shared" si="234"/>
        <v>0</v>
      </c>
      <c r="I603" s="1">
        <f t="shared" si="234"/>
        <v>0</v>
      </c>
      <c r="J603" s="1">
        <f t="shared" si="234"/>
        <v>0</v>
      </c>
      <c r="K603" s="1">
        <f t="shared" si="234"/>
        <v>0</v>
      </c>
      <c r="L603" s="1">
        <f>L634+L644+L655+L671+L682+L689</f>
        <v>0</v>
      </c>
      <c r="M603" s="1">
        <f>M634+M644+M655+M671+M682+M689</f>
        <v>0</v>
      </c>
      <c r="N603" s="1">
        <f>N634+N644+N655+N671+N682+N689</f>
        <v>0</v>
      </c>
      <c r="O603" s="1">
        <f>O634+O644+O655+O671+O682+O689</f>
        <v>0</v>
      </c>
    </row>
    <row r="604" spans="1:15" ht="15.6" x14ac:dyDescent="0.25">
      <c r="A604" s="91"/>
      <c r="B604" s="91"/>
      <c r="C604" s="58" t="s">
        <v>11</v>
      </c>
      <c r="D604" s="1">
        <f t="shared" si="229"/>
        <v>650553.59999999998</v>
      </c>
      <c r="E604" s="1">
        <v>0</v>
      </c>
      <c r="F604" s="1">
        <v>0</v>
      </c>
      <c r="G604" s="1">
        <v>0</v>
      </c>
      <c r="H604" s="1">
        <v>0</v>
      </c>
      <c r="I604" s="1">
        <v>50000</v>
      </c>
      <c r="J604" s="1">
        <v>213866.1</v>
      </c>
      <c r="K604" s="1">
        <f>257206.8+13000+36722.5+79758.1+0.1</f>
        <v>386687.5</v>
      </c>
      <c r="L604" s="1">
        <v>0</v>
      </c>
      <c r="M604" s="1">
        <v>0</v>
      </c>
      <c r="N604" s="1">
        <v>0</v>
      </c>
      <c r="O604" s="1">
        <v>0</v>
      </c>
    </row>
    <row r="605" spans="1:15" ht="15.6" x14ac:dyDescent="0.25">
      <c r="A605" s="91"/>
      <c r="B605" s="91"/>
      <c r="C605" s="58" t="s">
        <v>12</v>
      </c>
      <c r="D605" s="1">
        <f t="shared" si="229"/>
        <v>40833.200000000004</v>
      </c>
      <c r="E605" s="1">
        <v>0</v>
      </c>
      <c r="F605" s="1">
        <v>0</v>
      </c>
      <c r="G605" s="1">
        <v>0</v>
      </c>
      <c r="H605" s="1">
        <v>0</v>
      </c>
      <c r="I605" s="1">
        <v>2500</v>
      </c>
      <c r="J605" s="1">
        <v>13651.1</v>
      </c>
      <c r="K605" s="1">
        <f>13832+2019.6+565.8+829.8+39066.65-36722.5+40267.4-7506.65-1300-4000+5300-4701.1-27669.9+471.7+4229.3</f>
        <v>24682.100000000006</v>
      </c>
      <c r="L605" s="1">
        <v>0</v>
      </c>
      <c r="M605" s="1">
        <v>0</v>
      </c>
      <c r="N605" s="1">
        <v>0</v>
      </c>
      <c r="O605" s="1">
        <v>0</v>
      </c>
    </row>
    <row r="606" spans="1:15" ht="19.5" customHeight="1" x14ac:dyDescent="0.25">
      <c r="A606" s="91"/>
      <c r="B606" s="91"/>
      <c r="C606" s="58" t="s">
        <v>13</v>
      </c>
      <c r="D606" s="1">
        <f t="shared" si="229"/>
        <v>0</v>
      </c>
      <c r="E606" s="1">
        <f>E647+E658+E674+E686+E693</f>
        <v>0</v>
      </c>
      <c r="F606" s="1">
        <f>F647+F658+F674+F686+F693</f>
        <v>0</v>
      </c>
      <c r="G606" s="1">
        <f>G647+G658+G674+G686+G693</f>
        <v>0</v>
      </c>
      <c r="H606" s="1">
        <f>H647+H658+H674+H686+H693</f>
        <v>0</v>
      </c>
      <c r="I606" s="1">
        <f>I647+I658+I674+I686+I693</f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">
        <v>0</v>
      </c>
    </row>
    <row r="607" spans="1:15" ht="21" customHeight="1" x14ac:dyDescent="0.25">
      <c r="A607" s="91" t="s">
        <v>358</v>
      </c>
      <c r="B607" s="91" t="s">
        <v>359</v>
      </c>
      <c r="C607" s="58" t="s">
        <v>7</v>
      </c>
      <c r="D607" s="1">
        <f>E607+F607+G607+H607+I607+J607+K607+L607+M607+N607+O607</f>
        <v>600</v>
      </c>
      <c r="E607" s="1">
        <f t="shared" ref="E607:O607" si="235">E608+E609+E610+E611</f>
        <v>0</v>
      </c>
      <c r="F607" s="1">
        <f t="shared" si="235"/>
        <v>0</v>
      </c>
      <c r="G607" s="1">
        <f t="shared" si="235"/>
        <v>0</v>
      </c>
      <c r="H607" s="1">
        <f t="shared" si="235"/>
        <v>0</v>
      </c>
      <c r="I607" s="1">
        <f t="shared" si="235"/>
        <v>0</v>
      </c>
      <c r="J607" s="1">
        <f t="shared" si="235"/>
        <v>600</v>
      </c>
      <c r="K607" s="1">
        <f t="shared" si="235"/>
        <v>0</v>
      </c>
      <c r="L607" s="1">
        <f t="shared" si="235"/>
        <v>0</v>
      </c>
      <c r="M607" s="1">
        <f t="shared" si="235"/>
        <v>0</v>
      </c>
      <c r="N607" s="1">
        <f t="shared" si="235"/>
        <v>0</v>
      </c>
      <c r="O607" s="1">
        <f t="shared" si="235"/>
        <v>0</v>
      </c>
    </row>
    <row r="608" spans="1:15" ht="21" customHeight="1" x14ac:dyDescent="0.25">
      <c r="A608" s="92"/>
      <c r="B608" s="117"/>
      <c r="C608" s="58" t="s">
        <v>10</v>
      </c>
      <c r="D608" s="1">
        <f>E608+F608+G608+H608+I608+J608+K608+L608+M608+N608+O608</f>
        <v>0</v>
      </c>
      <c r="E608" s="1">
        <f>E613</f>
        <v>0</v>
      </c>
      <c r="F608" s="1">
        <f t="shared" ref="F608:K608" si="236">F613</f>
        <v>0</v>
      </c>
      <c r="G608" s="1">
        <f t="shared" si="236"/>
        <v>0</v>
      </c>
      <c r="H608" s="1">
        <f t="shared" si="236"/>
        <v>0</v>
      </c>
      <c r="I608" s="1">
        <f t="shared" si="236"/>
        <v>0</v>
      </c>
      <c r="J608" s="1">
        <f t="shared" si="236"/>
        <v>0</v>
      </c>
      <c r="K608" s="1">
        <f t="shared" si="236"/>
        <v>0</v>
      </c>
      <c r="L608" s="1">
        <f>L639+L649+L660+L676+L687+L694</f>
        <v>0</v>
      </c>
      <c r="M608" s="1">
        <f>M639+M649+M660+M676+M687+M694</f>
        <v>0</v>
      </c>
      <c r="N608" s="1">
        <f>N639+N649+N660+N676+N687+N694</f>
        <v>0</v>
      </c>
      <c r="O608" s="1">
        <f>O639+O649+O660+O676+O687+O694</f>
        <v>0</v>
      </c>
    </row>
    <row r="609" spans="1:15" ht="21" customHeight="1" x14ac:dyDescent="0.25">
      <c r="A609" s="92"/>
      <c r="B609" s="117"/>
      <c r="C609" s="58" t="s">
        <v>11</v>
      </c>
      <c r="D609" s="1">
        <f t="shared" si="229"/>
        <v>0</v>
      </c>
      <c r="E609" s="1">
        <f t="shared" ref="E609:K609" si="237">E614</f>
        <v>0</v>
      </c>
      <c r="F609" s="1">
        <f t="shared" si="237"/>
        <v>0</v>
      </c>
      <c r="G609" s="1">
        <f t="shared" si="237"/>
        <v>0</v>
      </c>
      <c r="H609" s="1">
        <f t="shared" si="237"/>
        <v>0</v>
      </c>
      <c r="I609" s="1">
        <f t="shared" si="237"/>
        <v>0</v>
      </c>
      <c r="J609" s="1">
        <f t="shared" si="237"/>
        <v>0</v>
      </c>
      <c r="K609" s="1">
        <f t="shared" si="237"/>
        <v>0</v>
      </c>
      <c r="L609" s="1">
        <v>0</v>
      </c>
      <c r="M609" s="1">
        <v>0</v>
      </c>
      <c r="N609" s="1">
        <v>0</v>
      </c>
      <c r="O609" s="1">
        <v>0</v>
      </c>
    </row>
    <row r="610" spans="1:15" ht="21" customHeight="1" x14ac:dyDescent="0.25">
      <c r="A610" s="92"/>
      <c r="B610" s="117"/>
      <c r="C610" s="58" t="s">
        <v>12</v>
      </c>
      <c r="D610" s="1">
        <f t="shared" ref="D610:D616" si="238">E610+F610+G610+H610+I610+J610+K610+L610+M610+N610+O610</f>
        <v>600</v>
      </c>
      <c r="E610" s="1">
        <f t="shared" ref="E610:K610" si="239">E615</f>
        <v>0</v>
      </c>
      <c r="F610" s="1">
        <f t="shared" si="239"/>
        <v>0</v>
      </c>
      <c r="G610" s="1">
        <f t="shared" si="239"/>
        <v>0</v>
      </c>
      <c r="H610" s="1">
        <f t="shared" si="239"/>
        <v>0</v>
      </c>
      <c r="I610" s="1">
        <f t="shared" si="239"/>
        <v>0</v>
      </c>
      <c r="J610" s="1">
        <f t="shared" si="239"/>
        <v>600</v>
      </c>
      <c r="K610" s="1">
        <f t="shared" si="239"/>
        <v>0</v>
      </c>
      <c r="L610" s="1">
        <v>0</v>
      </c>
      <c r="M610" s="1">
        <v>0</v>
      </c>
      <c r="N610" s="1">
        <v>0</v>
      </c>
      <c r="O610" s="1">
        <v>0</v>
      </c>
    </row>
    <row r="611" spans="1:15" ht="21" customHeight="1" x14ac:dyDescent="0.25">
      <c r="A611" s="92"/>
      <c r="B611" s="117"/>
      <c r="C611" s="58" t="s">
        <v>13</v>
      </c>
      <c r="D611" s="1">
        <f t="shared" si="238"/>
        <v>0</v>
      </c>
      <c r="E611" s="1">
        <f t="shared" ref="E611:K611" si="240">E616</f>
        <v>0</v>
      </c>
      <c r="F611" s="1">
        <f t="shared" si="240"/>
        <v>0</v>
      </c>
      <c r="G611" s="1">
        <f t="shared" si="240"/>
        <v>0</v>
      </c>
      <c r="H611" s="1">
        <f t="shared" si="240"/>
        <v>0</v>
      </c>
      <c r="I611" s="1">
        <f t="shared" si="240"/>
        <v>0</v>
      </c>
      <c r="J611" s="1">
        <f t="shared" si="240"/>
        <v>0</v>
      </c>
      <c r="K611" s="1">
        <f t="shared" si="240"/>
        <v>0</v>
      </c>
      <c r="L611" s="1">
        <v>0</v>
      </c>
      <c r="M611" s="1">
        <v>0</v>
      </c>
      <c r="N611" s="1">
        <v>0</v>
      </c>
      <c r="O611" s="1">
        <v>0</v>
      </c>
    </row>
    <row r="612" spans="1:15" ht="15.6" x14ac:dyDescent="0.25">
      <c r="A612" s="91" t="s">
        <v>360</v>
      </c>
      <c r="B612" s="91" t="s">
        <v>361</v>
      </c>
      <c r="C612" s="58" t="s">
        <v>7</v>
      </c>
      <c r="D612" s="1">
        <f t="shared" si="238"/>
        <v>600</v>
      </c>
      <c r="E612" s="1">
        <f t="shared" ref="E612:O612" si="241">E613+E614+E615+E616</f>
        <v>0</v>
      </c>
      <c r="F612" s="1">
        <f t="shared" si="241"/>
        <v>0</v>
      </c>
      <c r="G612" s="1">
        <f t="shared" si="241"/>
        <v>0</v>
      </c>
      <c r="H612" s="1">
        <f t="shared" si="241"/>
        <v>0</v>
      </c>
      <c r="I612" s="1">
        <f t="shared" si="241"/>
        <v>0</v>
      </c>
      <c r="J612" s="1">
        <f t="shared" si="241"/>
        <v>600</v>
      </c>
      <c r="K612" s="1">
        <f t="shared" si="241"/>
        <v>0</v>
      </c>
      <c r="L612" s="1">
        <f t="shared" si="241"/>
        <v>0</v>
      </c>
      <c r="M612" s="1">
        <f t="shared" si="241"/>
        <v>0</v>
      </c>
      <c r="N612" s="1">
        <f t="shared" si="241"/>
        <v>0</v>
      </c>
      <c r="O612" s="1">
        <f t="shared" si="241"/>
        <v>0</v>
      </c>
    </row>
    <row r="613" spans="1:15" ht="15.6" x14ac:dyDescent="0.25">
      <c r="A613" s="91"/>
      <c r="B613" s="91"/>
      <c r="C613" s="58" t="s">
        <v>10</v>
      </c>
      <c r="D613" s="1">
        <f t="shared" si="238"/>
        <v>0</v>
      </c>
      <c r="E613" s="1">
        <f t="shared" ref="E613:O613" si="242">E644+E654+E665+E681+E692+E699</f>
        <v>0</v>
      </c>
      <c r="F613" s="1">
        <f t="shared" si="242"/>
        <v>0</v>
      </c>
      <c r="G613" s="1">
        <f t="shared" si="242"/>
        <v>0</v>
      </c>
      <c r="H613" s="1">
        <f t="shared" si="242"/>
        <v>0</v>
      </c>
      <c r="I613" s="1">
        <f t="shared" si="242"/>
        <v>0</v>
      </c>
      <c r="J613" s="1">
        <f t="shared" si="242"/>
        <v>0</v>
      </c>
      <c r="K613" s="1">
        <f t="shared" si="242"/>
        <v>0</v>
      </c>
      <c r="L613" s="1">
        <f t="shared" si="242"/>
        <v>0</v>
      </c>
      <c r="M613" s="1">
        <f t="shared" si="242"/>
        <v>0</v>
      </c>
      <c r="N613" s="1">
        <f t="shared" si="242"/>
        <v>0</v>
      </c>
      <c r="O613" s="1">
        <f t="shared" si="242"/>
        <v>0</v>
      </c>
    </row>
    <row r="614" spans="1:15" ht="15.6" x14ac:dyDescent="0.25">
      <c r="A614" s="91"/>
      <c r="B614" s="91"/>
      <c r="C614" s="58" t="s">
        <v>11</v>
      </c>
      <c r="D614" s="1">
        <f t="shared" si="238"/>
        <v>0</v>
      </c>
      <c r="E614" s="1">
        <v>0</v>
      </c>
      <c r="F614" s="1">
        <v>0</v>
      </c>
      <c r="G614" s="1">
        <v>0</v>
      </c>
      <c r="H614" s="1">
        <v>0</v>
      </c>
      <c r="I614" s="1">
        <v>0</v>
      </c>
      <c r="J614" s="1">
        <v>0</v>
      </c>
      <c r="K614" s="1">
        <v>0</v>
      </c>
      <c r="L614" s="1">
        <v>0</v>
      </c>
      <c r="M614" s="1">
        <v>0</v>
      </c>
      <c r="N614" s="1">
        <v>0</v>
      </c>
      <c r="O614" s="1">
        <v>0</v>
      </c>
    </row>
    <row r="615" spans="1:15" ht="15.6" x14ac:dyDescent="0.25">
      <c r="A615" s="91"/>
      <c r="B615" s="91"/>
      <c r="C615" s="58" t="s">
        <v>12</v>
      </c>
      <c r="D615" s="1">
        <f t="shared" si="238"/>
        <v>600</v>
      </c>
      <c r="E615" s="1">
        <v>0</v>
      </c>
      <c r="F615" s="1">
        <v>0</v>
      </c>
      <c r="G615" s="1">
        <v>0</v>
      </c>
      <c r="H615" s="1">
        <v>0</v>
      </c>
      <c r="I615" s="1">
        <v>0</v>
      </c>
      <c r="J615" s="1">
        <v>600</v>
      </c>
      <c r="K615" s="1">
        <v>0</v>
      </c>
      <c r="L615" s="1">
        <v>0</v>
      </c>
      <c r="M615" s="1">
        <v>0</v>
      </c>
      <c r="N615" s="1">
        <v>0</v>
      </c>
      <c r="O615" s="1">
        <v>0</v>
      </c>
    </row>
    <row r="616" spans="1:15" ht="24" customHeight="1" x14ac:dyDescent="0.25">
      <c r="A616" s="91"/>
      <c r="B616" s="91"/>
      <c r="C616" s="58" t="s">
        <v>13</v>
      </c>
      <c r="D616" s="1">
        <f t="shared" si="238"/>
        <v>0</v>
      </c>
      <c r="E616" s="1">
        <f>E657+E668+E684+E696+E703</f>
        <v>0</v>
      </c>
      <c r="F616" s="1">
        <f>F657+F668+F684+F696+F703</f>
        <v>0</v>
      </c>
      <c r="G616" s="1">
        <f>G657+G668+G684+G696+G703</f>
        <v>0</v>
      </c>
      <c r="H616" s="1">
        <f>H657+H668+H684+H696+H703</f>
        <v>0</v>
      </c>
      <c r="I616" s="1">
        <f>I657+I668+I684+I696+I703</f>
        <v>0</v>
      </c>
      <c r="J616" s="1">
        <v>0</v>
      </c>
      <c r="K616" s="1">
        <v>0</v>
      </c>
      <c r="L616" s="1">
        <v>0</v>
      </c>
      <c r="M616" s="1">
        <v>0</v>
      </c>
      <c r="N616" s="1">
        <v>0</v>
      </c>
      <c r="O616" s="1">
        <v>0</v>
      </c>
    </row>
    <row r="617" spans="1:15" ht="24" customHeight="1" x14ac:dyDescent="0.25">
      <c r="A617" s="91" t="s">
        <v>400</v>
      </c>
      <c r="B617" s="91" t="s">
        <v>402</v>
      </c>
      <c r="C617" s="58" t="s">
        <v>7</v>
      </c>
      <c r="D617" s="1">
        <f>E617+F617+G617+H617+I617+J617+K617+L617+M617+N617+O617</f>
        <v>13869.6</v>
      </c>
      <c r="E617" s="1">
        <f>E618+E619+E620+E621</f>
        <v>0</v>
      </c>
      <c r="F617" s="1">
        <f t="shared" ref="F617:O617" si="243">F618+F619+F620+F621</f>
        <v>0</v>
      </c>
      <c r="G617" s="1">
        <f t="shared" si="243"/>
        <v>0</v>
      </c>
      <c r="H617" s="1">
        <f t="shared" si="243"/>
        <v>0</v>
      </c>
      <c r="I617" s="1">
        <f t="shared" si="243"/>
        <v>0</v>
      </c>
      <c r="J617" s="1">
        <f t="shared" si="243"/>
        <v>0</v>
      </c>
      <c r="K617" s="1">
        <f t="shared" si="243"/>
        <v>13869.6</v>
      </c>
      <c r="L617" s="1">
        <f t="shared" si="243"/>
        <v>0</v>
      </c>
      <c r="M617" s="1">
        <f t="shared" si="243"/>
        <v>0</v>
      </c>
      <c r="N617" s="1">
        <f t="shared" si="243"/>
        <v>0</v>
      </c>
      <c r="O617" s="1">
        <f t="shared" si="243"/>
        <v>0</v>
      </c>
    </row>
    <row r="618" spans="1:15" ht="24" customHeight="1" x14ac:dyDescent="0.25">
      <c r="A618" s="92"/>
      <c r="B618" s="117"/>
      <c r="C618" s="58" t="s">
        <v>10</v>
      </c>
      <c r="D618" s="1">
        <f t="shared" ref="D618:D626" si="244">E618+F618+G618+H618+I618+J618+K618+L618+M618+N618+O618</f>
        <v>0</v>
      </c>
      <c r="E618" s="1">
        <f t="shared" ref="E618:I618" si="245">E649+E659+E670+E686+E697+E704</f>
        <v>0</v>
      </c>
      <c r="F618" s="1">
        <f t="shared" si="245"/>
        <v>0</v>
      </c>
      <c r="G618" s="1">
        <f t="shared" si="245"/>
        <v>0</v>
      </c>
      <c r="H618" s="1">
        <f t="shared" si="245"/>
        <v>0</v>
      </c>
      <c r="I618" s="1">
        <f t="shared" si="245"/>
        <v>0</v>
      </c>
      <c r="J618" s="1">
        <v>0</v>
      </c>
      <c r="K618" s="1">
        <f t="shared" ref="K618:O618" si="246">K649+K659+K670+K686+K697+K704</f>
        <v>0</v>
      </c>
      <c r="L618" s="1">
        <f t="shared" si="246"/>
        <v>0</v>
      </c>
      <c r="M618" s="1">
        <f t="shared" si="246"/>
        <v>0</v>
      </c>
      <c r="N618" s="1">
        <f t="shared" si="246"/>
        <v>0</v>
      </c>
      <c r="O618" s="1">
        <f t="shared" si="246"/>
        <v>0</v>
      </c>
    </row>
    <row r="619" spans="1:15" ht="24" customHeight="1" x14ac:dyDescent="0.25">
      <c r="A619" s="92"/>
      <c r="B619" s="117"/>
      <c r="C619" s="58" t="s">
        <v>11</v>
      </c>
      <c r="D619" s="1">
        <f t="shared" si="244"/>
        <v>0</v>
      </c>
      <c r="E619" s="1">
        <v>0</v>
      </c>
      <c r="F619" s="1">
        <v>0</v>
      </c>
      <c r="G619" s="1">
        <v>0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</row>
    <row r="620" spans="1:15" ht="24" customHeight="1" x14ac:dyDescent="0.25">
      <c r="A620" s="92"/>
      <c r="B620" s="117"/>
      <c r="C620" s="58" t="s">
        <v>12</v>
      </c>
      <c r="D620" s="1">
        <f t="shared" si="244"/>
        <v>13869.6</v>
      </c>
      <c r="E620" s="1">
        <v>0</v>
      </c>
      <c r="F620" s="1">
        <v>0</v>
      </c>
      <c r="G620" s="1">
        <v>0</v>
      </c>
      <c r="H620" s="1">
        <v>0</v>
      </c>
      <c r="I620" s="1">
        <v>0</v>
      </c>
      <c r="J620" s="1">
        <f>J625</f>
        <v>0</v>
      </c>
      <c r="K620" s="1">
        <f>K625</f>
        <v>13869.6</v>
      </c>
      <c r="L620" s="1">
        <v>0</v>
      </c>
      <c r="M620" s="1">
        <v>0</v>
      </c>
      <c r="N620" s="1">
        <v>0</v>
      </c>
      <c r="O620" s="1">
        <v>0</v>
      </c>
    </row>
    <row r="621" spans="1:15" ht="24" customHeight="1" x14ac:dyDescent="0.25">
      <c r="A621" s="92"/>
      <c r="B621" s="117"/>
      <c r="C621" s="58" t="s">
        <v>13</v>
      </c>
      <c r="D621" s="1">
        <f t="shared" si="244"/>
        <v>0</v>
      </c>
      <c r="E621" s="1">
        <f>E662+E673+E689+E701+E708</f>
        <v>0</v>
      </c>
      <c r="F621" s="1">
        <f>F662+F673+F689+F701+F708</f>
        <v>0</v>
      </c>
      <c r="G621" s="1">
        <f>G662+G673+G689+G701+G708</f>
        <v>0</v>
      </c>
      <c r="H621" s="1">
        <f>H662+H673+H689+H701+H708</f>
        <v>0</v>
      </c>
      <c r="I621" s="1">
        <f>I662+I673+I689+I701+I708</f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</row>
    <row r="622" spans="1:15" ht="24" customHeight="1" x14ac:dyDescent="0.25">
      <c r="A622" s="91" t="s">
        <v>401</v>
      </c>
      <c r="B622" s="91" t="s">
        <v>403</v>
      </c>
      <c r="C622" s="58" t="s">
        <v>7</v>
      </c>
      <c r="D622" s="1">
        <f t="shared" ref="D622:N622" si="247">D623+D624+D625+D626</f>
        <v>13869.6</v>
      </c>
      <c r="E622" s="1">
        <f t="shared" si="247"/>
        <v>0</v>
      </c>
      <c r="F622" s="1">
        <f t="shared" si="247"/>
        <v>0</v>
      </c>
      <c r="G622" s="1">
        <f t="shared" si="247"/>
        <v>0</v>
      </c>
      <c r="H622" s="1">
        <f t="shared" si="247"/>
        <v>0</v>
      </c>
      <c r="I622" s="1">
        <f t="shared" si="247"/>
        <v>0</v>
      </c>
      <c r="J622" s="1">
        <f t="shared" si="247"/>
        <v>0</v>
      </c>
      <c r="K622" s="1">
        <f t="shared" si="247"/>
        <v>13869.6</v>
      </c>
      <c r="L622" s="1">
        <f t="shared" si="247"/>
        <v>0</v>
      </c>
      <c r="M622" s="1">
        <f t="shared" si="247"/>
        <v>0</v>
      </c>
      <c r="N622" s="1">
        <f t="shared" si="247"/>
        <v>0</v>
      </c>
      <c r="O622" s="1"/>
    </row>
    <row r="623" spans="1:15" ht="24" customHeight="1" x14ac:dyDescent="0.25">
      <c r="A623" s="91"/>
      <c r="B623" s="91"/>
      <c r="C623" s="58" t="s">
        <v>10</v>
      </c>
      <c r="D623" s="1">
        <f>E623+F623+G623+H623+I623+J623+K623+L623+M623+N623+O623</f>
        <v>0</v>
      </c>
      <c r="E623" s="1">
        <f t="shared" ref="E623:I623" si="248">E654+E664+E675+E691+E702+E709</f>
        <v>0</v>
      </c>
      <c r="F623" s="1">
        <f t="shared" si="248"/>
        <v>0</v>
      </c>
      <c r="G623" s="1">
        <f t="shared" si="248"/>
        <v>0</v>
      </c>
      <c r="H623" s="1">
        <f t="shared" si="248"/>
        <v>0</v>
      </c>
      <c r="I623" s="1">
        <f t="shared" si="248"/>
        <v>0</v>
      </c>
      <c r="J623" s="1">
        <v>0</v>
      </c>
      <c r="K623" s="1">
        <f t="shared" ref="K623:O623" si="249">K654+K664+K675+K691+K702+K709</f>
        <v>0</v>
      </c>
      <c r="L623" s="1">
        <f t="shared" si="249"/>
        <v>0</v>
      </c>
      <c r="M623" s="1">
        <f t="shared" si="249"/>
        <v>0</v>
      </c>
      <c r="N623" s="1">
        <f t="shared" si="249"/>
        <v>0</v>
      </c>
      <c r="O623" s="1">
        <f t="shared" si="249"/>
        <v>0</v>
      </c>
    </row>
    <row r="624" spans="1:15" ht="24" customHeight="1" x14ac:dyDescent="0.25">
      <c r="A624" s="91"/>
      <c r="B624" s="91"/>
      <c r="C624" s="58" t="s">
        <v>11</v>
      </c>
      <c r="D624" s="1">
        <f t="shared" si="244"/>
        <v>0</v>
      </c>
      <c r="E624" s="1">
        <v>0</v>
      </c>
      <c r="F624" s="1">
        <v>0</v>
      </c>
      <c r="G624" s="1">
        <v>0</v>
      </c>
      <c r="H624" s="1">
        <v>0</v>
      </c>
      <c r="I624" s="1">
        <v>0</v>
      </c>
      <c r="J624" s="1">
        <v>0</v>
      </c>
      <c r="K624" s="1">
        <v>0</v>
      </c>
      <c r="L624" s="1">
        <v>0</v>
      </c>
      <c r="M624" s="1">
        <v>0</v>
      </c>
      <c r="N624" s="1">
        <v>0</v>
      </c>
      <c r="O624" s="1">
        <v>0</v>
      </c>
    </row>
    <row r="625" spans="1:17" ht="24" customHeight="1" x14ac:dyDescent="0.25">
      <c r="A625" s="91"/>
      <c r="B625" s="91"/>
      <c r="C625" s="58" t="s">
        <v>12</v>
      </c>
      <c r="D625" s="1">
        <f t="shared" si="244"/>
        <v>13869.6</v>
      </c>
      <c r="E625" s="1">
        <v>0</v>
      </c>
      <c r="F625" s="1">
        <v>0</v>
      </c>
      <c r="G625" s="1">
        <v>0</v>
      </c>
      <c r="H625" s="1">
        <v>0</v>
      </c>
      <c r="I625" s="1">
        <v>0</v>
      </c>
      <c r="J625" s="1">
        <v>0</v>
      </c>
      <c r="K625" s="1">
        <f>19000-5201.8+71.4</f>
        <v>13869.6</v>
      </c>
      <c r="L625" s="1">
        <v>0</v>
      </c>
      <c r="M625" s="1">
        <v>0</v>
      </c>
      <c r="N625" s="1">
        <v>0</v>
      </c>
      <c r="O625" s="1">
        <v>0</v>
      </c>
    </row>
    <row r="626" spans="1:17" ht="24" customHeight="1" x14ac:dyDescent="0.25">
      <c r="A626" s="91"/>
      <c r="B626" s="91"/>
      <c r="C626" s="58" t="s">
        <v>13</v>
      </c>
      <c r="D626" s="1">
        <f t="shared" si="244"/>
        <v>0</v>
      </c>
      <c r="E626" s="1">
        <f>E667+E678+E694+E706+E713</f>
        <v>0</v>
      </c>
      <c r="F626" s="1">
        <f>F667+F678+F694+F706+F713</f>
        <v>0</v>
      </c>
      <c r="G626" s="1">
        <f>G667+G678+G694+G706+G713</f>
        <v>0</v>
      </c>
      <c r="H626" s="1">
        <f>H667+H678+H694+H706+H713</f>
        <v>0</v>
      </c>
      <c r="I626" s="1">
        <f>I667+I678+I694+I706+I713</f>
        <v>0</v>
      </c>
      <c r="J626" s="1">
        <v>0</v>
      </c>
      <c r="K626" s="1">
        <v>0</v>
      </c>
      <c r="L626" s="1">
        <v>0</v>
      </c>
      <c r="M626" s="1">
        <v>0</v>
      </c>
      <c r="N626" s="1">
        <v>0</v>
      </c>
      <c r="O626" s="1">
        <v>0</v>
      </c>
    </row>
    <row r="627" spans="1:17" ht="15.6" x14ac:dyDescent="0.25">
      <c r="A627" s="96" t="s">
        <v>42</v>
      </c>
      <c r="B627" s="126" t="s">
        <v>328</v>
      </c>
      <c r="C627" s="68" t="s">
        <v>7</v>
      </c>
      <c r="D627" s="2">
        <f t="shared" si="229"/>
        <v>575659.1</v>
      </c>
      <c r="E627" s="2">
        <f t="shared" ref="E627:O627" si="250">E630+E628+E629+E631</f>
        <v>31873.5</v>
      </c>
      <c r="F627" s="2">
        <f t="shared" si="250"/>
        <v>32215.200000000001</v>
      </c>
      <c r="G627" s="2">
        <f t="shared" si="250"/>
        <v>32536.1</v>
      </c>
      <c r="H627" s="2">
        <f t="shared" si="250"/>
        <v>34467.4</v>
      </c>
      <c r="I627" s="2">
        <f t="shared" si="250"/>
        <v>42249.1</v>
      </c>
      <c r="J627" s="2">
        <f t="shared" si="250"/>
        <v>51925.4</v>
      </c>
      <c r="K627" s="2">
        <f t="shared" si="250"/>
        <v>66037.599999999991</v>
      </c>
      <c r="L627" s="2">
        <f t="shared" si="250"/>
        <v>67673.600000000006</v>
      </c>
      <c r="M627" s="2">
        <f t="shared" si="250"/>
        <v>70380</v>
      </c>
      <c r="N627" s="2">
        <f t="shared" si="250"/>
        <v>73150.600000000006</v>
      </c>
      <c r="O627" s="2">
        <f t="shared" si="250"/>
        <v>73150.600000000006</v>
      </c>
      <c r="P627" s="62">
        <f>D628+D629+D630+D631</f>
        <v>575659.1</v>
      </c>
      <c r="Q627" s="62"/>
    </row>
    <row r="628" spans="1:17" ht="19.5" customHeight="1" x14ac:dyDescent="0.25">
      <c r="A628" s="96"/>
      <c r="B628" s="126"/>
      <c r="C628" s="51" t="s">
        <v>10</v>
      </c>
      <c r="D628" s="1">
        <f t="shared" si="229"/>
        <v>0</v>
      </c>
      <c r="E628" s="1">
        <f t="shared" ref="E628:K631" si="251">E633</f>
        <v>0</v>
      </c>
      <c r="F628" s="1">
        <f t="shared" si="251"/>
        <v>0</v>
      </c>
      <c r="G628" s="1">
        <f t="shared" si="251"/>
        <v>0</v>
      </c>
      <c r="H628" s="1">
        <f t="shared" si="251"/>
        <v>0</v>
      </c>
      <c r="I628" s="1">
        <f t="shared" si="251"/>
        <v>0</v>
      </c>
      <c r="J628" s="1">
        <f t="shared" si="251"/>
        <v>0</v>
      </c>
      <c r="K628" s="1">
        <f t="shared" si="251"/>
        <v>0</v>
      </c>
      <c r="L628" s="1">
        <f t="shared" ref="L628:O629" si="252">L633</f>
        <v>0</v>
      </c>
      <c r="M628" s="1">
        <f t="shared" si="252"/>
        <v>0</v>
      </c>
      <c r="N628" s="1">
        <f t="shared" si="252"/>
        <v>0</v>
      </c>
      <c r="O628" s="1">
        <f t="shared" si="252"/>
        <v>0</v>
      </c>
    </row>
    <row r="629" spans="1:17" ht="16.5" customHeight="1" x14ac:dyDescent="0.25">
      <c r="A629" s="96"/>
      <c r="B629" s="126"/>
      <c r="C629" s="51" t="s">
        <v>11</v>
      </c>
      <c r="D629" s="1">
        <f t="shared" si="229"/>
        <v>0</v>
      </c>
      <c r="E629" s="1">
        <f t="shared" si="251"/>
        <v>0</v>
      </c>
      <c r="F629" s="1">
        <f t="shared" si="251"/>
        <v>0</v>
      </c>
      <c r="G629" s="1">
        <f t="shared" si="251"/>
        <v>0</v>
      </c>
      <c r="H629" s="1">
        <f t="shared" si="251"/>
        <v>0</v>
      </c>
      <c r="I629" s="1">
        <f t="shared" si="251"/>
        <v>0</v>
      </c>
      <c r="J629" s="1">
        <f>J634</f>
        <v>0</v>
      </c>
      <c r="K629" s="1">
        <f>K634</f>
        <v>0</v>
      </c>
      <c r="L629" s="1">
        <f t="shared" si="252"/>
        <v>0</v>
      </c>
      <c r="M629" s="1">
        <f t="shared" si="252"/>
        <v>0</v>
      </c>
      <c r="N629" s="1">
        <f t="shared" si="252"/>
        <v>0</v>
      </c>
      <c r="O629" s="1">
        <f t="shared" si="252"/>
        <v>0</v>
      </c>
    </row>
    <row r="630" spans="1:17" ht="15" customHeight="1" x14ac:dyDescent="0.25">
      <c r="A630" s="96"/>
      <c r="B630" s="126"/>
      <c r="C630" s="51" t="s">
        <v>12</v>
      </c>
      <c r="D630" s="1">
        <f t="shared" si="229"/>
        <v>575659.1</v>
      </c>
      <c r="E630" s="1">
        <f>E635</f>
        <v>31873.5</v>
      </c>
      <c r="F630" s="1">
        <f t="shared" si="251"/>
        <v>32215.200000000001</v>
      </c>
      <c r="G630" s="1">
        <f>G632</f>
        <v>32536.1</v>
      </c>
      <c r="H630" s="1">
        <f>H632</f>
        <v>34467.4</v>
      </c>
      <c r="I630" s="1">
        <f>I632</f>
        <v>42249.1</v>
      </c>
      <c r="J630" s="1">
        <f t="shared" ref="J630:M630" si="253">J635</f>
        <v>51925.4</v>
      </c>
      <c r="K630" s="1">
        <f t="shared" si="253"/>
        <v>66037.599999999991</v>
      </c>
      <c r="L630" s="1">
        <f t="shared" si="253"/>
        <v>67673.600000000006</v>
      </c>
      <c r="M630" s="1">
        <f t="shared" si="253"/>
        <v>70380</v>
      </c>
      <c r="N630" s="1">
        <f>N635</f>
        <v>73150.600000000006</v>
      </c>
      <c r="O630" s="1">
        <f>O635</f>
        <v>73150.600000000006</v>
      </c>
    </row>
    <row r="631" spans="1:17" s="5" customFormat="1" ht="45" customHeight="1" x14ac:dyDescent="0.3">
      <c r="A631" s="96"/>
      <c r="B631" s="126"/>
      <c r="C631" s="51" t="s">
        <v>13</v>
      </c>
      <c r="D631" s="1">
        <f t="shared" si="229"/>
        <v>0</v>
      </c>
      <c r="E631" s="1">
        <f t="shared" si="251"/>
        <v>0</v>
      </c>
      <c r="F631" s="1">
        <f t="shared" si="251"/>
        <v>0</v>
      </c>
      <c r="G631" s="1">
        <f t="shared" si="251"/>
        <v>0</v>
      </c>
      <c r="H631" s="1">
        <f t="shared" si="251"/>
        <v>0</v>
      </c>
      <c r="I631" s="1">
        <f t="shared" si="251"/>
        <v>0</v>
      </c>
      <c r="J631" s="1">
        <f t="shared" ref="J631:O631" si="254">J636</f>
        <v>0</v>
      </c>
      <c r="K631" s="1">
        <f t="shared" si="254"/>
        <v>0</v>
      </c>
      <c r="L631" s="1">
        <f t="shared" si="254"/>
        <v>0</v>
      </c>
      <c r="M631" s="1">
        <f t="shared" si="254"/>
        <v>0</v>
      </c>
      <c r="N631" s="1">
        <f t="shared" si="254"/>
        <v>0</v>
      </c>
      <c r="O631" s="1">
        <f t="shared" si="254"/>
        <v>0</v>
      </c>
    </row>
    <row r="632" spans="1:17" ht="15.75" customHeight="1" x14ac:dyDescent="0.25">
      <c r="A632" s="91" t="s">
        <v>335</v>
      </c>
      <c r="B632" s="116" t="s">
        <v>145</v>
      </c>
      <c r="C632" s="51" t="s">
        <v>7</v>
      </c>
      <c r="D632" s="1">
        <f t="shared" si="229"/>
        <v>575659.1</v>
      </c>
      <c r="E632" s="1">
        <f t="shared" ref="E632:O632" si="255">SUM(E633:E636)</f>
        <v>31873.5</v>
      </c>
      <c r="F632" s="1">
        <f t="shared" si="255"/>
        <v>32215.200000000001</v>
      </c>
      <c r="G632" s="1">
        <f t="shared" si="255"/>
        <v>32536.1</v>
      </c>
      <c r="H632" s="1">
        <f t="shared" si="255"/>
        <v>34467.4</v>
      </c>
      <c r="I632" s="1">
        <f t="shared" si="255"/>
        <v>42249.1</v>
      </c>
      <c r="J632" s="1">
        <f t="shared" si="255"/>
        <v>51925.4</v>
      </c>
      <c r="K632" s="1">
        <f t="shared" si="255"/>
        <v>66037.599999999991</v>
      </c>
      <c r="L632" s="1">
        <f t="shared" si="255"/>
        <v>67673.600000000006</v>
      </c>
      <c r="M632" s="1">
        <f t="shared" si="255"/>
        <v>70380</v>
      </c>
      <c r="N632" s="1">
        <f t="shared" si="255"/>
        <v>73150.600000000006</v>
      </c>
      <c r="O632" s="1">
        <f t="shared" si="255"/>
        <v>73150.600000000006</v>
      </c>
    </row>
    <row r="633" spans="1:17" ht="17.25" customHeight="1" x14ac:dyDescent="0.25">
      <c r="A633" s="91"/>
      <c r="B633" s="116"/>
      <c r="C633" s="51" t="s">
        <v>10</v>
      </c>
      <c r="D633" s="1">
        <f t="shared" si="229"/>
        <v>0</v>
      </c>
      <c r="E633" s="1">
        <v>0</v>
      </c>
      <c r="F633" s="1">
        <v>0</v>
      </c>
      <c r="G633" s="1">
        <v>0</v>
      </c>
      <c r="H633" s="1"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1">
        <v>0</v>
      </c>
      <c r="O633" s="1">
        <v>0</v>
      </c>
    </row>
    <row r="634" spans="1:17" ht="18" customHeight="1" x14ac:dyDescent="0.25">
      <c r="A634" s="91"/>
      <c r="B634" s="116"/>
      <c r="C634" s="51" t="s">
        <v>11</v>
      </c>
      <c r="D634" s="1">
        <f t="shared" si="229"/>
        <v>0</v>
      </c>
      <c r="E634" s="1">
        <v>0</v>
      </c>
      <c r="F634" s="1">
        <v>0</v>
      </c>
      <c r="G634" s="1">
        <v>0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  <c r="N634" s="1">
        <v>0</v>
      </c>
      <c r="O634" s="1">
        <v>0</v>
      </c>
    </row>
    <row r="635" spans="1:17" ht="18" customHeight="1" x14ac:dyDescent="0.25">
      <c r="A635" s="91"/>
      <c r="B635" s="116"/>
      <c r="C635" s="51" t="s">
        <v>12</v>
      </c>
      <c r="D635" s="1">
        <f t="shared" si="229"/>
        <v>575659.1</v>
      </c>
      <c r="E635" s="1">
        <f>E640</f>
        <v>31873.5</v>
      </c>
      <c r="F635" s="1">
        <f>F640</f>
        <v>32215.200000000001</v>
      </c>
      <c r="G635" s="1">
        <f>G640</f>
        <v>32536.1</v>
      </c>
      <c r="H635" s="1">
        <f t="shared" ref="H635:O635" si="256">H640</f>
        <v>34467.4</v>
      </c>
      <c r="I635" s="1">
        <f t="shared" si="256"/>
        <v>42249.1</v>
      </c>
      <c r="J635" s="1">
        <f t="shared" si="256"/>
        <v>51925.4</v>
      </c>
      <c r="K635" s="1">
        <f t="shared" si="256"/>
        <v>66037.599999999991</v>
      </c>
      <c r="L635" s="1">
        <f t="shared" si="256"/>
        <v>67673.600000000006</v>
      </c>
      <c r="M635" s="1">
        <f t="shared" si="256"/>
        <v>70380</v>
      </c>
      <c r="N635" s="1">
        <f t="shared" si="256"/>
        <v>73150.600000000006</v>
      </c>
      <c r="O635" s="1">
        <f t="shared" si="256"/>
        <v>73150.600000000006</v>
      </c>
    </row>
    <row r="636" spans="1:17" ht="15.75" customHeight="1" x14ac:dyDescent="0.25">
      <c r="A636" s="91"/>
      <c r="B636" s="116"/>
      <c r="C636" s="51" t="s">
        <v>13</v>
      </c>
      <c r="D636" s="1">
        <f t="shared" si="229"/>
        <v>0</v>
      </c>
      <c r="E636" s="1">
        <v>0</v>
      </c>
      <c r="F636" s="1">
        <v>0</v>
      </c>
      <c r="G636" s="1">
        <v>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</row>
    <row r="637" spans="1:17" ht="15.6" x14ac:dyDescent="0.25">
      <c r="A637" s="91" t="s">
        <v>144</v>
      </c>
      <c r="B637" s="116" t="s">
        <v>56</v>
      </c>
      <c r="C637" s="51" t="s">
        <v>7</v>
      </c>
      <c r="D637" s="1">
        <f t="shared" si="229"/>
        <v>575659.1</v>
      </c>
      <c r="E637" s="1">
        <f t="shared" ref="E637:O637" si="257">SUM(E638:E641)</f>
        <v>31873.5</v>
      </c>
      <c r="F637" s="1">
        <f t="shared" si="257"/>
        <v>32215.200000000001</v>
      </c>
      <c r="G637" s="1">
        <f t="shared" si="257"/>
        <v>32536.1</v>
      </c>
      <c r="H637" s="1">
        <f t="shared" si="257"/>
        <v>34467.4</v>
      </c>
      <c r="I637" s="1">
        <f t="shared" si="257"/>
        <v>42249.1</v>
      </c>
      <c r="J637" s="1">
        <f t="shared" si="257"/>
        <v>51925.4</v>
      </c>
      <c r="K637" s="1">
        <f t="shared" si="257"/>
        <v>66037.599999999991</v>
      </c>
      <c r="L637" s="1">
        <f t="shared" si="257"/>
        <v>67673.600000000006</v>
      </c>
      <c r="M637" s="1">
        <f t="shared" si="257"/>
        <v>70380</v>
      </c>
      <c r="N637" s="1">
        <f t="shared" si="257"/>
        <v>73150.600000000006</v>
      </c>
      <c r="O637" s="1">
        <f t="shared" si="257"/>
        <v>73150.600000000006</v>
      </c>
    </row>
    <row r="638" spans="1:17" ht="15.6" x14ac:dyDescent="0.25">
      <c r="A638" s="91"/>
      <c r="B638" s="116"/>
      <c r="C638" s="51" t="s">
        <v>10</v>
      </c>
      <c r="D638" s="1">
        <f t="shared" si="229"/>
        <v>0</v>
      </c>
      <c r="E638" s="1">
        <v>0</v>
      </c>
      <c r="F638" s="1">
        <v>0</v>
      </c>
      <c r="G638" s="1">
        <v>0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</row>
    <row r="639" spans="1:17" ht="15.6" x14ac:dyDescent="0.25">
      <c r="A639" s="91"/>
      <c r="B639" s="116"/>
      <c r="C639" s="51" t="s">
        <v>11</v>
      </c>
      <c r="D639" s="1">
        <f t="shared" si="229"/>
        <v>0</v>
      </c>
      <c r="E639" s="1">
        <v>0</v>
      </c>
      <c r="F639" s="1">
        <v>0</v>
      </c>
      <c r="G639" s="1">
        <v>0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">
        <v>0</v>
      </c>
    </row>
    <row r="640" spans="1:17" ht="15.6" x14ac:dyDescent="0.25">
      <c r="A640" s="91"/>
      <c r="B640" s="116"/>
      <c r="C640" s="51" t="s">
        <v>12</v>
      </c>
      <c r="D640" s="1">
        <f t="shared" si="229"/>
        <v>575659.1</v>
      </c>
      <c r="E640" s="1">
        <v>31873.5</v>
      </c>
      <c r="F640" s="1">
        <v>32215.200000000001</v>
      </c>
      <c r="G640" s="1">
        <v>32536.1</v>
      </c>
      <c r="H640" s="1">
        <v>34467.4</v>
      </c>
      <c r="I640" s="1">
        <f>41599.1+650</f>
        <v>42249.1</v>
      </c>
      <c r="J640" s="1">
        <f>42649.1+750.8+7821.5+406.1+218.1+79.8</f>
        <v>51925.4</v>
      </c>
      <c r="K640" s="1">
        <f>57248.6+400.1+8388.9</f>
        <v>66037.599999999991</v>
      </c>
      <c r="L640" s="1">
        <v>67673.600000000006</v>
      </c>
      <c r="M640" s="1">
        <v>70380</v>
      </c>
      <c r="N640" s="1">
        <v>73150.600000000006</v>
      </c>
      <c r="O640" s="1">
        <f>N640</f>
        <v>73150.600000000006</v>
      </c>
    </row>
    <row r="641" spans="1:15" ht="21.75" customHeight="1" x14ac:dyDescent="0.25">
      <c r="A641" s="91"/>
      <c r="B641" s="116"/>
      <c r="C641" s="51" t="s">
        <v>13</v>
      </c>
      <c r="D641" s="1">
        <f t="shared" si="229"/>
        <v>0</v>
      </c>
      <c r="E641" s="1">
        <v>0</v>
      </c>
      <c r="F641" s="1">
        <v>0</v>
      </c>
      <c r="G641" s="1">
        <v>0</v>
      </c>
      <c r="H641" s="1">
        <v>0</v>
      </c>
      <c r="I641" s="1">
        <v>0</v>
      </c>
      <c r="J641" s="1">
        <v>0</v>
      </c>
      <c r="K641" s="1">
        <v>0</v>
      </c>
      <c r="L641" s="1">
        <v>0</v>
      </c>
      <c r="M641" s="1">
        <v>0</v>
      </c>
      <c r="N641" s="1">
        <v>0</v>
      </c>
      <c r="O641" s="1">
        <v>0</v>
      </c>
    </row>
    <row r="642" spans="1:15" ht="13.8" x14ac:dyDescent="0.25">
      <c r="D642" s="62"/>
      <c r="E642" s="83"/>
      <c r="F642" s="83"/>
      <c r="G642" s="83"/>
      <c r="H642" s="83"/>
      <c r="I642" s="83"/>
      <c r="J642" s="83"/>
      <c r="K642" s="84"/>
    </row>
  </sheetData>
  <autoFilter ref="A7:Y641"/>
  <mergeCells count="238">
    <mergeCell ref="A577:A581"/>
    <mergeCell ref="B577:B581"/>
    <mergeCell ref="A256:A260"/>
    <mergeCell ref="B256:B260"/>
    <mergeCell ref="A261:A265"/>
    <mergeCell ref="A266:A270"/>
    <mergeCell ref="B261:B265"/>
    <mergeCell ref="A175:A180"/>
    <mergeCell ref="A306:A310"/>
    <mergeCell ref="B306:B310"/>
    <mergeCell ref="B175:B180"/>
    <mergeCell ref="A206:A210"/>
    <mergeCell ref="B206:B210"/>
    <mergeCell ref="A211:A215"/>
    <mergeCell ref="B211:B215"/>
    <mergeCell ref="B246:B250"/>
    <mergeCell ref="A231:A235"/>
    <mergeCell ref="B251:B255"/>
    <mergeCell ref="B231:B235"/>
    <mergeCell ref="B226:B230"/>
    <mergeCell ref="A251:A255"/>
    <mergeCell ref="B241:B245"/>
    <mergeCell ref="A236:A240"/>
    <mergeCell ref="B236:B240"/>
    <mergeCell ref="A241:A245"/>
    <mergeCell ref="B291:B295"/>
    <mergeCell ref="B47:B52"/>
    <mergeCell ref="A78:A83"/>
    <mergeCell ref="A65:A70"/>
    <mergeCell ref="A53:A57"/>
    <mergeCell ref="B97:B102"/>
    <mergeCell ref="B84:B90"/>
    <mergeCell ref="B110:B116"/>
    <mergeCell ref="A91:A96"/>
    <mergeCell ref="A125:A133"/>
    <mergeCell ref="B191:B195"/>
    <mergeCell ref="B134:B140"/>
    <mergeCell ref="A71:A77"/>
    <mergeCell ref="B168:B174"/>
    <mergeCell ref="B181:B185"/>
    <mergeCell ref="B65:B70"/>
    <mergeCell ref="A97:A102"/>
    <mergeCell ref="A161:A167"/>
    <mergeCell ref="A26:A34"/>
    <mergeCell ref="B26:B34"/>
    <mergeCell ref="A35:A40"/>
    <mergeCell ref="B35:B40"/>
    <mergeCell ref="B266:B270"/>
    <mergeCell ref="A191:A195"/>
    <mergeCell ref="A414:A418"/>
    <mergeCell ref="A384:A388"/>
    <mergeCell ref="A286:A290"/>
    <mergeCell ref="B286:B290"/>
    <mergeCell ref="A196:A200"/>
    <mergeCell ref="B196:B200"/>
    <mergeCell ref="A301:A305"/>
    <mergeCell ref="B301:B305"/>
    <mergeCell ref="A296:A300"/>
    <mergeCell ref="B296:B300"/>
    <mergeCell ref="A186:A190"/>
    <mergeCell ref="A246:A250"/>
    <mergeCell ref="A155:A160"/>
    <mergeCell ref="A84:A90"/>
    <mergeCell ref="B41:B46"/>
    <mergeCell ref="A149:A154"/>
    <mergeCell ref="B149:B154"/>
    <mergeCell ref="A47:A52"/>
    <mergeCell ref="B326:B330"/>
    <mergeCell ref="B321:B325"/>
    <mergeCell ref="A331:A335"/>
    <mergeCell ref="B331:B335"/>
    <mergeCell ref="A271:A275"/>
    <mergeCell ref="A326:A330"/>
    <mergeCell ref="A276:A280"/>
    <mergeCell ref="A321:A325"/>
    <mergeCell ref="A281:A285"/>
    <mergeCell ref="B276:B280"/>
    <mergeCell ref="B281:B285"/>
    <mergeCell ref="A291:A295"/>
    <mergeCell ref="B271:B275"/>
    <mergeCell ref="B311:B315"/>
    <mergeCell ref="A311:A315"/>
    <mergeCell ref="A316:A320"/>
    <mergeCell ref="B316:B320"/>
    <mergeCell ref="B3:N3"/>
    <mergeCell ref="B91:B96"/>
    <mergeCell ref="A567:A571"/>
    <mergeCell ref="B567:B571"/>
    <mergeCell ref="A500:A504"/>
    <mergeCell ref="A637:A641"/>
    <mergeCell ref="B632:B636"/>
    <mergeCell ref="A632:A636"/>
    <mergeCell ref="B637:B641"/>
    <mergeCell ref="B540:B544"/>
    <mergeCell ref="A540:A544"/>
    <mergeCell ref="A607:A611"/>
    <mergeCell ref="B607:B611"/>
    <mergeCell ref="A627:A631"/>
    <mergeCell ref="B627:B631"/>
    <mergeCell ref="B602:B606"/>
    <mergeCell ref="A602:A606"/>
    <mergeCell ref="A612:A616"/>
    <mergeCell ref="B612:B616"/>
    <mergeCell ref="A556:A561"/>
    <mergeCell ref="B556:B561"/>
    <mergeCell ref="A597:A601"/>
    <mergeCell ref="B597:B601"/>
    <mergeCell ref="A505:A509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B186:B190"/>
    <mergeCell ref="B216:B220"/>
    <mergeCell ref="B17:B25"/>
    <mergeCell ref="B53:B57"/>
    <mergeCell ref="B71:B77"/>
    <mergeCell ref="L2:O2"/>
    <mergeCell ref="B161:B167"/>
    <mergeCell ref="B562:B566"/>
    <mergeCell ref="A562:A566"/>
    <mergeCell ref="A550:A555"/>
    <mergeCell ref="B550:B555"/>
    <mergeCell ref="A535:A539"/>
    <mergeCell ref="A545:A549"/>
    <mergeCell ref="B535:B539"/>
    <mergeCell ref="B494:B499"/>
    <mergeCell ref="B510:B514"/>
    <mergeCell ref="B505:B509"/>
    <mergeCell ref="B525:B529"/>
    <mergeCell ref="A530:A534"/>
    <mergeCell ref="A510:A514"/>
    <mergeCell ref="A525:A529"/>
    <mergeCell ref="B520:B524"/>
    <mergeCell ref="B515:B519"/>
    <mergeCell ref="A520:A524"/>
    <mergeCell ref="A515:A519"/>
    <mergeCell ref="A494:A499"/>
    <mergeCell ref="B500:B504"/>
    <mergeCell ref="B530:B534"/>
    <mergeCell ref="B545:B549"/>
    <mergeCell ref="B439:B443"/>
    <mergeCell ref="A483:A487"/>
    <mergeCell ref="B483:B487"/>
    <mergeCell ref="A429:A433"/>
    <mergeCell ref="B384:B388"/>
    <mergeCell ref="A394:A398"/>
    <mergeCell ref="B374:B378"/>
    <mergeCell ref="A424:A428"/>
    <mergeCell ref="B424:B428"/>
    <mergeCell ref="A404:A408"/>
    <mergeCell ref="B404:B408"/>
    <mergeCell ref="B379:B383"/>
    <mergeCell ref="A419:A423"/>
    <mergeCell ref="A374:A378"/>
    <mergeCell ref="B336:B340"/>
    <mergeCell ref="B434:B438"/>
    <mergeCell ref="B346:B350"/>
    <mergeCell ref="A346:A350"/>
    <mergeCell ref="A356:A360"/>
    <mergeCell ref="B356:B360"/>
    <mergeCell ref="A409:A413"/>
    <mergeCell ref="B409:B413"/>
    <mergeCell ref="A389:A393"/>
    <mergeCell ref="B389:B393"/>
    <mergeCell ref="A341:A345"/>
    <mergeCell ref="B341:B345"/>
    <mergeCell ref="A336:A340"/>
    <mergeCell ref="B419:B423"/>
    <mergeCell ref="B361:B366"/>
    <mergeCell ref="B394:B398"/>
    <mergeCell ref="A399:A403"/>
    <mergeCell ref="A351:A355"/>
    <mergeCell ref="B429:B433"/>
    <mergeCell ref="A361:A366"/>
    <mergeCell ref="B351:B355"/>
    <mergeCell ref="B367:B373"/>
    <mergeCell ref="A17:A25"/>
    <mergeCell ref="A572:A576"/>
    <mergeCell ref="B572:B576"/>
    <mergeCell ref="A41:A46"/>
    <mergeCell ref="A201:A205"/>
    <mergeCell ref="A168:A174"/>
    <mergeCell ref="A181:A185"/>
    <mergeCell ref="B201:B205"/>
    <mergeCell ref="B78:B83"/>
    <mergeCell ref="A58:A64"/>
    <mergeCell ref="B58:B64"/>
    <mergeCell ref="B141:B148"/>
    <mergeCell ref="B125:B133"/>
    <mergeCell ref="B117:B124"/>
    <mergeCell ref="A134:A140"/>
    <mergeCell ref="A141:A148"/>
    <mergeCell ref="B488:B493"/>
    <mergeCell ref="A461:A466"/>
    <mergeCell ref="A488:A493"/>
    <mergeCell ref="A478:A482"/>
    <mergeCell ref="A434:A438"/>
    <mergeCell ref="B414:B418"/>
    <mergeCell ref="A467:A472"/>
    <mergeCell ref="B454:B460"/>
    <mergeCell ref="A622:A626"/>
    <mergeCell ref="B622:B626"/>
    <mergeCell ref="A367:A373"/>
    <mergeCell ref="A444:A448"/>
    <mergeCell ref="A592:A596"/>
    <mergeCell ref="B592:B596"/>
    <mergeCell ref="A582:A586"/>
    <mergeCell ref="B582:B586"/>
    <mergeCell ref="A587:A591"/>
    <mergeCell ref="B587:B591"/>
    <mergeCell ref="A617:A621"/>
    <mergeCell ref="B617:B621"/>
    <mergeCell ref="B399:B403"/>
    <mergeCell ref="A379:A383"/>
    <mergeCell ref="B467:B472"/>
    <mergeCell ref="A473:A477"/>
    <mergeCell ref="B473:B477"/>
    <mergeCell ref="A449:A453"/>
    <mergeCell ref="B449:B453"/>
    <mergeCell ref="B478:B482"/>
    <mergeCell ref="A454:A460"/>
    <mergeCell ref="B461:B466"/>
    <mergeCell ref="B444:B448"/>
    <mergeCell ref="A439:A44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53" fitToHeight="16" orientation="landscape" r:id="rId1"/>
  <headerFooter alignWithMargins="0"/>
  <rowBreaks count="14" manualBreakCount="14">
    <brk id="70" max="14" man="1"/>
    <brk id="102" max="14" man="1"/>
    <brk id="133" max="14" man="1"/>
    <brk id="167" max="14" man="1"/>
    <brk id="210" max="14" man="1"/>
    <brk id="260" max="14" man="1"/>
    <brk id="305" max="14" man="1"/>
    <brk id="355" max="14" man="1"/>
    <brk id="398" max="14" man="1"/>
    <brk id="443" max="14" man="1"/>
    <brk id="487" max="14" man="1"/>
    <brk id="529" max="14" man="1"/>
    <brk id="566" max="14" man="1"/>
    <brk id="616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Таблица № 3</vt:lpstr>
      <vt:lpstr>Таблица № 3_</vt:lpstr>
      <vt:lpstr>'Таблица № 3_'!Заголовки_для_печати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2021-12-07T01:47:57Z</cp:lastPrinted>
  <dcterms:created xsi:type="dcterms:W3CDTF">1996-10-08T23:32:33Z</dcterms:created>
  <dcterms:modified xsi:type="dcterms:W3CDTF">2021-12-10T06:46:12Z</dcterms:modified>
</cp:coreProperties>
</file>