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30" yWindow="210" windowWidth="16845" windowHeight="11835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3_'!$A$7:$Y$743</definedName>
    <definedName name="_xlnm.Print_Area" localSheetId="0">'Таблица № 3'!$A$1:$S$120</definedName>
    <definedName name="_xlnm.Print_Area" localSheetId="1">'Таблица № 3_'!$A$1:$Z$747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6" i="6" l="1"/>
  <c r="D23" i="6" l="1"/>
  <c r="D13" i="6"/>
  <c r="D12" i="6"/>
  <c r="D16" i="6"/>
  <c r="D15" i="6"/>
  <c r="N13" i="6"/>
  <c r="O13" i="6"/>
  <c r="N16" i="6"/>
  <c r="O16" i="6"/>
  <c r="M13" i="6"/>
  <c r="E580" i="6"/>
  <c r="F580" i="6"/>
  <c r="G580" i="6"/>
  <c r="H580" i="6"/>
  <c r="I580" i="6"/>
  <c r="J580" i="6"/>
  <c r="K580" i="6"/>
  <c r="L580" i="6"/>
  <c r="N580" i="6"/>
  <c r="D580" i="6" s="1"/>
  <c r="O580" i="6"/>
  <c r="M580" i="6"/>
  <c r="D577" i="6"/>
  <c r="E577" i="6"/>
  <c r="F577" i="6"/>
  <c r="G577" i="6"/>
  <c r="H577" i="6"/>
  <c r="I577" i="6"/>
  <c r="J577" i="6"/>
  <c r="K577" i="6"/>
  <c r="L577" i="6"/>
  <c r="N577" i="6"/>
  <c r="O577" i="6"/>
  <c r="M577" i="6"/>
  <c r="D579" i="6"/>
  <c r="D695" i="6"/>
  <c r="D693" i="6"/>
  <c r="D702" i="6"/>
  <c r="D700" i="6"/>
  <c r="E26" i="6" l="1"/>
  <c r="F26" i="6"/>
  <c r="F16" i="6" s="1"/>
  <c r="G26" i="6"/>
  <c r="H26" i="6"/>
  <c r="H16" i="6" s="1"/>
  <c r="I26" i="6"/>
  <c r="J26" i="6"/>
  <c r="J16" i="6" s="1"/>
  <c r="K26" i="6"/>
  <c r="M26" i="6"/>
  <c r="N26" i="6"/>
  <c r="O26" i="6"/>
  <c r="L26" i="6"/>
  <c r="L16" i="6" s="1"/>
  <c r="E16" i="6"/>
  <c r="G16" i="6"/>
  <c r="I16" i="6"/>
  <c r="K16" i="6"/>
  <c r="P16" i="6"/>
  <c r="Q16" i="6"/>
  <c r="R16" i="6"/>
  <c r="S16" i="6"/>
  <c r="T16" i="6"/>
  <c r="U16" i="6"/>
  <c r="V16" i="6"/>
  <c r="D501" i="6"/>
  <c r="D26" i="6" s="1"/>
  <c r="D499" i="6"/>
  <c r="D513" i="6"/>
  <c r="D511" i="6"/>
  <c r="M641" i="6" l="1"/>
  <c r="O385" i="6" l="1"/>
  <c r="N385" i="6"/>
  <c r="M385" i="6"/>
  <c r="M606" i="6"/>
  <c r="M454" i="6"/>
  <c r="M701" i="6"/>
  <c r="M436" i="6" l="1"/>
  <c r="M401" i="6"/>
  <c r="D392" i="6" l="1"/>
  <c r="N391" i="6"/>
  <c r="D391" i="6" s="1"/>
  <c r="D390" i="6"/>
  <c r="D389" i="6"/>
  <c r="O388" i="6"/>
  <c r="L388" i="6"/>
  <c r="K388" i="6"/>
  <c r="J388" i="6"/>
  <c r="I388" i="6"/>
  <c r="H388" i="6"/>
  <c r="G388" i="6"/>
  <c r="F388" i="6"/>
  <c r="E388" i="6"/>
  <c r="M201" i="6"/>
  <c r="N388" i="6" l="1"/>
  <c r="D388" i="6"/>
  <c r="M388" i="6"/>
  <c r="M742" i="6"/>
  <c r="M727" i="6" l="1"/>
  <c r="D437" i="6" l="1"/>
  <c r="M433" i="6"/>
  <c r="K436" i="6"/>
  <c r="D436" i="6" s="1"/>
  <c r="D435" i="6"/>
  <c r="D434" i="6"/>
  <c r="O433" i="6"/>
  <c r="N433" i="6"/>
  <c r="L433" i="6"/>
  <c r="J433" i="6"/>
  <c r="I433" i="6"/>
  <c r="H433" i="6"/>
  <c r="G433" i="6"/>
  <c r="F433" i="6"/>
  <c r="E433" i="6"/>
  <c r="K433" i="6" l="1"/>
  <c r="D433" i="6" s="1"/>
  <c r="M699" i="6" l="1"/>
  <c r="M206" i="6" l="1"/>
  <c r="M346" i="6" l="1"/>
  <c r="M345" i="6" l="1"/>
  <c r="O401" i="6" l="1"/>
  <c r="O201" i="6"/>
  <c r="N201" i="6" l="1"/>
  <c r="M200" i="6" l="1"/>
  <c r="M678" i="6" l="1"/>
  <c r="L361" i="6" l="1"/>
  <c r="L668" i="6" l="1"/>
  <c r="L631" i="6"/>
  <c r="L616" i="6"/>
  <c r="L562" i="6"/>
  <c r="L401" i="6" l="1"/>
  <c r="L385" i="6"/>
  <c r="L201" i="6"/>
  <c r="L742" i="6" l="1"/>
  <c r="L722" i="6"/>
  <c r="L200" i="6" l="1"/>
  <c r="L556" i="6" l="1"/>
  <c r="L64" i="6"/>
  <c r="L506" i="6"/>
  <c r="L311" i="6"/>
  <c r="L474" i="6" l="1"/>
  <c r="L647" i="6"/>
  <c r="L641" i="6" l="1"/>
  <c r="D387" i="6" l="1"/>
  <c r="N386" i="6"/>
  <c r="M386" i="6"/>
  <c r="M383" i="6" s="1"/>
  <c r="N383" i="6"/>
  <c r="D385" i="6"/>
  <c r="D384" i="6"/>
  <c r="O383" i="6"/>
  <c r="L383" i="6"/>
  <c r="K383" i="6"/>
  <c r="J383" i="6"/>
  <c r="I383" i="6"/>
  <c r="H383" i="6"/>
  <c r="G383" i="6"/>
  <c r="F383" i="6"/>
  <c r="E383" i="6"/>
  <c r="D386" i="6" l="1"/>
  <c r="D383" i="6" s="1"/>
  <c r="L701" i="6" l="1"/>
  <c r="L688" i="6" l="1"/>
  <c r="O631" i="6" l="1"/>
  <c r="N631" i="6"/>
  <c r="M631" i="6"/>
  <c r="L678" i="6" l="1"/>
  <c r="L606" i="6"/>
  <c r="L411" i="6" l="1"/>
  <c r="N200" i="6" l="1"/>
  <c r="O346" i="6" l="1"/>
  <c r="O345" i="6"/>
  <c r="N346" i="6"/>
  <c r="N345" i="6"/>
  <c r="O606" i="6" l="1"/>
  <c r="N556" i="6" l="1"/>
  <c r="M556" i="6"/>
  <c r="O742" i="6"/>
  <c r="N742" i="6"/>
  <c r="M722" i="6"/>
  <c r="O678" i="6"/>
  <c r="N678" i="6"/>
  <c r="O668" i="6"/>
  <c r="N668" i="6"/>
  <c r="M668" i="6"/>
  <c r="O647" i="6"/>
  <c r="N647" i="6"/>
  <c r="M647" i="6"/>
  <c r="O641" i="6"/>
  <c r="N641" i="6"/>
  <c r="O616" i="6"/>
  <c r="N616" i="6"/>
  <c r="M616" i="6"/>
  <c r="N606" i="6"/>
  <c r="M585" i="6" l="1"/>
  <c r="O562" i="6"/>
  <c r="N562" i="6"/>
  <c r="M562" i="6"/>
  <c r="O533" i="6"/>
  <c r="N533" i="6"/>
  <c r="M533" i="6"/>
  <c r="O454" i="6"/>
  <c r="N454" i="6"/>
  <c r="O447" i="6"/>
  <c r="N447" i="6"/>
  <c r="M447" i="6"/>
  <c r="N431" i="6"/>
  <c r="M431" i="6"/>
  <c r="O411" i="6"/>
  <c r="O396" i="6" s="1"/>
  <c r="N411" i="6"/>
  <c r="M411" i="6"/>
  <c r="N401" i="6"/>
  <c r="O378" i="6"/>
  <c r="O343" i="6"/>
  <c r="N396" i="6" l="1"/>
  <c r="M396" i="6"/>
  <c r="L673" i="6"/>
  <c r="L240" i="6" l="1"/>
  <c r="D357" i="6" l="1"/>
  <c r="D356" i="6"/>
  <c r="D355" i="6"/>
  <c r="D354" i="6"/>
  <c r="O353" i="6"/>
  <c r="N353" i="6"/>
  <c r="M353" i="6"/>
  <c r="L353" i="6"/>
  <c r="K353" i="6"/>
  <c r="J353" i="6"/>
  <c r="I353" i="6"/>
  <c r="H353" i="6"/>
  <c r="G353" i="6"/>
  <c r="F353" i="6"/>
  <c r="E353" i="6"/>
  <c r="D353" i="6" l="1"/>
  <c r="M343" i="6"/>
  <c r="D347" i="6"/>
  <c r="L346" i="6"/>
  <c r="D346" i="6" s="1"/>
  <c r="N343" i="6"/>
  <c r="L345" i="6"/>
  <c r="D345" i="6" s="1"/>
  <c r="D344" i="6"/>
  <c r="K343" i="6"/>
  <c r="J343" i="6"/>
  <c r="I343" i="6"/>
  <c r="H343" i="6"/>
  <c r="G343" i="6"/>
  <c r="F343" i="6"/>
  <c r="E343" i="6"/>
  <c r="D382" i="6"/>
  <c r="D381" i="6"/>
  <c r="D380" i="6"/>
  <c r="D379" i="6"/>
  <c r="N378" i="6"/>
  <c r="M378" i="6"/>
  <c r="L378" i="6"/>
  <c r="K378" i="6"/>
  <c r="J378" i="6"/>
  <c r="I378" i="6"/>
  <c r="H378" i="6"/>
  <c r="G378" i="6"/>
  <c r="F378" i="6"/>
  <c r="E378" i="6"/>
  <c r="L343" i="6" l="1"/>
  <c r="D343" i="6"/>
  <c r="D378" i="6"/>
  <c r="L454" i="6" l="1"/>
  <c r="L447" i="6"/>
  <c r="O186" i="6" l="1"/>
  <c r="L727" i="6" l="1"/>
  <c r="D475" i="6" l="1"/>
  <c r="D474" i="6"/>
  <c r="D473" i="6"/>
  <c r="D472" i="6"/>
  <c r="O471" i="6"/>
  <c r="N471" i="6"/>
  <c r="M471" i="6"/>
  <c r="L471" i="6"/>
  <c r="K471" i="6"/>
  <c r="J471" i="6"/>
  <c r="I471" i="6"/>
  <c r="H471" i="6"/>
  <c r="G471" i="6"/>
  <c r="F471" i="6"/>
  <c r="E471" i="6"/>
  <c r="E466" i="6"/>
  <c r="F466" i="6"/>
  <c r="G466" i="6"/>
  <c r="H466" i="6"/>
  <c r="I466" i="6"/>
  <c r="J466" i="6"/>
  <c r="K466" i="6"/>
  <c r="L466" i="6"/>
  <c r="M466" i="6"/>
  <c r="N466" i="6"/>
  <c r="O466" i="6"/>
  <c r="D467" i="6"/>
  <c r="D468" i="6"/>
  <c r="D469" i="6"/>
  <c r="D470" i="6"/>
  <c r="D466" i="6" l="1"/>
  <c r="D471" i="6"/>
  <c r="L663" i="6" l="1"/>
  <c r="D689" i="6" l="1"/>
  <c r="D688" i="6"/>
  <c r="D687" i="6"/>
  <c r="D686" i="6"/>
  <c r="O685" i="6"/>
  <c r="N685" i="6"/>
  <c r="M685" i="6"/>
  <c r="L685" i="6"/>
  <c r="K685" i="6"/>
  <c r="J685" i="6"/>
  <c r="I685" i="6"/>
  <c r="H685" i="6"/>
  <c r="G685" i="6"/>
  <c r="F685" i="6"/>
  <c r="E685" i="6"/>
  <c r="L585" i="6"/>
  <c r="D685" i="6" l="1"/>
  <c r="L533" i="6"/>
  <c r="L459" i="6" l="1"/>
  <c r="L441" i="6" l="1"/>
  <c r="L376" i="6" l="1"/>
  <c r="D376" i="6" s="1"/>
  <c r="L340" i="6"/>
  <c r="L330" i="6" s="1"/>
  <c r="L366" i="6"/>
  <c r="M331" i="6"/>
  <c r="N331" i="6"/>
  <c r="O331" i="6"/>
  <c r="M330" i="6"/>
  <c r="N330" i="6"/>
  <c r="O330" i="6"/>
  <c r="P330" i="6"/>
  <c r="Q330" i="6"/>
  <c r="R330" i="6"/>
  <c r="S330" i="6"/>
  <c r="T330" i="6"/>
  <c r="U330" i="6"/>
  <c r="V330" i="6"/>
  <c r="L331" i="6"/>
  <c r="M364" i="6"/>
  <c r="N364" i="6"/>
  <c r="O364" i="6"/>
  <c r="L364" i="6"/>
  <c r="M367" i="6"/>
  <c r="N367" i="6"/>
  <c r="O367" i="6"/>
  <c r="L367" i="6"/>
  <c r="M365" i="6"/>
  <c r="N365" i="6"/>
  <c r="O365" i="6"/>
  <c r="L365" i="6"/>
  <c r="M366" i="6"/>
  <c r="M363" i="6" s="1"/>
  <c r="N366" i="6"/>
  <c r="O366" i="6"/>
  <c r="O363" i="6" s="1"/>
  <c r="P366" i="6"/>
  <c r="Q366" i="6"/>
  <c r="R366" i="6"/>
  <c r="S366" i="6"/>
  <c r="T366" i="6"/>
  <c r="U366" i="6"/>
  <c r="V366" i="6"/>
  <c r="K363" i="6"/>
  <c r="J363" i="6"/>
  <c r="I363" i="6"/>
  <c r="H363" i="6"/>
  <c r="G363" i="6"/>
  <c r="F363" i="6"/>
  <c r="E363" i="6"/>
  <c r="D377" i="6"/>
  <c r="D375" i="6"/>
  <c r="D374" i="6"/>
  <c r="O373" i="6"/>
  <c r="N373" i="6"/>
  <c r="M373" i="6"/>
  <c r="K373" i="6"/>
  <c r="J373" i="6"/>
  <c r="I373" i="6"/>
  <c r="H373" i="6"/>
  <c r="G373" i="6"/>
  <c r="F373" i="6"/>
  <c r="E373" i="6"/>
  <c r="D372" i="6"/>
  <c r="D371" i="6"/>
  <c r="D370" i="6"/>
  <c r="D369" i="6"/>
  <c r="O368" i="6"/>
  <c r="N368" i="6"/>
  <c r="M368" i="6"/>
  <c r="L368" i="6"/>
  <c r="K368" i="6"/>
  <c r="J368" i="6"/>
  <c r="I368" i="6"/>
  <c r="H368" i="6"/>
  <c r="G368" i="6"/>
  <c r="F368" i="6"/>
  <c r="E368" i="6"/>
  <c r="O31" i="6" l="1"/>
  <c r="L373" i="6"/>
  <c r="N363" i="6"/>
  <c r="N328" i="6"/>
  <c r="O328" i="6"/>
  <c r="D368" i="6"/>
  <c r="D366" i="6"/>
  <c r="M328" i="6"/>
  <c r="D373" i="6"/>
  <c r="L363" i="6"/>
  <c r="D365" i="6"/>
  <c r="D364" i="6"/>
  <c r="D367" i="6"/>
  <c r="D363" i="6" l="1"/>
  <c r="L280" i="6" l="1"/>
  <c r="D362" i="6" l="1"/>
  <c r="D361" i="6"/>
  <c r="D360" i="6"/>
  <c r="D359" i="6"/>
  <c r="O358" i="6"/>
  <c r="N358" i="6"/>
  <c r="M358" i="6"/>
  <c r="L358" i="6"/>
  <c r="K358" i="6"/>
  <c r="J358" i="6"/>
  <c r="I358" i="6"/>
  <c r="H358" i="6"/>
  <c r="G358" i="6"/>
  <c r="F358" i="6"/>
  <c r="E358" i="6"/>
  <c r="D358" i="6" l="1"/>
  <c r="K489" i="6"/>
  <c r="L281" i="6" l="1"/>
  <c r="M717" i="6" l="1"/>
  <c r="N717" i="6"/>
  <c r="O717" i="6"/>
  <c r="P717" i="6"/>
  <c r="Q717" i="6"/>
  <c r="R717" i="6"/>
  <c r="S717" i="6"/>
  <c r="L717" i="6"/>
  <c r="I728" i="6"/>
  <c r="H728" i="6"/>
  <c r="G728" i="6"/>
  <c r="F728" i="6"/>
  <c r="E728" i="6"/>
  <c r="D727" i="6"/>
  <c r="D726" i="6"/>
  <c r="O725" i="6"/>
  <c r="N725" i="6"/>
  <c r="N724" i="6" s="1"/>
  <c r="M725" i="6"/>
  <c r="L725" i="6"/>
  <c r="K725" i="6"/>
  <c r="K724" i="6" s="1"/>
  <c r="I725" i="6"/>
  <c r="I724" i="6" s="1"/>
  <c r="H725" i="6"/>
  <c r="H724" i="6" s="1"/>
  <c r="G725" i="6"/>
  <c r="F725" i="6"/>
  <c r="F724" i="6" s="1"/>
  <c r="E725" i="6"/>
  <c r="E724" i="6" s="1"/>
  <c r="M724" i="6"/>
  <c r="J724" i="6"/>
  <c r="D725" i="6" l="1"/>
  <c r="L724" i="6"/>
  <c r="D728" i="6"/>
  <c r="G724" i="6"/>
  <c r="D724" i="6" l="1"/>
  <c r="D342" i="6"/>
  <c r="D341" i="6"/>
  <c r="D340" i="6"/>
  <c r="D339" i="6"/>
  <c r="O338" i="6"/>
  <c r="N338" i="6"/>
  <c r="M338" i="6"/>
  <c r="L338" i="6"/>
  <c r="K338" i="6"/>
  <c r="J338" i="6"/>
  <c r="I338" i="6"/>
  <c r="H338" i="6"/>
  <c r="G338" i="6"/>
  <c r="F338" i="6"/>
  <c r="E338" i="6"/>
  <c r="D337" i="6"/>
  <c r="D336" i="6"/>
  <c r="D335" i="6"/>
  <c r="D334" i="6"/>
  <c r="O333" i="6"/>
  <c r="N333" i="6"/>
  <c r="M333" i="6"/>
  <c r="L333" i="6"/>
  <c r="K333" i="6"/>
  <c r="J333" i="6"/>
  <c r="I333" i="6"/>
  <c r="H333" i="6"/>
  <c r="G333" i="6"/>
  <c r="F333" i="6"/>
  <c r="E333" i="6"/>
  <c r="D333" i="6" l="1"/>
  <c r="D338" i="6"/>
  <c r="M506" i="6" l="1"/>
  <c r="D352" i="6" l="1"/>
  <c r="D351" i="6"/>
  <c r="D350" i="6"/>
  <c r="D349" i="6"/>
  <c r="O348" i="6"/>
  <c r="N348" i="6"/>
  <c r="M348" i="6"/>
  <c r="L348" i="6"/>
  <c r="K348" i="6"/>
  <c r="J348" i="6"/>
  <c r="I348" i="6"/>
  <c r="H348" i="6"/>
  <c r="G348" i="6"/>
  <c r="F348" i="6"/>
  <c r="E348" i="6"/>
  <c r="D348" i="6" l="1"/>
  <c r="N585" i="6"/>
  <c r="P34" i="6" l="1"/>
  <c r="Q34" i="6"/>
  <c r="R34" i="6"/>
  <c r="S34" i="6"/>
  <c r="T34" i="6"/>
  <c r="U34" i="6"/>
  <c r="V34" i="6"/>
  <c r="M300" i="6"/>
  <c r="N300" i="6"/>
  <c r="L300" i="6"/>
  <c r="M240" i="6"/>
  <c r="N240" i="6"/>
  <c r="M694" i="6" l="1"/>
  <c r="N694" i="6"/>
  <c r="O694" i="6"/>
  <c r="M692" i="6"/>
  <c r="N692" i="6"/>
  <c r="O692" i="6"/>
  <c r="L694" i="6"/>
  <c r="L692" i="6"/>
  <c r="K286" i="6" l="1"/>
  <c r="K266" i="6"/>
  <c r="K263" i="6" s="1"/>
  <c r="K556" i="6" l="1"/>
  <c r="K240" i="6"/>
  <c r="K300" i="6"/>
  <c r="L328" i="6" l="1"/>
  <c r="D332" i="6"/>
  <c r="D331" i="6"/>
  <c r="D330" i="6"/>
  <c r="D329" i="6"/>
  <c r="K328" i="6"/>
  <c r="J328" i="6"/>
  <c r="I328" i="6"/>
  <c r="H328" i="6"/>
  <c r="G328" i="6"/>
  <c r="F328" i="6"/>
  <c r="E328" i="6"/>
  <c r="D328" i="6" l="1"/>
  <c r="K647" i="6"/>
  <c r="K616" i="6" l="1"/>
  <c r="K641" i="6" l="1"/>
  <c r="D327" i="6" l="1"/>
  <c r="D326" i="6"/>
  <c r="D325" i="6"/>
  <c r="D324" i="6"/>
  <c r="K323" i="6"/>
  <c r="J323" i="6"/>
  <c r="I323" i="6"/>
  <c r="H323" i="6"/>
  <c r="G323" i="6"/>
  <c r="F323" i="6"/>
  <c r="E323" i="6"/>
  <c r="D323" i="6" l="1"/>
  <c r="K722" i="6" l="1"/>
  <c r="K717" i="6" s="1"/>
  <c r="K678" i="6"/>
  <c r="K668" i="6"/>
  <c r="K631" i="6"/>
  <c r="K494" i="6"/>
  <c r="K447" i="6"/>
  <c r="K411" i="6"/>
  <c r="K321" i="6"/>
  <c r="K316" i="6"/>
  <c r="K211" i="6"/>
  <c r="K206" i="6"/>
  <c r="K512" i="6" l="1"/>
  <c r="K401" i="6" l="1"/>
  <c r="K454" i="6" l="1"/>
  <c r="K40" i="6"/>
  <c r="K226" i="6" l="1"/>
  <c r="K658" i="6" l="1"/>
  <c r="L431" i="6"/>
  <c r="K46" i="6"/>
  <c r="K562" i="6" l="1"/>
  <c r="K533" i="6"/>
  <c r="K296" i="6" l="1"/>
  <c r="K431" i="6" l="1"/>
  <c r="O585" i="6" l="1"/>
  <c r="O578" i="6" s="1"/>
  <c r="N578" i="6"/>
  <c r="M578" i="6"/>
  <c r="L578" i="6"/>
  <c r="L550" i="6"/>
  <c r="M550" i="6"/>
  <c r="N550" i="6"/>
  <c r="O550" i="6"/>
  <c r="L523" i="6"/>
  <c r="L518" i="6" s="1"/>
  <c r="M523" i="6"/>
  <c r="M518" i="6" s="1"/>
  <c r="N523" i="6"/>
  <c r="N518" i="6" s="1"/>
  <c r="O523" i="6"/>
  <c r="O518" i="6" s="1"/>
  <c r="M441" i="6"/>
  <c r="N441" i="6"/>
  <c r="L396" i="6"/>
  <c r="K596" i="6" l="1"/>
  <c r="K318" i="6" l="1"/>
  <c r="J318" i="6"/>
  <c r="I318" i="6"/>
  <c r="H318" i="6"/>
  <c r="G318" i="6"/>
  <c r="F318" i="6"/>
  <c r="E318" i="6"/>
  <c r="D319" i="6"/>
  <c r="D320" i="6"/>
  <c r="D321" i="6"/>
  <c r="D322" i="6"/>
  <c r="D318" i="6" l="1"/>
  <c r="K479" i="6"/>
  <c r="D495" i="6"/>
  <c r="D494" i="6"/>
  <c r="D493" i="6"/>
  <c r="D492" i="6"/>
  <c r="O491" i="6"/>
  <c r="N491" i="6"/>
  <c r="M491" i="6"/>
  <c r="L491" i="6"/>
  <c r="K491" i="6"/>
  <c r="J491" i="6"/>
  <c r="I491" i="6"/>
  <c r="H491" i="6"/>
  <c r="G491" i="6"/>
  <c r="F491" i="6"/>
  <c r="E491" i="6"/>
  <c r="D491" i="6" l="1"/>
  <c r="K253" i="6"/>
  <c r="D684" i="6" l="1"/>
  <c r="D683" i="6"/>
  <c r="D682" i="6"/>
  <c r="D681" i="6"/>
  <c r="O680" i="6"/>
  <c r="N680" i="6"/>
  <c r="M680" i="6"/>
  <c r="L680" i="6"/>
  <c r="K680" i="6"/>
  <c r="J680" i="6"/>
  <c r="I680" i="6"/>
  <c r="H680" i="6"/>
  <c r="G680" i="6"/>
  <c r="F680" i="6"/>
  <c r="E680" i="6"/>
  <c r="D680" i="6" l="1"/>
  <c r="J717" i="6"/>
  <c r="J714" i="6" s="1"/>
  <c r="O720" i="6"/>
  <c r="N720" i="6"/>
  <c r="N719" i="6" s="1"/>
  <c r="M720" i="6"/>
  <c r="L720" i="6"/>
  <c r="L719" i="6" s="1"/>
  <c r="K720" i="6"/>
  <c r="K719" i="6" s="1"/>
  <c r="O715" i="6"/>
  <c r="O714" i="6" s="1"/>
  <c r="N715" i="6"/>
  <c r="N714" i="6" s="1"/>
  <c r="M715" i="6"/>
  <c r="M714" i="6" s="1"/>
  <c r="L715" i="6"/>
  <c r="L714" i="6" s="1"/>
  <c r="K715" i="6"/>
  <c r="I723" i="6"/>
  <c r="H723" i="6"/>
  <c r="G723" i="6"/>
  <c r="F723" i="6"/>
  <c r="E723" i="6"/>
  <c r="I720" i="6"/>
  <c r="H720" i="6"/>
  <c r="G720" i="6"/>
  <c r="F720" i="6"/>
  <c r="E720" i="6"/>
  <c r="I718" i="6"/>
  <c r="H718" i="6"/>
  <c r="G718" i="6"/>
  <c r="F718" i="6"/>
  <c r="E718" i="6"/>
  <c r="I715" i="6"/>
  <c r="H715" i="6"/>
  <c r="G715" i="6"/>
  <c r="F715" i="6"/>
  <c r="E715" i="6"/>
  <c r="D722" i="6"/>
  <c r="D721" i="6"/>
  <c r="M719" i="6"/>
  <c r="J719" i="6"/>
  <c r="D716" i="6"/>
  <c r="D679" i="6"/>
  <c r="D678" i="6"/>
  <c r="D677" i="6"/>
  <c r="D676" i="6"/>
  <c r="O675" i="6"/>
  <c r="N675" i="6"/>
  <c r="M675" i="6"/>
  <c r="L675" i="6"/>
  <c r="K675" i="6"/>
  <c r="J675" i="6"/>
  <c r="I675" i="6"/>
  <c r="H675" i="6"/>
  <c r="G675" i="6"/>
  <c r="F675" i="6"/>
  <c r="E675" i="6"/>
  <c r="D672" i="6"/>
  <c r="D674" i="6"/>
  <c r="D673" i="6"/>
  <c r="D671" i="6"/>
  <c r="O670" i="6"/>
  <c r="N670" i="6"/>
  <c r="M670" i="6"/>
  <c r="L670" i="6"/>
  <c r="K670" i="6"/>
  <c r="J670" i="6"/>
  <c r="I670" i="6"/>
  <c r="H670" i="6"/>
  <c r="G670" i="6"/>
  <c r="F670" i="6"/>
  <c r="E670" i="6"/>
  <c r="I714" i="6" l="1"/>
  <c r="G719" i="6"/>
  <c r="E714" i="6"/>
  <c r="G714" i="6"/>
  <c r="F714" i="6"/>
  <c r="H714" i="6"/>
  <c r="D720" i="6"/>
  <c r="I719" i="6"/>
  <c r="D675" i="6"/>
  <c r="D718" i="6"/>
  <c r="D715" i="6"/>
  <c r="E719" i="6"/>
  <c r="F719" i="6"/>
  <c r="H719" i="6"/>
  <c r="D723" i="6"/>
  <c r="D719" i="6" s="1"/>
  <c r="D717" i="6"/>
  <c r="K714" i="6"/>
  <c r="D670" i="6"/>
  <c r="D714" i="6" l="1"/>
  <c r="K31" i="6"/>
  <c r="E313" i="6" l="1"/>
  <c r="F313" i="6"/>
  <c r="G313" i="6"/>
  <c r="H313" i="6"/>
  <c r="I313" i="6"/>
  <c r="J313" i="6"/>
  <c r="D315" i="6"/>
  <c r="D316" i="6"/>
  <c r="D317" i="6"/>
  <c r="D314" i="6"/>
  <c r="K313" i="6"/>
  <c r="D313" i="6" l="1"/>
  <c r="K276" i="6"/>
  <c r="K441" i="6" l="1"/>
  <c r="K186" i="6" l="1"/>
  <c r="K34" i="6" s="1"/>
  <c r="O665" i="6" l="1"/>
  <c r="N665" i="6"/>
  <c r="M665" i="6"/>
  <c r="L665" i="6"/>
  <c r="K665" i="6"/>
  <c r="J665" i="6"/>
  <c r="I665" i="6"/>
  <c r="H665" i="6"/>
  <c r="G665" i="6"/>
  <c r="F665" i="6"/>
  <c r="E665" i="6"/>
  <c r="D669" i="6"/>
  <c r="D668" i="6"/>
  <c r="D667" i="6"/>
  <c r="D666" i="6"/>
  <c r="K742" i="6"/>
  <c r="K606" i="6"/>
  <c r="K396" i="6"/>
  <c r="D429" i="6"/>
  <c r="D430" i="6"/>
  <c r="D431" i="6"/>
  <c r="D432" i="6"/>
  <c r="F428" i="6"/>
  <c r="G428" i="6"/>
  <c r="H428" i="6"/>
  <c r="I428" i="6"/>
  <c r="J428" i="6"/>
  <c r="K428" i="6"/>
  <c r="L428" i="6"/>
  <c r="M428" i="6"/>
  <c r="N428" i="6"/>
  <c r="O428" i="6"/>
  <c r="E428" i="6"/>
  <c r="D665" i="6" l="1"/>
  <c r="D428" i="6"/>
  <c r="O660" i="6"/>
  <c r="N660" i="6"/>
  <c r="M660" i="6"/>
  <c r="L660" i="6"/>
  <c r="K660" i="6"/>
  <c r="J660" i="6"/>
  <c r="I660" i="6"/>
  <c r="H660" i="6"/>
  <c r="G660" i="6"/>
  <c r="F660" i="6"/>
  <c r="E660" i="6"/>
  <c r="D664" i="6"/>
  <c r="D663" i="6"/>
  <c r="D662" i="6"/>
  <c r="D661" i="6"/>
  <c r="D660" i="6" l="1"/>
  <c r="D312" i="6"/>
  <c r="D311" i="6"/>
  <c r="D310" i="6"/>
  <c r="D309" i="6"/>
  <c r="O308" i="6"/>
  <c r="N308" i="6"/>
  <c r="M308" i="6"/>
  <c r="L308" i="6"/>
  <c r="K308" i="6"/>
  <c r="J308" i="6"/>
  <c r="I308" i="6"/>
  <c r="H308" i="6"/>
  <c r="G308" i="6"/>
  <c r="F308" i="6"/>
  <c r="E308" i="6"/>
  <c r="D308" i="6" l="1"/>
  <c r="M303" i="6"/>
  <c r="N303" i="6"/>
  <c r="O303" i="6"/>
  <c r="L303" i="6"/>
  <c r="K303" i="6"/>
  <c r="F303" i="6"/>
  <c r="G303" i="6"/>
  <c r="H303" i="6"/>
  <c r="I303" i="6"/>
  <c r="J303" i="6"/>
  <c r="E303" i="6"/>
  <c r="D307" i="6"/>
  <c r="D306" i="6"/>
  <c r="D305" i="6"/>
  <c r="D304" i="6"/>
  <c r="D303" i="6" l="1"/>
  <c r="K585" i="6" l="1"/>
  <c r="K508" i="6" l="1"/>
  <c r="E477" i="6" l="1"/>
  <c r="F477" i="6"/>
  <c r="G477" i="6"/>
  <c r="H477" i="6"/>
  <c r="I477" i="6"/>
  <c r="J477" i="6"/>
  <c r="F480" i="6" l="1"/>
  <c r="G480" i="6"/>
  <c r="H480" i="6"/>
  <c r="I480" i="6"/>
  <c r="J480" i="6"/>
  <c r="K480" i="6"/>
  <c r="L480" i="6"/>
  <c r="M480" i="6"/>
  <c r="N480" i="6"/>
  <c r="O480" i="6"/>
  <c r="E480" i="6"/>
  <c r="F479" i="6"/>
  <c r="G479" i="6"/>
  <c r="H479" i="6"/>
  <c r="I479" i="6"/>
  <c r="L479" i="6"/>
  <c r="M479" i="6"/>
  <c r="N479" i="6"/>
  <c r="O479" i="6"/>
  <c r="E479" i="6"/>
  <c r="F478" i="6"/>
  <c r="G478" i="6"/>
  <c r="H478" i="6"/>
  <c r="I478" i="6"/>
  <c r="J478" i="6"/>
  <c r="K478" i="6"/>
  <c r="L478" i="6"/>
  <c r="M478" i="6"/>
  <c r="N478" i="6"/>
  <c r="O478" i="6"/>
  <c r="E478" i="6"/>
  <c r="K477" i="6"/>
  <c r="L477" i="6"/>
  <c r="M477" i="6"/>
  <c r="N477" i="6"/>
  <c r="O477" i="6"/>
  <c r="D487" i="6"/>
  <c r="D488" i="6"/>
  <c r="D489" i="6"/>
  <c r="D490" i="6"/>
  <c r="F486" i="6"/>
  <c r="G486" i="6"/>
  <c r="H486" i="6"/>
  <c r="I486" i="6"/>
  <c r="J486" i="6"/>
  <c r="K486" i="6"/>
  <c r="L486" i="6"/>
  <c r="M486" i="6"/>
  <c r="N486" i="6"/>
  <c r="O486" i="6"/>
  <c r="E486" i="6"/>
  <c r="F481" i="6"/>
  <c r="G481" i="6"/>
  <c r="H481" i="6"/>
  <c r="I481" i="6"/>
  <c r="K481" i="6"/>
  <c r="L481" i="6"/>
  <c r="M481" i="6"/>
  <c r="N481" i="6"/>
  <c r="O481" i="6"/>
  <c r="E481" i="6"/>
  <c r="D509" i="6"/>
  <c r="D510" i="6"/>
  <c r="D512" i="6"/>
  <c r="D514" i="6"/>
  <c r="F502" i="6"/>
  <c r="G502" i="6"/>
  <c r="H502" i="6"/>
  <c r="I502" i="6"/>
  <c r="J502" i="6"/>
  <c r="K502" i="6"/>
  <c r="L502" i="6"/>
  <c r="M502" i="6"/>
  <c r="N502" i="6"/>
  <c r="O502" i="6"/>
  <c r="E502" i="6"/>
  <c r="F500" i="6"/>
  <c r="G500" i="6"/>
  <c r="H500" i="6"/>
  <c r="I500" i="6"/>
  <c r="J500" i="6"/>
  <c r="K500" i="6"/>
  <c r="L500" i="6"/>
  <c r="M500" i="6"/>
  <c r="N500" i="6"/>
  <c r="O500" i="6"/>
  <c r="E500" i="6"/>
  <c r="F498" i="6"/>
  <c r="G498" i="6"/>
  <c r="H498" i="6"/>
  <c r="I498" i="6"/>
  <c r="J498" i="6"/>
  <c r="K498" i="6"/>
  <c r="L498" i="6"/>
  <c r="M498" i="6"/>
  <c r="N498" i="6"/>
  <c r="O498" i="6"/>
  <c r="E498" i="6"/>
  <c r="F497" i="6"/>
  <c r="G497" i="6"/>
  <c r="H497" i="6"/>
  <c r="I497" i="6"/>
  <c r="J497" i="6"/>
  <c r="K497" i="6"/>
  <c r="L497" i="6"/>
  <c r="M497" i="6"/>
  <c r="N497" i="6"/>
  <c r="O497" i="6"/>
  <c r="E497" i="6"/>
  <c r="F508" i="6"/>
  <c r="G508" i="6"/>
  <c r="H508" i="6"/>
  <c r="I508" i="6"/>
  <c r="J508" i="6"/>
  <c r="L508" i="6"/>
  <c r="M508" i="6"/>
  <c r="N508" i="6"/>
  <c r="O508" i="6"/>
  <c r="E508" i="6"/>
  <c r="D486" i="6" l="1"/>
  <c r="D508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298" i="6"/>
  <c r="G298" i="6"/>
  <c r="H298" i="6"/>
  <c r="I298" i="6"/>
  <c r="J298" i="6"/>
  <c r="K298" i="6"/>
  <c r="L298" i="6"/>
  <c r="M298" i="6"/>
  <c r="N298" i="6"/>
  <c r="O298" i="6"/>
  <c r="E298" i="6"/>
  <c r="D301" i="6"/>
  <c r="D302" i="6"/>
  <c r="D299" i="6"/>
  <c r="D300" i="6"/>
  <c r="D298" i="6" l="1"/>
  <c r="J647" i="6" l="1"/>
  <c r="J600" i="6"/>
  <c r="J266" i="6"/>
  <c r="J742" i="6" l="1"/>
  <c r="J641" i="6" l="1"/>
  <c r="J631" i="6"/>
  <c r="J596" i="6"/>
  <c r="J562" i="6"/>
  <c r="J533" i="6"/>
  <c r="J401" i="6"/>
  <c r="J606" i="6" l="1"/>
  <c r="J447" i="6"/>
  <c r="J411" i="6"/>
  <c r="J271" i="6"/>
  <c r="J186" i="6"/>
  <c r="J276" i="6"/>
  <c r="J40" i="6"/>
  <c r="J658" i="6"/>
  <c r="J221" i="6"/>
  <c r="J556" i="6" l="1"/>
  <c r="M198" i="6" l="1"/>
  <c r="L198" i="6"/>
  <c r="K198" i="6"/>
  <c r="O464" i="6"/>
  <c r="O441" i="6" s="1"/>
  <c r="L584" i="6"/>
  <c r="L576" i="6" s="1"/>
  <c r="M584" i="6"/>
  <c r="N584" i="6"/>
  <c r="O584" i="6"/>
  <c r="K584" i="6"/>
  <c r="M576" i="6"/>
  <c r="K692" i="6"/>
  <c r="D279" i="6"/>
  <c r="D280" i="6"/>
  <c r="D281" i="6"/>
  <c r="D282" i="6"/>
  <c r="D284" i="6"/>
  <c r="D285" i="6"/>
  <c r="D286" i="6"/>
  <c r="D287" i="6"/>
  <c r="D290" i="6"/>
  <c r="D291" i="6"/>
  <c r="D292" i="6"/>
  <c r="D294" i="6"/>
  <c r="D295" i="6"/>
  <c r="D296" i="6"/>
  <c r="D297" i="6"/>
  <c r="O293" i="6"/>
  <c r="N293" i="6"/>
  <c r="M293" i="6"/>
  <c r="L293" i="6"/>
  <c r="K293" i="6"/>
  <c r="J293" i="6"/>
  <c r="I293" i="6"/>
  <c r="H293" i="6"/>
  <c r="G293" i="6"/>
  <c r="F293" i="6"/>
  <c r="E293" i="6"/>
  <c r="E289" i="6" s="1"/>
  <c r="D289" i="6" s="1"/>
  <c r="O288" i="6"/>
  <c r="N288" i="6"/>
  <c r="M288" i="6"/>
  <c r="L288" i="6"/>
  <c r="K288" i="6"/>
  <c r="J288" i="6"/>
  <c r="I288" i="6"/>
  <c r="H288" i="6"/>
  <c r="G288" i="6"/>
  <c r="F288" i="6"/>
  <c r="O283" i="6"/>
  <c r="N283" i="6"/>
  <c r="M283" i="6"/>
  <c r="L283" i="6"/>
  <c r="K283" i="6"/>
  <c r="J283" i="6"/>
  <c r="I283" i="6"/>
  <c r="H283" i="6"/>
  <c r="G283" i="6"/>
  <c r="F283" i="6"/>
  <c r="E283" i="6"/>
  <c r="O278" i="6"/>
  <c r="N278" i="6"/>
  <c r="M278" i="6"/>
  <c r="L278" i="6"/>
  <c r="K278" i="6"/>
  <c r="J278" i="6"/>
  <c r="I278" i="6"/>
  <c r="H278" i="6"/>
  <c r="G278" i="6"/>
  <c r="F278" i="6"/>
  <c r="E278" i="6"/>
  <c r="H273" i="6"/>
  <c r="J459" i="6"/>
  <c r="J484" i="6"/>
  <c r="D484" i="6" s="1"/>
  <c r="J692" i="6"/>
  <c r="J694" i="6"/>
  <c r="J696" i="6"/>
  <c r="J206" i="6"/>
  <c r="J203" i="6" s="1"/>
  <c r="E550" i="6"/>
  <c r="J550" i="6"/>
  <c r="J616" i="6"/>
  <c r="J454" i="6"/>
  <c r="J635" i="6"/>
  <c r="J620" i="6"/>
  <c r="D620" i="6" s="1"/>
  <c r="J415" i="6"/>
  <c r="J405" i="6"/>
  <c r="J198" i="6"/>
  <c r="J503" i="6"/>
  <c r="K503" i="6"/>
  <c r="L503" i="6"/>
  <c r="J64" i="6"/>
  <c r="D64" i="6" s="1"/>
  <c r="D142" i="6"/>
  <c r="J251" i="6"/>
  <c r="D251" i="6" s="1"/>
  <c r="I575" i="6"/>
  <c r="E575" i="6"/>
  <c r="I713" i="6"/>
  <c r="I708" i="6" s="1"/>
  <c r="H713" i="6"/>
  <c r="H708" i="6" s="1"/>
  <c r="G713" i="6"/>
  <c r="G708" i="6" s="1"/>
  <c r="F713" i="6"/>
  <c r="F708" i="6" s="1"/>
  <c r="E713" i="6"/>
  <c r="E708" i="6" s="1"/>
  <c r="D712" i="6"/>
  <c r="D711" i="6"/>
  <c r="O710" i="6"/>
  <c r="O709" i="6" s="1"/>
  <c r="N710" i="6"/>
  <c r="N709" i="6" s="1"/>
  <c r="M710" i="6"/>
  <c r="M709" i="6" s="1"/>
  <c r="L710" i="6"/>
  <c r="L709" i="6" s="1"/>
  <c r="K710" i="6"/>
  <c r="K709" i="6" s="1"/>
  <c r="J710" i="6"/>
  <c r="J709" i="6" s="1"/>
  <c r="I710" i="6"/>
  <c r="I705" i="6" s="1"/>
  <c r="H710" i="6"/>
  <c r="G710" i="6"/>
  <c r="F710" i="6"/>
  <c r="F705" i="6" s="1"/>
  <c r="E710" i="6"/>
  <c r="E705" i="6" s="1"/>
  <c r="K708" i="6"/>
  <c r="J708" i="6"/>
  <c r="K707" i="6"/>
  <c r="J707" i="6"/>
  <c r="I707" i="6"/>
  <c r="H707" i="6"/>
  <c r="G707" i="6"/>
  <c r="E707" i="6"/>
  <c r="F707" i="6"/>
  <c r="K706" i="6"/>
  <c r="J706" i="6"/>
  <c r="I706" i="6"/>
  <c r="H706" i="6"/>
  <c r="G706" i="6"/>
  <c r="F706" i="6"/>
  <c r="E706" i="6"/>
  <c r="O705" i="6"/>
  <c r="O704" i="6" s="1"/>
  <c r="N705" i="6"/>
  <c r="N704" i="6" s="1"/>
  <c r="M705" i="6"/>
  <c r="M704" i="6" s="1"/>
  <c r="L705" i="6"/>
  <c r="L704" i="6" s="1"/>
  <c r="J261" i="6"/>
  <c r="J258" i="6" s="1"/>
  <c r="E548" i="6"/>
  <c r="F548" i="6"/>
  <c r="G548" i="6"/>
  <c r="G565" i="6"/>
  <c r="H548" i="6"/>
  <c r="I548" i="6"/>
  <c r="J548" i="6"/>
  <c r="K548" i="6"/>
  <c r="K565" i="6"/>
  <c r="L548" i="6"/>
  <c r="M548" i="6"/>
  <c r="N548" i="6"/>
  <c r="O548" i="6"/>
  <c r="O565" i="6"/>
  <c r="E549" i="6"/>
  <c r="F549" i="6"/>
  <c r="G549" i="6"/>
  <c r="H549" i="6"/>
  <c r="H566" i="6"/>
  <c r="I549" i="6"/>
  <c r="J549" i="6"/>
  <c r="K549" i="6"/>
  <c r="L549" i="6"/>
  <c r="L552" i="6"/>
  <c r="L546" i="6" s="1"/>
  <c r="M549" i="6"/>
  <c r="N549" i="6"/>
  <c r="O549" i="6"/>
  <c r="F550" i="6"/>
  <c r="F567" i="6"/>
  <c r="G550" i="6"/>
  <c r="H550" i="6"/>
  <c r="I550" i="6"/>
  <c r="K550" i="6"/>
  <c r="K567" i="6"/>
  <c r="E551" i="6"/>
  <c r="E541" i="6" s="1"/>
  <c r="F551" i="6"/>
  <c r="F545" i="6" s="1"/>
  <c r="G551" i="6"/>
  <c r="H551" i="6"/>
  <c r="H545" i="6" s="1"/>
  <c r="I551" i="6"/>
  <c r="I545" i="6" s="1"/>
  <c r="J551" i="6"/>
  <c r="J545" i="6" s="1"/>
  <c r="K551" i="6"/>
  <c r="L551" i="6"/>
  <c r="L545" i="6" s="1"/>
  <c r="M551" i="6"/>
  <c r="M541" i="6" s="1"/>
  <c r="N551" i="6"/>
  <c r="N545" i="6" s="1"/>
  <c r="O551" i="6"/>
  <c r="E552" i="6"/>
  <c r="F552" i="6"/>
  <c r="G552" i="6"/>
  <c r="H552" i="6"/>
  <c r="I552" i="6"/>
  <c r="J552" i="6"/>
  <c r="K552" i="6"/>
  <c r="K546" i="6" s="1"/>
  <c r="M552" i="6"/>
  <c r="N552" i="6"/>
  <c r="N546" i="6" s="1"/>
  <c r="O552" i="6"/>
  <c r="O546" i="6" s="1"/>
  <c r="F565" i="6"/>
  <c r="H565" i="6"/>
  <c r="I565" i="6"/>
  <c r="J565" i="6"/>
  <c r="L565" i="6"/>
  <c r="M565" i="6"/>
  <c r="N565" i="6"/>
  <c r="F566" i="6"/>
  <c r="G566" i="6"/>
  <c r="I566" i="6"/>
  <c r="J566" i="6"/>
  <c r="K566" i="6"/>
  <c r="L566" i="6"/>
  <c r="M566" i="6"/>
  <c r="N566" i="6"/>
  <c r="O566" i="6"/>
  <c r="G567" i="6"/>
  <c r="H567" i="6"/>
  <c r="I567" i="6"/>
  <c r="J567" i="6"/>
  <c r="L567" i="6"/>
  <c r="L544" i="6" s="1"/>
  <c r="M567" i="6"/>
  <c r="M544" i="6" s="1"/>
  <c r="N567" i="6"/>
  <c r="N544" i="6" s="1"/>
  <c r="O567" i="6"/>
  <c r="O544" i="6" s="1"/>
  <c r="F568" i="6"/>
  <c r="G568" i="6"/>
  <c r="H568" i="6"/>
  <c r="I568" i="6"/>
  <c r="J568" i="6"/>
  <c r="K568" i="6"/>
  <c r="L568" i="6"/>
  <c r="M568" i="6"/>
  <c r="N568" i="6"/>
  <c r="O568" i="6"/>
  <c r="E568" i="6"/>
  <c r="E566" i="6"/>
  <c r="E567" i="6"/>
  <c r="E565" i="6"/>
  <c r="D573" i="6"/>
  <c r="D572" i="6"/>
  <c r="D571" i="6"/>
  <c r="D570" i="6"/>
  <c r="O569" i="6"/>
  <c r="N569" i="6"/>
  <c r="M569" i="6"/>
  <c r="L569" i="6"/>
  <c r="K569" i="6"/>
  <c r="J569" i="6"/>
  <c r="I569" i="6"/>
  <c r="H569" i="6"/>
  <c r="G569" i="6"/>
  <c r="F569" i="6"/>
  <c r="E569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5" i="6"/>
  <c r="J226" i="6"/>
  <c r="D226" i="6" s="1"/>
  <c r="J216" i="6"/>
  <c r="J211" i="6"/>
  <c r="J46" i="6"/>
  <c r="D277" i="6"/>
  <c r="D276" i="6"/>
  <c r="D275" i="6"/>
  <c r="D274" i="6"/>
  <c r="O273" i="6"/>
  <c r="N273" i="6"/>
  <c r="M273" i="6"/>
  <c r="L273" i="6"/>
  <c r="K273" i="6"/>
  <c r="J273" i="6"/>
  <c r="I273" i="6"/>
  <c r="E273" i="6"/>
  <c r="F273" i="6"/>
  <c r="G273" i="6"/>
  <c r="E243" i="6"/>
  <c r="F243" i="6"/>
  <c r="G243" i="6"/>
  <c r="H243" i="6"/>
  <c r="I243" i="6"/>
  <c r="J243" i="6"/>
  <c r="K243" i="6"/>
  <c r="L243" i="6"/>
  <c r="M243" i="6"/>
  <c r="N243" i="6"/>
  <c r="O243" i="6"/>
  <c r="D244" i="6"/>
  <c r="D245" i="6"/>
  <c r="D246" i="6"/>
  <c r="D247" i="6"/>
  <c r="R17" i="5"/>
  <c r="Q17" i="5"/>
  <c r="P17" i="5"/>
  <c r="O17" i="5"/>
  <c r="N17" i="5"/>
  <c r="S17" i="5"/>
  <c r="I17" i="5"/>
  <c r="H57" i="5"/>
  <c r="H58" i="5"/>
  <c r="D272" i="6"/>
  <c r="D271" i="6"/>
  <c r="D270" i="6"/>
  <c r="D269" i="6"/>
  <c r="O268" i="6"/>
  <c r="N268" i="6"/>
  <c r="M268" i="6"/>
  <c r="L268" i="6"/>
  <c r="K268" i="6"/>
  <c r="J268" i="6"/>
  <c r="I268" i="6"/>
  <c r="H268" i="6"/>
  <c r="G268" i="6"/>
  <c r="F268" i="6"/>
  <c r="E268" i="6"/>
  <c r="S16" i="5"/>
  <c r="R16" i="5"/>
  <c r="Q16" i="5"/>
  <c r="O16" i="5"/>
  <c r="L16" i="5"/>
  <c r="K16" i="5"/>
  <c r="J16" i="5"/>
  <c r="I16" i="5"/>
  <c r="I633" i="6"/>
  <c r="I655" i="6"/>
  <c r="Q655" i="6" s="1"/>
  <c r="I442" i="6"/>
  <c r="M19" i="5"/>
  <c r="H19" i="5" s="1"/>
  <c r="I46" i="6"/>
  <c r="D46" i="6" s="1"/>
  <c r="N118" i="5"/>
  <c r="N115" i="5" s="1"/>
  <c r="N69" i="5"/>
  <c r="H55" i="5"/>
  <c r="H56" i="5"/>
  <c r="L60" i="6"/>
  <c r="M60" i="6"/>
  <c r="N60" i="6"/>
  <c r="O60" i="6"/>
  <c r="J440" i="6"/>
  <c r="D267" i="6"/>
  <c r="D266" i="6"/>
  <c r="D265" i="6"/>
  <c r="D264" i="6"/>
  <c r="O263" i="6"/>
  <c r="N263" i="6"/>
  <c r="M263" i="6"/>
  <c r="L263" i="6"/>
  <c r="J263" i="6"/>
  <c r="I263" i="6"/>
  <c r="H263" i="6"/>
  <c r="G263" i="6"/>
  <c r="F263" i="6"/>
  <c r="E263" i="6"/>
  <c r="D262" i="6"/>
  <c r="D260" i="6"/>
  <c r="D259" i="6"/>
  <c r="O258" i="6"/>
  <c r="N258" i="6"/>
  <c r="M258" i="6"/>
  <c r="L258" i="6"/>
  <c r="K258" i="6"/>
  <c r="I258" i="6"/>
  <c r="H258" i="6"/>
  <c r="G258" i="6"/>
  <c r="F258" i="6"/>
  <c r="E258" i="6"/>
  <c r="D257" i="6"/>
  <c r="D256" i="6"/>
  <c r="D255" i="6"/>
  <c r="D254" i="6"/>
  <c r="O253" i="6"/>
  <c r="N253" i="6"/>
  <c r="M253" i="6"/>
  <c r="L253" i="6"/>
  <c r="J253" i="6"/>
  <c r="I253" i="6"/>
  <c r="H253" i="6"/>
  <c r="G253" i="6"/>
  <c r="F253" i="6"/>
  <c r="E253" i="6"/>
  <c r="D507" i="6"/>
  <c r="D506" i="6"/>
  <c r="D505" i="6"/>
  <c r="D504" i="6"/>
  <c r="O503" i="6"/>
  <c r="N503" i="6"/>
  <c r="M503" i="6"/>
  <c r="I503" i="6"/>
  <c r="H503" i="6"/>
  <c r="G503" i="6"/>
  <c r="F503" i="6"/>
  <c r="E503" i="6"/>
  <c r="I496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6" i="6"/>
  <c r="D485" i="6"/>
  <c r="D483" i="6"/>
  <c r="D482" i="6"/>
  <c r="M118" i="5"/>
  <c r="I742" i="6"/>
  <c r="I737" i="6" s="1"/>
  <c r="I734" i="6" s="1"/>
  <c r="I732" i="6" s="1"/>
  <c r="I631" i="6"/>
  <c r="I628" i="6" s="1"/>
  <c r="I616" i="6"/>
  <c r="I529" i="6"/>
  <c r="D529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59" i="6"/>
  <c r="I596" i="6"/>
  <c r="D596" i="6" s="1"/>
  <c r="I647" i="6"/>
  <c r="I606" i="6"/>
  <c r="D606" i="6" s="1"/>
  <c r="I405" i="6"/>
  <c r="I454" i="6"/>
  <c r="I451" i="6" s="1"/>
  <c r="I447" i="6"/>
  <c r="I415" i="6"/>
  <c r="I533" i="6"/>
  <c r="M76" i="5"/>
  <c r="H76" i="5" s="1"/>
  <c r="Q85" i="5"/>
  <c r="H85" i="5" s="1"/>
  <c r="I91" i="5"/>
  <c r="D658" i="6"/>
  <c r="D659" i="6"/>
  <c r="D657" i="6"/>
  <c r="D656" i="6"/>
  <c r="O655" i="6"/>
  <c r="N655" i="6"/>
  <c r="M655" i="6"/>
  <c r="L655" i="6"/>
  <c r="K655" i="6"/>
  <c r="J655" i="6"/>
  <c r="H655" i="6"/>
  <c r="G655" i="6"/>
  <c r="E655" i="6"/>
  <c r="F655" i="6"/>
  <c r="J91" i="5"/>
  <c r="K91" i="5"/>
  <c r="L91" i="5"/>
  <c r="O91" i="5"/>
  <c r="P91" i="5"/>
  <c r="Q91" i="5"/>
  <c r="R91" i="5"/>
  <c r="S91" i="5"/>
  <c r="H108" i="5"/>
  <c r="M40" i="5"/>
  <c r="M17" i="5" s="1"/>
  <c r="L413" i="6"/>
  <c r="M413" i="6"/>
  <c r="N413" i="6"/>
  <c r="O413" i="6"/>
  <c r="L403" i="6"/>
  <c r="M403" i="6"/>
  <c r="N403" i="6"/>
  <c r="O403" i="6"/>
  <c r="H52" i="5"/>
  <c r="M48" i="5"/>
  <c r="M47" i="5"/>
  <c r="H47" i="5" s="1"/>
  <c r="D239" i="6"/>
  <c r="D240" i="6"/>
  <c r="D241" i="6"/>
  <c r="D242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5" i="6"/>
  <c r="D736" i="6"/>
  <c r="D738" i="6"/>
  <c r="D740" i="6"/>
  <c r="D741" i="6"/>
  <c r="D743" i="6"/>
  <c r="D699" i="6"/>
  <c r="D701" i="6"/>
  <c r="D651" i="6"/>
  <c r="D652" i="6"/>
  <c r="D653" i="6"/>
  <c r="D654" i="6"/>
  <c r="D645" i="6"/>
  <c r="D646" i="6"/>
  <c r="D648" i="6"/>
  <c r="D649" i="6"/>
  <c r="D639" i="6"/>
  <c r="D640" i="6"/>
  <c r="D641" i="6"/>
  <c r="D642" i="6"/>
  <c r="D643" i="6"/>
  <c r="D634" i="6"/>
  <c r="D636" i="6"/>
  <c r="D637" i="6"/>
  <c r="D629" i="6"/>
  <c r="D630" i="6"/>
  <c r="D632" i="6"/>
  <c r="D624" i="6"/>
  <c r="D625" i="6"/>
  <c r="D626" i="6"/>
  <c r="D627" i="6"/>
  <c r="D619" i="6"/>
  <c r="D621" i="6"/>
  <c r="D622" i="6"/>
  <c r="D614" i="6"/>
  <c r="D615" i="6"/>
  <c r="D617" i="6"/>
  <c r="D609" i="6"/>
  <c r="D610" i="6"/>
  <c r="D611" i="6"/>
  <c r="D612" i="6"/>
  <c r="D604" i="6"/>
  <c r="D605" i="6"/>
  <c r="D607" i="6"/>
  <c r="D599" i="6"/>
  <c r="D600" i="6"/>
  <c r="D601" i="6"/>
  <c r="D602" i="6"/>
  <c r="D594" i="6"/>
  <c r="D595" i="6"/>
  <c r="D597" i="6"/>
  <c r="D560" i="6"/>
  <c r="D561" i="6"/>
  <c r="D562" i="6"/>
  <c r="D563" i="6"/>
  <c r="D554" i="6"/>
  <c r="D555" i="6"/>
  <c r="D556" i="6"/>
  <c r="D557" i="6"/>
  <c r="D558" i="6"/>
  <c r="D536" i="6"/>
  <c r="D537" i="6"/>
  <c r="D538" i="6"/>
  <c r="D539" i="6"/>
  <c r="D531" i="6"/>
  <c r="D532" i="6"/>
  <c r="D534" i="6"/>
  <c r="E535" i="6"/>
  <c r="F535" i="6"/>
  <c r="G535" i="6"/>
  <c r="H535" i="6"/>
  <c r="I535" i="6"/>
  <c r="J535" i="6"/>
  <c r="K535" i="6"/>
  <c r="L535" i="6"/>
  <c r="M535" i="6"/>
  <c r="N535" i="6"/>
  <c r="O535" i="6"/>
  <c r="D526" i="6"/>
  <c r="D527" i="6"/>
  <c r="D528" i="6"/>
  <c r="D462" i="6"/>
  <c r="D463" i="6"/>
  <c r="D465" i="6"/>
  <c r="D458" i="6"/>
  <c r="D460" i="6"/>
  <c r="D457" i="6"/>
  <c r="D452" i="6"/>
  <c r="D453" i="6"/>
  <c r="D455" i="6"/>
  <c r="D445" i="6"/>
  <c r="D446" i="6"/>
  <c r="D448" i="6"/>
  <c r="D449" i="6"/>
  <c r="D450" i="6"/>
  <c r="D443" i="6"/>
  <c r="D424" i="6"/>
  <c r="D425" i="6"/>
  <c r="D426" i="6"/>
  <c r="D427" i="6"/>
  <c r="D419" i="6"/>
  <c r="D420" i="6"/>
  <c r="D421" i="6"/>
  <c r="D422" i="6"/>
  <c r="D414" i="6"/>
  <c r="D416" i="6"/>
  <c r="D417" i="6"/>
  <c r="D409" i="6"/>
  <c r="D410" i="6"/>
  <c r="D411" i="6"/>
  <c r="D412" i="6"/>
  <c r="D404" i="6"/>
  <c r="D406" i="6"/>
  <c r="D407" i="6"/>
  <c r="D399" i="6"/>
  <c r="D400" i="6"/>
  <c r="D401" i="6"/>
  <c r="D402" i="6"/>
  <c r="D249" i="6"/>
  <c r="D250" i="6"/>
  <c r="D252" i="6"/>
  <c r="D235" i="6"/>
  <c r="D236" i="6"/>
  <c r="D237" i="6"/>
  <c r="D234" i="6"/>
  <c r="D230" i="6"/>
  <c r="D231" i="6"/>
  <c r="D232" i="6"/>
  <c r="D229" i="6"/>
  <c r="D225" i="6"/>
  <c r="D227" i="6"/>
  <c r="D224" i="6"/>
  <c r="D220" i="6"/>
  <c r="D221" i="6"/>
  <c r="D222" i="6"/>
  <c r="D219" i="6"/>
  <c r="D215" i="6"/>
  <c r="D216" i="6"/>
  <c r="D217" i="6"/>
  <c r="D214" i="6"/>
  <c r="D210" i="6"/>
  <c r="D211" i="6"/>
  <c r="D212" i="6"/>
  <c r="D209" i="6"/>
  <c r="D205" i="6"/>
  <c r="D206" i="6"/>
  <c r="D207" i="6"/>
  <c r="D204" i="6"/>
  <c r="D202" i="6"/>
  <c r="D199" i="6"/>
  <c r="D185" i="6"/>
  <c r="D186" i="6"/>
  <c r="D187" i="6"/>
  <c r="D184" i="6"/>
  <c r="D69" i="6"/>
  <c r="D70" i="6"/>
  <c r="D71" i="6"/>
  <c r="D72" i="6"/>
  <c r="D62" i="6"/>
  <c r="D63" i="6"/>
  <c r="D65" i="6"/>
  <c r="D66" i="6"/>
  <c r="D57" i="6"/>
  <c r="D58" i="6"/>
  <c r="D59" i="6"/>
  <c r="D56" i="6"/>
  <c r="D45" i="6"/>
  <c r="D47" i="6"/>
  <c r="D48" i="6"/>
  <c r="D39" i="6"/>
  <c r="D40" i="6"/>
  <c r="D42" i="6"/>
  <c r="D38" i="6"/>
  <c r="D36" i="6"/>
  <c r="D27" i="6"/>
  <c r="O248" i="6"/>
  <c r="N248" i="6"/>
  <c r="M248" i="6"/>
  <c r="L248" i="6"/>
  <c r="K248" i="6"/>
  <c r="J248" i="6"/>
  <c r="I248" i="6"/>
  <c r="H248" i="6"/>
  <c r="G248" i="6"/>
  <c r="F248" i="6"/>
  <c r="E248" i="6"/>
  <c r="L183" i="6"/>
  <c r="N644" i="6"/>
  <c r="M644" i="6"/>
  <c r="M737" i="6"/>
  <c r="M732" i="6" s="1"/>
  <c r="L737" i="6"/>
  <c r="L734" i="6" s="1"/>
  <c r="L739" i="6"/>
  <c r="L644" i="6"/>
  <c r="O644" i="6"/>
  <c r="M739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M33" i="6"/>
  <c r="M23" i="6" s="1"/>
  <c r="N33" i="6"/>
  <c r="N23" i="6" s="1"/>
  <c r="O33" i="6"/>
  <c r="O23" i="6" s="1"/>
  <c r="L35" i="6"/>
  <c r="M35" i="6"/>
  <c r="N35" i="6"/>
  <c r="O35" i="6"/>
  <c r="L37" i="6"/>
  <c r="M37" i="6"/>
  <c r="N37" i="6"/>
  <c r="O37" i="6"/>
  <c r="L43" i="6"/>
  <c r="M43" i="6"/>
  <c r="N43" i="6"/>
  <c r="O43" i="6"/>
  <c r="L524" i="6"/>
  <c r="M524" i="6"/>
  <c r="M519" i="6" s="1"/>
  <c r="M17" i="6" s="1"/>
  <c r="N524" i="6"/>
  <c r="N519" i="6" s="1"/>
  <c r="N17" i="6" s="1"/>
  <c r="O524" i="6"/>
  <c r="O519" i="6" s="1"/>
  <c r="O17" i="6" s="1"/>
  <c r="L522" i="6"/>
  <c r="M522" i="6"/>
  <c r="N522" i="6"/>
  <c r="O522" i="6"/>
  <c r="L521" i="6"/>
  <c r="L516" i="6" s="1"/>
  <c r="M521" i="6"/>
  <c r="M516" i="6" s="1"/>
  <c r="N521" i="6"/>
  <c r="N516" i="6" s="1"/>
  <c r="O521" i="6"/>
  <c r="O516" i="6" s="1"/>
  <c r="L517" i="6"/>
  <c r="M517" i="6"/>
  <c r="N517" i="6"/>
  <c r="O517" i="6"/>
  <c r="L581" i="6"/>
  <c r="M581" i="6"/>
  <c r="N581" i="6"/>
  <c r="O581" i="6"/>
  <c r="L579" i="6"/>
  <c r="M579" i="6"/>
  <c r="N579" i="6"/>
  <c r="O579" i="6"/>
  <c r="L575" i="6"/>
  <c r="M575" i="6"/>
  <c r="N575" i="6"/>
  <c r="O575" i="6"/>
  <c r="L586" i="6"/>
  <c r="M586" i="6"/>
  <c r="N586" i="6"/>
  <c r="O586" i="6"/>
  <c r="N576" i="6"/>
  <c r="L583" i="6"/>
  <c r="M583" i="6"/>
  <c r="N583" i="6"/>
  <c r="O583" i="6"/>
  <c r="L603" i="6"/>
  <c r="M546" i="6"/>
  <c r="M545" i="6"/>
  <c r="O545" i="6"/>
  <c r="L559" i="6"/>
  <c r="M559" i="6"/>
  <c r="N559" i="6"/>
  <c r="O559" i="6"/>
  <c r="L553" i="6"/>
  <c r="M553" i="6"/>
  <c r="N553" i="6"/>
  <c r="O553" i="6"/>
  <c r="L530" i="6"/>
  <c r="M530" i="6"/>
  <c r="N530" i="6"/>
  <c r="O530" i="6"/>
  <c r="L525" i="6"/>
  <c r="M525" i="6"/>
  <c r="N525" i="6"/>
  <c r="O525" i="6"/>
  <c r="L461" i="6"/>
  <c r="M461" i="6"/>
  <c r="L456" i="6"/>
  <c r="M456" i="6"/>
  <c r="N456" i="6"/>
  <c r="O456" i="6"/>
  <c r="L451" i="6"/>
  <c r="M451" i="6"/>
  <c r="N451" i="6"/>
  <c r="O451" i="6"/>
  <c r="L439" i="6"/>
  <c r="M439" i="6"/>
  <c r="M394" i="6"/>
  <c r="N439" i="6"/>
  <c r="O439" i="6"/>
  <c r="L440" i="6"/>
  <c r="M440" i="6"/>
  <c r="N440" i="6"/>
  <c r="O440" i="6"/>
  <c r="L442" i="6"/>
  <c r="M442" i="6"/>
  <c r="N442" i="6"/>
  <c r="O442" i="6"/>
  <c r="L444" i="6"/>
  <c r="M444" i="6"/>
  <c r="N444" i="6"/>
  <c r="O444" i="6"/>
  <c r="L394" i="6"/>
  <c r="N394" i="6"/>
  <c r="O394" i="6"/>
  <c r="L397" i="6"/>
  <c r="M397" i="6"/>
  <c r="N397" i="6"/>
  <c r="O397" i="6"/>
  <c r="L395" i="6"/>
  <c r="M395" i="6"/>
  <c r="N395" i="6"/>
  <c r="O395" i="6"/>
  <c r="L238" i="6"/>
  <c r="M238" i="6"/>
  <c r="N238" i="6"/>
  <c r="O238" i="6"/>
  <c r="L233" i="6"/>
  <c r="M233" i="6"/>
  <c r="N233" i="6"/>
  <c r="O233" i="6"/>
  <c r="L228" i="6"/>
  <c r="M228" i="6"/>
  <c r="N228" i="6"/>
  <c r="O228" i="6"/>
  <c r="L223" i="6"/>
  <c r="M223" i="6"/>
  <c r="N223" i="6"/>
  <c r="O223" i="6"/>
  <c r="L213" i="6"/>
  <c r="M213" i="6"/>
  <c r="N213" i="6"/>
  <c r="O213" i="6"/>
  <c r="L218" i="6"/>
  <c r="M218" i="6"/>
  <c r="N218" i="6"/>
  <c r="O218" i="6"/>
  <c r="L208" i="6"/>
  <c r="M208" i="6"/>
  <c r="N208" i="6"/>
  <c r="O208" i="6"/>
  <c r="L203" i="6"/>
  <c r="M203" i="6"/>
  <c r="N203" i="6"/>
  <c r="O203" i="6"/>
  <c r="L593" i="6"/>
  <c r="M593" i="6"/>
  <c r="N593" i="6"/>
  <c r="O593" i="6"/>
  <c r="L598" i="6"/>
  <c r="M598" i="6"/>
  <c r="N598" i="6"/>
  <c r="O598" i="6"/>
  <c r="L733" i="6"/>
  <c r="M733" i="6"/>
  <c r="N733" i="6"/>
  <c r="O733" i="6"/>
  <c r="L730" i="6"/>
  <c r="M730" i="6"/>
  <c r="N730" i="6"/>
  <c r="O730" i="6"/>
  <c r="L731" i="6"/>
  <c r="L691" i="6" s="1"/>
  <c r="L690" i="6" s="1"/>
  <c r="M731" i="6"/>
  <c r="M691" i="6" s="1"/>
  <c r="M690" i="6" s="1"/>
  <c r="N731" i="6"/>
  <c r="N691" i="6" s="1"/>
  <c r="N690" i="6" s="1"/>
  <c r="O731" i="6"/>
  <c r="O691" i="6" s="1"/>
  <c r="O690" i="6" s="1"/>
  <c r="L650" i="6"/>
  <c r="M650" i="6"/>
  <c r="N650" i="6"/>
  <c r="O650" i="6"/>
  <c r="L618" i="6"/>
  <c r="M618" i="6"/>
  <c r="N618" i="6"/>
  <c r="O618" i="6"/>
  <c r="L613" i="6"/>
  <c r="M613" i="6"/>
  <c r="N613" i="6"/>
  <c r="O613" i="6"/>
  <c r="L628" i="6"/>
  <c r="M628" i="6"/>
  <c r="N628" i="6"/>
  <c r="O628" i="6"/>
  <c r="L633" i="6"/>
  <c r="M633" i="6"/>
  <c r="N633" i="6"/>
  <c r="O633" i="6"/>
  <c r="L638" i="6"/>
  <c r="M638" i="6"/>
  <c r="N638" i="6"/>
  <c r="O638" i="6"/>
  <c r="O698" i="6"/>
  <c r="O697" i="6" s="1"/>
  <c r="N698" i="6"/>
  <c r="N697" i="6" s="1"/>
  <c r="M698" i="6"/>
  <c r="M697" i="6" s="1"/>
  <c r="L698" i="6"/>
  <c r="L697" i="6" s="1"/>
  <c r="O623" i="6"/>
  <c r="N623" i="6"/>
  <c r="M623" i="6"/>
  <c r="L623" i="6"/>
  <c r="O608" i="6"/>
  <c r="N608" i="6"/>
  <c r="M608" i="6"/>
  <c r="L608" i="6"/>
  <c r="N588" i="6"/>
  <c r="M588" i="6"/>
  <c r="L588" i="6"/>
  <c r="L408" i="6"/>
  <c r="M408" i="6"/>
  <c r="N408" i="6"/>
  <c r="O408" i="6"/>
  <c r="L398" i="6"/>
  <c r="M398" i="6"/>
  <c r="N398" i="6"/>
  <c r="O398" i="6"/>
  <c r="N737" i="6"/>
  <c r="N732" i="6" s="1"/>
  <c r="N461" i="6"/>
  <c r="L541" i="6"/>
  <c r="O541" i="6"/>
  <c r="N541" i="6"/>
  <c r="N739" i="6"/>
  <c r="L564" i="6"/>
  <c r="N564" i="6"/>
  <c r="O739" i="6"/>
  <c r="O737" i="6"/>
  <c r="M183" i="6"/>
  <c r="N183" i="6"/>
  <c r="O183" i="6"/>
  <c r="O157" i="6"/>
  <c r="M159" i="6"/>
  <c r="M157" i="6" s="1"/>
  <c r="L159" i="6"/>
  <c r="L157" i="6" s="1"/>
  <c r="N157" i="6"/>
  <c r="O151" i="6"/>
  <c r="N151" i="6"/>
  <c r="M151" i="6"/>
  <c r="L151" i="6"/>
  <c r="N146" i="6"/>
  <c r="M146" i="6"/>
  <c r="L146" i="6"/>
  <c r="L143" i="6" s="1"/>
  <c r="O144" i="6"/>
  <c r="N144" i="6"/>
  <c r="M144" i="6"/>
  <c r="L144" i="6"/>
  <c r="O143" i="6"/>
  <c r="N143" i="6"/>
  <c r="M143" i="6"/>
  <c r="O137" i="6"/>
  <c r="N137" i="6"/>
  <c r="M137" i="6"/>
  <c r="L137" i="6"/>
  <c r="O136" i="6"/>
  <c r="N136" i="6"/>
  <c r="M136" i="6"/>
  <c r="L136" i="6"/>
  <c r="N130" i="6"/>
  <c r="M130" i="6"/>
  <c r="M127" i="6" s="1"/>
  <c r="L130" i="6"/>
  <c r="L127" i="6" s="1"/>
  <c r="O128" i="6"/>
  <c r="N128" i="6"/>
  <c r="M128" i="6"/>
  <c r="L128" i="6"/>
  <c r="O127" i="6"/>
  <c r="N127" i="6"/>
  <c r="N122" i="6"/>
  <c r="M122" i="6"/>
  <c r="L122" i="6"/>
  <c r="O120" i="6"/>
  <c r="O119" i="6" s="1"/>
  <c r="N120" i="6"/>
  <c r="N119" i="6" s="1"/>
  <c r="M120" i="6"/>
  <c r="M119" i="6" s="1"/>
  <c r="L120" i="6"/>
  <c r="L119" i="6" s="1"/>
  <c r="O113" i="6"/>
  <c r="O112" i="6" s="1"/>
  <c r="N113" i="6"/>
  <c r="N112" i="6" s="1"/>
  <c r="M113" i="6"/>
  <c r="M112" i="6" s="1"/>
  <c r="L113" i="6"/>
  <c r="L112" i="6" s="1"/>
  <c r="O93" i="6"/>
  <c r="N93" i="6"/>
  <c r="M93" i="6"/>
  <c r="L93" i="6"/>
  <c r="O86" i="6"/>
  <c r="N86" i="6"/>
  <c r="M86" i="6"/>
  <c r="L86" i="6"/>
  <c r="O80" i="6"/>
  <c r="N80" i="6"/>
  <c r="M80" i="6"/>
  <c r="L80" i="6"/>
  <c r="O73" i="6"/>
  <c r="N73" i="6"/>
  <c r="M73" i="6"/>
  <c r="L73" i="6"/>
  <c r="O67" i="6"/>
  <c r="N67" i="6"/>
  <c r="M67" i="6"/>
  <c r="L67" i="6"/>
  <c r="O55" i="6"/>
  <c r="N55" i="6"/>
  <c r="M55" i="6"/>
  <c r="L55" i="6"/>
  <c r="O49" i="6"/>
  <c r="N49" i="6"/>
  <c r="M49" i="6"/>
  <c r="L49" i="6"/>
  <c r="O423" i="6"/>
  <c r="N423" i="6"/>
  <c r="M423" i="6"/>
  <c r="L423" i="6"/>
  <c r="O418" i="6"/>
  <c r="N418" i="6"/>
  <c r="M418" i="6"/>
  <c r="L418" i="6"/>
  <c r="O198" i="6"/>
  <c r="N198" i="6"/>
  <c r="O193" i="6"/>
  <c r="N193" i="6"/>
  <c r="M193" i="6"/>
  <c r="L193" i="6"/>
  <c r="O188" i="6"/>
  <c r="N188" i="6"/>
  <c r="M188" i="6"/>
  <c r="L188" i="6"/>
  <c r="O177" i="6"/>
  <c r="N177" i="6"/>
  <c r="M177" i="6"/>
  <c r="L177" i="6"/>
  <c r="O174" i="6"/>
  <c r="O34" i="6" s="1"/>
  <c r="N174" i="6"/>
  <c r="N34" i="6" s="1"/>
  <c r="M174" i="6"/>
  <c r="M34" i="6" s="1"/>
  <c r="L174" i="6"/>
  <c r="L34" i="6" s="1"/>
  <c r="O171" i="6"/>
  <c r="N171" i="6"/>
  <c r="M171" i="6"/>
  <c r="L171" i="6"/>
  <c r="O170" i="6"/>
  <c r="L163" i="6"/>
  <c r="M163" i="6"/>
  <c r="N163" i="6"/>
  <c r="O163" i="6"/>
  <c r="L164" i="6"/>
  <c r="M164" i="6"/>
  <c r="N164" i="6"/>
  <c r="O164" i="6"/>
  <c r="K238" i="6"/>
  <c r="J238" i="6"/>
  <c r="I238" i="6"/>
  <c r="H238" i="6"/>
  <c r="G238" i="6"/>
  <c r="F238" i="6"/>
  <c r="E238" i="6"/>
  <c r="H112" i="5"/>
  <c r="M110" i="5"/>
  <c r="H110" i="5" s="1"/>
  <c r="M109" i="5"/>
  <c r="H109" i="5" s="1"/>
  <c r="H111" i="5"/>
  <c r="H43" i="5"/>
  <c r="F441" i="6"/>
  <c r="G441" i="6"/>
  <c r="H441" i="6"/>
  <c r="J441" i="6"/>
  <c r="K24" i="6"/>
  <c r="E441" i="6"/>
  <c r="K461" i="6"/>
  <c r="J461" i="6"/>
  <c r="I461" i="6"/>
  <c r="H461" i="6"/>
  <c r="G461" i="6"/>
  <c r="F461" i="6"/>
  <c r="E461" i="6"/>
  <c r="J66" i="5"/>
  <c r="K66" i="5"/>
  <c r="L66" i="5"/>
  <c r="N66" i="5"/>
  <c r="O66" i="5"/>
  <c r="I66" i="5"/>
  <c r="J650" i="6"/>
  <c r="D200" i="6"/>
  <c r="D201" i="6"/>
  <c r="U102" i="5"/>
  <c r="I584" i="6"/>
  <c r="E692" i="6"/>
  <c r="F692" i="6"/>
  <c r="F584" i="6" s="1"/>
  <c r="F576" i="6" s="1"/>
  <c r="G692" i="6"/>
  <c r="H692" i="6"/>
  <c r="H584" i="6" s="1"/>
  <c r="H576" i="6" s="1"/>
  <c r="I692" i="6"/>
  <c r="E694" i="6"/>
  <c r="F694" i="6"/>
  <c r="F585" i="6" s="1"/>
  <c r="G694" i="6"/>
  <c r="G585" i="6" s="1"/>
  <c r="H694" i="6"/>
  <c r="H585" i="6" s="1"/>
  <c r="I694" i="6"/>
  <c r="K694" i="6"/>
  <c r="K578" i="6" s="1"/>
  <c r="K696" i="6"/>
  <c r="I703" i="6"/>
  <c r="I696" i="6" s="1"/>
  <c r="H703" i="6"/>
  <c r="H696" i="6" s="1"/>
  <c r="G703" i="6"/>
  <c r="G696" i="6" s="1"/>
  <c r="F703" i="6"/>
  <c r="F696" i="6" s="1"/>
  <c r="E703" i="6"/>
  <c r="K698" i="6"/>
  <c r="K697" i="6" s="1"/>
  <c r="J698" i="6"/>
  <c r="J697" i="6" s="1"/>
  <c r="I698" i="6"/>
  <c r="I691" i="6" s="1"/>
  <c r="H698" i="6"/>
  <c r="G698" i="6"/>
  <c r="F698" i="6"/>
  <c r="F691" i="6" s="1"/>
  <c r="E698" i="6"/>
  <c r="K233" i="6"/>
  <c r="J233" i="6"/>
  <c r="I233" i="6"/>
  <c r="H233" i="6"/>
  <c r="G233" i="6"/>
  <c r="F233" i="6"/>
  <c r="E233" i="6"/>
  <c r="I440" i="6"/>
  <c r="E440" i="6"/>
  <c r="F440" i="6"/>
  <c r="G440" i="6"/>
  <c r="H440" i="6"/>
  <c r="K440" i="6"/>
  <c r="E442" i="6"/>
  <c r="F442" i="6"/>
  <c r="G442" i="6"/>
  <c r="H442" i="6"/>
  <c r="J442" i="6"/>
  <c r="K442" i="6"/>
  <c r="F439" i="6"/>
  <c r="G439" i="6"/>
  <c r="H439" i="6"/>
  <c r="I439" i="6"/>
  <c r="J439" i="6"/>
  <c r="K439" i="6"/>
  <c r="E439" i="6"/>
  <c r="K456" i="6"/>
  <c r="J456" i="6"/>
  <c r="H456" i="6"/>
  <c r="G456" i="6"/>
  <c r="F456" i="6"/>
  <c r="E456" i="6"/>
  <c r="K228" i="6"/>
  <c r="J228" i="6"/>
  <c r="I228" i="6"/>
  <c r="H228" i="6"/>
  <c r="G228" i="6"/>
  <c r="F228" i="6"/>
  <c r="E228" i="6"/>
  <c r="E396" i="6"/>
  <c r="H524" i="6"/>
  <c r="H519" i="6" s="1"/>
  <c r="F395" i="6"/>
  <c r="G395" i="6"/>
  <c r="H395" i="6"/>
  <c r="I394" i="6"/>
  <c r="I396" i="6"/>
  <c r="I397" i="6"/>
  <c r="K395" i="6"/>
  <c r="E395" i="6"/>
  <c r="F396" i="6"/>
  <c r="G396" i="6"/>
  <c r="H396" i="6"/>
  <c r="J396" i="6"/>
  <c r="K633" i="6"/>
  <c r="J633" i="6"/>
  <c r="H633" i="6"/>
  <c r="G633" i="6"/>
  <c r="F633" i="6"/>
  <c r="E633" i="6"/>
  <c r="K618" i="6"/>
  <c r="I618" i="6"/>
  <c r="H618" i="6"/>
  <c r="G618" i="6"/>
  <c r="F618" i="6"/>
  <c r="E618" i="6"/>
  <c r="E623" i="6"/>
  <c r="F623" i="6"/>
  <c r="G623" i="6"/>
  <c r="H623" i="6"/>
  <c r="I623" i="6"/>
  <c r="K598" i="6"/>
  <c r="J598" i="6"/>
  <c r="I598" i="6"/>
  <c r="H598" i="6"/>
  <c r="G598" i="6"/>
  <c r="F598" i="6"/>
  <c r="E598" i="6"/>
  <c r="K413" i="6"/>
  <c r="J413" i="6"/>
  <c r="H413" i="6"/>
  <c r="G413" i="6"/>
  <c r="F413" i="6"/>
  <c r="E413" i="6"/>
  <c r="K403" i="6"/>
  <c r="I403" i="6"/>
  <c r="H403" i="6"/>
  <c r="G403" i="6"/>
  <c r="F403" i="6"/>
  <c r="E403" i="6"/>
  <c r="L83" i="5"/>
  <c r="L79" i="5" s="1"/>
  <c r="G60" i="6"/>
  <c r="H60" i="6"/>
  <c r="I60" i="6"/>
  <c r="Q60" i="6" s="1"/>
  <c r="J60" i="6"/>
  <c r="K60" i="6"/>
  <c r="F60" i="6"/>
  <c r="I524" i="6"/>
  <c r="I519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3" i="6"/>
  <c r="K177" i="6"/>
  <c r="K171" i="6"/>
  <c r="K163" i="6"/>
  <c r="K164" i="6"/>
  <c r="K170" i="6"/>
  <c r="K157" i="6"/>
  <c r="K151" i="6"/>
  <c r="K143" i="6"/>
  <c r="K144" i="6"/>
  <c r="F136" i="6"/>
  <c r="G136" i="6"/>
  <c r="H136" i="6"/>
  <c r="I136" i="6"/>
  <c r="J136" i="6"/>
  <c r="K136" i="6"/>
  <c r="K137" i="6"/>
  <c r="K127" i="6"/>
  <c r="K128" i="6"/>
  <c r="K120" i="6"/>
  <c r="K119" i="6" s="1"/>
  <c r="K113" i="6"/>
  <c r="K112" i="6" s="1"/>
  <c r="K99" i="6"/>
  <c r="K93" i="6"/>
  <c r="K86" i="6"/>
  <c r="K80" i="6"/>
  <c r="K73" i="6"/>
  <c r="K67" i="6"/>
  <c r="K55" i="6"/>
  <c r="K49" i="6"/>
  <c r="J581" i="6"/>
  <c r="K581" i="6"/>
  <c r="J579" i="6"/>
  <c r="K579" i="6"/>
  <c r="K575" i="6"/>
  <c r="J586" i="6"/>
  <c r="K586" i="6"/>
  <c r="K583" i="6"/>
  <c r="K582" i="6" s="1"/>
  <c r="J731" i="6"/>
  <c r="K731" i="6"/>
  <c r="J733" i="6"/>
  <c r="K733" i="6"/>
  <c r="K730" i="6"/>
  <c r="K737" i="6"/>
  <c r="K734" i="6" s="1"/>
  <c r="K739" i="6"/>
  <c r="K650" i="6"/>
  <c r="K644" i="6"/>
  <c r="K638" i="6"/>
  <c r="K628" i="6"/>
  <c r="K623" i="6"/>
  <c r="K613" i="6"/>
  <c r="K608" i="6"/>
  <c r="K603" i="6"/>
  <c r="K593" i="6"/>
  <c r="K545" i="6"/>
  <c r="K559" i="6"/>
  <c r="K553" i="6"/>
  <c r="K517" i="6"/>
  <c r="K524" i="6"/>
  <c r="K519" i="6" s="1"/>
  <c r="K17" i="6" s="1"/>
  <c r="K523" i="6"/>
  <c r="K518" i="6" s="1"/>
  <c r="K522" i="6"/>
  <c r="K521" i="6"/>
  <c r="K516" i="6" s="1"/>
  <c r="K525" i="6"/>
  <c r="J524" i="6"/>
  <c r="J519" i="6" s="1"/>
  <c r="J17" i="6" s="1"/>
  <c r="K530" i="6"/>
  <c r="K541" i="6"/>
  <c r="K183" i="6"/>
  <c r="K451" i="6"/>
  <c r="K444" i="6"/>
  <c r="K423" i="6"/>
  <c r="K418" i="6"/>
  <c r="K408" i="6"/>
  <c r="K394" i="6"/>
  <c r="K397" i="6"/>
  <c r="K398" i="6"/>
  <c r="K223" i="6"/>
  <c r="J223" i="6"/>
  <c r="I223" i="6"/>
  <c r="H223" i="6"/>
  <c r="G223" i="6"/>
  <c r="F223" i="6"/>
  <c r="E223" i="6"/>
  <c r="K218" i="6"/>
  <c r="J218" i="6"/>
  <c r="I218" i="6"/>
  <c r="H218" i="6"/>
  <c r="G218" i="6"/>
  <c r="F218" i="6"/>
  <c r="E218" i="6"/>
  <c r="K213" i="6"/>
  <c r="J213" i="6"/>
  <c r="I213" i="6"/>
  <c r="H213" i="6"/>
  <c r="G213" i="6"/>
  <c r="F213" i="6"/>
  <c r="E213" i="6"/>
  <c r="K203" i="6"/>
  <c r="K208" i="6"/>
  <c r="J208" i="6"/>
  <c r="I208" i="6"/>
  <c r="H208" i="6"/>
  <c r="G208" i="6"/>
  <c r="F208" i="6"/>
  <c r="E208" i="6"/>
  <c r="E43" i="6"/>
  <c r="F43" i="6"/>
  <c r="G43" i="6"/>
  <c r="H43" i="6"/>
  <c r="I43" i="6"/>
  <c r="K43" i="6"/>
  <c r="K37" i="6"/>
  <c r="F522" i="6"/>
  <c r="G522" i="6"/>
  <c r="G521" i="6"/>
  <c r="G516" i="6" s="1"/>
  <c r="G523" i="6"/>
  <c r="G518" i="6" s="1"/>
  <c r="G524" i="6"/>
  <c r="G519" i="6" s="1"/>
  <c r="G17" i="6" s="1"/>
  <c r="H522" i="6"/>
  <c r="I522" i="6"/>
  <c r="J522" i="6"/>
  <c r="E522" i="6"/>
  <c r="E517" i="6" s="1"/>
  <c r="F523" i="6"/>
  <c r="F518" i="6" s="1"/>
  <c r="H523" i="6"/>
  <c r="H518" i="6" s="1"/>
  <c r="J523" i="6"/>
  <c r="J518" i="6" s="1"/>
  <c r="J521" i="6"/>
  <c r="J516" i="6" s="1"/>
  <c r="E523" i="6"/>
  <c r="E518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4" i="6"/>
  <c r="F519" i="6" s="1"/>
  <c r="F17" i="6" s="1"/>
  <c r="E524" i="6"/>
  <c r="E519" i="6" s="1"/>
  <c r="E17" i="6" s="1"/>
  <c r="F521" i="6"/>
  <c r="F516" i="6" s="1"/>
  <c r="H521" i="6"/>
  <c r="H516" i="6" s="1"/>
  <c r="I521" i="6"/>
  <c r="I516" i="6" s="1"/>
  <c r="E521" i="6"/>
  <c r="E516" i="6" s="1"/>
  <c r="H183" i="6"/>
  <c r="J737" i="6"/>
  <c r="J732" i="6" s="1"/>
  <c r="I203" i="6"/>
  <c r="H203" i="6"/>
  <c r="G203" i="6"/>
  <c r="F203" i="6"/>
  <c r="E203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8" i="6"/>
  <c r="H198" i="6"/>
  <c r="G198" i="6"/>
  <c r="F198" i="6"/>
  <c r="E198" i="6"/>
  <c r="D191" i="6"/>
  <c r="G15" i="6"/>
  <c r="F650" i="6"/>
  <c r="G650" i="6"/>
  <c r="E650" i="6"/>
  <c r="H650" i="6"/>
  <c r="I650" i="6"/>
  <c r="G37" i="6"/>
  <c r="H644" i="6"/>
  <c r="I644" i="6"/>
  <c r="J644" i="6"/>
  <c r="F644" i="6"/>
  <c r="G644" i="6"/>
  <c r="J423" i="6"/>
  <c r="I423" i="6"/>
  <c r="H423" i="6"/>
  <c r="G423" i="6"/>
  <c r="F423" i="6"/>
  <c r="E423" i="6"/>
  <c r="E128" i="6"/>
  <c r="I35" i="6"/>
  <c r="J75" i="5"/>
  <c r="K75" i="5"/>
  <c r="L75" i="5"/>
  <c r="N75" i="5"/>
  <c r="I75" i="5"/>
  <c r="H737" i="6"/>
  <c r="H734" i="6" s="1"/>
  <c r="H732" i="6" s="1"/>
  <c r="G737" i="6"/>
  <c r="G734" i="6" s="1"/>
  <c r="G732" i="6" s="1"/>
  <c r="G603" i="6"/>
  <c r="D197" i="6"/>
  <c r="D196" i="6"/>
  <c r="D195" i="6"/>
  <c r="D194" i="6"/>
  <c r="J193" i="6"/>
  <c r="I193" i="6"/>
  <c r="H193" i="6"/>
  <c r="G193" i="6"/>
  <c r="F193" i="6"/>
  <c r="E193" i="6"/>
  <c r="D192" i="6"/>
  <c r="D190" i="6"/>
  <c r="D189" i="6"/>
  <c r="J188" i="6"/>
  <c r="I188" i="6"/>
  <c r="H188" i="6"/>
  <c r="G188" i="6"/>
  <c r="F188" i="6"/>
  <c r="E188" i="6"/>
  <c r="E183" i="6"/>
  <c r="F183" i="6"/>
  <c r="G183" i="6"/>
  <c r="I183" i="6"/>
  <c r="J183" i="6"/>
  <c r="D182" i="6"/>
  <c r="E33" i="6"/>
  <c r="E23" i="6" s="1"/>
  <c r="E13" i="6" s="1"/>
  <c r="E32" i="6"/>
  <c r="E22" i="6" s="1"/>
  <c r="E737" i="6"/>
  <c r="E732" i="6" s="1"/>
  <c r="F737" i="6"/>
  <c r="F732" i="6" s="1"/>
  <c r="F177" i="6"/>
  <c r="G177" i="6"/>
  <c r="H177" i="6"/>
  <c r="I177" i="6"/>
  <c r="J177" i="6"/>
  <c r="E177" i="6"/>
  <c r="D179" i="6"/>
  <c r="D178" i="6"/>
  <c r="E181" i="6"/>
  <c r="E35" i="6" s="1"/>
  <c r="D180" i="6"/>
  <c r="E394" i="6"/>
  <c r="F394" i="6"/>
  <c r="G394" i="6"/>
  <c r="H394" i="6"/>
  <c r="J394" i="6"/>
  <c r="E397" i="6"/>
  <c r="F397" i="6"/>
  <c r="G397" i="6"/>
  <c r="H397" i="6"/>
  <c r="J397" i="6"/>
  <c r="E398" i="6"/>
  <c r="F398" i="6"/>
  <c r="G398" i="6"/>
  <c r="H398" i="6"/>
  <c r="I398" i="6"/>
  <c r="J398" i="6"/>
  <c r="E130" i="6"/>
  <c r="D131" i="6"/>
  <c r="E61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08" i="6"/>
  <c r="F608" i="6"/>
  <c r="G608" i="6"/>
  <c r="H608" i="6"/>
  <c r="I608" i="6"/>
  <c r="J608" i="6"/>
  <c r="E603" i="6"/>
  <c r="F603" i="6"/>
  <c r="D592" i="6"/>
  <c r="J588" i="6"/>
  <c r="H588" i="6"/>
  <c r="G588" i="6"/>
  <c r="F588" i="6"/>
  <c r="E588" i="6"/>
  <c r="F586" i="6"/>
  <c r="G586" i="6"/>
  <c r="H586" i="6"/>
  <c r="I586" i="6"/>
  <c r="E586" i="6"/>
  <c r="E579" i="6" s="1"/>
  <c r="J739" i="6"/>
  <c r="H739" i="6"/>
  <c r="G739" i="6"/>
  <c r="F739" i="6"/>
  <c r="E739" i="6"/>
  <c r="E418" i="6"/>
  <c r="F418" i="6"/>
  <c r="G418" i="6"/>
  <c r="H418" i="6"/>
  <c r="I418" i="6"/>
  <c r="J418" i="6"/>
  <c r="D551" i="6"/>
  <c r="G545" i="6"/>
  <c r="G541" i="6"/>
  <c r="J541" i="6"/>
  <c r="H541" i="6"/>
  <c r="F541" i="6"/>
  <c r="E545" i="6"/>
  <c r="D591" i="6"/>
  <c r="I588" i="6"/>
  <c r="J80" i="5"/>
  <c r="J11" i="5" s="1"/>
  <c r="F587" i="6"/>
  <c r="G587" i="6"/>
  <c r="H587" i="6"/>
  <c r="I587" i="6"/>
  <c r="E587" i="6"/>
  <c r="F583" i="6"/>
  <c r="G583" i="6"/>
  <c r="H583" i="6"/>
  <c r="I583" i="6"/>
  <c r="J583" i="6"/>
  <c r="E583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3" i="6"/>
  <c r="E647" i="6"/>
  <c r="D647" i="6" s="1"/>
  <c r="E133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3" i="6"/>
  <c r="F553" i="6"/>
  <c r="G553" i="6"/>
  <c r="H553" i="6"/>
  <c r="I553" i="6"/>
  <c r="J553" i="6"/>
  <c r="E559" i="6"/>
  <c r="F559" i="6"/>
  <c r="G559" i="6"/>
  <c r="H559" i="6"/>
  <c r="I559" i="6"/>
  <c r="J559" i="6"/>
  <c r="F546" i="6"/>
  <c r="G546" i="6"/>
  <c r="H546" i="6"/>
  <c r="I546" i="6"/>
  <c r="J546" i="6"/>
  <c r="F579" i="6"/>
  <c r="G579" i="6"/>
  <c r="H579" i="6"/>
  <c r="I579" i="6"/>
  <c r="E151" i="6"/>
  <c r="F151" i="6"/>
  <c r="G151" i="6"/>
  <c r="H151" i="6"/>
  <c r="I151" i="6"/>
  <c r="J151" i="6"/>
  <c r="E159" i="6"/>
  <c r="E157" i="6" s="1"/>
  <c r="F159" i="6"/>
  <c r="F157" i="6" s="1"/>
  <c r="G159" i="6"/>
  <c r="G157" i="6" s="1"/>
  <c r="H159" i="6"/>
  <c r="H157" i="6" s="1"/>
  <c r="I159" i="6"/>
  <c r="J159" i="6"/>
  <c r="J157" i="6" s="1"/>
  <c r="D160" i="6"/>
  <c r="D159" i="6" s="1"/>
  <c r="D102" i="6"/>
  <c r="E638" i="6"/>
  <c r="J171" i="6"/>
  <c r="I171" i="6"/>
  <c r="H171" i="6"/>
  <c r="G171" i="6"/>
  <c r="E171" i="6"/>
  <c r="F171" i="6"/>
  <c r="D176" i="6"/>
  <c r="D175" i="6"/>
  <c r="J174" i="6"/>
  <c r="J170" i="6" s="1"/>
  <c r="I174" i="6"/>
  <c r="I170" i="6" s="1"/>
  <c r="H174" i="6"/>
  <c r="H170" i="6" s="1"/>
  <c r="G174" i="6"/>
  <c r="G170" i="6" s="1"/>
  <c r="F174" i="6"/>
  <c r="F170" i="6" s="1"/>
  <c r="E174" i="6"/>
  <c r="E170" i="6" s="1"/>
  <c r="D173" i="6"/>
  <c r="D172" i="6"/>
  <c r="E109" i="6"/>
  <c r="E105" i="6" s="1"/>
  <c r="D105" i="6" s="1"/>
  <c r="D54" i="6"/>
  <c r="D53" i="6"/>
  <c r="D52" i="6"/>
  <c r="D51" i="6"/>
  <c r="D50" i="6"/>
  <c r="J49" i="6"/>
  <c r="I49" i="6"/>
  <c r="H49" i="6"/>
  <c r="G49" i="6"/>
  <c r="F49" i="6"/>
  <c r="E49" i="6"/>
  <c r="F164" i="6"/>
  <c r="G164" i="6"/>
  <c r="H164" i="6"/>
  <c r="I164" i="6"/>
  <c r="J164" i="6"/>
  <c r="E164" i="6"/>
  <c r="D166" i="6"/>
  <c r="D165" i="6"/>
  <c r="F167" i="6"/>
  <c r="F34" i="6" s="1"/>
  <c r="G167" i="6"/>
  <c r="H167" i="6"/>
  <c r="H163" i="6" s="1"/>
  <c r="I167" i="6"/>
  <c r="I163" i="6" s="1"/>
  <c r="E167" i="6"/>
  <c r="E163" i="6" s="1"/>
  <c r="D169" i="6"/>
  <c r="D168" i="6"/>
  <c r="F137" i="6"/>
  <c r="G137" i="6"/>
  <c r="H137" i="6"/>
  <c r="I137" i="6"/>
  <c r="J137" i="6"/>
  <c r="E137" i="6"/>
  <c r="D141" i="6"/>
  <c r="E140" i="6"/>
  <c r="D140" i="6" s="1"/>
  <c r="D139" i="6"/>
  <c r="D134" i="6"/>
  <c r="D132" i="6"/>
  <c r="J130" i="6"/>
  <c r="J127" i="6" s="1"/>
  <c r="I130" i="6"/>
  <c r="I127" i="6" s="1"/>
  <c r="H130" i="6"/>
  <c r="H127" i="6" s="1"/>
  <c r="G130" i="6"/>
  <c r="G127" i="6" s="1"/>
  <c r="F130" i="6"/>
  <c r="F127" i="6" s="1"/>
  <c r="J128" i="6"/>
  <c r="I128" i="6"/>
  <c r="H128" i="6"/>
  <c r="G128" i="6"/>
  <c r="F128" i="6"/>
  <c r="E148" i="6"/>
  <c r="D148" i="6" s="1"/>
  <c r="D125" i="6"/>
  <c r="D124" i="6"/>
  <c r="D123" i="6"/>
  <c r="J122" i="6"/>
  <c r="I122" i="6"/>
  <c r="H122" i="6"/>
  <c r="G122" i="6"/>
  <c r="F122" i="6"/>
  <c r="E122" i="6"/>
  <c r="J120" i="6"/>
  <c r="J119" i="6" s="1"/>
  <c r="I120" i="6"/>
  <c r="I119" i="6" s="1"/>
  <c r="H120" i="6"/>
  <c r="H119" i="6" s="1"/>
  <c r="G120" i="6"/>
  <c r="G119" i="6" s="1"/>
  <c r="F120" i="6"/>
  <c r="F119" i="6" s="1"/>
  <c r="E120" i="6"/>
  <c r="E119" i="6" s="1"/>
  <c r="F113" i="6"/>
  <c r="F112" i="6" s="1"/>
  <c r="G113" i="6"/>
  <c r="G112" i="6" s="1"/>
  <c r="H113" i="6"/>
  <c r="H112" i="6" s="1"/>
  <c r="I113" i="6"/>
  <c r="I112" i="6" s="1"/>
  <c r="J113" i="6"/>
  <c r="J112" i="6" s="1"/>
  <c r="E113" i="6"/>
  <c r="E112" i="6" s="1"/>
  <c r="E116" i="6"/>
  <c r="D116" i="6" s="1"/>
  <c r="D117" i="6"/>
  <c r="D115" i="6"/>
  <c r="D98" i="6"/>
  <c r="D97" i="6"/>
  <c r="D96" i="6"/>
  <c r="D95" i="6"/>
  <c r="E94" i="6"/>
  <c r="D94" i="6" s="1"/>
  <c r="J93" i="6"/>
  <c r="I93" i="6"/>
  <c r="H93" i="6"/>
  <c r="G93" i="6"/>
  <c r="F93" i="6"/>
  <c r="E87" i="6"/>
  <c r="D87" i="6" s="1"/>
  <c r="E106" i="6"/>
  <c r="D106" i="6" s="1"/>
  <c r="F144" i="6"/>
  <c r="G144" i="6"/>
  <c r="H144" i="6"/>
  <c r="I144" i="6"/>
  <c r="J144" i="6"/>
  <c r="E144" i="6"/>
  <c r="F146" i="6"/>
  <c r="F143" i="6" s="1"/>
  <c r="G146" i="6"/>
  <c r="G143" i="6" s="1"/>
  <c r="H146" i="6"/>
  <c r="H143" i="6" s="1"/>
  <c r="I146" i="6"/>
  <c r="I143" i="6" s="1"/>
  <c r="J146" i="6"/>
  <c r="J143" i="6" s="1"/>
  <c r="E146" i="6"/>
  <c r="D147" i="6"/>
  <c r="D149" i="6"/>
  <c r="D110" i="6"/>
  <c r="D108" i="6"/>
  <c r="D92" i="6"/>
  <c r="D91" i="6"/>
  <c r="D90" i="6"/>
  <c r="D89" i="6"/>
  <c r="E88" i="6"/>
  <c r="D88" i="6" s="1"/>
  <c r="J86" i="6"/>
  <c r="I86" i="6"/>
  <c r="H86" i="6"/>
  <c r="G86" i="6"/>
  <c r="F86" i="6"/>
  <c r="D85" i="6"/>
  <c r="D84" i="6"/>
  <c r="D83" i="6"/>
  <c r="D82" i="6"/>
  <c r="E81" i="6"/>
  <c r="D81" i="6" s="1"/>
  <c r="J80" i="6"/>
  <c r="I80" i="6"/>
  <c r="H80" i="6"/>
  <c r="G80" i="6"/>
  <c r="F80" i="6"/>
  <c r="D76" i="6"/>
  <c r="D79" i="6"/>
  <c r="D78" i="6"/>
  <c r="D77" i="6"/>
  <c r="D75" i="6"/>
  <c r="E74" i="6"/>
  <c r="D74" i="6" s="1"/>
  <c r="J73" i="6"/>
  <c r="I73" i="6"/>
  <c r="H73" i="6"/>
  <c r="G73" i="6"/>
  <c r="F73" i="6"/>
  <c r="D155" i="6"/>
  <c r="D162" i="6"/>
  <c r="D161" i="6"/>
  <c r="D158" i="6"/>
  <c r="D156" i="6"/>
  <c r="D154" i="6"/>
  <c r="D153" i="6"/>
  <c r="D152" i="6"/>
  <c r="J55" i="6"/>
  <c r="I55" i="6"/>
  <c r="H55" i="6"/>
  <c r="G55" i="6"/>
  <c r="F55" i="6"/>
  <c r="E55" i="6"/>
  <c r="E68" i="6"/>
  <c r="D68" i="6" s="1"/>
  <c r="G67" i="6"/>
  <c r="H67" i="6"/>
  <c r="I67" i="6"/>
  <c r="J67" i="6"/>
  <c r="F67" i="6"/>
  <c r="D104" i="6"/>
  <c r="D103" i="6"/>
  <c r="D101" i="6"/>
  <c r="D100" i="6"/>
  <c r="J99" i="6"/>
  <c r="I99" i="6"/>
  <c r="H99" i="6"/>
  <c r="G99" i="6"/>
  <c r="F99" i="6"/>
  <c r="E99" i="6"/>
  <c r="H730" i="6"/>
  <c r="H731" i="6"/>
  <c r="H733" i="6"/>
  <c r="G730" i="6"/>
  <c r="G731" i="6"/>
  <c r="G733" i="6"/>
  <c r="E734" i="6"/>
  <c r="I733" i="6"/>
  <c r="E733" i="6"/>
  <c r="F733" i="6"/>
  <c r="F730" i="6"/>
  <c r="F731" i="6"/>
  <c r="I731" i="6"/>
  <c r="E731" i="6"/>
  <c r="J730" i="6"/>
  <c r="I730" i="6"/>
  <c r="E730" i="6"/>
  <c r="G638" i="6"/>
  <c r="F638" i="6"/>
  <c r="E628" i="6"/>
  <c r="G613" i="6"/>
  <c r="E613" i="6"/>
  <c r="F613" i="6"/>
  <c r="H613" i="6"/>
  <c r="I613" i="6"/>
  <c r="J613" i="6"/>
  <c r="J593" i="6"/>
  <c r="G593" i="6"/>
  <c r="F593" i="6"/>
  <c r="E593" i="6"/>
  <c r="I581" i="6"/>
  <c r="G581" i="6"/>
  <c r="F581" i="6"/>
  <c r="E581" i="6"/>
  <c r="J575" i="6"/>
  <c r="H575" i="6"/>
  <c r="G575" i="6"/>
  <c r="F575" i="6"/>
  <c r="J530" i="6"/>
  <c r="I530" i="6"/>
  <c r="H530" i="6"/>
  <c r="G530" i="6"/>
  <c r="F530" i="6"/>
  <c r="E530" i="6"/>
  <c r="J525" i="6"/>
  <c r="I525" i="6"/>
  <c r="H525" i="6"/>
  <c r="G525" i="6"/>
  <c r="F525" i="6"/>
  <c r="E525" i="6"/>
  <c r="J517" i="6"/>
  <c r="I517" i="6"/>
  <c r="H517" i="6"/>
  <c r="G517" i="6"/>
  <c r="F517" i="6"/>
  <c r="J451" i="6"/>
  <c r="H451" i="6"/>
  <c r="G451" i="6"/>
  <c r="F451" i="6"/>
  <c r="E451" i="6"/>
  <c r="J444" i="6"/>
  <c r="I444" i="6"/>
  <c r="H444" i="6"/>
  <c r="G444" i="6"/>
  <c r="F444" i="6"/>
  <c r="E444" i="6"/>
  <c r="J408" i="6"/>
  <c r="I408" i="6"/>
  <c r="H408" i="6"/>
  <c r="G408" i="6"/>
  <c r="F408" i="6"/>
  <c r="E408" i="6"/>
  <c r="J113" i="5"/>
  <c r="K113" i="5"/>
  <c r="E547" i="6"/>
  <c r="D44" i="6"/>
  <c r="G584" i="6"/>
  <c r="G576" i="6" s="1"/>
  <c r="E584" i="6"/>
  <c r="E576" i="6" s="1"/>
  <c r="J163" i="6"/>
  <c r="D41" i="6"/>
  <c r="G628" i="6"/>
  <c r="H638" i="6"/>
  <c r="H593" i="6"/>
  <c r="F628" i="6"/>
  <c r="M113" i="5"/>
  <c r="F37" i="6"/>
  <c r="E37" i="6"/>
  <c r="H37" i="6"/>
  <c r="L113" i="5"/>
  <c r="I37" i="6"/>
  <c r="I638" i="6"/>
  <c r="J638" i="6"/>
  <c r="H628" i="6"/>
  <c r="I157" i="6"/>
  <c r="J35" i="6"/>
  <c r="J37" i="6"/>
  <c r="H603" i="6"/>
  <c r="I603" i="6"/>
  <c r="J628" i="6"/>
  <c r="J603" i="6"/>
  <c r="O78" i="5"/>
  <c r="L574" i="6"/>
  <c r="I456" i="6"/>
  <c r="D459" i="6"/>
  <c r="H97" i="5"/>
  <c r="I79" i="5"/>
  <c r="L519" i="6"/>
  <c r="L17" i="6" s="1"/>
  <c r="L732" i="6"/>
  <c r="K90" i="5"/>
  <c r="G19" i="6"/>
  <c r="L114" i="5"/>
  <c r="L89" i="5"/>
  <c r="L170" i="6"/>
  <c r="N81" i="5"/>
  <c r="I89" i="5"/>
  <c r="D635" i="6"/>
  <c r="S15" i="5"/>
  <c r="K705" i="6"/>
  <c r="K704" i="6" s="1"/>
  <c r="D447" i="6"/>
  <c r="D713" i="6"/>
  <c r="G705" i="6"/>
  <c r="I704" i="6"/>
  <c r="I81" i="5"/>
  <c r="P79" i="5"/>
  <c r="M603" i="6"/>
  <c r="D133" i="6"/>
  <c r="I80" i="5"/>
  <c r="I11" i="5" s="1"/>
  <c r="O77" i="5"/>
  <c r="R90" i="5"/>
  <c r="J691" i="6"/>
  <c r="O576" i="6"/>
  <c r="N520" i="6"/>
  <c r="S79" i="5"/>
  <c r="R118" i="5"/>
  <c r="S118" i="5" s="1"/>
  <c r="S113" i="5" s="1"/>
  <c r="Q115" i="5"/>
  <c r="R115" i="5" s="1"/>
  <c r="I523" i="6"/>
  <c r="I518" i="6" s="1"/>
  <c r="D533" i="6"/>
  <c r="H68" i="5"/>
  <c r="M66" i="5"/>
  <c r="P618" i="6"/>
  <c r="D616" i="6"/>
  <c r="M115" i="5"/>
  <c r="M114" i="5" s="1"/>
  <c r="H19" i="6"/>
  <c r="H87" i="5"/>
  <c r="M84" i="5"/>
  <c r="M77" i="5" s="1"/>
  <c r="N603" i="6"/>
  <c r="O603" i="6"/>
  <c r="L31" i="6" l="1"/>
  <c r="N31" i="6"/>
  <c r="M31" i="6"/>
  <c r="M21" i="6" s="1"/>
  <c r="H564" i="6"/>
  <c r="J395" i="6"/>
  <c r="G564" i="6"/>
  <c r="D588" i="6"/>
  <c r="D565" i="6"/>
  <c r="G547" i="6"/>
  <c r="I395" i="6"/>
  <c r="J690" i="6"/>
  <c r="M170" i="6"/>
  <c r="K691" i="6"/>
  <c r="I709" i="6"/>
  <c r="G704" i="6"/>
  <c r="I593" i="6"/>
  <c r="F24" i="6"/>
  <c r="I25" i="6"/>
  <c r="I15" i="6" s="1"/>
  <c r="J403" i="6"/>
  <c r="I413" i="6"/>
  <c r="D413" i="6" s="1"/>
  <c r="J618" i="6"/>
  <c r="D464" i="6"/>
  <c r="O461" i="6"/>
  <c r="D405" i="6"/>
  <c r="N24" i="6"/>
  <c r="K21" i="6"/>
  <c r="H84" i="5"/>
  <c r="L14" i="5"/>
  <c r="J14" i="5"/>
  <c r="Q83" i="5"/>
  <c r="Q116" i="5"/>
  <c r="R116" i="5" s="1"/>
  <c r="S116" i="5" s="1"/>
  <c r="D454" i="6"/>
  <c r="H106" i="5"/>
  <c r="D261" i="6"/>
  <c r="J705" i="6"/>
  <c r="J704" i="6" s="1"/>
  <c r="G709" i="6"/>
  <c r="R14" i="5"/>
  <c r="P77" i="5"/>
  <c r="O564" i="6"/>
  <c r="N547" i="6"/>
  <c r="D181" i="6"/>
  <c r="L28" i="6"/>
  <c r="N21" i="6"/>
  <c r="I543" i="6"/>
  <c r="E86" i="6"/>
  <c r="M515" i="6"/>
  <c r="O734" i="6"/>
  <c r="O732" i="6"/>
  <c r="H105" i="5"/>
  <c r="D415" i="6"/>
  <c r="O89" i="5"/>
  <c r="S14" i="5"/>
  <c r="S13" i="5" s="1"/>
  <c r="H46" i="5"/>
  <c r="E704" i="6"/>
  <c r="D550" i="6"/>
  <c r="H697" i="6"/>
  <c r="E136" i="6"/>
  <c r="N14" i="5"/>
  <c r="J89" i="5"/>
  <c r="N77" i="5"/>
  <c r="K77" i="5"/>
  <c r="J81" i="5"/>
  <c r="Q113" i="5"/>
  <c r="H48" i="5"/>
  <c r="H119" i="5"/>
  <c r="D638" i="6"/>
  <c r="E31" i="6"/>
  <c r="D608" i="6"/>
  <c r="O88" i="5"/>
  <c r="L77" i="5"/>
  <c r="K14" i="5"/>
  <c r="D598" i="6"/>
  <c r="D618" i="6"/>
  <c r="K438" i="6"/>
  <c r="H66" i="5"/>
  <c r="J114" i="5"/>
  <c r="N438" i="6"/>
  <c r="Q114" i="5"/>
  <c r="O114" i="5"/>
  <c r="F697" i="6"/>
  <c r="I576" i="6"/>
  <c r="Q90" i="5"/>
  <c r="V94" i="5"/>
  <c r="M80" i="5"/>
  <c r="M11" i="5" s="1"/>
  <c r="H92" i="5"/>
  <c r="D43" i="6"/>
  <c r="D587" i="6"/>
  <c r="I114" i="5"/>
  <c r="Q14" i="5"/>
  <c r="D535" i="6"/>
  <c r="D708" i="6"/>
  <c r="F704" i="6"/>
  <c r="I88" i="5"/>
  <c r="H83" i="5"/>
  <c r="D442" i="6"/>
  <c r="D742" i="6"/>
  <c r="L582" i="6"/>
  <c r="N582" i="6"/>
  <c r="M91" i="5"/>
  <c r="M90" i="5" s="1"/>
  <c r="H117" i="5"/>
  <c r="I441" i="6"/>
  <c r="D441" i="6" s="1"/>
  <c r="K81" i="5"/>
  <c r="J78" i="5"/>
  <c r="I739" i="6"/>
  <c r="F393" i="6"/>
  <c r="J79" i="5"/>
  <c r="M75" i="5"/>
  <c r="H75" i="5" s="1"/>
  <c r="K25" i="6"/>
  <c r="I77" i="5"/>
  <c r="S81" i="5"/>
  <c r="M734" i="6"/>
  <c r="M25" i="6"/>
  <c r="S77" i="5"/>
  <c r="M89" i="5"/>
  <c r="D628" i="6"/>
  <c r="J15" i="5"/>
  <c r="J13" i="5" s="1"/>
  <c r="N16" i="5"/>
  <c r="N90" i="5"/>
  <c r="O543" i="6"/>
  <c r="F709" i="6"/>
  <c r="D583" i="6"/>
  <c r="Q89" i="5"/>
  <c r="Q88" i="5" s="1"/>
  <c r="I15" i="5"/>
  <c r="I12" i="5" s="1"/>
  <c r="J584" i="6"/>
  <c r="J576" i="6" s="1"/>
  <c r="D703" i="6"/>
  <c r="D692" i="6"/>
  <c r="S12" i="5"/>
  <c r="R77" i="5"/>
  <c r="F690" i="6"/>
  <c r="J31" i="6"/>
  <c r="M74" i="5"/>
  <c r="M73" i="5" s="1"/>
  <c r="H73" i="5" s="1"/>
  <c r="D623" i="6"/>
  <c r="D423" i="6"/>
  <c r="L88" i="5"/>
  <c r="H94" i="5"/>
  <c r="N515" i="6"/>
  <c r="Q77" i="5"/>
  <c r="L12" i="5"/>
  <c r="Q15" i="5"/>
  <c r="J43" i="6"/>
  <c r="J34" i="6"/>
  <c r="I520" i="6"/>
  <c r="H82" i="5"/>
  <c r="E93" i="6"/>
  <c r="G31" i="6"/>
  <c r="P114" i="5"/>
  <c r="G543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3" i="6"/>
  <c r="I31" i="6"/>
  <c r="E34" i="6"/>
  <c r="E696" i="6"/>
  <c r="D696" i="6" s="1"/>
  <c r="P89" i="5"/>
  <c r="D586" i="6"/>
  <c r="I690" i="6"/>
  <c r="N113" i="5"/>
  <c r="H113" i="5" s="1"/>
  <c r="D144" i="6"/>
  <c r="D93" i="6"/>
  <c r="H34" i="6"/>
  <c r="D559" i="6"/>
  <c r="I78" i="5"/>
  <c r="I10" i="5" s="1"/>
  <c r="E691" i="6"/>
  <c r="E697" i="6"/>
  <c r="U110" i="5"/>
  <c r="P90" i="5"/>
  <c r="D631" i="6"/>
  <c r="H40" i="5"/>
  <c r="K15" i="5"/>
  <c r="K12" i="5" s="1"/>
  <c r="E709" i="6"/>
  <c r="O15" i="5"/>
  <c r="O12" i="5" s="1"/>
  <c r="J481" i="6"/>
  <c r="D481" i="6" s="1"/>
  <c r="J479" i="6"/>
  <c r="J476" i="6" s="1"/>
  <c r="K88" i="5"/>
  <c r="G163" i="6"/>
  <c r="G34" i="6"/>
  <c r="I13" i="5"/>
  <c r="H118" i="5"/>
  <c r="I9" i="5"/>
  <c r="M14" i="5"/>
  <c r="H91" i="5"/>
  <c r="H61" i="5"/>
  <c r="D584" i="6"/>
  <c r="R81" i="5"/>
  <c r="O81" i="5"/>
  <c r="D109" i="6"/>
  <c r="D525" i="6"/>
  <c r="E729" i="6"/>
  <c r="D67" i="6"/>
  <c r="F31" i="6"/>
  <c r="F28" i="6" s="1"/>
  <c r="D128" i="6"/>
  <c r="J77" i="5"/>
  <c r="K114" i="5"/>
  <c r="K10" i="5" s="1"/>
  <c r="K9" i="5" s="1"/>
  <c r="H93" i="5"/>
  <c r="L81" i="5"/>
  <c r="G691" i="6"/>
  <c r="G697" i="6"/>
  <c r="L25" i="6"/>
  <c r="S88" i="5"/>
  <c r="M564" i="6"/>
  <c r="H547" i="6"/>
  <c r="H709" i="6"/>
  <c r="N393" i="6"/>
  <c r="R89" i="5"/>
  <c r="R88" i="5" s="1"/>
  <c r="N114" i="5"/>
  <c r="M81" i="5"/>
  <c r="M582" i="6"/>
  <c r="K690" i="6"/>
  <c r="D737" i="6"/>
  <c r="L520" i="6"/>
  <c r="O438" i="6"/>
  <c r="H31" i="6"/>
  <c r="H21" i="6" s="1"/>
  <c r="E520" i="6"/>
  <c r="J582" i="6"/>
  <c r="L80" i="5"/>
  <c r="L11" i="5" s="1"/>
  <c r="D61" i="6"/>
  <c r="P63" i="6" s="1"/>
  <c r="E29" i="6"/>
  <c r="E28" i="6" s="1"/>
  <c r="N89" i="5"/>
  <c r="H116" i="5"/>
  <c r="H25" i="6"/>
  <c r="O14" i="5"/>
  <c r="H17" i="5"/>
  <c r="I697" i="6"/>
  <c r="H18" i="5"/>
  <c r="R15" i="5"/>
  <c r="R13" i="5" s="1"/>
  <c r="I34" i="6"/>
  <c r="P15" i="5"/>
  <c r="P12" i="5" s="1"/>
  <c r="E544" i="6"/>
  <c r="H705" i="6"/>
  <c r="H704" i="6" s="1"/>
  <c r="I585" i="6"/>
  <c r="N15" i="5"/>
  <c r="K564" i="6"/>
  <c r="K547" i="6"/>
  <c r="D566" i="6"/>
  <c r="D694" i="6"/>
  <c r="J564" i="6"/>
  <c r="J547" i="6"/>
  <c r="J578" i="6"/>
  <c r="J574" i="6" s="1"/>
  <c r="K496" i="6"/>
  <c r="M496" i="6"/>
  <c r="D99" i="6"/>
  <c r="D55" i="6"/>
  <c r="D739" i="6"/>
  <c r="E25" i="6"/>
  <c r="E15" i="6" s="1"/>
  <c r="F438" i="6"/>
  <c r="D233" i="6"/>
  <c r="D238" i="6"/>
  <c r="D177" i="6"/>
  <c r="D183" i="6"/>
  <c r="D248" i="6"/>
  <c r="D203" i="6"/>
  <c r="K543" i="6"/>
  <c r="I547" i="6"/>
  <c r="O393" i="6"/>
  <c r="L438" i="6"/>
  <c r="F734" i="6"/>
  <c r="M574" i="6"/>
  <c r="D575" i="6"/>
  <c r="M542" i="6"/>
  <c r="D568" i="6"/>
  <c r="D552" i="6"/>
  <c r="D567" i="6"/>
  <c r="M547" i="6"/>
  <c r="D548" i="6"/>
  <c r="D553" i="6"/>
  <c r="N543" i="6"/>
  <c r="J515" i="6"/>
  <c r="O520" i="6"/>
  <c r="D522" i="6"/>
  <c r="D130" i="6"/>
  <c r="D33" i="6"/>
  <c r="D174" i="6"/>
  <c r="D451" i="6"/>
  <c r="D164" i="6"/>
  <c r="H393" i="6"/>
  <c r="N19" i="6"/>
  <c r="E127" i="6"/>
  <c r="D127" i="6" s="1"/>
  <c r="D35" i="6"/>
  <c r="J25" i="6"/>
  <c r="E73" i="6"/>
  <c r="D37" i="6"/>
  <c r="D208" i="6"/>
  <c r="D218" i="6"/>
  <c r="D223" i="6"/>
  <c r="N25" i="6"/>
  <c r="E476" i="6"/>
  <c r="L476" i="6"/>
  <c r="H476" i="6"/>
  <c r="D497" i="6"/>
  <c r="D498" i="6"/>
  <c r="D113" i="6"/>
  <c r="D167" i="6"/>
  <c r="D49" i="6"/>
  <c r="G393" i="6"/>
  <c r="M438" i="6"/>
  <c r="M19" i="6"/>
  <c r="E288" i="6"/>
  <c r="D288" i="6" s="1"/>
  <c r="D263" i="6"/>
  <c r="D706" i="6"/>
  <c r="D581" i="6"/>
  <c r="M729" i="6"/>
  <c r="O729" i="6"/>
  <c r="N729" i="6"/>
  <c r="K576" i="6"/>
  <c r="D521" i="6"/>
  <c r="K520" i="6"/>
  <c r="F520" i="6"/>
  <c r="D479" i="6"/>
  <c r="D523" i="6"/>
  <c r="D477" i="6"/>
  <c r="H520" i="6"/>
  <c r="J24" i="6"/>
  <c r="F25" i="6"/>
  <c r="F15" i="6" s="1"/>
  <c r="G438" i="6"/>
  <c r="G515" i="6"/>
  <c r="D524" i="6"/>
  <c r="M520" i="6"/>
  <c r="J21" i="6"/>
  <c r="J11" i="6" s="1"/>
  <c r="J438" i="6"/>
  <c r="D545" i="6"/>
  <c r="O547" i="6"/>
  <c r="I564" i="6"/>
  <c r="F547" i="6"/>
  <c r="I541" i="6"/>
  <c r="D541" i="6" s="1"/>
  <c r="I542" i="6"/>
  <c r="O542" i="6"/>
  <c r="J544" i="6"/>
  <c r="D549" i="6"/>
  <c r="G542" i="6"/>
  <c r="F564" i="6"/>
  <c r="E564" i="6"/>
  <c r="L542" i="6"/>
  <c r="D120" i="6"/>
  <c r="N170" i="6"/>
  <c r="E67" i="6"/>
  <c r="D32" i="6"/>
  <c r="D30" i="6"/>
  <c r="D146" i="6"/>
  <c r="D136" i="6"/>
  <c r="O25" i="6"/>
  <c r="J734" i="6"/>
  <c r="L729" i="6"/>
  <c r="D698" i="6"/>
  <c r="D731" i="6"/>
  <c r="D707" i="6"/>
  <c r="I544" i="6"/>
  <c r="F542" i="6"/>
  <c r="F9" i="6" s="1"/>
  <c r="H544" i="6"/>
  <c r="N542" i="6"/>
  <c r="K544" i="6"/>
  <c r="O515" i="6"/>
  <c r="G520" i="6"/>
  <c r="L393" i="6"/>
  <c r="D444" i="6"/>
  <c r="D80" i="6"/>
  <c r="D73" i="6"/>
  <c r="H578" i="6"/>
  <c r="H574" i="6" s="1"/>
  <c r="H582" i="6"/>
  <c r="D603" i="6"/>
  <c r="D593" i="6"/>
  <c r="E80" i="6"/>
  <c r="E143" i="6"/>
  <c r="D143" i="6" s="1"/>
  <c r="D170" i="6"/>
  <c r="I515" i="6"/>
  <c r="D213" i="6"/>
  <c r="K515" i="6"/>
  <c r="H691" i="6"/>
  <c r="H690" i="6" s="1"/>
  <c r="H438" i="6"/>
  <c r="G476" i="6"/>
  <c r="F496" i="6"/>
  <c r="J496" i="6"/>
  <c r="D268" i="6"/>
  <c r="M543" i="6"/>
  <c r="D396" i="6"/>
  <c r="D456" i="6"/>
  <c r="D440" i="6"/>
  <c r="E496" i="6"/>
  <c r="D293" i="6"/>
  <c r="D408" i="6"/>
  <c r="D730" i="6"/>
  <c r="F729" i="6"/>
  <c r="D171" i="6"/>
  <c r="D403" i="6"/>
  <c r="E21" i="6"/>
  <c r="O476" i="6"/>
  <c r="L547" i="6"/>
  <c r="N574" i="6"/>
  <c r="G729" i="6"/>
  <c r="D86" i="6"/>
  <c r="D119" i="6"/>
  <c r="D122" i="6"/>
  <c r="E644" i="6"/>
  <c r="D644" i="6" s="1"/>
  <c r="D418" i="6"/>
  <c r="J393" i="6"/>
  <c r="E393" i="6"/>
  <c r="K393" i="6"/>
  <c r="D633" i="6"/>
  <c r="E438" i="6"/>
  <c r="I438" i="6"/>
  <c r="N734" i="6"/>
  <c r="D655" i="6"/>
  <c r="N476" i="6"/>
  <c r="I476" i="6"/>
  <c r="D480" i="6"/>
  <c r="N496" i="6"/>
  <c r="G496" i="6"/>
  <c r="F543" i="6"/>
  <c r="L543" i="6"/>
  <c r="D278" i="6"/>
  <c r="D283" i="6"/>
  <c r="J729" i="6"/>
  <c r="D733" i="6"/>
  <c r="K732" i="6"/>
  <c r="K729" i="6" s="1"/>
  <c r="H729" i="6"/>
  <c r="G578" i="6"/>
  <c r="G574" i="6" s="1"/>
  <c r="G582" i="6"/>
  <c r="F578" i="6"/>
  <c r="F574" i="6" s="1"/>
  <c r="F582" i="6"/>
  <c r="D613" i="6"/>
  <c r="E585" i="6"/>
  <c r="D650" i="6"/>
  <c r="O582" i="6"/>
  <c r="E542" i="6"/>
  <c r="F544" i="6"/>
  <c r="H543" i="6"/>
  <c r="D569" i="6"/>
  <c r="G544" i="6"/>
  <c r="H542" i="6"/>
  <c r="E543" i="6"/>
  <c r="K542" i="6"/>
  <c r="D519" i="6"/>
  <c r="H17" i="6"/>
  <c r="D17" i="6" s="1"/>
  <c r="F515" i="6"/>
  <c r="D516" i="6"/>
  <c r="D517" i="6"/>
  <c r="E515" i="6"/>
  <c r="L515" i="6"/>
  <c r="D518" i="6"/>
  <c r="D530" i="6"/>
  <c r="J520" i="6"/>
  <c r="H515" i="6"/>
  <c r="H496" i="6"/>
  <c r="D502" i="6"/>
  <c r="D461" i="6"/>
  <c r="L496" i="6"/>
  <c r="D503" i="6"/>
  <c r="G9" i="6"/>
  <c r="L19" i="6"/>
  <c r="J19" i="6"/>
  <c r="J9" i="6" s="1"/>
  <c r="K19" i="6"/>
  <c r="I393" i="6"/>
  <c r="M24" i="6"/>
  <c r="O21" i="6"/>
  <c r="O11" i="6" s="1"/>
  <c r="O19" i="6"/>
  <c r="D500" i="6"/>
  <c r="D398" i="6"/>
  <c r="F476" i="6"/>
  <c r="D478" i="6"/>
  <c r="D439" i="6"/>
  <c r="D394" i="6"/>
  <c r="M393" i="6"/>
  <c r="D397" i="6"/>
  <c r="O496" i="6"/>
  <c r="F10" i="6"/>
  <c r="D10" i="6" s="1"/>
  <c r="D20" i="6"/>
  <c r="E12" i="6"/>
  <c r="D22" i="6"/>
  <c r="O28" i="6"/>
  <c r="O24" i="6"/>
  <c r="O14" i="6" s="1"/>
  <c r="D112" i="6"/>
  <c r="D193" i="6"/>
  <c r="D198" i="6"/>
  <c r="D253" i="6"/>
  <c r="D243" i="6"/>
  <c r="D273" i="6"/>
  <c r="D151" i="6"/>
  <c r="D188" i="6"/>
  <c r="D157" i="6"/>
  <c r="D228" i="6"/>
  <c r="D258" i="6"/>
  <c r="K476" i="6"/>
  <c r="O574" i="6"/>
  <c r="I729" i="6"/>
  <c r="J12" i="5"/>
  <c r="D137" i="6"/>
  <c r="E60" i="6"/>
  <c r="D60" i="6" s="1"/>
  <c r="H54" i="5"/>
  <c r="P81" i="5"/>
  <c r="D710" i="6"/>
  <c r="M16" i="5"/>
  <c r="I19" i="6"/>
  <c r="D395" i="6" l="1"/>
  <c r="D393" i="6" s="1"/>
  <c r="L9" i="6"/>
  <c r="I21" i="6"/>
  <c r="I11" i="6" s="1"/>
  <c r="N540" i="6"/>
  <c r="D29" i="6"/>
  <c r="F21" i="6"/>
  <c r="F18" i="6" s="1"/>
  <c r="Q79" i="5"/>
  <c r="H79" i="5" s="1"/>
  <c r="Q81" i="5"/>
  <c r="E24" i="6"/>
  <c r="D34" i="6"/>
  <c r="K14" i="6"/>
  <c r="K574" i="6"/>
  <c r="K11" i="6"/>
  <c r="L21" i="6"/>
  <c r="L11" i="6" s="1"/>
  <c r="O9" i="6"/>
  <c r="O8" i="6" s="1"/>
  <c r="I24" i="6"/>
  <c r="L9" i="5"/>
  <c r="H77" i="5"/>
  <c r="Q13" i="5"/>
  <c r="D704" i="6"/>
  <c r="D705" i="6"/>
  <c r="H115" i="5"/>
  <c r="J28" i="6"/>
  <c r="G28" i="6"/>
  <c r="D438" i="6"/>
  <c r="U11" i="5"/>
  <c r="M9" i="6"/>
  <c r="H114" i="5"/>
  <c r="J10" i="5"/>
  <c r="P10" i="5"/>
  <c r="D163" i="6"/>
  <c r="G540" i="6"/>
  <c r="H80" i="5"/>
  <c r="M14" i="6"/>
  <c r="N88" i="5"/>
  <c r="K13" i="5"/>
  <c r="H14" i="5"/>
  <c r="P13" i="5"/>
  <c r="E690" i="6"/>
  <c r="H74" i="5"/>
  <c r="H78" i="5"/>
  <c r="S9" i="5"/>
  <c r="H11" i="5"/>
  <c r="P9" i="5"/>
  <c r="N11" i="6"/>
  <c r="O540" i="6"/>
  <c r="D691" i="6"/>
  <c r="D697" i="6"/>
  <c r="H90" i="5"/>
  <c r="G690" i="6"/>
  <c r="N28" i="6"/>
  <c r="R12" i="5"/>
  <c r="R9" i="5" s="1"/>
  <c r="H81" i="5"/>
  <c r="P88" i="5"/>
  <c r="H88" i="5" s="1"/>
  <c r="G24" i="6"/>
  <c r="G14" i="6" s="1"/>
  <c r="I582" i="6"/>
  <c r="I578" i="6"/>
  <c r="I574" i="6" s="1"/>
  <c r="M10" i="5"/>
  <c r="D709" i="6"/>
  <c r="K540" i="6"/>
  <c r="I28" i="6"/>
  <c r="N12" i="5"/>
  <c r="O13" i="5"/>
  <c r="N10" i="5"/>
  <c r="H89" i="5"/>
  <c r="O10" i="5"/>
  <c r="O9" i="5" s="1"/>
  <c r="N13" i="5"/>
  <c r="D476" i="6"/>
  <c r="D543" i="6"/>
  <c r="D25" i="6"/>
  <c r="H11" i="6"/>
  <c r="M540" i="6"/>
  <c r="J14" i="6"/>
  <c r="J8" i="6" s="1"/>
  <c r="G21" i="6"/>
  <c r="E19" i="6"/>
  <c r="D732" i="6"/>
  <c r="P729" i="6" s="1"/>
  <c r="D734" i="6"/>
  <c r="D542" i="6"/>
  <c r="I540" i="6"/>
  <c r="N9" i="6"/>
  <c r="L540" i="6"/>
  <c r="D547" i="6"/>
  <c r="E546" i="6"/>
  <c r="D546" i="6" s="1"/>
  <c r="D564" i="6"/>
  <c r="E11" i="6"/>
  <c r="D520" i="6"/>
  <c r="L24" i="6"/>
  <c r="L14" i="6" s="1"/>
  <c r="N18" i="6"/>
  <c r="J540" i="6"/>
  <c r="N14" i="6"/>
  <c r="D576" i="6"/>
  <c r="D515" i="6"/>
  <c r="D729" i="6"/>
  <c r="D496" i="6"/>
  <c r="D31" i="6"/>
  <c r="M11" i="6"/>
  <c r="M28" i="6"/>
  <c r="E578" i="6"/>
  <c r="E582" i="6"/>
  <c r="D585" i="6"/>
  <c r="F14" i="6"/>
  <c r="D544" i="6"/>
  <c r="F540" i="6"/>
  <c r="K9" i="6"/>
  <c r="H540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0" i="6"/>
  <c r="D28" i="6"/>
  <c r="L18" i="6"/>
  <c r="N9" i="5"/>
  <c r="D19" i="6"/>
  <c r="D582" i="6"/>
  <c r="E9" i="6"/>
  <c r="D9" i="6" s="1"/>
  <c r="G18" i="6"/>
  <c r="G11" i="6"/>
  <c r="G8" i="6" s="1"/>
  <c r="N8" i="6"/>
  <c r="F8" i="6"/>
  <c r="E540" i="6"/>
  <c r="D540" i="6" s="1"/>
  <c r="D24" i="6"/>
  <c r="M18" i="6"/>
  <c r="E574" i="6"/>
  <c r="D574" i="6" s="1"/>
  <c r="D578" i="6"/>
  <c r="H15" i="5"/>
  <c r="M12" i="5"/>
  <c r="M13" i="5"/>
  <c r="H13" i="5" s="1"/>
  <c r="H14" i="6"/>
  <c r="H8" i="6" s="1"/>
  <c r="H18" i="6"/>
  <c r="D14" i="6" l="1"/>
  <c r="E8" i="6"/>
  <c r="D11" i="6"/>
  <c r="D8" i="6" s="1"/>
  <c r="D18" i="6"/>
  <c r="H12" i="5"/>
  <c r="M9" i="5"/>
  <c r="H9" i="5" s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0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6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78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3" authorId="1">
      <text/>
    </comment>
    <comment ref="B293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29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6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699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1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2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<sst xmlns="http://schemas.openxmlformats.org/spreadsheetml/2006/main" count="1644" uniqueCount="451">
  <si>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</si>
  <si>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</si>
  <si>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</si>
  <si>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</si>
  <si>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</si>
  <si>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</si>
  <si>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</si>
  <si>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</si>
  <si>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</si>
  <si>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</si>
  <si>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</si>
  <si>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</si>
  <si>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</si>
  <si>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</si>
  <si>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</si>
  <si>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</si>
  <si>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</si>
  <si>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</si>
  <si>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</si>
  <si>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</si>
  <si>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</si>
  <si>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</si>
  <si>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</si>
  <si>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</si>
  <si>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</si>
  <si>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</si>
  <si>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</si>
  <si>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</si>
  <si>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</si>
  <si>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</si>
  <si>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</si>
  <si>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</si>
  <si>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</si>
  <si>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</si>
  <si>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</si>
  <si>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</si>
  <si>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</si>
  <si>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</si>
  <si>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</si>
  <si>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</si>
  <si>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</si>
  <si>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</si>
  <si>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</si>
  <si>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</si>
  <si>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</si>
  <si>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</si>
  <si>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</si>
  <si>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</si>
  <si>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</si>
  <si>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</si>
  <si>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</si>
  <si>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</si>
  <si>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</si>
  <si>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</si>
  <si>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</si>
  <si>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</si>
  <si>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</si>
  <si>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</si>
  <si>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</si>
  <si>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</si>
  <si>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</si>
  <si>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</si>
  <si>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</si>
  <si>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</si>
  <si>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</si>
  <si>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</si>
  <si>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</si>
  <si>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</si>
  <si>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</si>
  <si>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</si>
  <si>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</si>
  <si>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</si>
  <si>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</si>
  <si>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</si>
  <si>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</si>
  <si>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</si>
  <si>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</si>
  <si>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</si>
  <si>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</si>
  <si>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</si>
  <si>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</si>
  <si>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</si>
  <si>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</si>
  <si>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</si>
  <si>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</si>
  <si>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</si>
  <si>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</si>
  <si>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</si>
  <si>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</si>
  <si>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</si>
  <si>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</si>
  <si>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</si>
  <si>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</si>
  <si>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</si>
  <si>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</si>
  <si>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</si>
  <si>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</si>
  <si>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</si>
  <si>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</si>
  <si>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</si>
  <si>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</si>
  <si>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</si>
  <si>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</si>
  <si>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</si>
  <si>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</si>
  <si>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</si>
  <si>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</si>
  <si>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</si>
  <si>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</si>
  <si>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</si>
  <si>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</si>
  <si>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</si>
  <si>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</si>
  <si>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</si>
  <si>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</si>
  <si>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</si>
  <si>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</si>
  <si>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</si>
  <si>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</si>
  <si>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</si>
  <si>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</si>
  <si>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</si>
  <si>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</si>
  <si>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</si>
  <si>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</si>
  <si>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</si>
  <si>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</si>
  <si>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</si>
  <si>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</si>
  <si>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</si>
  <si>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</si>
  <si>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</si>
  <si>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</si>
  <si>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</si>
  <si>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</si>
  <si>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</si>
  <si>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</si>
  <si>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</si>
  <si>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</si>
  <si>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</si>
  <si>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</si>
  <si>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</si>
  <si>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</si>
  <si>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</si>
  <si>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</si>
  <si>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</si>
  <si>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</si>
  <si>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</si>
  <si>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</si>
  <si>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</si>
  <si>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</si>
  <si>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</si>
  <si>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</si>
  <si>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</si>
  <si>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</si>
  <si>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</si>
  <si>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</si>
  <si>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</si>
  <si>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</si>
  <si>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</si>
  <si>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</si>
  <si>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</si>
  <si>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</si>
  <si>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</si>
  <si>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</si>
  <si>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</si>
  <si>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</si>
  <si>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</si>
  <si>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</si>
  <si>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</si>
  <si>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</si>
  <si>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</si>
  <si>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</si>
  <si>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</si>
  <si>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</si>
  <si>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</si>
  <si>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</si>
  <si>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</si>
  <si>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</si>
  <si>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</si>
  <si>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</si>
  <si>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</si>
  <si>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</si>
  <si>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</si>
  <si>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</si>
  <si>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</si>
  <si>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</si>
  <si>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</si>
  <si>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</si>
  <si>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</si>
  <si>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</si>
  <si>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</si>
  <si>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</si>
  <si>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</si>
  <si>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</si>
  <si>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</si>
  <si>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</si>
  <si>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</si>
  <si>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</si>
  <si>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</si>
  <si>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</si>
  <si>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</si>
  <si>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</si>
  <si>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</si>
  <si>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</si>
  <si>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</si>
  <si>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</si>
  <si>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</si>
  <si>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</si>
  <si>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</si>
  <si>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</si>
  <si>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</si>
  <si>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</si>
  <si>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</si>
  <si>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</si>
  <si>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</si>
  <si>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</si>
  <si>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</si>
  <si>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</si>
  <si>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</si>
  <si>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</si>
  <si>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</si>
  <si>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</si>
  <si>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</si>
  <si>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</si>
  <si>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</si>
  <si>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</si>
  <si>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</si>
  <si>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</si>
  <si>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</si>
  <si>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</si>
  <si>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</si>
  <si>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</si>
  <si>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</si>
  <si>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</si>
  <si>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</si>
  <si>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</si>
  <si>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</si>
  <si>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</si>
  <si>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</si>
  <si>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</si>
  <si>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</si>
  <si>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</si>
  <si>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</si>
  <si>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</si>
  <si>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</si>
  <si>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</si>
  <si>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</si>
  <si>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</si>
  <si>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</si>
  <si>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</si>
  <si>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</si>
  <si>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</si>
  <si>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</si>
  <si>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</si>
  <si>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</si>
  <si>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</si>
  <si>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</si>
  <si>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</si>
  <si>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</si>
  <si>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</si>
  <si>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</si>
  <si>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</si>
  <si>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</si>
  <si>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</si>
  <si>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</si>
  <si>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</si>
  <si>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</si>
  <si>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</si>
  <si>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</si>
  <si>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</si>
  <si>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</si>
  <si>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</si>
  <si>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</si>
  <si>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</si>
  <si>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</si>
  <si>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</si>
  <si>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</si>
  <si>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</si>
  <si>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</si>
  <si>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</si>
  <si>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</si>
  <si>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</si>
  <si>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</si>
  <si>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</si>
  <si>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</si>
  <si>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</si>
  <si>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</si>
  <si>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</si>
  <si>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</si>
  <si>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</si>
  <si>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</si>
  <si>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</si>
  <si>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</si>
  <si>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</si>
  <si>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</si>
  <si>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</si>
  <si>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</si>
  <si>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</si>
  <si>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</si>
  <si>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</si>
  <si>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</si>
  <si>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</si>
  <si>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</si>
  <si>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</si>
  <si>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</si>
  <si>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</si>
  <si>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</si>
  <si>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</si>
  <si>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</si>
  <si>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</si>
  <si>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</si>
  <si>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</si>
  <si>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</si>
  <si>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</si>
  <si>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</si>
  <si>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</si>
  <si>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</si>
  <si>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</si>
  <si>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</si>
  <si>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</si>
  <si>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</si>
  <si>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</si>
  <si>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</si>
  <si>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</si>
  <si>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</si>
  <si>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</si>
  <si>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</si>
  <si>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</si>
  <si>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</si>
  <si>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</si>
  <si>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</si>
  <si>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</si>
  <si>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</si>
  <si>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</si>
  <si>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</si>
  <si>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</si>
  <si>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</si>
  <si>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</si>
  <si>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</si>
  <si>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</si>
  <si>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</si>
  <si>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</si>
  <si>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</si>
  <si>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</si>
  <si>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</si>
  <si>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</si>
  <si>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</si>
  <si>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</si>
  <si>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</si>
  <si>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</si>
  <si>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</si>
  <si>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</si>
  <si>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</si>
  <si>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</si>
  <si>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</si>
  <si>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</si>
  <si>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</si>
  <si>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</si>
  <si>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</si>
  <si>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</si>
  <si>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</si>
  <si>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</si>
  <si>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</si>
  <si>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</si>
  <si>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</si>
  <si>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</si>
  <si>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</si>
  <si>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</si>
  <si>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</si>
  <si>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</si>
  <si>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</si>
  <si>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</si>
  <si>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</si>
  <si>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</si>
  <si>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</si>
  <si>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</si>
  <si>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</si>
  <si>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</si>
  <si>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</si>
  <si>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</si>
  <si>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</si>
  <si>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</si>
  <si>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</si>
  <si>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</si>
  <si>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</si>
  <si>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</si>
  <si>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</si>
  <si>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</si>
  <si>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</si>
  <si>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</si>
  <si>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</si>
  <si>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</si>
  <si>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</si>
  <si>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</si>
  <si>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</si>
  <si>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</si>
  <si>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</si>
  <si>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</si>
  <si>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</si>
  <si>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</si>
  <si>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</si>
  <si>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</si>
  <si>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</si>
  <si>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</si>
  <si>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</si>
  <si>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</si>
  <si>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</si>
  <si>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</si>
  <si>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</si>
  <si>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</si>
  <si>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</si>
  <si>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</si>
  <si>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</si>
  <si>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</si>
  <si>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</si>
  <si>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</si>
  <si>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</si>
  <si>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</si>
  <si>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</si>
  <si>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</si>
  <si>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</si>
  <si>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</si>
  <si>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</si>
  <si>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</si>
  <si>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</si>
  <si>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</si>
  <si>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</si>
  <si>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</si>
  <si>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</si>
  <si>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</si>
  <si>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</si>
  <si>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</si>
  <si>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</si>
  <si>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</si>
  <si>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</si>
  <si>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</si>
  <si>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</si>
  <si>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</si>
  <si>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</si>
  <si>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</si>
  <si>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</si>
  <si>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</si>
  <si>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</si>
  <si>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</si>
  <si>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</si>
  <si>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</si>
  <si>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</si>
  <si>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</si>
  <si>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</si>
  <si>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6   к постановлению администрации города Благовещенска   от 20.04.2023 № 1901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</si>
</sst>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  <font>
      <i/>
      <sz val="12"/>
      <color rgb="FFFF0000"/>
      <name val="Times New Roman"/>
      <family val="1"/>
      <charset val="204"/>
    </font>
    <font>
      <i/>
      <sz val="10"/>
      <color rgb="FFFF0000"/>
      <name val="Arial"/>
      <family val="2"/>
      <charset val="204"/>
    </font>
    <font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7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0" xfId="0" applyFont="1" applyFill="1"/>
    <xf numFmtId="165" fontId="2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2" t="s">
        <v>310</v>
      </c>
      <c r="P1" s="132"/>
      <c r="Q1" s="132"/>
      <c r="R1" s="132"/>
      <c r="S1" s="132"/>
      <c r="T1" s="9"/>
    </row>
    <row r="2" spans="1:21" ht="35.25" customHeight="1" x14ac:dyDescent="0.25">
      <c r="B2" s="7"/>
      <c r="O2" s="132" t="s">
        <v>311</v>
      </c>
      <c r="P2" s="132"/>
      <c r="Q2" s="132"/>
      <c r="R2" s="132"/>
      <c r="S2" s="132"/>
      <c r="T2" s="9"/>
    </row>
    <row r="3" spans="1:21" ht="17.25" customHeight="1" x14ac:dyDescent="0.25">
      <c r="B3" s="133" t="s">
        <v>0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</row>
    <row r="4" spans="1:21" ht="16.5" customHeight="1" x14ac:dyDescent="0.25">
      <c r="B4" s="134" t="s">
        <v>1</v>
      </c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</row>
    <row r="5" spans="1:21" ht="3" customHeight="1" x14ac:dyDescent="0.25">
      <c r="B5" s="11"/>
      <c r="M5" s="12"/>
      <c r="N5" s="33"/>
    </row>
    <row r="6" spans="1:21" ht="53.25" customHeight="1" x14ac:dyDescent="0.2">
      <c r="A6" s="129" t="s">
        <v>25</v>
      </c>
      <c r="B6" s="129" t="s">
        <v>93</v>
      </c>
      <c r="C6" s="129" t="s">
        <v>129</v>
      </c>
      <c r="D6" s="129" t="s">
        <v>2</v>
      </c>
      <c r="E6" s="129"/>
      <c r="F6" s="129"/>
      <c r="G6" s="129"/>
      <c r="H6" s="122" t="s">
        <v>3</v>
      </c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</row>
    <row r="7" spans="1:21" x14ac:dyDescent="0.2">
      <c r="A7" s="129"/>
      <c r="B7" s="129"/>
      <c r="C7" s="129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8" t="s">
        <v>26</v>
      </c>
      <c r="B9" s="118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8"/>
      <c r="B10" s="118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8"/>
      <c r="B11" s="118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8"/>
      <c r="B12" s="118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5" t="s">
        <v>30</v>
      </c>
      <c r="B13" s="118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0"/>
      <c r="B14" s="118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1"/>
      <c r="B15" s="118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6" t="s">
        <v>235</v>
      </c>
      <c r="B16" s="116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1"/>
      <c r="B17" s="12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5" t="s">
        <v>118</v>
      </c>
      <c r="B43" s="105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7"/>
      <c r="B44" s="107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8" t="s">
        <v>33</v>
      </c>
      <c r="B73" s="118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8"/>
      <c r="B74" s="128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8" t="s">
        <v>39</v>
      </c>
      <c r="B77" s="125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8"/>
      <c r="B78" s="126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8"/>
      <c r="B79" s="126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7"/>
      <c r="B80" s="127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6" t="s">
        <v>40</v>
      </c>
      <c r="B81" s="105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7"/>
      <c r="B82" s="119"/>
      <c r="C82" s="47" t="s">
        <v>84</v>
      </c>
      <c r="D82" s="43" t="s">
        <v>14</v>
      </c>
      <c r="E82" s="43" t="s">
        <v>23</v>
      </c>
      <c r="F82" s="112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7"/>
      <c r="B83" s="119"/>
      <c r="C83" s="47" t="s">
        <v>89</v>
      </c>
      <c r="D83" s="43" t="s">
        <v>47</v>
      </c>
      <c r="E83" s="43" t="s">
        <v>23</v>
      </c>
      <c r="F83" s="113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7"/>
      <c r="B84" s="120"/>
      <c r="C84" s="47" t="s">
        <v>86</v>
      </c>
      <c r="D84" s="43" t="s">
        <v>48</v>
      </c>
      <c r="E84" s="43" t="s">
        <v>23</v>
      </c>
      <c r="F84" s="113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6" t="s">
        <v>133</v>
      </c>
      <c r="B85" s="116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6"/>
      <c r="B86" s="116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8" t="s">
        <v>31</v>
      </c>
      <c r="B88" s="118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8"/>
      <c r="B89" s="118"/>
      <c r="C89" s="42" t="s">
        <v>89</v>
      </c>
      <c r="D89" s="43" t="s">
        <v>47</v>
      </c>
      <c r="E89" s="56" t="s">
        <v>244</v>
      </c>
      <c r="F89" s="114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8"/>
      <c r="B90" s="118"/>
      <c r="C90" s="47" t="s">
        <v>84</v>
      </c>
      <c r="D90" s="43" t="s">
        <v>14</v>
      </c>
      <c r="E90" s="56" t="s">
        <v>244</v>
      </c>
      <c r="F90" s="115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5" t="s">
        <v>34</v>
      </c>
      <c r="B91" s="105" t="s">
        <v>122</v>
      </c>
      <c r="C91" s="47" t="s">
        <v>84</v>
      </c>
      <c r="D91" s="43" t="s">
        <v>14</v>
      </c>
      <c r="E91" s="43" t="s">
        <v>35</v>
      </c>
      <c r="F91" s="112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6"/>
      <c r="B92" s="106"/>
      <c r="C92" s="47" t="s">
        <v>84</v>
      </c>
      <c r="D92" s="43" t="s">
        <v>14</v>
      </c>
      <c r="E92" s="43" t="s">
        <v>49</v>
      </c>
      <c r="F92" s="112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6"/>
      <c r="B93" s="106"/>
      <c r="C93" s="47" t="s">
        <v>89</v>
      </c>
      <c r="D93" s="43" t="s">
        <v>47</v>
      </c>
      <c r="E93" s="43" t="s">
        <v>35</v>
      </c>
      <c r="F93" s="112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7"/>
      <c r="B94" s="107"/>
      <c r="C94" s="47" t="s">
        <v>89</v>
      </c>
      <c r="D94" s="43" t="s">
        <v>47</v>
      </c>
      <c r="E94" s="43" t="s">
        <v>49</v>
      </c>
      <c r="F94" s="112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5" t="s">
        <v>267</v>
      </c>
      <c r="B103" s="105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6"/>
      <c r="B104" s="106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6"/>
      <c r="B105" s="106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7"/>
      <c r="B106" s="107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5" t="s">
        <v>282</v>
      </c>
      <c r="B109" s="105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7"/>
      <c r="B110" s="107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5" t="s">
        <v>284</v>
      </c>
      <c r="B111" s="105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7"/>
      <c r="B112" s="107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8" t="s">
        <v>42</v>
      </c>
      <c r="B113" s="104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8"/>
      <c r="B114" s="104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6" t="s">
        <v>334</v>
      </c>
      <c r="B115" s="108" t="s">
        <v>144</v>
      </c>
      <c r="C115" s="111" t="s">
        <v>84</v>
      </c>
      <c r="D115" s="103" t="s">
        <v>14</v>
      </c>
      <c r="E115" s="103" t="s">
        <v>41</v>
      </c>
      <c r="F115" s="113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6"/>
      <c r="B116" s="109"/>
      <c r="C116" s="111"/>
      <c r="D116" s="103"/>
      <c r="E116" s="103"/>
      <c r="F116" s="113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6"/>
      <c r="B117" s="110"/>
      <c r="C117" s="111"/>
      <c r="D117" s="103"/>
      <c r="E117" s="103"/>
      <c r="F117" s="113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5" t="s">
        <v>143</v>
      </c>
      <c r="B118" s="105" t="s">
        <v>56</v>
      </c>
      <c r="C118" s="116" t="s">
        <v>84</v>
      </c>
      <c r="D118" s="103" t="s">
        <v>14</v>
      </c>
      <c r="E118" s="103" t="s">
        <v>41</v>
      </c>
      <c r="F118" s="112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6"/>
      <c r="B119" s="106"/>
      <c r="C119" s="116"/>
      <c r="D119" s="103"/>
      <c r="E119" s="103"/>
      <c r="F119" s="112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7"/>
      <c r="B120" s="107"/>
      <c r="C120" s="116"/>
      <c r="D120" s="103"/>
      <c r="E120" s="103"/>
      <c r="F120" s="112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5"/>
  <sheetViews>
    <sheetView tabSelected="1" view="pageBreakPreview" zoomScale="85" zoomScaleNormal="85" zoomScaleSheetLayoutView="85" workbookViewId="0">
      <pane xSplit="2" ySplit="7" topLeftCell="C685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62" customWidth="1"/>
    <col min="2" max="2" width="54.28515625" style="63" customWidth="1"/>
    <col min="3" max="3" width="27.5703125" style="62" customWidth="1"/>
    <col min="4" max="4" width="17" style="66" customWidth="1"/>
    <col min="5" max="5" width="12.5703125" style="66" customWidth="1"/>
    <col min="6" max="6" width="11.42578125" style="66" customWidth="1"/>
    <col min="7" max="7" width="11.85546875" style="66" customWidth="1"/>
    <col min="8" max="8" width="13.140625" style="66" customWidth="1"/>
    <col min="9" max="9" width="11.42578125" style="66" customWidth="1"/>
    <col min="10" max="10" width="14" style="66" customWidth="1"/>
    <col min="11" max="11" width="13.42578125" style="66" bestFit="1" customWidth="1"/>
    <col min="12" max="12" width="15.85546875" style="66" customWidth="1"/>
    <col min="13" max="13" width="14.7109375" style="66" customWidth="1"/>
    <col min="14" max="14" width="13.140625" style="66" customWidth="1"/>
    <col min="15" max="15" width="12.85546875" style="66" customWidth="1"/>
    <col min="16" max="17" width="23.140625" style="66" hidden="1" customWidth="1"/>
    <col min="18" max="18" width="9.140625" style="66" hidden="1" customWidth="1"/>
    <col min="19" max="19" width="15.42578125" style="66" hidden="1" customWidth="1"/>
    <col min="20" max="20" width="20.5703125" style="66" hidden="1" customWidth="1"/>
    <col min="21" max="21" width="15.140625" style="66" hidden="1" customWidth="1"/>
    <col min="22" max="22" width="0" style="66" hidden="1" customWidth="1"/>
    <col min="23" max="23" width="17.7109375" style="66" customWidth="1"/>
    <col min="24" max="24" width="13.28515625" style="66" customWidth="1"/>
    <col min="25" max="16384" width="9.140625" style="66"/>
  </cols>
  <sheetData>
    <row r="1" spans="1:25" ht="40.5" customHeight="1" x14ac:dyDescent="0.2">
      <c r="D1" s="64"/>
      <c r="E1" s="65"/>
      <c r="G1" s="65"/>
      <c r="L1" s="132" t="s">
        <v>450</v>
      </c>
      <c r="M1" s="132"/>
      <c r="N1" s="132"/>
      <c r="O1" s="132"/>
    </row>
    <row r="2" spans="1:25" ht="27.75" customHeight="1" x14ac:dyDescent="0.2">
      <c r="E2" s="65"/>
      <c r="G2" s="65"/>
      <c r="I2" s="67"/>
      <c r="K2" s="66" t="s">
        <v>403</v>
      </c>
      <c r="L2" s="132" t="s">
        <v>311</v>
      </c>
      <c r="M2" s="132"/>
      <c r="N2" s="132"/>
      <c r="O2" s="132"/>
    </row>
    <row r="3" spans="1:25" ht="18.75" x14ac:dyDescent="0.3">
      <c r="B3" s="150" t="s">
        <v>368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</row>
    <row r="4" spans="1:25" x14ac:dyDescent="0.2">
      <c r="A4" s="155"/>
      <c r="B4" s="155"/>
      <c r="C4" s="155"/>
      <c r="D4" s="155"/>
      <c r="E4" s="155"/>
      <c r="F4" s="155"/>
      <c r="G4" s="155"/>
      <c r="H4" s="155"/>
      <c r="I4" s="155"/>
      <c r="J4" s="155"/>
      <c r="K4" s="68"/>
      <c r="L4" s="68"/>
      <c r="M4" s="69"/>
    </row>
    <row r="5" spans="1:25" ht="20.25" customHeight="1" x14ac:dyDescent="0.2">
      <c r="A5" s="151" t="s">
        <v>25</v>
      </c>
      <c r="B5" s="129" t="s">
        <v>93</v>
      </c>
      <c r="C5" s="129" t="s">
        <v>8</v>
      </c>
      <c r="D5" s="129" t="s">
        <v>343</v>
      </c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</row>
    <row r="6" spans="1:25" ht="49.5" customHeight="1" x14ac:dyDescent="0.2">
      <c r="A6" s="151"/>
      <c r="B6" s="129"/>
      <c r="C6" s="129"/>
      <c r="D6" s="59" t="s">
        <v>9</v>
      </c>
      <c r="E6" s="59" t="s">
        <v>16</v>
      </c>
      <c r="F6" s="59" t="s">
        <v>24</v>
      </c>
      <c r="G6" s="59" t="s">
        <v>18</v>
      </c>
      <c r="H6" s="59" t="s">
        <v>19</v>
      </c>
      <c r="I6" s="59" t="s">
        <v>20</v>
      </c>
      <c r="J6" s="59" t="s">
        <v>21</v>
      </c>
      <c r="K6" s="59" t="s">
        <v>251</v>
      </c>
      <c r="L6" s="59" t="s">
        <v>294</v>
      </c>
      <c r="M6" s="59" t="s">
        <v>295</v>
      </c>
      <c r="N6" s="59" t="s">
        <v>296</v>
      </c>
      <c r="O6" s="59" t="s">
        <v>297</v>
      </c>
    </row>
    <row r="7" spans="1:25" ht="16.5" customHeight="1" x14ac:dyDescent="0.2">
      <c r="A7" s="48">
        <v>1</v>
      </c>
      <c r="B7" s="59">
        <v>2</v>
      </c>
      <c r="C7" s="48">
        <v>3</v>
      </c>
      <c r="D7" s="59">
        <v>4</v>
      </c>
      <c r="E7" s="48">
        <v>5</v>
      </c>
      <c r="F7" s="59">
        <v>6</v>
      </c>
      <c r="G7" s="48">
        <v>7</v>
      </c>
      <c r="H7" s="59">
        <v>8</v>
      </c>
      <c r="I7" s="48">
        <v>9</v>
      </c>
      <c r="J7" s="59">
        <v>10</v>
      </c>
      <c r="K7" s="59">
        <v>11</v>
      </c>
      <c r="L7" s="59">
        <v>12</v>
      </c>
      <c r="M7" s="59">
        <v>13</v>
      </c>
      <c r="N7" s="59">
        <v>14</v>
      </c>
      <c r="O7" s="59">
        <v>15</v>
      </c>
    </row>
    <row r="8" spans="1:25" ht="15.75" x14ac:dyDescent="0.2">
      <c r="A8" s="153" t="s">
        <v>26</v>
      </c>
      <c r="B8" s="152" t="s">
        <v>344</v>
      </c>
      <c r="C8" s="70" t="s">
        <v>7</v>
      </c>
      <c r="D8" s="2">
        <f>D9+D11+D14+D17</f>
        <v>17865528.266999997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4148867.9750000006</v>
      </c>
      <c r="N8" s="2">
        <f t="shared" si="0"/>
        <v>3183901</v>
      </c>
      <c r="O8" s="2">
        <f t="shared" si="0"/>
        <v>863743.1</v>
      </c>
      <c r="P8" s="71"/>
      <c r="Q8" s="64"/>
      <c r="W8" s="64"/>
      <c r="X8" s="64"/>
      <c r="Y8" s="64"/>
    </row>
    <row r="9" spans="1:25" ht="31.5" x14ac:dyDescent="0.2">
      <c r="A9" s="153"/>
      <c r="B9" s="152"/>
      <c r="C9" s="72" t="s">
        <v>80</v>
      </c>
      <c r="D9" s="1">
        <f>E9+F9+G9+H9+I9+J9+K9+L9+M9+N9+O9</f>
        <v>213817.09999999998</v>
      </c>
      <c r="E9" s="1">
        <f t="shared" ref="E9:O9" si="1">E19+E516+E542+E575+E730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53"/>
      <c r="B10" s="152"/>
      <c r="C10" s="73" t="s">
        <v>81</v>
      </c>
      <c r="D10" s="1">
        <f t="shared" ref="D10:D11" si="2">E10+F10+G10+H10+I10+J10+K10+L10+M10+N10+O10</f>
        <v>98793.9</v>
      </c>
      <c r="E10" s="74">
        <f t="shared" ref="E10:O10" si="3">E20</f>
        <v>98793.9</v>
      </c>
      <c r="F10" s="74">
        <f t="shared" si="3"/>
        <v>0</v>
      </c>
      <c r="G10" s="74">
        <f t="shared" si="3"/>
        <v>0</v>
      </c>
      <c r="H10" s="74">
        <f t="shared" si="3"/>
        <v>0</v>
      </c>
      <c r="I10" s="74">
        <f t="shared" si="3"/>
        <v>0</v>
      </c>
      <c r="J10" s="74">
        <f t="shared" si="3"/>
        <v>0</v>
      </c>
      <c r="K10" s="74">
        <f t="shared" si="3"/>
        <v>0</v>
      </c>
      <c r="L10" s="74">
        <f t="shared" si="3"/>
        <v>0</v>
      </c>
      <c r="M10" s="74">
        <f t="shared" si="3"/>
        <v>0</v>
      </c>
      <c r="N10" s="74">
        <f t="shared" si="3"/>
        <v>0</v>
      </c>
      <c r="O10" s="74">
        <f t="shared" si="3"/>
        <v>0</v>
      </c>
    </row>
    <row r="11" spans="1:25" ht="31.5" x14ac:dyDescent="0.2">
      <c r="A11" s="154"/>
      <c r="B11" s="152"/>
      <c r="C11" s="72" t="s">
        <v>69</v>
      </c>
      <c r="D11" s="1">
        <f t="shared" si="2"/>
        <v>13249636.209999999</v>
      </c>
      <c r="E11" s="1">
        <f t="shared" ref="E11:O11" si="4">E21+E517+E543+E576+E731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3795185.4000000004</v>
      </c>
      <c r="N11" s="1">
        <f t="shared" si="4"/>
        <v>2828376.5</v>
      </c>
      <c r="O11" s="1">
        <f t="shared" si="4"/>
        <v>520121.2</v>
      </c>
    </row>
    <row r="12" spans="1:25" ht="31.5" x14ac:dyDescent="0.2">
      <c r="A12" s="154"/>
      <c r="B12" s="152"/>
      <c r="C12" s="73" t="s">
        <v>79</v>
      </c>
      <c r="D12" s="1">
        <f t="shared" ref="D12:D19" si="5">E12+F12+G12+H12+I12+J12+K12+L12+M12+N12+O12</f>
        <v>43117.100000000006</v>
      </c>
      <c r="E12" s="74">
        <f>E22</f>
        <v>43117.100000000006</v>
      </c>
      <c r="F12" s="74">
        <f t="shared" ref="F12:K12" si="6">F22</f>
        <v>0</v>
      </c>
      <c r="G12" s="74">
        <f t="shared" si="6"/>
        <v>0</v>
      </c>
      <c r="H12" s="74">
        <f t="shared" si="6"/>
        <v>0</v>
      </c>
      <c r="I12" s="74">
        <f t="shared" si="6"/>
        <v>0</v>
      </c>
      <c r="J12" s="74">
        <f t="shared" si="6"/>
        <v>0</v>
      </c>
      <c r="K12" s="74">
        <f t="shared" si="6"/>
        <v>0</v>
      </c>
      <c r="L12" s="74">
        <f t="shared" ref="L12:O12" si="7">L22</f>
        <v>0</v>
      </c>
      <c r="M12" s="74">
        <f t="shared" si="7"/>
        <v>0</v>
      </c>
      <c r="N12" s="74">
        <f t="shared" si="7"/>
        <v>0</v>
      </c>
      <c r="O12" s="74">
        <f t="shared" si="7"/>
        <v>0</v>
      </c>
      <c r="R12" s="64"/>
    </row>
    <row r="13" spans="1:25" ht="31.5" x14ac:dyDescent="0.2">
      <c r="A13" s="154"/>
      <c r="B13" s="152"/>
      <c r="C13" s="73" t="s">
        <v>81</v>
      </c>
      <c r="D13" s="74">
        <f t="shared" si="5"/>
        <v>75475.8</v>
      </c>
      <c r="E13" s="99">
        <f t="shared" ref="E13:L13" si="8">E23</f>
        <v>20580.5</v>
      </c>
      <c r="F13" s="99">
        <f t="shared" si="8"/>
        <v>0</v>
      </c>
      <c r="G13" s="99">
        <f t="shared" si="8"/>
        <v>0</v>
      </c>
      <c r="H13" s="99">
        <f t="shared" si="8"/>
        <v>0</v>
      </c>
      <c r="I13" s="99">
        <f t="shared" si="8"/>
        <v>0</v>
      </c>
      <c r="J13" s="99">
        <f t="shared" si="8"/>
        <v>0</v>
      </c>
      <c r="K13" s="99">
        <f t="shared" si="8"/>
        <v>0</v>
      </c>
      <c r="L13" s="99">
        <f t="shared" si="8"/>
        <v>21808</v>
      </c>
      <c r="M13" s="99">
        <f>M23+M577</f>
        <v>33087.300000000003</v>
      </c>
      <c r="N13" s="99">
        <f t="shared" ref="N13:O13" si="9">N23+N577</f>
        <v>0</v>
      </c>
      <c r="O13" s="99">
        <f t="shared" si="9"/>
        <v>0</v>
      </c>
    </row>
    <row r="14" spans="1:25" ht="31.5" x14ac:dyDescent="0.2">
      <c r="A14" s="154"/>
      <c r="B14" s="152"/>
      <c r="C14" s="72" t="s">
        <v>65</v>
      </c>
      <c r="D14" s="1">
        <f t="shared" si="5"/>
        <v>4371809.9570000004</v>
      </c>
      <c r="E14" s="1">
        <f t="shared" ref="E14:O14" si="10">E24+E518+E544+E578+E732</f>
        <v>325404.89999999997</v>
      </c>
      <c r="F14" s="1">
        <f t="shared" si="10"/>
        <v>364692.8</v>
      </c>
      <c r="G14" s="1">
        <f t="shared" si="10"/>
        <v>356065.3</v>
      </c>
      <c r="H14" s="1">
        <f t="shared" si="10"/>
        <v>405742.4</v>
      </c>
      <c r="I14" s="1">
        <f t="shared" si="10"/>
        <v>308074.40000000002</v>
      </c>
      <c r="J14" s="1">
        <f t="shared" si="10"/>
        <v>403716.9</v>
      </c>
      <c r="K14" s="1">
        <f t="shared" si="10"/>
        <v>607444.48200000008</v>
      </c>
      <c r="L14" s="1">
        <f t="shared" si="10"/>
        <v>547839.79999999993</v>
      </c>
      <c r="M14" s="1">
        <f t="shared" si="10"/>
        <v>353682.57499999995</v>
      </c>
      <c r="N14" s="1">
        <f t="shared" si="10"/>
        <v>355524.5</v>
      </c>
      <c r="O14" s="1">
        <f t="shared" si="10"/>
        <v>343621.89999999997</v>
      </c>
    </row>
    <row r="15" spans="1:25" ht="31.5" x14ac:dyDescent="0.2">
      <c r="A15" s="154"/>
      <c r="B15" s="152"/>
      <c r="C15" s="73" t="s">
        <v>79</v>
      </c>
      <c r="D15" s="1">
        <f t="shared" si="5"/>
        <v>85206.799999999988</v>
      </c>
      <c r="E15" s="74">
        <f>E25+E579+E545</f>
        <v>48729.7</v>
      </c>
      <c r="F15" s="74">
        <f>F25+F579+F545</f>
        <v>30651</v>
      </c>
      <c r="G15" s="74">
        <f>G41+G557</f>
        <v>5127.3999999999996</v>
      </c>
      <c r="H15" s="74">
        <v>0</v>
      </c>
      <c r="I15" s="74">
        <f>I25</f>
        <v>698.7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</row>
    <row r="16" spans="1:25" ht="36.75" customHeight="1" x14ac:dyDescent="0.2">
      <c r="A16" s="154"/>
      <c r="B16" s="152"/>
      <c r="C16" s="100" t="s">
        <v>449</v>
      </c>
      <c r="D16" s="74">
        <f t="shared" si="5"/>
        <v>3503.9</v>
      </c>
      <c r="E16" s="74">
        <f t="shared" ref="E16:K16" si="11">E26</f>
        <v>0</v>
      </c>
      <c r="F16" s="74">
        <f t="shared" si="11"/>
        <v>0</v>
      </c>
      <c r="G16" s="74">
        <f t="shared" si="11"/>
        <v>0</v>
      </c>
      <c r="H16" s="74">
        <f t="shared" si="11"/>
        <v>0</v>
      </c>
      <c r="I16" s="74">
        <f t="shared" si="11"/>
        <v>0</v>
      </c>
      <c r="J16" s="74">
        <f t="shared" si="11"/>
        <v>0</v>
      </c>
      <c r="K16" s="74">
        <f t="shared" si="11"/>
        <v>0</v>
      </c>
      <c r="L16" s="74">
        <f>L26</f>
        <v>1392</v>
      </c>
      <c r="M16" s="99">
        <f>M26+M580</f>
        <v>2111.9</v>
      </c>
      <c r="N16" s="99">
        <f t="shared" ref="N16:O16" si="12">N26+N580</f>
        <v>0</v>
      </c>
      <c r="O16" s="99">
        <f t="shared" si="12"/>
        <v>0</v>
      </c>
      <c r="P16" s="74">
        <f t="shared" ref="P16:V16" si="13">P26</f>
        <v>0</v>
      </c>
      <c r="Q16" s="74">
        <f t="shared" si="13"/>
        <v>0</v>
      </c>
      <c r="R16" s="74">
        <f t="shared" si="13"/>
        <v>0</v>
      </c>
      <c r="S16" s="74">
        <f t="shared" si="13"/>
        <v>0</v>
      </c>
      <c r="T16" s="74">
        <f t="shared" si="13"/>
        <v>0</v>
      </c>
      <c r="U16" s="74">
        <f t="shared" si="13"/>
        <v>0</v>
      </c>
      <c r="V16" s="74">
        <f t="shared" si="13"/>
        <v>0</v>
      </c>
    </row>
    <row r="17" spans="1:21" ht="17.25" customHeight="1" x14ac:dyDescent="0.2">
      <c r="A17" s="154"/>
      <c r="B17" s="152"/>
      <c r="C17" s="72" t="s">
        <v>13</v>
      </c>
      <c r="D17" s="1">
        <f t="shared" si="5"/>
        <v>30265</v>
      </c>
      <c r="E17" s="1">
        <f>E519</f>
        <v>20000</v>
      </c>
      <c r="F17" s="1">
        <f t="shared" ref="F17:K17" si="14">F519</f>
        <v>3000</v>
      </c>
      <c r="G17" s="1">
        <f t="shared" si="14"/>
        <v>1600</v>
      </c>
      <c r="H17" s="1">
        <f t="shared" si="14"/>
        <v>3453.6</v>
      </c>
      <c r="I17" s="1">
        <f t="shared" si="14"/>
        <v>2211.4</v>
      </c>
      <c r="J17" s="1">
        <f t="shared" si="14"/>
        <v>0</v>
      </c>
      <c r="K17" s="1">
        <f t="shared" si="14"/>
        <v>0</v>
      </c>
      <c r="L17" s="1">
        <f>L519</f>
        <v>0</v>
      </c>
      <c r="M17" s="1">
        <f>M519</f>
        <v>0</v>
      </c>
      <c r="N17" s="1">
        <f>N519</f>
        <v>0</v>
      </c>
      <c r="O17" s="1">
        <f>O519</f>
        <v>0</v>
      </c>
    </row>
    <row r="18" spans="1:21" ht="15.75" x14ac:dyDescent="0.2">
      <c r="A18" s="125" t="s">
        <v>27</v>
      </c>
      <c r="B18" s="125" t="s">
        <v>28</v>
      </c>
      <c r="C18" s="75" t="s">
        <v>7</v>
      </c>
      <c r="D18" s="2">
        <f t="shared" si="5"/>
        <v>13219148.130000001</v>
      </c>
      <c r="E18" s="2">
        <f>E19+E21+E24+E27</f>
        <v>218606.2</v>
      </c>
      <c r="F18" s="2">
        <f t="shared" ref="F18:K18" si="15">F19+F21+F24+F27</f>
        <v>51837.9</v>
      </c>
      <c r="G18" s="2">
        <f t="shared" si="15"/>
        <v>71967.7</v>
      </c>
      <c r="H18" s="2">
        <f>H19+H21+H24+H27</f>
        <v>137590.59999999998</v>
      </c>
      <c r="I18" s="2">
        <f t="shared" si="15"/>
        <v>93705.7</v>
      </c>
      <c r="J18" s="2">
        <f t="shared" si="15"/>
        <v>861013.6</v>
      </c>
      <c r="K18" s="2">
        <f t="shared" si="15"/>
        <v>1369692.33</v>
      </c>
      <c r="L18" s="2">
        <f>L19+L21+L24+L27</f>
        <v>3128932.9</v>
      </c>
      <c r="M18" s="2">
        <f>M19+M21+M24+M27</f>
        <v>3839396.4000000004</v>
      </c>
      <c r="N18" s="2">
        <f>N19+N21+N24+N27</f>
        <v>2884223.5</v>
      </c>
      <c r="O18" s="2">
        <f>O19+O21+O24+O27</f>
        <v>562181.30000000005</v>
      </c>
      <c r="P18" s="71"/>
      <c r="Q18" s="64"/>
    </row>
    <row r="19" spans="1:21" ht="31.5" x14ac:dyDescent="0.2">
      <c r="A19" s="126"/>
      <c r="B19" s="126"/>
      <c r="C19" s="51" t="s">
        <v>80</v>
      </c>
      <c r="D19" s="1">
        <f t="shared" si="5"/>
        <v>213817.09999999998</v>
      </c>
      <c r="E19" s="1">
        <f>E29+E477</f>
        <v>98793.9</v>
      </c>
      <c r="F19" s="1">
        <f>F29+F477</f>
        <v>0</v>
      </c>
      <c r="G19" s="1">
        <f>G29+G477</f>
        <v>0</v>
      </c>
      <c r="H19" s="1">
        <f>H29+H477</f>
        <v>0</v>
      </c>
      <c r="I19" s="1">
        <f>I29+I477</f>
        <v>0</v>
      </c>
      <c r="J19" s="1">
        <f t="shared" ref="J19:O19" si="16">J29+J477+J394+J439+J497</f>
        <v>0</v>
      </c>
      <c r="K19" s="1">
        <f t="shared" si="16"/>
        <v>115023.2</v>
      </c>
      <c r="L19" s="1">
        <f t="shared" si="16"/>
        <v>0</v>
      </c>
      <c r="M19" s="1">
        <f t="shared" si="16"/>
        <v>0</v>
      </c>
      <c r="N19" s="1">
        <f t="shared" si="16"/>
        <v>0</v>
      </c>
      <c r="O19" s="1">
        <f t="shared" si="16"/>
        <v>0</v>
      </c>
    </row>
    <row r="20" spans="1:21" ht="31.5" x14ac:dyDescent="0.2">
      <c r="A20" s="126"/>
      <c r="B20" s="126"/>
      <c r="C20" s="76" t="s">
        <v>81</v>
      </c>
      <c r="D20" s="1">
        <f t="shared" ref="D20:D27" si="17">E20+F20+G20+H20+I20+J20+K20+L20+M20+N20+O20</f>
        <v>98793.9</v>
      </c>
      <c r="E20" s="74">
        <f>E30</f>
        <v>98793.9</v>
      </c>
      <c r="F20" s="74">
        <f t="shared" ref="F20:K20" si="18">F30</f>
        <v>0</v>
      </c>
      <c r="G20" s="74">
        <f t="shared" si="18"/>
        <v>0</v>
      </c>
      <c r="H20" s="74">
        <f t="shared" si="18"/>
        <v>0</v>
      </c>
      <c r="I20" s="74">
        <f t="shared" si="18"/>
        <v>0</v>
      </c>
      <c r="J20" s="74">
        <f t="shared" si="18"/>
        <v>0</v>
      </c>
      <c r="K20" s="74">
        <f t="shared" si="18"/>
        <v>0</v>
      </c>
      <c r="L20" s="74">
        <f>L30</f>
        <v>0</v>
      </c>
      <c r="M20" s="74">
        <f>M30</f>
        <v>0</v>
      </c>
      <c r="N20" s="74">
        <f>N30</f>
        <v>0</v>
      </c>
      <c r="O20" s="74">
        <f>O30</f>
        <v>0</v>
      </c>
    </row>
    <row r="21" spans="1:21" ht="31.5" customHeight="1" x14ac:dyDescent="0.2">
      <c r="A21" s="126"/>
      <c r="B21" s="126"/>
      <c r="C21" s="51" t="s">
        <v>69</v>
      </c>
      <c r="D21" s="1">
        <f>E21+F21+G21+H21+I21+J21+K21+L21+M21+N21+O21</f>
        <v>12207156.41</v>
      </c>
      <c r="E21" s="1">
        <f>E31+E395+E440+E478</f>
        <v>68697.599999999991</v>
      </c>
      <c r="F21" s="1">
        <f>F31+F395+F440+F478</f>
        <v>15000</v>
      </c>
      <c r="G21" s="1">
        <f>G31+G395+G440+G478</f>
        <v>26276.799999999999</v>
      </c>
      <c r="H21" s="1">
        <f>H31+H395+H440+H478</f>
        <v>47416.2</v>
      </c>
      <c r="I21" s="1">
        <f>I31+I395+I440+I478</f>
        <v>43469.7</v>
      </c>
      <c r="J21" s="1">
        <f t="shared" ref="J21:O21" si="19">J31+J395+J440+J478+J498</f>
        <v>718423.5</v>
      </c>
      <c r="K21" s="1">
        <f t="shared" si="19"/>
        <v>1144814.71</v>
      </c>
      <c r="L21" s="1">
        <f t="shared" si="19"/>
        <v>3033866.3</v>
      </c>
      <c r="M21" s="1">
        <f t="shared" si="19"/>
        <v>3760693.9000000004</v>
      </c>
      <c r="N21" s="1">
        <f t="shared" si="19"/>
        <v>2828376.5</v>
      </c>
      <c r="O21" s="1">
        <f t="shared" si="19"/>
        <v>520121.2</v>
      </c>
    </row>
    <row r="22" spans="1:21" ht="31.5" x14ac:dyDescent="0.2">
      <c r="A22" s="126"/>
      <c r="B22" s="126"/>
      <c r="C22" s="76" t="s">
        <v>79</v>
      </c>
      <c r="D22" s="1">
        <f t="shared" si="17"/>
        <v>43117.100000000006</v>
      </c>
      <c r="E22" s="74">
        <f>E32</f>
        <v>43117.100000000006</v>
      </c>
      <c r="F22" s="74">
        <f t="shared" ref="F22:K22" si="20">F32</f>
        <v>0</v>
      </c>
      <c r="G22" s="74">
        <f t="shared" si="20"/>
        <v>0</v>
      </c>
      <c r="H22" s="74">
        <f t="shared" si="20"/>
        <v>0</v>
      </c>
      <c r="I22" s="74">
        <f t="shared" si="20"/>
        <v>0</v>
      </c>
      <c r="J22" s="74">
        <f t="shared" si="20"/>
        <v>0</v>
      </c>
      <c r="K22" s="74">
        <f t="shared" si="20"/>
        <v>0</v>
      </c>
      <c r="L22" s="74">
        <f t="shared" ref="L22:O22" si="21">L32</f>
        <v>0</v>
      </c>
      <c r="M22" s="74">
        <f t="shared" si="21"/>
        <v>0</v>
      </c>
      <c r="N22" s="74">
        <f t="shared" si="21"/>
        <v>0</v>
      </c>
      <c r="O22" s="74">
        <f t="shared" si="21"/>
        <v>0</v>
      </c>
    </row>
    <row r="23" spans="1:21" ht="31.5" x14ac:dyDescent="0.2">
      <c r="A23" s="126"/>
      <c r="B23" s="126"/>
      <c r="C23" s="76" t="s">
        <v>81</v>
      </c>
      <c r="D23" s="74">
        <f>E23+F23+G23+H23+I23+J23+K23+L23+M23+N23+O23</f>
        <v>64196.5</v>
      </c>
      <c r="E23" s="74">
        <f>E33</f>
        <v>20580.5</v>
      </c>
      <c r="F23" s="74">
        <f t="shared" ref="F23:K23" si="22">F33</f>
        <v>0</v>
      </c>
      <c r="G23" s="74">
        <f t="shared" si="22"/>
        <v>0</v>
      </c>
      <c r="H23" s="74">
        <f t="shared" si="22"/>
        <v>0</v>
      </c>
      <c r="I23" s="74">
        <f t="shared" si="22"/>
        <v>0</v>
      </c>
      <c r="J23" s="74">
        <f t="shared" si="22"/>
        <v>0</v>
      </c>
      <c r="K23" s="74">
        <f t="shared" si="22"/>
        <v>0</v>
      </c>
      <c r="L23" s="99">
        <f>L33+L499</f>
        <v>21808</v>
      </c>
      <c r="M23" s="99">
        <f t="shared" ref="M23:O23" si="23">M33+M499</f>
        <v>21808</v>
      </c>
      <c r="N23" s="99">
        <f t="shared" si="23"/>
        <v>0</v>
      </c>
      <c r="O23" s="99">
        <f t="shared" si="23"/>
        <v>0</v>
      </c>
    </row>
    <row r="24" spans="1:21" ht="31.5" x14ac:dyDescent="0.2">
      <c r="A24" s="126"/>
      <c r="B24" s="126"/>
      <c r="C24" s="51" t="s">
        <v>65</v>
      </c>
      <c r="D24" s="1">
        <f>E24+F24+G24+H24+I24+J24+K24+L24+M24+N24+O24</f>
        <v>798174.62</v>
      </c>
      <c r="E24" s="1">
        <f>E34+E396+E441+E479</f>
        <v>51114.700000000004</v>
      </c>
      <c r="F24" s="1">
        <f>F34+F396+F441+F479</f>
        <v>36837.9</v>
      </c>
      <c r="G24" s="1">
        <f>G34+G396+G441+G479</f>
        <v>45690.899999999994</v>
      </c>
      <c r="H24" s="1">
        <f>H34+H396+H441+H479</f>
        <v>90174.399999999994</v>
      </c>
      <c r="I24" s="1">
        <f>I34+I396+I441+I479</f>
        <v>50236</v>
      </c>
      <c r="J24" s="1">
        <f t="shared" ref="J24:O24" si="24">J34+J396+J441+J479+J500</f>
        <v>142590.1</v>
      </c>
      <c r="K24" s="1">
        <f t="shared" si="24"/>
        <v>109854.42000000004</v>
      </c>
      <c r="L24" s="1">
        <f t="shared" si="24"/>
        <v>95066.599999999977</v>
      </c>
      <c r="M24" s="1">
        <f t="shared" si="24"/>
        <v>78702.5</v>
      </c>
      <c r="N24" s="1">
        <f t="shared" si="24"/>
        <v>55846.999999999993</v>
      </c>
      <c r="O24" s="1">
        <f t="shared" si="24"/>
        <v>42060.1</v>
      </c>
      <c r="P24" s="64"/>
      <c r="Q24" s="64"/>
    </row>
    <row r="25" spans="1:21" ht="31.5" customHeight="1" x14ac:dyDescent="0.2">
      <c r="A25" s="126"/>
      <c r="B25" s="126"/>
      <c r="C25" s="76" t="s">
        <v>79</v>
      </c>
      <c r="D25" s="1">
        <f t="shared" si="17"/>
        <v>24185.399999999998</v>
      </c>
      <c r="E25" s="74">
        <f t="shared" ref="E25:O25" si="25">E35+E442</f>
        <v>17427.399999999998</v>
      </c>
      <c r="F25" s="74">
        <f t="shared" si="25"/>
        <v>2151</v>
      </c>
      <c r="G25" s="74">
        <f t="shared" si="25"/>
        <v>3908.3</v>
      </c>
      <c r="H25" s="74">
        <f t="shared" si="25"/>
        <v>0</v>
      </c>
      <c r="I25" s="74">
        <f t="shared" si="25"/>
        <v>698.7</v>
      </c>
      <c r="J25" s="74">
        <f t="shared" si="25"/>
        <v>0</v>
      </c>
      <c r="K25" s="74">
        <f t="shared" si="25"/>
        <v>0</v>
      </c>
      <c r="L25" s="74">
        <f t="shared" si="25"/>
        <v>0</v>
      </c>
      <c r="M25" s="74">
        <f t="shared" si="25"/>
        <v>0</v>
      </c>
      <c r="N25" s="74">
        <f t="shared" si="25"/>
        <v>0</v>
      </c>
      <c r="O25" s="74">
        <f t="shared" si="25"/>
        <v>0</v>
      </c>
    </row>
    <row r="26" spans="1:21" ht="31.5" customHeight="1" x14ac:dyDescent="0.2">
      <c r="A26" s="126"/>
      <c r="B26" s="126"/>
      <c r="C26" s="100" t="s">
        <v>449</v>
      </c>
      <c r="D26" s="74">
        <f t="shared" ref="D26:K26" si="26">D501</f>
        <v>2784</v>
      </c>
      <c r="E26" s="74">
        <f t="shared" si="26"/>
        <v>0</v>
      </c>
      <c r="F26" s="74">
        <f t="shared" si="26"/>
        <v>0</v>
      </c>
      <c r="G26" s="74">
        <f t="shared" si="26"/>
        <v>0</v>
      </c>
      <c r="H26" s="74">
        <f t="shared" si="26"/>
        <v>0</v>
      </c>
      <c r="I26" s="74">
        <f t="shared" si="26"/>
        <v>0</v>
      </c>
      <c r="J26" s="74">
        <f t="shared" si="26"/>
        <v>0</v>
      </c>
      <c r="K26" s="74">
        <f t="shared" si="26"/>
        <v>0</v>
      </c>
      <c r="L26" s="74">
        <f>L501</f>
        <v>1392</v>
      </c>
      <c r="M26" s="99">
        <f t="shared" ref="M26:O26" si="27">M501</f>
        <v>1392</v>
      </c>
      <c r="N26" s="74">
        <f t="shared" si="27"/>
        <v>0</v>
      </c>
      <c r="O26" s="74">
        <f t="shared" si="27"/>
        <v>0</v>
      </c>
    </row>
    <row r="27" spans="1:21" ht="17.25" customHeight="1" x14ac:dyDescent="0.2">
      <c r="A27" s="127"/>
      <c r="B27" s="127"/>
      <c r="C27" s="51" t="s">
        <v>13</v>
      </c>
      <c r="D27" s="1">
        <f t="shared" si="17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21" ht="15.75" x14ac:dyDescent="0.2">
      <c r="A28" s="156" t="s">
        <v>235</v>
      </c>
      <c r="B28" s="159" t="s">
        <v>142</v>
      </c>
      <c r="C28" s="51" t="s">
        <v>7</v>
      </c>
      <c r="D28" s="1">
        <f t="shared" ref="D28:O28" si="28">D29+D31+D34+D36</f>
        <v>12460377.1</v>
      </c>
      <c r="E28" s="1">
        <f t="shared" si="28"/>
        <v>190159.7</v>
      </c>
      <c r="F28" s="1">
        <f t="shared" si="28"/>
        <v>25969.5</v>
      </c>
      <c r="G28" s="1">
        <f t="shared" si="28"/>
        <v>41615.9</v>
      </c>
      <c r="H28" s="1">
        <f t="shared" si="28"/>
        <v>112179.9</v>
      </c>
      <c r="I28" s="1">
        <f t="shared" si="28"/>
        <v>55446.6</v>
      </c>
      <c r="J28" s="1">
        <f>J29+J31+J34+J36</f>
        <v>621253.9</v>
      </c>
      <c r="K28" s="1">
        <f>K29+K31+K34+K36</f>
        <v>1099158.2</v>
      </c>
      <c r="L28" s="1">
        <f t="shared" si="28"/>
        <v>3086603.5</v>
      </c>
      <c r="M28" s="1">
        <f t="shared" si="28"/>
        <v>3805326.4000000004</v>
      </c>
      <c r="N28" s="1">
        <f t="shared" si="28"/>
        <v>2872113.3</v>
      </c>
      <c r="O28" s="1">
        <f t="shared" si="28"/>
        <v>550550.19999999995</v>
      </c>
      <c r="P28" s="71"/>
      <c r="Q28" s="64"/>
    </row>
    <row r="29" spans="1:21" ht="31.5" customHeight="1" x14ac:dyDescent="0.2">
      <c r="A29" s="157"/>
      <c r="B29" s="160"/>
      <c r="C29" s="51" t="s">
        <v>80</v>
      </c>
      <c r="D29" s="1">
        <f>E29+F29+G29+H29+I29+J29+K29+L29+M29+N29+O29</f>
        <v>98793.9</v>
      </c>
      <c r="E29" s="1">
        <f>E38+E44+E50+E56+E61+E68+E74+E81+E88+E94+E100+E107+E114+E121+E129+E138+E145+E152+E158+E165+E172+E178+E184+E189+E194+E199+E204+E209+E214+E219+E224+E229+E234+E239+E244+E249+E254+E259+E264+E269+E299</f>
        <v>98793.9</v>
      </c>
      <c r="F29" s="1">
        <f t="shared" ref="F29:O29" si="29">F38+F44+F50+F56+F61+F68+F74+F81+F88+F94+F100+F107+F114+F121+F129+F138+F145+F152+F158+F165+F172+F178+F184+F189+F194+F199+F204+F209+F214+F219+F224+F229+F234+F239+F244+F249+F254+F259+F264+F269+F299</f>
        <v>0</v>
      </c>
      <c r="G29" s="1">
        <f t="shared" si="29"/>
        <v>0</v>
      </c>
      <c r="H29" s="1">
        <f t="shared" si="29"/>
        <v>0</v>
      </c>
      <c r="I29" s="1">
        <f t="shared" si="29"/>
        <v>0</v>
      </c>
      <c r="J29" s="1">
        <f t="shared" si="29"/>
        <v>0</v>
      </c>
      <c r="K29" s="1">
        <f t="shared" si="29"/>
        <v>0</v>
      </c>
      <c r="L29" s="1">
        <f t="shared" si="29"/>
        <v>0</v>
      </c>
      <c r="M29" s="1">
        <f t="shared" si="29"/>
        <v>0</v>
      </c>
      <c r="N29" s="1">
        <f t="shared" si="29"/>
        <v>0</v>
      </c>
      <c r="O29" s="1">
        <f t="shared" si="29"/>
        <v>0</v>
      </c>
    </row>
    <row r="30" spans="1:21" ht="31.5" x14ac:dyDescent="0.2">
      <c r="A30" s="157"/>
      <c r="B30" s="160"/>
      <c r="C30" s="76" t="s">
        <v>81</v>
      </c>
      <c r="D30" s="1">
        <f t="shared" ref="D30:D36" si="30">E30+F30+G30+H30+I30+J30+K30+L30+M30+N30+O30</f>
        <v>98793.9</v>
      </c>
      <c r="E30" s="74">
        <f>E62</f>
        <v>98793.9</v>
      </c>
      <c r="F30" s="74">
        <f t="shared" ref="F30:K30" si="31">F62</f>
        <v>0</v>
      </c>
      <c r="G30" s="74">
        <f t="shared" si="31"/>
        <v>0</v>
      </c>
      <c r="H30" s="74">
        <f t="shared" si="31"/>
        <v>0</v>
      </c>
      <c r="I30" s="74">
        <f t="shared" si="31"/>
        <v>0</v>
      </c>
      <c r="J30" s="74">
        <f t="shared" si="31"/>
        <v>0</v>
      </c>
      <c r="K30" s="74">
        <f t="shared" si="31"/>
        <v>0</v>
      </c>
      <c r="L30" s="74">
        <f>L62</f>
        <v>0</v>
      </c>
      <c r="M30" s="74">
        <f>M62</f>
        <v>0</v>
      </c>
      <c r="N30" s="74">
        <f>N62</f>
        <v>0</v>
      </c>
      <c r="O30" s="74">
        <f>O62</f>
        <v>0</v>
      </c>
      <c r="R30" s="64"/>
      <c r="S30" s="64"/>
      <c r="T30" s="64"/>
      <c r="U30" s="64"/>
    </row>
    <row r="31" spans="1:21" ht="31.5" x14ac:dyDescent="0.2">
      <c r="A31" s="157"/>
      <c r="B31" s="160"/>
      <c r="C31" s="51" t="s">
        <v>69</v>
      </c>
      <c r="D31" s="1">
        <f t="shared" si="30"/>
        <v>11805860</v>
      </c>
      <c r="E31" s="1">
        <f>E39+E45+E51+E57+E63+E69+E75+E82+E89+E95+E101+E108+E115+E122+E130+E139+E146+E153+E159+E166+E173+E179+E185+E190+E195+E200+E205+E215+E220+E225++E230+E235+E240+E245+E250+E255+E260+E265+E270+E300</f>
        <v>68697.599999999991</v>
      </c>
      <c r="F31" s="1">
        <f t="shared" ref="F31:I31" si="32">F39+F45+F51+F57+F63+F69+F75+F82+F89+F95+F101+F108+F115+F122+F130+F139+F146+F153+F159+F166+F173+F179+F185+F190+F195+F200+F205+F215+F220+F225++F230+F235+F240+F245+F250+F255+F260+F265+F270+F300</f>
        <v>15000</v>
      </c>
      <c r="G31" s="1">
        <f t="shared" si="32"/>
        <v>26276.799999999999</v>
      </c>
      <c r="H31" s="1">
        <f t="shared" si="32"/>
        <v>47416.2</v>
      </c>
      <c r="I31" s="1">
        <f t="shared" si="32"/>
        <v>16128.9</v>
      </c>
      <c r="J31" s="1">
        <f>J39+J45+J51+J57+J63+J69+J75+J82+J89+J95+J101+J108+J115+J122+J130+J139+J146+J153+J159+J166+J173+J179+J185+J190+J195+J200+J205+J215+J220+J225++J230+J235+J240+J245+J250+J255+J260+J265+J270+J300+J275</f>
        <v>510517.9</v>
      </c>
      <c r="K31" s="1">
        <f>K39+K45+K51+K57+K63+K69+K75+K82+K89+K95+K101+K108+K115+K122+K130+K139+K146+K153+K159+K166+K173+K179+K185+K190+K195+K200+K205+K215+K220+K225++K230+K235+K240+K245+K250+K255+K260+K265+K270+K300+K275+K280+K285+K290+K295</f>
        <v>1022380.7</v>
      </c>
      <c r="L31" s="1">
        <f>L39+L45+L51+L57+L63+L69+L75+L82+L89+L95+L101+L108+L115+L122+L130+L139+L146+L153+L159+L166+L173+L179+L185+L190+L195+L200+L205+L215+L220+L225++L230+L235+L240+L245+L250+L255+L260+L265+L270+L300+L275+L280+L285+L290+L295+L330+L345+L350+L360+L365+L380+L385</f>
        <v>3012058.3</v>
      </c>
      <c r="M31" s="1">
        <f t="shared" ref="M31:O31" si="33">M39+M45+M51+M57+M63+M69+M75+M82+M89+M95+M101+M108+M115+M122+M130+M139+M146+M153+M159+M166+M173+M179+M185+M190+M195+M200+M205+M215+M220+M225++M230+M235+M240+M245+M250+M255+M260+M265+M270+M300+M275+M280+M285+M290+M295+M330+M345+M350+M360+M365+M380+M385</f>
        <v>3738885.9000000004</v>
      </c>
      <c r="N31" s="1">
        <f t="shared" si="33"/>
        <v>2828376.5</v>
      </c>
      <c r="O31" s="1">
        <f t="shared" si="33"/>
        <v>520121.2</v>
      </c>
    </row>
    <row r="32" spans="1:21" ht="31.5" x14ac:dyDescent="0.2">
      <c r="A32" s="157"/>
      <c r="B32" s="160"/>
      <c r="C32" s="76" t="s">
        <v>79</v>
      </c>
      <c r="D32" s="1">
        <f t="shared" si="30"/>
        <v>43117.100000000006</v>
      </c>
      <c r="E32" s="74">
        <f t="shared" ref="E32:K32" si="34">E76+E123+E132+E147</f>
        <v>43117.100000000006</v>
      </c>
      <c r="F32" s="74">
        <f t="shared" si="34"/>
        <v>0</v>
      </c>
      <c r="G32" s="74">
        <f t="shared" si="34"/>
        <v>0</v>
      </c>
      <c r="H32" s="74">
        <f t="shared" si="34"/>
        <v>0</v>
      </c>
      <c r="I32" s="74">
        <f t="shared" si="34"/>
        <v>0</v>
      </c>
      <c r="J32" s="74">
        <f t="shared" si="34"/>
        <v>0</v>
      </c>
      <c r="K32" s="74">
        <f t="shared" si="34"/>
        <v>0</v>
      </c>
      <c r="L32" s="74">
        <f>L76+L123+L132+L147</f>
        <v>0</v>
      </c>
      <c r="M32" s="74">
        <f>M76+M123+M132+M147</f>
        <v>0</v>
      </c>
      <c r="N32" s="74">
        <f>N76+N123+N132+N147</f>
        <v>0</v>
      </c>
      <c r="O32" s="74">
        <f>O76+O123+O132+O147</f>
        <v>0</v>
      </c>
    </row>
    <row r="33" spans="1:22" ht="31.5" customHeight="1" x14ac:dyDescent="0.2">
      <c r="A33" s="157"/>
      <c r="B33" s="160"/>
      <c r="C33" s="76" t="s">
        <v>81</v>
      </c>
      <c r="D33" s="1">
        <f t="shared" si="30"/>
        <v>20580.5</v>
      </c>
      <c r="E33" s="74">
        <f>E102+E160+E131</f>
        <v>20580.5</v>
      </c>
      <c r="F33" s="74">
        <f t="shared" ref="F33:K33" si="35">F102+F160</f>
        <v>0</v>
      </c>
      <c r="G33" s="74">
        <f t="shared" si="35"/>
        <v>0</v>
      </c>
      <c r="H33" s="74">
        <f t="shared" si="35"/>
        <v>0</v>
      </c>
      <c r="I33" s="74">
        <f t="shared" si="35"/>
        <v>0</v>
      </c>
      <c r="J33" s="74">
        <f t="shared" si="35"/>
        <v>0</v>
      </c>
      <c r="K33" s="74">
        <f t="shared" si="35"/>
        <v>0</v>
      </c>
      <c r="L33" s="74">
        <f>L102+L160</f>
        <v>0</v>
      </c>
      <c r="M33" s="74">
        <f>M102+M160</f>
        <v>0</v>
      </c>
      <c r="N33" s="74">
        <f>N102+N160</f>
        <v>0</v>
      </c>
      <c r="O33" s="74">
        <f>O102+O160</f>
        <v>0</v>
      </c>
    </row>
    <row r="34" spans="1:22" ht="31.5" x14ac:dyDescent="0.2">
      <c r="A34" s="157"/>
      <c r="B34" s="160"/>
      <c r="C34" s="51" t="s">
        <v>65</v>
      </c>
      <c r="D34" s="1">
        <f>E34+F34+G34+H34+I34+J34+K34+L34+M34+N34+O34</f>
        <v>555723.20000000007</v>
      </c>
      <c r="E34" s="1">
        <f>E40+E46+E52+E58+E64+E70+E77+E83+E90+E96+E103+E109+E116+E124+E133+E140+E148+E154+E161+E167+E174+E180+E186+E191+E196+E201+E206+E211+E216+E221+E226+E231+E236+E241+E251+E246+E256+E261+E266+E271+E301</f>
        <v>22668.2</v>
      </c>
      <c r="F34" s="1">
        <f t="shared" ref="F34:I34" si="36">F40+F46+F52+F58+F64+F70+F77+F83+F90+F96+F103+F109+F116+F124+F133+F140+F148+F154+F161+F167+F174+F180+F186+F191+F196+F201+F206+F211+F216+F221+F226+F231+F236+F241+F251+F246+F256+F261+F266+F271+F301</f>
        <v>10969.5</v>
      </c>
      <c r="G34" s="1">
        <f t="shared" si="36"/>
        <v>15339.1</v>
      </c>
      <c r="H34" s="1">
        <f t="shared" si="36"/>
        <v>64763.7</v>
      </c>
      <c r="I34" s="1">
        <f t="shared" si="36"/>
        <v>39317.699999999997</v>
      </c>
      <c r="J34" s="1">
        <f>J40+J46+J52+J58+J64+J70+J77+J83+J90+J96+J103+J109+J116+J124+J133+J140+J148+J154+J161+J167+J174+J180+J186+J191+J196+J201+J206+J211+J216+J221+J226+J231+J236+J241+J251+J246+J256+J261+J266+J271+J301+J276</f>
        <v>110736</v>
      </c>
      <c r="K34" s="1">
        <f>K40+K46+K52+K58+K64+K70+K77+K83+K90+K96+K103+K109+K116+K124+K133+K140+K148+K154+K161+K167+K174+K180+K186+K191+K196+K201+K206+K211+K216+K221+K226+K231+K236+K241+K251+K246+K256+K261+K266+K271+K276+K301+K281+K286+K291+K296+K306+K311+K316+K321+K326</f>
        <v>76777.500000000029</v>
      </c>
      <c r="L34" s="1">
        <f>L40+L46+L52+L58+L64+L70+L77+L83+L90+L96+L103+L109+L116+L124+L133+L140+L148+L154+L161+L167+L174+L180+L186+L191+L196+L201+L206+L211+L216+L221+L226+L231+L236+L241+L251+L246+L256+L261+L266+L271+L276+L301+L281+L286+L291+L296+L306+L311+L316+L321+L331+L346+L351+L361+L366+L381+L386</f>
        <v>74545.199999999983</v>
      </c>
      <c r="M34" s="1">
        <f>M40+M46+M52+M58+M64+M70+M77+M83+M90+M96+M103+M109+M116+M124+M133+M140+M148+M154+M161+M167+M174+M180+M186+M191+M196+M201+M206+M211+M216+M221+M226+M231+M236+M241+M251+M246+M256+M261+M266+M271+M276+M301+M281+M286+M291+M296+M306+M311+M316+M321+M331+M346+M351+M361+M366+M381+M386+M391</f>
        <v>66440.5</v>
      </c>
      <c r="N34" s="1">
        <f t="shared" ref="N34:O34" si="37">N40+N46+N52+N58+N64+N70+N77+N83+N90+N96+N103+N109+N116+N124+N133+N140+N148+N154+N161+N167+N174+N180+N186+N191+N196+N201+N206+N211+N216+N221+N226+N231+N236+N241+N251+N246+N256+N261+N266+N271+N276+N301+N281+N286+N291+N296+N306+N311+N316+N321+N331+N346+N351+N361+N366+N381+N386</f>
        <v>43736.799999999996</v>
      </c>
      <c r="O34" s="1">
        <f t="shared" si="37"/>
        <v>30429</v>
      </c>
      <c r="P34" s="1">
        <f t="shared" ref="P34:V34" si="38">P40+P46+P52+P58+P64+P70+P77+P83+P90+P96+P103+P109+P116+P124+P133+P140+P148+P154+P161+P167+P174+P180+P186+P191+P196+P201+P206+P211+P216+P221+P226+P231+P236+P241+P251+P246+P256+P261+P266+P271+P276+P301+P281+P286+P291+P296+P306+P311+P316+P321+P331+P346</f>
        <v>0</v>
      </c>
      <c r="Q34" s="1">
        <f t="shared" si="38"/>
        <v>0</v>
      </c>
      <c r="R34" s="1">
        <f t="shared" si="38"/>
        <v>0</v>
      </c>
      <c r="S34" s="1">
        <f t="shared" si="38"/>
        <v>0</v>
      </c>
      <c r="T34" s="1">
        <f t="shared" si="38"/>
        <v>0</v>
      </c>
      <c r="U34" s="1">
        <f t="shared" si="38"/>
        <v>0</v>
      </c>
      <c r="V34" s="1">
        <f t="shared" si="38"/>
        <v>0</v>
      </c>
    </row>
    <row r="35" spans="1:22" ht="31.5" x14ac:dyDescent="0.2">
      <c r="A35" s="157"/>
      <c r="B35" s="160"/>
      <c r="C35" s="76" t="s">
        <v>79</v>
      </c>
      <c r="D35" s="1">
        <f t="shared" si="30"/>
        <v>20554.099999999999</v>
      </c>
      <c r="E35" s="74">
        <f>E47+E53+E71+E78+E84+E91+E97+E110+E117+E125+E134+E141+E149+E155+E168+E175+E181+E41+E65</f>
        <v>14494.8</v>
      </c>
      <c r="F35" s="74">
        <f t="shared" ref="F35:K35" si="39">F47+F53+F71+F78+F84+F91+F97+F110+F117+F125+F134+F141+F149+F155+F168+F175+F181+F41+F65</f>
        <v>2151</v>
      </c>
      <c r="G35" s="74">
        <f t="shared" si="39"/>
        <v>3908.3</v>
      </c>
      <c r="H35" s="74">
        <f t="shared" si="39"/>
        <v>0</v>
      </c>
      <c r="I35" s="74">
        <f t="shared" si="39"/>
        <v>0</v>
      </c>
      <c r="J35" s="74">
        <f t="shared" si="39"/>
        <v>0</v>
      </c>
      <c r="K35" s="74">
        <f t="shared" si="39"/>
        <v>0</v>
      </c>
      <c r="L35" s="74">
        <f>L47+L53+L71+L78+L84+L91+L97+L110+L117+L125+L134+L141+L149+L155+L168+L175+L181+L41+L65</f>
        <v>0</v>
      </c>
      <c r="M35" s="74">
        <f>M47+M53+M71+M78+M84+M91+M97+M110+M117+M125+M134+M141+M149+M155+M168+M175+M181+M41+M65</f>
        <v>0</v>
      </c>
      <c r="N35" s="74">
        <f>N47+N53+N71+N78+N84+N91+N97+N110+N117+N125+N134+N141+N149+N155+N168+N175+N181+N41+N65</f>
        <v>0</v>
      </c>
      <c r="O35" s="74">
        <f>O47+O53+O71+O78+O84+O91+O97+O110+O117+O125+O134+O141+O149+O155+O168+O175+O181+O41+O65</f>
        <v>0</v>
      </c>
    </row>
    <row r="36" spans="1:22" ht="18.75" customHeight="1" x14ac:dyDescent="0.2">
      <c r="A36" s="158"/>
      <c r="B36" s="161"/>
      <c r="C36" s="51" t="s">
        <v>13</v>
      </c>
      <c r="D36" s="1">
        <f t="shared" si="30"/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</row>
    <row r="37" spans="1:22" ht="15.75" x14ac:dyDescent="0.2">
      <c r="A37" s="116" t="s">
        <v>94</v>
      </c>
      <c r="B37" s="146" t="s">
        <v>371</v>
      </c>
      <c r="C37" s="60" t="s">
        <v>7</v>
      </c>
      <c r="D37" s="1">
        <f t="shared" ref="D37:D42" si="40">E37+F37+G37+H37+I37+J37+K37+L37+M37+N37+O37</f>
        <v>20898.7</v>
      </c>
      <c r="E37" s="1">
        <f t="shared" ref="E37:J37" si="41">SUM(E38:E42)</f>
        <v>279.3</v>
      </c>
      <c r="F37" s="1">
        <f t="shared" si="41"/>
        <v>7999</v>
      </c>
      <c r="G37" s="1">
        <f>G38+G39+G40+G42</f>
        <v>3908.3</v>
      </c>
      <c r="H37" s="1">
        <f t="shared" si="41"/>
        <v>0</v>
      </c>
      <c r="I37" s="1">
        <f t="shared" si="41"/>
        <v>7695.7</v>
      </c>
      <c r="J37" s="1">
        <f t="shared" si="41"/>
        <v>1016.4000000000001</v>
      </c>
      <c r="K37" s="1">
        <f>K38+K39+K40+K41+K42</f>
        <v>0</v>
      </c>
      <c r="L37" s="1">
        <f>L38+L39+L40+L41+L42</f>
        <v>0</v>
      </c>
      <c r="M37" s="1">
        <f>M38+M39+M40+M41+M42</f>
        <v>0</v>
      </c>
      <c r="N37" s="1">
        <f>N38+N39+N40+N41+N42</f>
        <v>0</v>
      </c>
      <c r="O37" s="1">
        <f>O38+O39+O40+O41+O42</f>
        <v>0</v>
      </c>
      <c r="P37" s="66" t="s">
        <v>354</v>
      </c>
    </row>
    <row r="38" spans="1:22" ht="15.75" x14ac:dyDescent="0.2">
      <c r="A38" s="116"/>
      <c r="B38" s="147"/>
      <c r="C38" s="51" t="s">
        <v>10</v>
      </c>
      <c r="D38" s="1">
        <f t="shared" si="40"/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22" ht="15.75" x14ac:dyDescent="0.2">
      <c r="A39" s="116"/>
      <c r="B39" s="147"/>
      <c r="C39" s="51" t="s">
        <v>11</v>
      </c>
      <c r="D39" s="1">
        <f t="shared" si="40"/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22" ht="15.75" x14ac:dyDescent="0.2">
      <c r="A40" s="116"/>
      <c r="B40" s="147"/>
      <c r="C40" s="51" t="s">
        <v>12</v>
      </c>
      <c r="D40" s="1">
        <f t="shared" si="40"/>
        <v>20898.7</v>
      </c>
      <c r="E40" s="1">
        <v>279.3</v>
      </c>
      <c r="F40" s="1">
        <v>7999</v>
      </c>
      <c r="G40" s="1">
        <v>3908.3</v>
      </c>
      <c r="H40" s="1">
        <v>0</v>
      </c>
      <c r="I40" s="1">
        <v>7695.7</v>
      </c>
      <c r="J40" s="1">
        <f>13000-10000-91-1800-1.6-235+144</f>
        <v>1016.4000000000001</v>
      </c>
      <c r="K40" s="1">
        <f>1620.7-553.4-1067.3</f>
        <v>0</v>
      </c>
      <c r="L40" s="1">
        <v>0</v>
      </c>
      <c r="M40" s="1">
        <v>0</v>
      </c>
      <c r="N40" s="1">
        <v>0</v>
      </c>
      <c r="O40" s="1">
        <v>0</v>
      </c>
    </row>
    <row r="41" spans="1:22" ht="31.5" x14ac:dyDescent="0.2">
      <c r="A41" s="116"/>
      <c r="B41" s="147"/>
      <c r="C41" s="76" t="s">
        <v>79</v>
      </c>
      <c r="D41" s="74">
        <f t="shared" si="40"/>
        <v>3908.3</v>
      </c>
      <c r="E41" s="74">
        <v>0</v>
      </c>
      <c r="F41" s="74">
        <v>0</v>
      </c>
      <c r="G41" s="74">
        <v>3908.3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</row>
    <row r="42" spans="1:22" ht="20.25" customHeight="1" x14ac:dyDescent="0.2">
      <c r="A42" s="116"/>
      <c r="B42" s="148"/>
      <c r="C42" s="51" t="s">
        <v>13</v>
      </c>
      <c r="D42" s="1">
        <f t="shared" si="40"/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22" ht="15.75" x14ac:dyDescent="0.2">
      <c r="A43" s="116" t="s">
        <v>95</v>
      </c>
      <c r="B43" s="111" t="s">
        <v>247</v>
      </c>
      <c r="C43" s="51" t="s">
        <v>7</v>
      </c>
      <c r="D43" s="1">
        <f>D44+D45+D46+D48</f>
        <v>89901.1</v>
      </c>
      <c r="E43" s="1">
        <f t="shared" ref="E43:O43" si="42">E44+E45+E46+E48</f>
        <v>2524.5</v>
      </c>
      <c r="F43" s="1">
        <f t="shared" si="42"/>
        <v>0</v>
      </c>
      <c r="G43" s="1">
        <f t="shared" si="42"/>
        <v>9700</v>
      </c>
      <c r="H43" s="1">
        <f t="shared" si="42"/>
        <v>55770.7</v>
      </c>
      <c r="I43" s="1">
        <f t="shared" si="42"/>
        <v>20706</v>
      </c>
      <c r="J43" s="1">
        <f>J44+J45+J46+J48</f>
        <v>1153.1000000000004</v>
      </c>
      <c r="K43" s="1">
        <f t="shared" si="42"/>
        <v>46.800000000000004</v>
      </c>
      <c r="L43" s="1">
        <f t="shared" si="42"/>
        <v>0</v>
      </c>
      <c r="M43" s="1">
        <f t="shared" si="42"/>
        <v>0</v>
      </c>
      <c r="N43" s="1">
        <f t="shared" si="42"/>
        <v>0</v>
      </c>
      <c r="O43" s="1">
        <f t="shared" si="42"/>
        <v>0</v>
      </c>
      <c r="P43" s="66" t="s">
        <v>354</v>
      </c>
    </row>
    <row r="44" spans="1:22" ht="17.25" customHeight="1" x14ac:dyDescent="0.2">
      <c r="A44" s="116"/>
      <c r="B44" s="111"/>
      <c r="C44" s="51" t="s">
        <v>10</v>
      </c>
      <c r="D44" s="1">
        <f>E44+F44+G44+H44+I44+J44+K44+L44+M44+N44+O44</f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</row>
    <row r="45" spans="1:22" ht="15.75" x14ac:dyDescent="0.2">
      <c r="A45" s="116"/>
      <c r="B45" s="111"/>
      <c r="C45" s="51" t="s">
        <v>11</v>
      </c>
      <c r="D45" s="1">
        <f>E45+F45+G45+H45+I45+J45+K45+L45+M45+N45+O45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22" ht="31.5" x14ac:dyDescent="0.2">
      <c r="A46" s="116"/>
      <c r="B46" s="111"/>
      <c r="C46" s="51" t="s">
        <v>65</v>
      </c>
      <c r="D46" s="1">
        <f>E46+F46+G46+H46+I46+J46+K46+L46+M46+N46+O46</f>
        <v>89901.1</v>
      </c>
      <c r="E46" s="1">
        <v>2524.5</v>
      </c>
      <c r="F46" s="1">
        <v>0</v>
      </c>
      <c r="G46" s="1">
        <v>9700</v>
      </c>
      <c r="H46" s="1">
        <v>55770.7</v>
      </c>
      <c r="I46" s="1">
        <f>23156-2450</f>
        <v>20706</v>
      </c>
      <c r="J46" s="1">
        <f>10000-8846.9</f>
        <v>1153.1000000000004</v>
      </c>
      <c r="K46" s="1">
        <f>49.2-2.4</f>
        <v>46.800000000000004</v>
      </c>
      <c r="L46" s="1">
        <v>0</v>
      </c>
      <c r="M46" s="1">
        <v>0</v>
      </c>
      <c r="N46" s="1">
        <v>0</v>
      </c>
      <c r="O46" s="1">
        <v>0</v>
      </c>
    </row>
    <row r="47" spans="1:22" ht="31.5" x14ac:dyDescent="0.2">
      <c r="A47" s="116"/>
      <c r="B47" s="111"/>
      <c r="C47" s="76" t="s">
        <v>79</v>
      </c>
      <c r="D47" s="1">
        <f>E47+F47+G47+H47+I47+J47+K47+L47+M47+N47+O47</f>
        <v>1837.2</v>
      </c>
      <c r="E47" s="74">
        <v>1837.2</v>
      </c>
      <c r="F47" s="74">
        <v>0</v>
      </c>
      <c r="G47" s="74">
        <v>0</v>
      </c>
      <c r="H47" s="74">
        <v>0</v>
      </c>
      <c r="I47" s="74">
        <v>0</v>
      </c>
      <c r="J47" s="74">
        <v>0</v>
      </c>
      <c r="K47" s="74">
        <v>0</v>
      </c>
      <c r="L47" s="74">
        <v>0</v>
      </c>
      <c r="M47" s="74">
        <v>0</v>
      </c>
      <c r="N47" s="74">
        <v>0</v>
      </c>
      <c r="O47" s="74">
        <v>0</v>
      </c>
    </row>
    <row r="48" spans="1:22" ht="18" customHeight="1" x14ac:dyDescent="0.2">
      <c r="A48" s="116"/>
      <c r="B48" s="111"/>
      <c r="C48" s="51" t="s">
        <v>13</v>
      </c>
      <c r="D48" s="1">
        <f>E48+F48+G48+H48+I48+J48+K48+L48+M48+N48+O48</f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</row>
    <row r="49" spans="1:17" ht="15.75" x14ac:dyDescent="0.2">
      <c r="A49" s="105" t="s">
        <v>131</v>
      </c>
      <c r="B49" s="146" t="s">
        <v>227</v>
      </c>
      <c r="C49" s="51" t="s">
        <v>7</v>
      </c>
      <c r="D49" s="1">
        <f>E49+F49+G49+H49+I49+J49</f>
        <v>342.5</v>
      </c>
      <c r="E49" s="1">
        <f t="shared" ref="E49:K49" si="43">E50+E51+E52+E54</f>
        <v>330.5</v>
      </c>
      <c r="F49" s="1">
        <f t="shared" si="43"/>
        <v>12</v>
      </c>
      <c r="G49" s="1">
        <f t="shared" si="43"/>
        <v>0</v>
      </c>
      <c r="H49" s="1">
        <f t="shared" si="43"/>
        <v>0</v>
      </c>
      <c r="I49" s="1">
        <f t="shared" si="43"/>
        <v>0</v>
      </c>
      <c r="J49" s="1">
        <f t="shared" si="43"/>
        <v>0</v>
      </c>
      <c r="K49" s="1">
        <f t="shared" si="43"/>
        <v>0</v>
      </c>
      <c r="L49" s="1">
        <f>L50+L51+L52+L54</f>
        <v>0</v>
      </c>
      <c r="M49" s="1">
        <f>M50+M51+M52+M54</f>
        <v>0</v>
      </c>
      <c r="N49" s="1">
        <f>N50+N51+N52+N54</f>
        <v>0</v>
      </c>
      <c r="O49" s="1">
        <f>O50+O51+O52+O54</f>
        <v>0</v>
      </c>
    </row>
    <row r="50" spans="1:17" ht="15.75" x14ac:dyDescent="0.2">
      <c r="A50" s="106"/>
      <c r="B50" s="147"/>
      <c r="C50" s="51" t="s">
        <v>10</v>
      </c>
      <c r="D50" s="1">
        <f>E50+F50+G50+H50+I50+J50</f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</row>
    <row r="51" spans="1:17" ht="15.75" x14ac:dyDescent="0.2">
      <c r="A51" s="106"/>
      <c r="B51" s="147"/>
      <c r="C51" s="51" t="s">
        <v>11</v>
      </c>
      <c r="D51" s="1">
        <f>E51+F51+G51+H51+I51+J51</f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7" ht="30.75" customHeight="1" x14ac:dyDescent="0.2">
      <c r="A52" s="106"/>
      <c r="B52" s="147"/>
      <c r="C52" s="51" t="s">
        <v>65</v>
      </c>
      <c r="D52" s="1">
        <f>E52+F52+G52+H52+I52+J52</f>
        <v>342.5</v>
      </c>
      <c r="E52" s="1">
        <v>330.5</v>
      </c>
      <c r="F52" s="1">
        <v>12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32.25" customHeight="1" x14ac:dyDescent="0.2">
      <c r="A53" s="106"/>
      <c r="B53" s="147"/>
      <c r="C53" s="76" t="s">
        <v>79</v>
      </c>
      <c r="D53" s="74">
        <f>E53</f>
        <v>330.5</v>
      </c>
      <c r="E53" s="74">
        <v>330.5</v>
      </c>
      <c r="F53" s="74">
        <v>0</v>
      </c>
      <c r="G53" s="74">
        <v>0</v>
      </c>
      <c r="H53" s="74">
        <v>0</v>
      </c>
      <c r="I53" s="74">
        <v>0</v>
      </c>
      <c r="J53" s="74">
        <v>0</v>
      </c>
      <c r="K53" s="1">
        <v>0</v>
      </c>
      <c r="L53" s="74">
        <v>0</v>
      </c>
      <c r="M53" s="74">
        <v>0</v>
      </c>
      <c r="N53" s="74">
        <v>0</v>
      </c>
      <c r="O53" s="1">
        <v>0</v>
      </c>
    </row>
    <row r="54" spans="1:17" ht="26.25" customHeight="1" x14ac:dyDescent="0.2">
      <c r="A54" s="107"/>
      <c r="B54" s="148"/>
      <c r="C54" s="51" t="s">
        <v>13</v>
      </c>
      <c r="D54" s="1">
        <f>E54+F54+G54+H54+I54+J54</f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</row>
    <row r="55" spans="1:17" ht="15.75" x14ac:dyDescent="0.2">
      <c r="A55" s="116" t="s">
        <v>96</v>
      </c>
      <c r="B55" s="111" t="s">
        <v>88</v>
      </c>
      <c r="C55" s="51" t="s">
        <v>7</v>
      </c>
      <c r="D55" s="1">
        <f>E55+F55+G55+H55+I55+J55+K55+L55+M55+N55+O55</f>
        <v>5540</v>
      </c>
      <c r="E55" s="1">
        <f t="shared" ref="E55:K55" si="44">E56+E57+E58+E59</f>
        <v>5540</v>
      </c>
      <c r="F55" s="1">
        <f t="shared" si="44"/>
        <v>0</v>
      </c>
      <c r="G55" s="1">
        <f t="shared" si="44"/>
        <v>0</v>
      </c>
      <c r="H55" s="1">
        <f t="shared" si="44"/>
        <v>0</v>
      </c>
      <c r="I55" s="1">
        <f t="shared" si="44"/>
        <v>0</v>
      </c>
      <c r="J55" s="1">
        <f t="shared" si="44"/>
        <v>0</v>
      </c>
      <c r="K55" s="1">
        <f t="shared" si="44"/>
        <v>0</v>
      </c>
      <c r="L55" s="1">
        <f>L56+L57+L58+L59</f>
        <v>0</v>
      </c>
      <c r="M55" s="1">
        <f>M56+M57+M58+M59</f>
        <v>0</v>
      </c>
      <c r="N55" s="1">
        <f>N56+N57+N58+N59</f>
        <v>0</v>
      </c>
      <c r="O55" s="1">
        <f>O56+O57+O58+O59</f>
        <v>0</v>
      </c>
    </row>
    <row r="56" spans="1:17" ht="17.25" customHeight="1" x14ac:dyDescent="0.2">
      <c r="A56" s="116"/>
      <c r="B56" s="111"/>
      <c r="C56" s="51" t="s">
        <v>10</v>
      </c>
      <c r="D56" s="1">
        <f>E56+F56+G56+H56+I56+J56+K56+L56+M56+N56+O56</f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</row>
    <row r="57" spans="1:17" ht="15.75" x14ac:dyDescent="0.2">
      <c r="A57" s="116"/>
      <c r="B57" s="111"/>
      <c r="C57" s="51" t="s">
        <v>11</v>
      </c>
      <c r="D57" s="1">
        <f>E57+F57+G57+H57+I57+J57+K57+L57+M57+N57+O57</f>
        <v>5000</v>
      </c>
      <c r="E57" s="1">
        <v>5000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16"/>
      <c r="B58" s="111"/>
      <c r="C58" s="51" t="s">
        <v>12</v>
      </c>
      <c r="D58" s="1">
        <f>E58+F58+G58+H58+I58+J58+K58+L58+M58+N58+O58</f>
        <v>540</v>
      </c>
      <c r="E58" s="1">
        <v>540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7" ht="19.5" customHeight="1" x14ac:dyDescent="0.2">
      <c r="A59" s="116"/>
      <c r="B59" s="111"/>
      <c r="C59" s="51" t="s">
        <v>13</v>
      </c>
      <c r="D59" s="1">
        <f>E59+F59+G59+H59+I59+J59+K59+L59+M59+N59+O59</f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15.75" x14ac:dyDescent="0.2">
      <c r="A60" s="116" t="s">
        <v>97</v>
      </c>
      <c r="B60" s="146" t="s">
        <v>421</v>
      </c>
      <c r="C60" s="51" t="s">
        <v>7</v>
      </c>
      <c r="D60" s="1">
        <f>E60+F60+G60+H60+I60+J60</f>
        <v>103147.9</v>
      </c>
      <c r="E60" s="1">
        <f>E61+E63+E64+E66</f>
        <v>101289</v>
      </c>
      <c r="F60" s="1">
        <f>F61+F63+F64+F66</f>
        <v>1200</v>
      </c>
      <c r="G60" s="1">
        <f t="shared" ref="G60:O60" si="45">G61+G63+G64+G66</f>
        <v>0</v>
      </c>
      <c r="H60" s="1">
        <f t="shared" si="45"/>
        <v>600</v>
      </c>
      <c r="I60" s="1">
        <f t="shared" si="45"/>
        <v>35.5</v>
      </c>
      <c r="J60" s="1">
        <f t="shared" si="45"/>
        <v>23.4</v>
      </c>
      <c r="K60" s="1">
        <f t="shared" si="45"/>
        <v>0</v>
      </c>
      <c r="L60" s="1">
        <f t="shared" si="45"/>
        <v>153.6</v>
      </c>
      <c r="M60" s="1">
        <f t="shared" si="45"/>
        <v>0</v>
      </c>
      <c r="N60" s="1">
        <f t="shared" si="45"/>
        <v>0</v>
      </c>
      <c r="O60" s="1">
        <f t="shared" si="45"/>
        <v>0</v>
      </c>
      <c r="P60" s="62">
        <v>35.4</v>
      </c>
      <c r="Q60" s="71">
        <f>I60-P60</f>
        <v>0.10000000000000142</v>
      </c>
    </row>
    <row r="61" spans="1:17" ht="31.5" x14ac:dyDescent="0.2">
      <c r="A61" s="116"/>
      <c r="B61" s="147"/>
      <c r="C61" s="51" t="s">
        <v>80</v>
      </c>
      <c r="D61" s="1">
        <f t="shared" ref="D61:D66" si="46">E61+F61+G61+H61+I61+J61+K61+L61+M61+N61+O61</f>
        <v>98793.9</v>
      </c>
      <c r="E61" s="1">
        <f>E62</f>
        <v>98793.9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</row>
    <row r="62" spans="1:17" ht="31.5" x14ac:dyDescent="0.2">
      <c r="A62" s="116"/>
      <c r="B62" s="147"/>
      <c r="C62" s="76" t="s">
        <v>81</v>
      </c>
      <c r="D62" s="1">
        <f t="shared" si="46"/>
        <v>98793.9</v>
      </c>
      <c r="E62" s="74">
        <v>98793.9</v>
      </c>
      <c r="F62" s="74">
        <v>0</v>
      </c>
      <c r="G62" s="74">
        <v>0</v>
      </c>
      <c r="H62" s="74">
        <v>0</v>
      </c>
      <c r="I62" s="74">
        <v>0</v>
      </c>
      <c r="J62" s="74">
        <v>0</v>
      </c>
      <c r="K62" s="74">
        <v>0</v>
      </c>
      <c r="L62" s="74">
        <v>0</v>
      </c>
      <c r="M62" s="74">
        <v>0</v>
      </c>
      <c r="N62" s="74">
        <v>0</v>
      </c>
      <c r="O62" s="74">
        <v>0</v>
      </c>
    </row>
    <row r="63" spans="1:17" ht="15.75" x14ac:dyDescent="0.2">
      <c r="A63" s="116"/>
      <c r="B63" s="147"/>
      <c r="C63" s="51" t="s">
        <v>11</v>
      </c>
      <c r="D63" s="1">
        <f t="shared" si="46"/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64">
        <f>D61+D63+D64+D66</f>
        <v>103301.5</v>
      </c>
      <c r="Q63" s="64"/>
    </row>
    <row r="64" spans="1:17" ht="15.75" x14ac:dyDescent="0.2">
      <c r="A64" s="116"/>
      <c r="B64" s="147"/>
      <c r="C64" s="51" t="s">
        <v>12</v>
      </c>
      <c r="D64" s="1">
        <f t="shared" si="46"/>
        <v>4507.6000000000004</v>
      </c>
      <c r="E64" s="1">
        <v>2495.1</v>
      </c>
      <c r="F64" s="1">
        <v>1200</v>
      </c>
      <c r="G64" s="1">
        <v>0</v>
      </c>
      <c r="H64" s="1">
        <v>600</v>
      </c>
      <c r="I64" s="1">
        <v>35.5</v>
      </c>
      <c r="J64" s="1">
        <f>0+23.4</f>
        <v>23.4</v>
      </c>
      <c r="K64" s="1">
        <v>0</v>
      </c>
      <c r="L64" s="1">
        <f>221.5-67.9</f>
        <v>153.6</v>
      </c>
      <c r="M64" s="1">
        <v>0</v>
      </c>
      <c r="N64" s="1">
        <v>0</v>
      </c>
      <c r="O64" s="1">
        <v>0</v>
      </c>
    </row>
    <row r="65" spans="1:15" ht="31.5" x14ac:dyDescent="0.2">
      <c r="A65" s="116"/>
      <c r="B65" s="147"/>
      <c r="C65" s="76" t="s">
        <v>79</v>
      </c>
      <c r="D65" s="74">
        <f t="shared" si="46"/>
        <v>1200</v>
      </c>
      <c r="E65" s="74">
        <v>0</v>
      </c>
      <c r="F65" s="74">
        <v>1200</v>
      </c>
      <c r="G65" s="74">
        <v>0</v>
      </c>
      <c r="H65" s="74">
        <v>0</v>
      </c>
      <c r="I65" s="74">
        <v>0</v>
      </c>
      <c r="J65" s="74">
        <v>0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</row>
    <row r="66" spans="1:15" ht="21" customHeight="1" x14ac:dyDescent="0.2">
      <c r="A66" s="116"/>
      <c r="B66" s="148"/>
      <c r="C66" s="51" t="s">
        <v>13</v>
      </c>
      <c r="D66" s="1">
        <f t="shared" si="46"/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15.75" x14ac:dyDescent="0.2">
      <c r="A67" s="116" t="s">
        <v>98</v>
      </c>
      <c r="B67" s="111" t="s">
        <v>61</v>
      </c>
      <c r="C67" s="51" t="s">
        <v>7</v>
      </c>
      <c r="D67" s="1">
        <f>D68+D69+D70+D72</f>
        <v>2863</v>
      </c>
      <c r="E67" s="1">
        <f t="shared" ref="E67:K67" si="47">E68+E69+E70+E72</f>
        <v>2863</v>
      </c>
      <c r="F67" s="1">
        <f t="shared" si="47"/>
        <v>0</v>
      </c>
      <c r="G67" s="1">
        <f t="shared" si="47"/>
        <v>0</v>
      </c>
      <c r="H67" s="1">
        <f t="shared" si="47"/>
        <v>0</v>
      </c>
      <c r="I67" s="1">
        <f t="shared" si="47"/>
        <v>0</v>
      </c>
      <c r="J67" s="1">
        <f t="shared" si="47"/>
        <v>0</v>
      </c>
      <c r="K67" s="1">
        <f t="shared" si="47"/>
        <v>0</v>
      </c>
      <c r="L67" s="1">
        <f>L68+L69+L70+L72</f>
        <v>0</v>
      </c>
      <c r="M67" s="1">
        <f>M68+M69+M70+M72</f>
        <v>0</v>
      </c>
      <c r="N67" s="1">
        <f>N68+N69+N70+N72</f>
        <v>0</v>
      </c>
      <c r="O67" s="1">
        <f>O68+O69+O70+O72</f>
        <v>0</v>
      </c>
    </row>
    <row r="68" spans="1:15" ht="15.75" x14ac:dyDescent="0.2">
      <c r="A68" s="116"/>
      <c r="B68" s="111"/>
      <c r="C68" s="51" t="s">
        <v>10</v>
      </c>
      <c r="D68" s="1">
        <f>E68+F68+G68+H68+I68+J68+K68+L68+M68+N68+O68</f>
        <v>0</v>
      </c>
      <c r="E68" s="1">
        <f>F68+G68+H68+I68+J68</f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</v>
      </c>
      <c r="O68" s="1">
        <v>0</v>
      </c>
    </row>
    <row r="69" spans="1:15" ht="15.75" x14ac:dyDescent="0.2">
      <c r="A69" s="116"/>
      <c r="B69" s="111"/>
      <c r="C69" s="51" t="s">
        <v>11</v>
      </c>
      <c r="D69" s="1">
        <f>E69+F69+G69+H69+I69+J69+K69+L69+M69+N69+O69</f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ht="31.5" x14ac:dyDescent="0.2">
      <c r="A70" s="116"/>
      <c r="B70" s="111"/>
      <c r="C70" s="51" t="s">
        <v>65</v>
      </c>
      <c r="D70" s="1">
        <f>E70+F70+G70+H70+I70+J70+K70+L70+M70+N70+O70</f>
        <v>2863</v>
      </c>
      <c r="E70" s="1">
        <v>2863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33" customHeight="1" x14ac:dyDescent="0.2">
      <c r="A71" s="116"/>
      <c r="B71" s="111"/>
      <c r="C71" s="76" t="s">
        <v>79</v>
      </c>
      <c r="D71" s="1">
        <f>E71+F71+G71+H71+I71+J71+K71+L71+M71+N71+O71</f>
        <v>2863</v>
      </c>
      <c r="E71" s="74">
        <v>2863</v>
      </c>
      <c r="F71" s="74">
        <v>0</v>
      </c>
      <c r="G71" s="74">
        <v>0</v>
      </c>
      <c r="H71" s="74">
        <v>0</v>
      </c>
      <c r="I71" s="74">
        <v>0</v>
      </c>
      <c r="J71" s="74">
        <v>0</v>
      </c>
      <c r="K71" s="1">
        <v>0</v>
      </c>
      <c r="L71" s="74">
        <v>0</v>
      </c>
      <c r="M71" s="74">
        <v>0</v>
      </c>
      <c r="N71" s="74">
        <v>0</v>
      </c>
      <c r="O71" s="1">
        <v>0</v>
      </c>
    </row>
    <row r="72" spans="1:15" ht="20.25" customHeight="1" x14ac:dyDescent="0.2">
      <c r="A72" s="116"/>
      <c r="B72" s="111"/>
      <c r="C72" s="51" t="s">
        <v>13</v>
      </c>
      <c r="D72" s="1">
        <f>E72+F72+G72+H72+I72+J72+K72+L72+M72+N72+O72</f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</row>
    <row r="73" spans="1:15" ht="15.75" x14ac:dyDescent="0.2">
      <c r="A73" s="116" t="s">
        <v>99</v>
      </c>
      <c r="B73" s="111" t="s">
        <v>138</v>
      </c>
      <c r="C73" s="51" t="s">
        <v>7</v>
      </c>
      <c r="D73" s="1">
        <f t="shared" ref="D73:K73" si="48">D74+D75+D77+D79</f>
        <v>19253.100000000002</v>
      </c>
      <c r="E73" s="1">
        <f t="shared" si="48"/>
        <v>19253.100000000002</v>
      </c>
      <c r="F73" s="1">
        <f t="shared" si="48"/>
        <v>0</v>
      </c>
      <c r="G73" s="1">
        <f t="shared" si="48"/>
        <v>0</v>
      </c>
      <c r="H73" s="1">
        <f t="shared" si="48"/>
        <v>0</v>
      </c>
      <c r="I73" s="1">
        <f t="shared" si="48"/>
        <v>0</v>
      </c>
      <c r="J73" s="1">
        <f t="shared" si="48"/>
        <v>0</v>
      </c>
      <c r="K73" s="1">
        <f t="shared" si="48"/>
        <v>0</v>
      </c>
      <c r="L73" s="1">
        <f>L74+L75+L77+L79</f>
        <v>0</v>
      </c>
      <c r="M73" s="1">
        <f>M74+M75+M77+M79</f>
        <v>0</v>
      </c>
      <c r="N73" s="1">
        <f>N74+N75+N77+N79</f>
        <v>0</v>
      </c>
      <c r="O73" s="1">
        <f>O74+O75+O77+O79</f>
        <v>0</v>
      </c>
    </row>
    <row r="74" spans="1:15" ht="15.75" x14ac:dyDescent="0.2">
      <c r="A74" s="116"/>
      <c r="B74" s="111"/>
      <c r="C74" s="51" t="s">
        <v>10</v>
      </c>
      <c r="D74" s="1">
        <f>E74+F74+G74+H74+I74+J74</f>
        <v>0</v>
      </c>
      <c r="E74" s="1">
        <f>F74+G74+H74+I74+J74</f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</row>
    <row r="75" spans="1:15" ht="33" customHeight="1" x14ac:dyDescent="0.2">
      <c r="A75" s="116"/>
      <c r="B75" s="111"/>
      <c r="C75" s="51" t="s">
        <v>69</v>
      </c>
      <c r="D75" s="1">
        <f>E75+F75+G75+H75+I75+J75</f>
        <v>18290.400000000001</v>
      </c>
      <c r="E75" s="1">
        <v>18290.400000000001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2.25" customHeight="1" x14ac:dyDescent="0.2">
      <c r="A76" s="116"/>
      <c r="B76" s="111"/>
      <c r="C76" s="76" t="s">
        <v>79</v>
      </c>
      <c r="D76" s="74">
        <f>E76</f>
        <v>18290.400000000001</v>
      </c>
      <c r="E76" s="74">
        <v>18290.400000000001</v>
      </c>
      <c r="F76" s="74">
        <v>0</v>
      </c>
      <c r="G76" s="74">
        <v>0</v>
      </c>
      <c r="H76" s="74">
        <v>0</v>
      </c>
      <c r="I76" s="74">
        <v>0</v>
      </c>
      <c r="J76" s="74">
        <v>0</v>
      </c>
      <c r="K76" s="1">
        <v>0</v>
      </c>
      <c r="L76" s="74">
        <v>0</v>
      </c>
      <c r="M76" s="74">
        <v>0</v>
      </c>
      <c r="N76" s="74">
        <v>0</v>
      </c>
      <c r="O76" s="1">
        <v>0</v>
      </c>
    </row>
    <row r="77" spans="1:15" ht="33.75" customHeight="1" x14ac:dyDescent="0.2">
      <c r="A77" s="116"/>
      <c r="B77" s="111"/>
      <c r="C77" s="51" t="s">
        <v>65</v>
      </c>
      <c r="D77" s="1">
        <f>E77+F77+G77+H77+I77+J77</f>
        <v>962.7</v>
      </c>
      <c r="E77" s="1">
        <v>962.7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</v>
      </c>
      <c r="O77" s="1">
        <v>0</v>
      </c>
    </row>
    <row r="78" spans="1:15" ht="30.75" customHeight="1" x14ac:dyDescent="0.2">
      <c r="A78" s="116"/>
      <c r="B78" s="111"/>
      <c r="C78" s="76" t="s">
        <v>79</v>
      </c>
      <c r="D78" s="74">
        <f>E78</f>
        <v>962.7</v>
      </c>
      <c r="E78" s="74">
        <v>962.7</v>
      </c>
      <c r="F78" s="74">
        <v>0</v>
      </c>
      <c r="G78" s="74">
        <v>0</v>
      </c>
      <c r="H78" s="74">
        <v>0</v>
      </c>
      <c r="I78" s="74">
        <v>0</v>
      </c>
      <c r="J78" s="74">
        <v>0</v>
      </c>
      <c r="K78" s="1">
        <v>0</v>
      </c>
      <c r="L78" s="74">
        <v>0</v>
      </c>
      <c r="M78" s="74">
        <v>0</v>
      </c>
      <c r="N78" s="74">
        <v>0</v>
      </c>
      <c r="O78" s="1">
        <v>0</v>
      </c>
    </row>
    <row r="79" spans="1:15" ht="18.75" customHeight="1" x14ac:dyDescent="0.2">
      <c r="A79" s="116"/>
      <c r="B79" s="111"/>
      <c r="C79" s="51" t="s">
        <v>13</v>
      </c>
      <c r="D79" s="1">
        <f>E79+F79+G79+H79+I79+J79</f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</row>
    <row r="80" spans="1:15" ht="15.75" x14ac:dyDescent="0.2">
      <c r="A80" s="116" t="s">
        <v>100</v>
      </c>
      <c r="B80" s="146" t="s">
        <v>68</v>
      </c>
      <c r="C80" s="51" t="s">
        <v>7</v>
      </c>
      <c r="D80" s="1">
        <f t="shared" ref="D80:I80" si="49">D81+D82+D83+D85</f>
        <v>79.5</v>
      </c>
      <c r="E80" s="1">
        <f t="shared" si="49"/>
        <v>79.5</v>
      </c>
      <c r="F80" s="1">
        <f t="shared" si="49"/>
        <v>0</v>
      </c>
      <c r="G80" s="1">
        <f t="shared" si="49"/>
        <v>0</v>
      </c>
      <c r="H80" s="1">
        <f t="shared" si="49"/>
        <v>0</v>
      </c>
      <c r="I80" s="1">
        <f t="shared" si="49"/>
        <v>0</v>
      </c>
      <c r="J80" s="1">
        <f t="shared" ref="J80:O80" si="50">J81+J82+J83+J85</f>
        <v>0</v>
      </c>
      <c r="K80" s="1">
        <f t="shared" si="50"/>
        <v>0</v>
      </c>
      <c r="L80" s="1">
        <f t="shared" si="50"/>
        <v>0</v>
      </c>
      <c r="M80" s="1">
        <f t="shared" si="50"/>
        <v>0</v>
      </c>
      <c r="N80" s="1">
        <f t="shared" si="50"/>
        <v>0</v>
      </c>
      <c r="O80" s="1">
        <f t="shared" si="50"/>
        <v>0</v>
      </c>
    </row>
    <row r="81" spans="1:15" ht="18.75" customHeight="1" x14ac:dyDescent="0.2">
      <c r="A81" s="116"/>
      <c r="B81" s="147"/>
      <c r="C81" s="51" t="s">
        <v>10</v>
      </c>
      <c r="D81" s="1">
        <f>E81+F81+G81+H81+I81+J81</f>
        <v>0</v>
      </c>
      <c r="E81" s="1">
        <f>F81+G81+H81+I81+J81</f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</row>
    <row r="82" spans="1:15" ht="16.5" customHeight="1" x14ac:dyDescent="0.2">
      <c r="A82" s="116"/>
      <c r="B82" s="147"/>
      <c r="C82" s="51" t="s">
        <v>11</v>
      </c>
      <c r="D82" s="1">
        <f>E82+F82+G82+H82+I82+J82</f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 ht="31.5" x14ac:dyDescent="0.2">
      <c r="A83" s="116"/>
      <c r="B83" s="147"/>
      <c r="C83" s="51" t="s">
        <v>65</v>
      </c>
      <c r="D83" s="1">
        <f>E83+F83+G83+H83+I83+J83</f>
        <v>79.5</v>
      </c>
      <c r="E83" s="1">
        <v>79.5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30.75" customHeight="1" x14ac:dyDescent="0.2">
      <c r="A84" s="116"/>
      <c r="B84" s="147"/>
      <c r="C84" s="76" t="s">
        <v>79</v>
      </c>
      <c r="D84" s="74">
        <f>E84</f>
        <v>79.5</v>
      </c>
      <c r="E84" s="74">
        <v>79.5</v>
      </c>
      <c r="F84" s="74">
        <v>0</v>
      </c>
      <c r="G84" s="74">
        <v>0</v>
      </c>
      <c r="H84" s="74">
        <v>0</v>
      </c>
      <c r="I84" s="74">
        <v>0</v>
      </c>
      <c r="J84" s="74">
        <v>0</v>
      </c>
      <c r="K84" s="1">
        <v>0</v>
      </c>
      <c r="L84" s="74">
        <v>0</v>
      </c>
      <c r="M84" s="74">
        <v>0</v>
      </c>
      <c r="N84" s="74">
        <v>0</v>
      </c>
      <c r="O84" s="1">
        <v>0</v>
      </c>
    </row>
    <row r="85" spans="1:15" ht="19.5" customHeight="1" x14ac:dyDescent="0.2">
      <c r="A85" s="116"/>
      <c r="B85" s="148"/>
      <c r="C85" s="51" t="s">
        <v>13</v>
      </c>
      <c r="D85" s="1">
        <f>E85+F85+G85+H85+I85+J85</f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</row>
    <row r="86" spans="1:15" ht="15.75" x14ac:dyDescent="0.2">
      <c r="A86" s="116" t="s">
        <v>101</v>
      </c>
      <c r="B86" s="111" t="s">
        <v>70</v>
      </c>
      <c r="C86" s="51" t="s">
        <v>7</v>
      </c>
      <c r="D86" s="1">
        <f t="shared" ref="D86:K86" si="51">D88+D89+D90+D92</f>
        <v>31.7</v>
      </c>
      <c r="E86" s="1">
        <f t="shared" si="51"/>
        <v>31.7</v>
      </c>
      <c r="F86" s="1">
        <f t="shared" si="51"/>
        <v>0</v>
      </c>
      <c r="G86" s="1">
        <f t="shared" si="51"/>
        <v>0</v>
      </c>
      <c r="H86" s="1">
        <f t="shared" si="51"/>
        <v>0</v>
      </c>
      <c r="I86" s="1">
        <f t="shared" si="51"/>
        <v>0</v>
      </c>
      <c r="J86" s="1">
        <f t="shared" si="51"/>
        <v>0</v>
      </c>
      <c r="K86" s="1">
        <f t="shared" si="51"/>
        <v>0</v>
      </c>
      <c r="L86" s="1">
        <f>L88+L89+L90+L92</f>
        <v>0</v>
      </c>
      <c r="M86" s="1">
        <f>M88+M89+M90+M92</f>
        <v>0</v>
      </c>
      <c r="N86" s="1">
        <f>N88+N89+N90+N92</f>
        <v>0</v>
      </c>
      <c r="O86" s="1">
        <f>O88+O89+O90+O92</f>
        <v>0</v>
      </c>
    </row>
    <row r="87" spans="1:15" ht="31.5" x14ac:dyDescent="0.2">
      <c r="A87" s="116"/>
      <c r="B87" s="111"/>
      <c r="C87" s="76" t="s">
        <v>79</v>
      </c>
      <c r="D87" s="74">
        <f>E87</f>
        <v>31.7</v>
      </c>
      <c r="E87" s="74">
        <f>E91</f>
        <v>31.7</v>
      </c>
      <c r="F87" s="74">
        <v>0</v>
      </c>
      <c r="G87" s="74">
        <v>0</v>
      </c>
      <c r="H87" s="74">
        <v>0</v>
      </c>
      <c r="I87" s="74">
        <v>0</v>
      </c>
      <c r="J87" s="74">
        <v>0</v>
      </c>
      <c r="K87" s="74">
        <v>0</v>
      </c>
      <c r="L87" s="74">
        <v>0</v>
      </c>
      <c r="M87" s="74">
        <v>0</v>
      </c>
      <c r="N87" s="74">
        <v>0</v>
      </c>
      <c r="O87" s="74">
        <v>0</v>
      </c>
    </row>
    <row r="88" spans="1:15" ht="15.75" x14ac:dyDescent="0.2">
      <c r="A88" s="116"/>
      <c r="B88" s="111"/>
      <c r="C88" s="51" t="s">
        <v>10</v>
      </c>
      <c r="D88" s="1">
        <f>E88+F88+G88+H88+I88+J88</f>
        <v>0</v>
      </c>
      <c r="E88" s="1">
        <f>F88+G88+H88+I88+J88</f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</row>
    <row r="89" spans="1:15" ht="15.75" x14ac:dyDescent="0.2">
      <c r="A89" s="116"/>
      <c r="B89" s="111"/>
      <c r="C89" s="51" t="s">
        <v>11</v>
      </c>
      <c r="D89" s="1">
        <f>E89+F89+G89+H89+I89+J89</f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 ht="32.25" customHeight="1" x14ac:dyDescent="0.2">
      <c r="A90" s="116"/>
      <c r="B90" s="111"/>
      <c r="C90" s="51" t="s">
        <v>65</v>
      </c>
      <c r="D90" s="1">
        <f>E90+F90+G90+H90+I90+J90</f>
        <v>31.7</v>
      </c>
      <c r="E90" s="1">
        <v>31.7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31.5" customHeight="1" x14ac:dyDescent="0.2">
      <c r="A91" s="116"/>
      <c r="B91" s="111"/>
      <c r="C91" s="76" t="s">
        <v>79</v>
      </c>
      <c r="D91" s="74">
        <f>E91</f>
        <v>31.7</v>
      </c>
      <c r="E91" s="74">
        <v>31.7</v>
      </c>
      <c r="F91" s="74">
        <v>0</v>
      </c>
      <c r="G91" s="74">
        <v>0</v>
      </c>
      <c r="H91" s="74">
        <v>0</v>
      </c>
      <c r="I91" s="74">
        <v>0</v>
      </c>
      <c r="J91" s="74">
        <v>0</v>
      </c>
      <c r="K91" s="1">
        <v>0</v>
      </c>
      <c r="L91" s="74">
        <v>0</v>
      </c>
      <c r="M91" s="74">
        <v>0</v>
      </c>
      <c r="N91" s="74">
        <v>0</v>
      </c>
      <c r="O91" s="1">
        <v>0</v>
      </c>
    </row>
    <row r="92" spans="1:15" ht="18" customHeight="1" x14ac:dyDescent="0.2">
      <c r="A92" s="116"/>
      <c r="B92" s="111"/>
      <c r="C92" s="51" t="s">
        <v>13</v>
      </c>
      <c r="D92" s="1">
        <f>E92+F92+G92+H92+I92+J92</f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  <c r="O92" s="1">
        <v>0</v>
      </c>
    </row>
    <row r="93" spans="1:15" ht="15.75" x14ac:dyDescent="0.2">
      <c r="A93" s="116" t="s">
        <v>102</v>
      </c>
      <c r="B93" s="116" t="s">
        <v>208</v>
      </c>
      <c r="C93" s="51" t="s">
        <v>7</v>
      </c>
      <c r="D93" s="1">
        <f t="shared" ref="D93:K93" si="52">D94+D95+D96+D98</f>
        <v>7.8</v>
      </c>
      <c r="E93" s="1">
        <f t="shared" si="52"/>
        <v>7.8</v>
      </c>
      <c r="F93" s="1">
        <f t="shared" si="52"/>
        <v>0</v>
      </c>
      <c r="G93" s="1">
        <f t="shared" si="52"/>
        <v>0</v>
      </c>
      <c r="H93" s="1">
        <f t="shared" si="52"/>
        <v>0</v>
      </c>
      <c r="I93" s="1">
        <f t="shared" si="52"/>
        <v>0</v>
      </c>
      <c r="J93" s="1">
        <f t="shared" si="52"/>
        <v>0</v>
      </c>
      <c r="K93" s="1">
        <f t="shared" si="52"/>
        <v>0</v>
      </c>
      <c r="L93" s="1">
        <f>L95+L96+L97+L99</f>
        <v>0</v>
      </c>
      <c r="M93" s="1">
        <f>M95+M96+M97+M99</f>
        <v>0</v>
      </c>
      <c r="N93" s="1">
        <f>N95+N96+N97+N99</f>
        <v>0</v>
      </c>
      <c r="O93" s="1">
        <f>O95+O96+O97+O99</f>
        <v>0</v>
      </c>
    </row>
    <row r="94" spans="1:15" ht="15.75" x14ac:dyDescent="0.2">
      <c r="A94" s="116"/>
      <c r="B94" s="116"/>
      <c r="C94" s="51" t="s">
        <v>10</v>
      </c>
      <c r="D94" s="1">
        <f>E94+F94+G94+H94+I94+J94</f>
        <v>0</v>
      </c>
      <c r="E94" s="1">
        <f>F94+G94+H94+I94+J94</f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74">
        <v>0</v>
      </c>
      <c r="M94" s="74">
        <v>0</v>
      </c>
      <c r="N94" s="74">
        <v>0</v>
      </c>
      <c r="O94" s="74">
        <v>0</v>
      </c>
    </row>
    <row r="95" spans="1:15" ht="18" customHeight="1" x14ac:dyDescent="0.2">
      <c r="A95" s="116"/>
      <c r="B95" s="116"/>
      <c r="C95" s="51" t="s">
        <v>11</v>
      </c>
      <c r="D95" s="1">
        <f>E95+F95+G95+H95+I95+J95</f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</row>
    <row r="96" spans="1:15" ht="31.5" x14ac:dyDescent="0.2">
      <c r="A96" s="116"/>
      <c r="B96" s="116"/>
      <c r="C96" s="51" t="s">
        <v>65</v>
      </c>
      <c r="D96" s="1">
        <f>E96+F96+G96+H96+I96+J96</f>
        <v>7.8</v>
      </c>
      <c r="E96" s="1">
        <v>7.8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5" ht="31.5" customHeight="1" x14ac:dyDescent="0.2">
      <c r="A97" s="116"/>
      <c r="B97" s="116"/>
      <c r="C97" s="76" t="s">
        <v>79</v>
      </c>
      <c r="D97" s="74">
        <f>E97</f>
        <v>7.8</v>
      </c>
      <c r="E97" s="74">
        <v>7.8</v>
      </c>
      <c r="F97" s="74">
        <v>0</v>
      </c>
      <c r="G97" s="74">
        <v>0</v>
      </c>
      <c r="H97" s="74">
        <v>0</v>
      </c>
      <c r="I97" s="74">
        <v>0</v>
      </c>
      <c r="J97" s="74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18" customHeight="1" x14ac:dyDescent="0.2">
      <c r="A98" s="116"/>
      <c r="B98" s="116"/>
      <c r="C98" s="51" t="s">
        <v>13</v>
      </c>
      <c r="D98" s="1">
        <f t="shared" ref="D98:D106" si="53">E98+F98+G98+H98+I98+J98</f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74">
        <v>0</v>
      </c>
      <c r="M98" s="74">
        <v>0</v>
      </c>
      <c r="N98" s="74">
        <v>0</v>
      </c>
      <c r="O98" s="1">
        <v>0</v>
      </c>
    </row>
    <row r="99" spans="1:15" ht="15.75" x14ac:dyDescent="0.2">
      <c r="A99" s="116" t="s">
        <v>103</v>
      </c>
      <c r="B99" s="111" t="s">
        <v>234</v>
      </c>
      <c r="C99" s="51" t="s">
        <v>7</v>
      </c>
      <c r="D99" s="1">
        <f t="shared" si="53"/>
        <v>12272.3</v>
      </c>
      <c r="E99" s="1">
        <f t="shared" ref="E99:K99" si="54">E100+E101+E103+E104</f>
        <v>12243.8</v>
      </c>
      <c r="F99" s="1">
        <f t="shared" si="54"/>
        <v>17.5</v>
      </c>
      <c r="G99" s="1">
        <f t="shared" si="54"/>
        <v>11</v>
      </c>
      <c r="H99" s="1">
        <f t="shared" si="54"/>
        <v>0</v>
      </c>
      <c r="I99" s="1">
        <f t="shared" si="54"/>
        <v>0</v>
      </c>
      <c r="J99" s="1">
        <f t="shared" si="54"/>
        <v>0</v>
      </c>
      <c r="K99" s="1">
        <f t="shared" si="54"/>
        <v>0</v>
      </c>
      <c r="L99" s="1">
        <v>0</v>
      </c>
      <c r="M99" s="1">
        <v>0</v>
      </c>
      <c r="N99" s="1">
        <v>0</v>
      </c>
      <c r="O99" s="1">
        <v>0</v>
      </c>
    </row>
    <row r="100" spans="1:15" ht="15.75" x14ac:dyDescent="0.2">
      <c r="A100" s="121"/>
      <c r="B100" s="111"/>
      <c r="C100" s="51" t="s">
        <v>10</v>
      </c>
      <c r="D100" s="1">
        <f t="shared" si="53"/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ht="31.5" x14ac:dyDescent="0.2">
      <c r="A101" s="121"/>
      <c r="B101" s="111"/>
      <c r="C101" s="51" t="s">
        <v>69</v>
      </c>
      <c r="D101" s="1">
        <f t="shared" si="53"/>
        <v>9842.7999999999993</v>
      </c>
      <c r="E101" s="1">
        <v>9842.7999999999993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31.5" customHeight="1" x14ac:dyDescent="0.2">
      <c r="A102" s="121"/>
      <c r="B102" s="111"/>
      <c r="C102" s="76" t="s">
        <v>81</v>
      </c>
      <c r="D102" s="74">
        <f t="shared" si="53"/>
        <v>9842.7999999999993</v>
      </c>
      <c r="E102" s="74">
        <v>9842.7999999999993</v>
      </c>
      <c r="F102" s="74">
        <v>0</v>
      </c>
      <c r="G102" s="74">
        <v>0</v>
      </c>
      <c r="H102" s="74">
        <v>0</v>
      </c>
      <c r="I102" s="74">
        <v>0</v>
      </c>
      <c r="J102" s="74">
        <v>0</v>
      </c>
      <c r="K102" s="1">
        <v>0</v>
      </c>
      <c r="L102" s="74">
        <v>0</v>
      </c>
      <c r="M102" s="74">
        <v>0</v>
      </c>
      <c r="N102" s="74">
        <v>0</v>
      </c>
      <c r="O102" s="1">
        <v>0</v>
      </c>
    </row>
    <row r="103" spans="1:15" ht="16.5" customHeight="1" x14ac:dyDescent="0.2">
      <c r="A103" s="121"/>
      <c r="B103" s="111"/>
      <c r="C103" s="51" t="s">
        <v>12</v>
      </c>
      <c r="D103" s="1">
        <f t="shared" si="53"/>
        <v>2429.5</v>
      </c>
      <c r="E103" s="1">
        <v>2401</v>
      </c>
      <c r="F103" s="1">
        <v>17.5</v>
      </c>
      <c r="G103" s="1">
        <v>11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</row>
    <row r="104" spans="1:15" ht="18.75" customHeight="1" x14ac:dyDescent="0.2">
      <c r="A104" s="121"/>
      <c r="B104" s="111"/>
      <c r="C104" s="51" t="s">
        <v>13</v>
      </c>
      <c r="D104" s="1">
        <f t="shared" si="53"/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ht="15.75" x14ac:dyDescent="0.2">
      <c r="A105" s="105" t="s">
        <v>104</v>
      </c>
      <c r="B105" s="146" t="s">
        <v>139</v>
      </c>
      <c r="C105" s="51" t="s">
        <v>7</v>
      </c>
      <c r="D105" s="1">
        <f t="shared" si="53"/>
        <v>1053.9000000000001</v>
      </c>
      <c r="E105" s="1">
        <f>E108+E107+E109+E111</f>
        <v>1053.9000000000001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35.25" customHeight="1" x14ac:dyDescent="0.2">
      <c r="A106" s="106"/>
      <c r="B106" s="147"/>
      <c r="C106" s="76" t="s">
        <v>79</v>
      </c>
      <c r="D106" s="74">
        <f t="shared" si="53"/>
        <v>1053.9000000000001</v>
      </c>
      <c r="E106" s="74">
        <f>E110</f>
        <v>1053.9000000000001</v>
      </c>
      <c r="F106" s="74">
        <v>0</v>
      </c>
      <c r="G106" s="74">
        <v>0</v>
      </c>
      <c r="H106" s="74">
        <v>0</v>
      </c>
      <c r="I106" s="74">
        <v>0</v>
      </c>
      <c r="J106" s="74">
        <v>0</v>
      </c>
      <c r="K106" s="74">
        <v>0</v>
      </c>
      <c r="L106" s="74">
        <v>0</v>
      </c>
      <c r="M106" s="74">
        <v>0</v>
      </c>
      <c r="N106" s="74">
        <v>0</v>
      </c>
      <c r="O106" s="74">
        <v>0</v>
      </c>
    </row>
    <row r="107" spans="1:15" ht="15.75" x14ac:dyDescent="0.2">
      <c r="A107" s="138"/>
      <c r="B107" s="147"/>
      <c r="C107" s="51" t="s">
        <v>10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</row>
    <row r="108" spans="1:15" ht="15.75" x14ac:dyDescent="0.2">
      <c r="A108" s="138"/>
      <c r="B108" s="147"/>
      <c r="C108" s="51" t="s">
        <v>11</v>
      </c>
      <c r="D108" s="74">
        <f>E108+F108+G108+H108+I108+J108</f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 ht="31.5" x14ac:dyDescent="0.2">
      <c r="A109" s="138"/>
      <c r="B109" s="147"/>
      <c r="C109" s="51" t="s">
        <v>65</v>
      </c>
      <c r="D109" s="1">
        <f>E109+F109+G109+H109+I109+J109</f>
        <v>1053.9000000000001</v>
      </c>
      <c r="E109" s="1">
        <f>E110</f>
        <v>1053.9000000000001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31.5" customHeight="1" x14ac:dyDescent="0.2">
      <c r="A110" s="138"/>
      <c r="B110" s="147"/>
      <c r="C110" s="76" t="s">
        <v>79</v>
      </c>
      <c r="D110" s="74">
        <f>E110+F110+G110+H110+I110+J110</f>
        <v>1053.9000000000001</v>
      </c>
      <c r="E110" s="74">
        <v>1053.9000000000001</v>
      </c>
      <c r="F110" s="74">
        <v>0</v>
      </c>
      <c r="G110" s="74">
        <v>0</v>
      </c>
      <c r="H110" s="74">
        <v>0</v>
      </c>
      <c r="I110" s="74">
        <v>0</v>
      </c>
      <c r="J110" s="74">
        <v>0</v>
      </c>
      <c r="K110" s="1">
        <v>0</v>
      </c>
      <c r="L110" s="74">
        <v>0</v>
      </c>
      <c r="M110" s="74">
        <v>0</v>
      </c>
      <c r="N110" s="74">
        <v>0</v>
      </c>
      <c r="O110" s="1">
        <v>0</v>
      </c>
    </row>
    <row r="111" spans="1:15" ht="18" customHeight="1" x14ac:dyDescent="0.2">
      <c r="A111" s="139"/>
      <c r="B111" s="148"/>
      <c r="C111" s="51" t="s">
        <v>13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</row>
    <row r="112" spans="1:15" ht="15.75" x14ac:dyDescent="0.2">
      <c r="A112" s="116" t="s">
        <v>105</v>
      </c>
      <c r="B112" s="105" t="s">
        <v>72</v>
      </c>
      <c r="C112" s="51" t="s">
        <v>7</v>
      </c>
      <c r="D112" s="1">
        <f>E112+F112+G112+H112+I112+J112</f>
        <v>92.2</v>
      </c>
      <c r="E112" s="1">
        <f t="shared" ref="E112:O112" si="55">E113</f>
        <v>92.2</v>
      </c>
      <c r="F112" s="1">
        <f t="shared" si="55"/>
        <v>0</v>
      </c>
      <c r="G112" s="1">
        <f t="shared" si="55"/>
        <v>0</v>
      </c>
      <c r="H112" s="1">
        <f t="shared" si="55"/>
        <v>0</v>
      </c>
      <c r="I112" s="1">
        <f t="shared" si="55"/>
        <v>0</v>
      </c>
      <c r="J112" s="1">
        <f t="shared" si="55"/>
        <v>0</v>
      </c>
      <c r="K112" s="1">
        <f t="shared" si="55"/>
        <v>0</v>
      </c>
      <c r="L112" s="1">
        <f t="shared" si="55"/>
        <v>0</v>
      </c>
      <c r="M112" s="1">
        <f t="shared" si="55"/>
        <v>0</v>
      </c>
      <c r="N112" s="1">
        <f t="shared" si="55"/>
        <v>0</v>
      </c>
      <c r="O112" s="1">
        <f t="shared" si="55"/>
        <v>0</v>
      </c>
    </row>
    <row r="113" spans="1:15" ht="31.5" customHeight="1" x14ac:dyDescent="0.2">
      <c r="A113" s="116"/>
      <c r="B113" s="106"/>
      <c r="C113" s="76" t="s">
        <v>79</v>
      </c>
      <c r="D113" s="74">
        <f>E113+F113+G113+H113+I113+J113</f>
        <v>92.2</v>
      </c>
      <c r="E113" s="74">
        <f t="shared" ref="E113:K113" si="56">E117</f>
        <v>92.2</v>
      </c>
      <c r="F113" s="74">
        <f t="shared" si="56"/>
        <v>0</v>
      </c>
      <c r="G113" s="74">
        <f t="shared" si="56"/>
        <v>0</v>
      </c>
      <c r="H113" s="74">
        <f t="shared" si="56"/>
        <v>0</v>
      </c>
      <c r="I113" s="74">
        <f t="shared" si="56"/>
        <v>0</v>
      </c>
      <c r="J113" s="74">
        <f t="shared" si="56"/>
        <v>0</v>
      </c>
      <c r="K113" s="74">
        <f t="shared" si="56"/>
        <v>0</v>
      </c>
      <c r="L113" s="74">
        <f>L117</f>
        <v>0</v>
      </c>
      <c r="M113" s="74">
        <f>M117</f>
        <v>0</v>
      </c>
      <c r="N113" s="74">
        <f>N117</f>
        <v>0</v>
      </c>
      <c r="O113" s="74">
        <f>O117</f>
        <v>0</v>
      </c>
    </row>
    <row r="114" spans="1:15" ht="15.75" x14ac:dyDescent="0.2">
      <c r="A114" s="121"/>
      <c r="B114" s="106"/>
      <c r="C114" s="51" t="s">
        <v>10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</row>
    <row r="115" spans="1:15" ht="15.75" x14ac:dyDescent="0.2">
      <c r="A115" s="121"/>
      <c r="B115" s="106"/>
      <c r="C115" s="51" t="s">
        <v>11</v>
      </c>
      <c r="D115" s="1">
        <f>E115+F115+G115+H115+I115+J115</f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ht="31.5" x14ac:dyDescent="0.2">
      <c r="A116" s="121"/>
      <c r="B116" s="106"/>
      <c r="C116" s="51" t="s">
        <v>65</v>
      </c>
      <c r="D116" s="1">
        <f>E116+F116+G116+H116+I116+J116</f>
        <v>92.2</v>
      </c>
      <c r="E116" s="1">
        <f>E117</f>
        <v>92.2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31.5" customHeight="1" x14ac:dyDescent="0.2">
      <c r="A117" s="121"/>
      <c r="B117" s="106"/>
      <c r="C117" s="76" t="s">
        <v>79</v>
      </c>
      <c r="D117" s="74">
        <f>E117</f>
        <v>92.2</v>
      </c>
      <c r="E117" s="74">
        <v>92.2</v>
      </c>
      <c r="F117" s="74">
        <v>0</v>
      </c>
      <c r="G117" s="74">
        <v>0</v>
      </c>
      <c r="H117" s="74">
        <v>0</v>
      </c>
      <c r="I117" s="74">
        <v>0</v>
      </c>
      <c r="J117" s="74">
        <v>0</v>
      </c>
      <c r="K117" s="1">
        <v>0</v>
      </c>
      <c r="L117" s="74">
        <v>0</v>
      </c>
      <c r="M117" s="74">
        <v>0</v>
      </c>
      <c r="N117" s="74">
        <v>0</v>
      </c>
      <c r="O117" s="1">
        <v>0</v>
      </c>
    </row>
    <row r="118" spans="1:15" ht="18.75" customHeight="1" x14ac:dyDescent="0.2">
      <c r="A118" s="121"/>
      <c r="B118" s="107"/>
      <c r="C118" s="51" t="s">
        <v>13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</row>
    <row r="119" spans="1:15" ht="15.75" x14ac:dyDescent="0.2">
      <c r="A119" s="116" t="s">
        <v>106</v>
      </c>
      <c r="B119" s="116" t="s">
        <v>77</v>
      </c>
      <c r="C119" s="51" t="s">
        <v>7</v>
      </c>
      <c r="D119" s="1">
        <f>E119+F119+G119+H119+I119+J119</f>
        <v>1186.7</v>
      </c>
      <c r="E119" s="1">
        <f t="shared" ref="E119:O119" si="57">E120</f>
        <v>1186.7</v>
      </c>
      <c r="F119" s="1">
        <f t="shared" si="57"/>
        <v>0</v>
      </c>
      <c r="G119" s="1">
        <f t="shared" si="57"/>
        <v>0</v>
      </c>
      <c r="H119" s="1">
        <f t="shared" si="57"/>
        <v>0</v>
      </c>
      <c r="I119" s="1">
        <f t="shared" si="57"/>
        <v>0</v>
      </c>
      <c r="J119" s="1">
        <f t="shared" si="57"/>
        <v>0</v>
      </c>
      <c r="K119" s="1">
        <f t="shared" si="57"/>
        <v>0</v>
      </c>
      <c r="L119" s="1">
        <f t="shared" si="57"/>
        <v>0</v>
      </c>
      <c r="M119" s="1">
        <f t="shared" si="57"/>
        <v>0</v>
      </c>
      <c r="N119" s="1">
        <f t="shared" si="57"/>
        <v>0</v>
      </c>
      <c r="O119" s="1">
        <f t="shared" si="57"/>
        <v>0</v>
      </c>
    </row>
    <row r="120" spans="1:15" ht="31.5" x14ac:dyDescent="0.2">
      <c r="A120" s="116"/>
      <c r="B120" s="116"/>
      <c r="C120" s="76" t="s">
        <v>79</v>
      </c>
      <c r="D120" s="74">
        <f>E120+F120+G120+H120+I120+J120</f>
        <v>1186.7</v>
      </c>
      <c r="E120" s="74">
        <f t="shared" ref="E120:K120" si="58">E123+E125</f>
        <v>1186.7</v>
      </c>
      <c r="F120" s="74">
        <f t="shared" si="58"/>
        <v>0</v>
      </c>
      <c r="G120" s="74">
        <f t="shared" si="58"/>
        <v>0</v>
      </c>
      <c r="H120" s="74">
        <f t="shared" si="58"/>
        <v>0</v>
      </c>
      <c r="I120" s="74">
        <f t="shared" si="58"/>
        <v>0</v>
      </c>
      <c r="J120" s="74">
        <f t="shared" si="58"/>
        <v>0</v>
      </c>
      <c r="K120" s="74">
        <f t="shared" si="58"/>
        <v>0</v>
      </c>
      <c r="L120" s="74">
        <f>L123+L125</f>
        <v>0</v>
      </c>
      <c r="M120" s="74">
        <f>M123+M125</f>
        <v>0</v>
      </c>
      <c r="N120" s="74">
        <f>N123+N125</f>
        <v>0</v>
      </c>
      <c r="O120" s="74">
        <f>O123+O125</f>
        <v>0</v>
      </c>
    </row>
    <row r="121" spans="1:15" ht="15.75" x14ac:dyDescent="0.2">
      <c r="A121" s="121"/>
      <c r="B121" s="116"/>
      <c r="C121" s="51" t="s">
        <v>10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</row>
    <row r="122" spans="1:15" ht="31.5" x14ac:dyDescent="0.2">
      <c r="A122" s="121"/>
      <c r="B122" s="116"/>
      <c r="C122" s="51" t="s">
        <v>69</v>
      </c>
      <c r="D122" s="1">
        <f>E122+F122+G122+H122+I122+J122</f>
        <v>619.70000000000005</v>
      </c>
      <c r="E122" s="1">
        <f t="shared" ref="E122:N122" si="59">E123</f>
        <v>619.70000000000005</v>
      </c>
      <c r="F122" s="1">
        <f t="shared" si="59"/>
        <v>0</v>
      </c>
      <c r="G122" s="1">
        <f t="shared" si="59"/>
        <v>0</v>
      </c>
      <c r="H122" s="1">
        <f t="shared" si="59"/>
        <v>0</v>
      </c>
      <c r="I122" s="1">
        <f t="shared" si="59"/>
        <v>0</v>
      </c>
      <c r="J122" s="1">
        <f t="shared" si="59"/>
        <v>0</v>
      </c>
      <c r="K122" s="1">
        <v>0</v>
      </c>
      <c r="L122" s="1">
        <f t="shared" si="59"/>
        <v>0</v>
      </c>
      <c r="M122" s="1">
        <f t="shared" si="59"/>
        <v>0</v>
      </c>
      <c r="N122" s="1">
        <f t="shared" si="59"/>
        <v>0</v>
      </c>
      <c r="O122" s="1">
        <v>0</v>
      </c>
    </row>
    <row r="123" spans="1:15" ht="31.5" x14ac:dyDescent="0.2">
      <c r="A123" s="121"/>
      <c r="B123" s="116"/>
      <c r="C123" s="76" t="s">
        <v>79</v>
      </c>
      <c r="D123" s="74">
        <f>E123+F123+G123+H123+I123+J123</f>
        <v>619.70000000000005</v>
      </c>
      <c r="E123" s="74">
        <v>619.70000000000005</v>
      </c>
      <c r="F123" s="74">
        <v>0</v>
      </c>
      <c r="G123" s="74">
        <v>0</v>
      </c>
      <c r="H123" s="74">
        <v>0</v>
      </c>
      <c r="I123" s="74">
        <v>0</v>
      </c>
      <c r="J123" s="74">
        <v>0</v>
      </c>
      <c r="K123" s="1">
        <v>0</v>
      </c>
      <c r="L123" s="74">
        <v>0</v>
      </c>
      <c r="M123" s="74">
        <v>0</v>
      </c>
      <c r="N123" s="74">
        <v>0</v>
      </c>
      <c r="O123" s="1">
        <v>0</v>
      </c>
    </row>
    <row r="124" spans="1:15" ht="31.5" x14ac:dyDescent="0.2">
      <c r="A124" s="121"/>
      <c r="B124" s="116"/>
      <c r="C124" s="51" t="s">
        <v>65</v>
      </c>
      <c r="D124" s="1">
        <f>E124+F124+G124+H124+I124+J124</f>
        <v>567</v>
      </c>
      <c r="E124" s="1">
        <v>567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</row>
    <row r="125" spans="1:15" ht="31.5" x14ac:dyDescent="0.2">
      <c r="A125" s="121"/>
      <c r="B125" s="116"/>
      <c r="C125" s="76" t="s">
        <v>79</v>
      </c>
      <c r="D125" s="74">
        <f>E125</f>
        <v>567</v>
      </c>
      <c r="E125" s="74">
        <v>567</v>
      </c>
      <c r="F125" s="74">
        <v>0</v>
      </c>
      <c r="G125" s="74">
        <v>0</v>
      </c>
      <c r="H125" s="74">
        <v>0</v>
      </c>
      <c r="I125" s="74">
        <v>0</v>
      </c>
      <c r="J125" s="74">
        <v>0</v>
      </c>
      <c r="K125" s="1">
        <v>0</v>
      </c>
      <c r="L125" s="74">
        <v>0</v>
      </c>
      <c r="M125" s="74">
        <v>0</v>
      </c>
      <c r="N125" s="74">
        <v>0</v>
      </c>
      <c r="O125" s="1">
        <v>0</v>
      </c>
    </row>
    <row r="126" spans="1:15" ht="18" customHeight="1" x14ac:dyDescent="0.2">
      <c r="A126" s="121"/>
      <c r="B126" s="116"/>
      <c r="C126" s="51" t="s">
        <v>13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</row>
    <row r="127" spans="1:15" ht="15.75" x14ac:dyDescent="0.2">
      <c r="A127" s="105" t="s">
        <v>107</v>
      </c>
      <c r="B127" s="111" t="s">
        <v>140</v>
      </c>
      <c r="C127" s="51" t="s">
        <v>7</v>
      </c>
      <c r="D127" s="1">
        <f>E127+F127+G127+H127+I127+J127</f>
        <v>25000</v>
      </c>
      <c r="E127" s="1">
        <f>E129+E130+E133+E135</f>
        <v>25000</v>
      </c>
      <c r="F127" s="1">
        <f t="shared" ref="F127:K127" si="60">F129+F130+F133+F135</f>
        <v>0</v>
      </c>
      <c r="G127" s="1">
        <f t="shared" si="60"/>
        <v>0</v>
      </c>
      <c r="H127" s="1">
        <f t="shared" si="60"/>
        <v>0</v>
      </c>
      <c r="I127" s="1">
        <f t="shared" si="60"/>
        <v>0</v>
      </c>
      <c r="J127" s="1">
        <f t="shared" si="60"/>
        <v>0</v>
      </c>
      <c r="K127" s="1">
        <f t="shared" si="60"/>
        <v>0</v>
      </c>
      <c r="L127" s="1">
        <f>L129+L130+L133+L135</f>
        <v>0</v>
      </c>
      <c r="M127" s="1">
        <f>M129+M130+M133+M135</f>
        <v>0</v>
      </c>
      <c r="N127" s="1">
        <f>N129+N130+N133+N135</f>
        <v>0</v>
      </c>
      <c r="O127" s="1">
        <f>O129+O130+O133+O135</f>
        <v>0</v>
      </c>
    </row>
    <row r="128" spans="1:15" ht="31.5" x14ac:dyDescent="0.2">
      <c r="A128" s="106"/>
      <c r="B128" s="111"/>
      <c r="C128" s="76" t="s">
        <v>79</v>
      </c>
      <c r="D128" s="74">
        <f>E128+F128+G128+H128+I128+J128</f>
        <v>15579.7</v>
      </c>
      <c r="E128" s="74">
        <f>E132+E134</f>
        <v>15579.7</v>
      </c>
      <c r="F128" s="74">
        <f t="shared" ref="F128:K128" si="61">F132+F134</f>
        <v>0</v>
      </c>
      <c r="G128" s="74">
        <f t="shared" si="61"/>
        <v>0</v>
      </c>
      <c r="H128" s="74">
        <f t="shared" si="61"/>
        <v>0</v>
      </c>
      <c r="I128" s="74">
        <f t="shared" si="61"/>
        <v>0</v>
      </c>
      <c r="J128" s="74">
        <f t="shared" si="61"/>
        <v>0</v>
      </c>
      <c r="K128" s="74">
        <f t="shared" si="61"/>
        <v>0</v>
      </c>
      <c r="L128" s="74">
        <f>L132+L134</f>
        <v>0</v>
      </c>
      <c r="M128" s="74">
        <f>M132+M134</f>
        <v>0</v>
      </c>
      <c r="N128" s="74">
        <f>N132+N134</f>
        <v>0</v>
      </c>
      <c r="O128" s="74">
        <f>O132+O134</f>
        <v>0</v>
      </c>
    </row>
    <row r="129" spans="1:15" ht="15.75" x14ac:dyDescent="0.2">
      <c r="A129" s="138"/>
      <c r="B129" s="111"/>
      <c r="C129" s="51" t="s">
        <v>10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</row>
    <row r="130" spans="1:15" ht="31.5" x14ac:dyDescent="0.2">
      <c r="A130" s="138"/>
      <c r="B130" s="111"/>
      <c r="C130" s="51" t="s">
        <v>69</v>
      </c>
      <c r="D130" s="1">
        <f>E130+F130+G130+H130+I130+J130</f>
        <v>23141.4</v>
      </c>
      <c r="E130" s="1">
        <f>E132+8045.7</f>
        <v>23141.4</v>
      </c>
      <c r="F130" s="1">
        <f>F132</f>
        <v>0</v>
      </c>
      <c r="G130" s="1">
        <f>G132</f>
        <v>0</v>
      </c>
      <c r="H130" s="1">
        <f>H132</f>
        <v>0</v>
      </c>
      <c r="I130" s="1">
        <f>I132</f>
        <v>0</v>
      </c>
      <c r="J130" s="1">
        <f>J132</f>
        <v>0</v>
      </c>
      <c r="K130" s="1">
        <v>0</v>
      </c>
      <c r="L130" s="1">
        <f>L132</f>
        <v>0</v>
      </c>
      <c r="M130" s="1">
        <f>M132</f>
        <v>0</v>
      </c>
      <c r="N130" s="1">
        <f>N132</f>
        <v>0</v>
      </c>
      <c r="O130" s="1">
        <v>0</v>
      </c>
    </row>
    <row r="131" spans="1:15" ht="31.5" x14ac:dyDescent="0.2">
      <c r="A131" s="138"/>
      <c r="B131" s="111"/>
      <c r="C131" s="76" t="s">
        <v>81</v>
      </c>
      <c r="D131" s="74">
        <f>E131+F131+G131+H131+I131+J131</f>
        <v>8045.7</v>
      </c>
      <c r="E131" s="74">
        <v>8045.7</v>
      </c>
      <c r="F131" s="74">
        <v>0</v>
      </c>
      <c r="G131" s="74">
        <v>0</v>
      </c>
      <c r="H131" s="74">
        <v>0</v>
      </c>
      <c r="I131" s="74">
        <v>0</v>
      </c>
      <c r="J131" s="74">
        <v>0</v>
      </c>
      <c r="K131" s="1">
        <v>0</v>
      </c>
      <c r="L131" s="74">
        <v>0</v>
      </c>
      <c r="M131" s="74">
        <v>0</v>
      </c>
      <c r="N131" s="74">
        <v>0</v>
      </c>
      <c r="O131" s="1">
        <v>0</v>
      </c>
    </row>
    <row r="132" spans="1:15" ht="32.25" customHeight="1" x14ac:dyDescent="0.2">
      <c r="A132" s="138"/>
      <c r="B132" s="111"/>
      <c r="C132" s="76" t="s">
        <v>79</v>
      </c>
      <c r="D132" s="74">
        <f>E132+F132+G132+H132+I132+J132</f>
        <v>15095.7</v>
      </c>
      <c r="E132" s="74">
        <v>15095.7</v>
      </c>
      <c r="F132" s="74">
        <v>0</v>
      </c>
      <c r="G132" s="74">
        <v>0</v>
      </c>
      <c r="H132" s="74">
        <v>0</v>
      </c>
      <c r="I132" s="74">
        <v>0</v>
      </c>
      <c r="J132" s="74">
        <v>0</v>
      </c>
      <c r="K132" s="1">
        <v>0</v>
      </c>
      <c r="L132" s="74">
        <v>0</v>
      </c>
      <c r="M132" s="74">
        <v>0</v>
      </c>
      <c r="N132" s="74">
        <v>0</v>
      </c>
      <c r="O132" s="1">
        <v>0</v>
      </c>
    </row>
    <row r="133" spans="1:15" ht="31.5" x14ac:dyDescent="0.2">
      <c r="A133" s="138"/>
      <c r="B133" s="111"/>
      <c r="C133" s="51" t="s">
        <v>65</v>
      </c>
      <c r="D133" s="1">
        <f>E133+F133+G133+H133+I133+J133</f>
        <v>1858.6</v>
      </c>
      <c r="E133" s="1">
        <f>484+1374.6</f>
        <v>1858.6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</row>
    <row r="134" spans="1:15" ht="31.5" x14ac:dyDescent="0.2">
      <c r="A134" s="138"/>
      <c r="B134" s="111"/>
      <c r="C134" s="76" t="s">
        <v>79</v>
      </c>
      <c r="D134" s="74">
        <f>E134</f>
        <v>484</v>
      </c>
      <c r="E134" s="74">
        <v>484</v>
      </c>
      <c r="F134" s="74">
        <v>0</v>
      </c>
      <c r="G134" s="74">
        <v>0</v>
      </c>
      <c r="H134" s="74">
        <v>0</v>
      </c>
      <c r="I134" s="74">
        <v>0</v>
      </c>
      <c r="J134" s="74">
        <v>0</v>
      </c>
      <c r="K134" s="1">
        <v>0</v>
      </c>
      <c r="L134" s="74">
        <v>0</v>
      </c>
      <c r="M134" s="74">
        <v>0</v>
      </c>
      <c r="N134" s="74">
        <v>0</v>
      </c>
      <c r="O134" s="1">
        <v>0</v>
      </c>
    </row>
    <row r="135" spans="1:15" ht="15.75" x14ac:dyDescent="0.2">
      <c r="A135" s="139"/>
      <c r="B135" s="111"/>
      <c r="C135" s="51" t="s">
        <v>13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</row>
    <row r="136" spans="1:15" ht="15.75" x14ac:dyDescent="0.2">
      <c r="A136" s="116" t="s">
        <v>108</v>
      </c>
      <c r="B136" s="111" t="s">
        <v>74</v>
      </c>
      <c r="C136" s="51" t="s">
        <v>7</v>
      </c>
      <c r="D136" s="1">
        <f>E136+F136+G136+H136+I136+J136</f>
        <v>155</v>
      </c>
      <c r="E136" s="1">
        <f>E138+E139+E140+E142</f>
        <v>155</v>
      </c>
      <c r="F136" s="1">
        <f t="shared" ref="F136:K136" si="62">F138+F139+F140+F142</f>
        <v>0</v>
      </c>
      <c r="G136" s="1">
        <f t="shared" si="62"/>
        <v>0</v>
      </c>
      <c r="H136" s="1">
        <f t="shared" si="62"/>
        <v>0</v>
      </c>
      <c r="I136" s="1">
        <f t="shared" si="62"/>
        <v>0</v>
      </c>
      <c r="J136" s="1">
        <f t="shared" si="62"/>
        <v>0</v>
      </c>
      <c r="K136" s="1">
        <f t="shared" si="62"/>
        <v>0</v>
      </c>
      <c r="L136" s="1">
        <f>L138+L139+L140+L142</f>
        <v>0</v>
      </c>
      <c r="M136" s="1">
        <f>M138+M139+M140+M142</f>
        <v>0</v>
      </c>
      <c r="N136" s="1">
        <f>N138+N139+N140+N142</f>
        <v>0</v>
      </c>
      <c r="O136" s="1">
        <f>O138+O139+O140+O142</f>
        <v>0</v>
      </c>
    </row>
    <row r="137" spans="1:15" ht="31.5" x14ac:dyDescent="0.2">
      <c r="A137" s="116"/>
      <c r="B137" s="111"/>
      <c r="C137" s="76" t="s">
        <v>79</v>
      </c>
      <c r="D137" s="74">
        <f>E137+F137+G137+H137+I137+J137</f>
        <v>155</v>
      </c>
      <c r="E137" s="74">
        <f t="shared" ref="E137:K137" si="63">E141</f>
        <v>155</v>
      </c>
      <c r="F137" s="74">
        <f t="shared" si="63"/>
        <v>0</v>
      </c>
      <c r="G137" s="74">
        <f t="shared" si="63"/>
        <v>0</v>
      </c>
      <c r="H137" s="74">
        <f t="shared" si="63"/>
        <v>0</v>
      </c>
      <c r="I137" s="74">
        <f t="shared" si="63"/>
        <v>0</v>
      </c>
      <c r="J137" s="74">
        <f t="shared" si="63"/>
        <v>0</v>
      </c>
      <c r="K137" s="74">
        <f t="shared" si="63"/>
        <v>0</v>
      </c>
      <c r="L137" s="74">
        <f>L141</f>
        <v>0</v>
      </c>
      <c r="M137" s="74">
        <f>M141</f>
        <v>0</v>
      </c>
      <c r="N137" s="74">
        <f>N141</f>
        <v>0</v>
      </c>
      <c r="O137" s="74">
        <f>O141</f>
        <v>0</v>
      </c>
    </row>
    <row r="138" spans="1:15" ht="18" customHeight="1" x14ac:dyDescent="0.2">
      <c r="A138" s="121"/>
      <c r="B138" s="111"/>
      <c r="C138" s="51" t="s">
        <v>10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O138" s="1">
        <v>0</v>
      </c>
    </row>
    <row r="139" spans="1:15" ht="15.75" x14ac:dyDescent="0.2">
      <c r="A139" s="121"/>
      <c r="B139" s="111"/>
      <c r="C139" s="51" t="s">
        <v>11</v>
      </c>
      <c r="D139" s="1">
        <f>E139+F139+G139+H139+I139+J139</f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ht="31.5" x14ac:dyDescent="0.2">
      <c r="A140" s="121"/>
      <c r="B140" s="111"/>
      <c r="C140" s="51" t="s">
        <v>65</v>
      </c>
      <c r="D140" s="1">
        <f>E140+F140+G140+H140+I140+J140</f>
        <v>155</v>
      </c>
      <c r="E140" s="1">
        <f>E141</f>
        <v>155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32.25" customHeight="1" x14ac:dyDescent="0.2">
      <c r="A141" s="121"/>
      <c r="B141" s="111"/>
      <c r="C141" s="76" t="s">
        <v>79</v>
      </c>
      <c r="D141" s="74">
        <f>E141</f>
        <v>155</v>
      </c>
      <c r="E141" s="74">
        <v>155</v>
      </c>
      <c r="F141" s="74">
        <v>0</v>
      </c>
      <c r="G141" s="74">
        <v>0</v>
      </c>
      <c r="H141" s="74">
        <v>0</v>
      </c>
      <c r="I141" s="74">
        <v>0</v>
      </c>
      <c r="J141" s="74">
        <v>0</v>
      </c>
      <c r="K141" s="1">
        <v>0</v>
      </c>
      <c r="L141" s="74">
        <v>0</v>
      </c>
      <c r="M141" s="74">
        <v>0</v>
      </c>
      <c r="N141" s="74">
        <v>0</v>
      </c>
      <c r="O141" s="1">
        <v>0</v>
      </c>
    </row>
    <row r="142" spans="1:15" ht="18" customHeight="1" x14ac:dyDescent="0.2">
      <c r="A142" s="121"/>
      <c r="B142" s="111"/>
      <c r="C142" s="51" t="s">
        <v>13</v>
      </c>
      <c r="D142" s="74">
        <f>E142</f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</row>
    <row r="143" spans="1:15" ht="15.75" x14ac:dyDescent="0.2">
      <c r="A143" s="162" t="s">
        <v>109</v>
      </c>
      <c r="B143" s="164" t="s">
        <v>73</v>
      </c>
      <c r="C143" s="51" t="s">
        <v>7</v>
      </c>
      <c r="D143" s="1">
        <f>E143+F143+G143+H143+I143+J143</f>
        <v>9590.7999999999993</v>
      </c>
      <c r="E143" s="1">
        <f>E145+E146+E148+E150</f>
        <v>9590.7999999999993</v>
      </c>
      <c r="F143" s="1">
        <f t="shared" ref="F143:K143" si="64">F145+F146+F148+F150</f>
        <v>0</v>
      </c>
      <c r="G143" s="1">
        <f t="shared" si="64"/>
        <v>0</v>
      </c>
      <c r="H143" s="1">
        <f t="shared" si="64"/>
        <v>0</v>
      </c>
      <c r="I143" s="1">
        <f t="shared" si="64"/>
        <v>0</v>
      </c>
      <c r="J143" s="1">
        <f t="shared" si="64"/>
        <v>0</v>
      </c>
      <c r="K143" s="1">
        <f t="shared" si="64"/>
        <v>0</v>
      </c>
      <c r="L143" s="1">
        <f>L145+L146+L148+L150</f>
        <v>0</v>
      </c>
      <c r="M143" s="1">
        <f>M145+M146+M148+M150</f>
        <v>0</v>
      </c>
      <c r="N143" s="1">
        <f>N145+N146+N148+N150</f>
        <v>0</v>
      </c>
      <c r="O143" s="1">
        <f>O145+O146+O148+O150</f>
        <v>0</v>
      </c>
    </row>
    <row r="144" spans="1:15" ht="31.5" x14ac:dyDescent="0.2">
      <c r="A144" s="162"/>
      <c r="B144" s="164"/>
      <c r="C144" s="76" t="s">
        <v>79</v>
      </c>
      <c r="D144" s="74">
        <f>E144+F144+G144+H144+I144+J144</f>
        <v>9590.7999999999993</v>
      </c>
      <c r="E144" s="74">
        <f t="shared" ref="E144:K144" si="65">E147+E149</f>
        <v>9590.7999999999993</v>
      </c>
      <c r="F144" s="74">
        <f t="shared" si="65"/>
        <v>0</v>
      </c>
      <c r="G144" s="74">
        <f t="shared" si="65"/>
        <v>0</v>
      </c>
      <c r="H144" s="74">
        <f t="shared" si="65"/>
        <v>0</v>
      </c>
      <c r="I144" s="74">
        <f t="shared" si="65"/>
        <v>0</v>
      </c>
      <c r="J144" s="74">
        <f t="shared" si="65"/>
        <v>0</v>
      </c>
      <c r="K144" s="74">
        <f t="shared" si="65"/>
        <v>0</v>
      </c>
      <c r="L144" s="74">
        <f>L147+L149</f>
        <v>0</v>
      </c>
      <c r="M144" s="74">
        <f>M147+M149</f>
        <v>0</v>
      </c>
      <c r="N144" s="74">
        <f>N147+N149</f>
        <v>0</v>
      </c>
      <c r="O144" s="74">
        <f>O147+O149</f>
        <v>0</v>
      </c>
    </row>
    <row r="145" spans="1:15" ht="16.5" customHeight="1" x14ac:dyDescent="0.2">
      <c r="A145" s="163"/>
      <c r="B145" s="164"/>
      <c r="C145" s="51" t="s">
        <v>10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0</v>
      </c>
      <c r="O145" s="1">
        <v>0</v>
      </c>
    </row>
    <row r="146" spans="1:15" ht="30.75" customHeight="1" x14ac:dyDescent="0.2">
      <c r="A146" s="163"/>
      <c r="B146" s="164"/>
      <c r="C146" s="51" t="s">
        <v>69</v>
      </c>
      <c r="D146" s="1">
        <f>E146+F146+G146+H146+I146+J146</f>
        <v>9111.2999999999993</v>
      </c>
      <c r="E146" s="1">
        <f t="shared" ref="E146:N146" si="66">E147</f>
        <v>9111.2999999999993</v>
      </c>
      <c r="F146" s="1">
        <f t="shared" si="66"/>
        <v>0</v>
      </c>
      <c r="G146" s="1">
        <f t="shared" si="66"/>
        <v>0</v>
      </c>
      <c r="H146" s="1">
        <f t="shared" si="66"/>
        <v>0</v>
      </c>
      <c r="I146" s="1">
        <f t="shared" si="66"/>
        <v>0</v>
      </c>
      <c r="J146" s="1">
        <f t="shared" si="66"/>
        <v>0</v>
      </c>
      <c r="K146" s="1">
        <v>0</v>
      </c>
      <c r="L146" s="1">
        <f t="shared" si="66"/>
        <v>0</v>
      </c>
      <c r="M146" s="1">
        <f t="shared" si="66"/>
        <v>0</v>
      </c>
      <c r="N146" s="1">
        <f t="shared" si="66"/>
        <v>0</v>
      </c>
      <c r="O146" s="1">
        <v>0</v>
      </c>
    </row>
    <row r="147" spans="1:15" ht="31.5" x14ac:dyDescent="0.2">
      <c r="A147" s="163"/>
      <c r="B147" s="164"/>
      <c r="C147" s="76" t="s">
        <v>79</v>
      </c>
      <c r="D147" s="74">
        <f>E147+F147+G147+H147+I147+J147</f>
        <v>9111.2999999999993</v>
      </c>
      <c r="E147" s="74">
        <v>9111.2999999999993</v>
      </c>
      <c r="F147" s="74">
        <v>0</v>
      </c>
      <c r="G147" s="74">
        <v>0</v>
      </c>
      <c r="H147" s="74">
        <v>0</v>
      </c>
      <c r="I147" s="74">
        <v>0</v>
      </c>
      <c r="J147" s="74">
        <v>0</v>
      </c>
      <c r="K147" s="1">
        <v>0</v>
      </c>
      <c r="L147" s="74">
        <v>0</v>
      </c>
      <c r="M147" s="74">
        <v>0</v>
      </c>
      <c r="N147" s="74">
        <v>0</v>
      </c>
      <c r="O147" s="1">
        <v>0</v>
      </c>
    </row>
    <row r="148" spans="1:15" ht="31.5" x14ac:dyDescent="0.2">
      <c r="A148" s="163"/>
      <c r="B148" s="164"/>
      <c r="C148" s="51" t="s">
        <v>65</v>
      </c>
      <c r="D148" s="1">
        <f>E148+F148+G148+H148+I148+J148</f>
        <v>479.5</v>
      </c>
      <c r="E148" s="1">
        <f>E149</f>
        <v>479.5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</v>
      </c>
      <c r="O148" s="1">
        <v>0</v>
      </c>
    </row>
    <row r="149" spans="1:15" ht="30.75" customHeight="1" x14ac:dyDescent="0.2">
      <c r="A149" s="163"/>
      <c r="B149" s="164"/>
      <c r="C149" s="76" t="s">
        <v>79</v>
      </c>
      <c r="D149" s="74">
        <f>E149</f>
        <v>479.5</v>
      </c>
      <c r="E149" s="74">
        <v>479.5</v>
      </c>
      <c r="F149" s="74">
        <v>0</v>
      </c>
      <c r="G149" s="74">
        <v>0</v>
      </c>
      <c r="H149" s="74">
        <v>0</v>
      </c>
      <c r="I149" s="74">
        <v>0</v>
      </c>
      <c r="J149" s="74">
        <v>0</v>
      </c>
      <c r="K149" s="1">
        <v>0</v>
      </c>
      <c r="L149" s="74">
        <v>0</v>
      </c>
      <c r="M149" s="74">
        <v>0</v>
      </c>
      <c r="N149" s="74">
        <v>0</v>
      </c>
      <c r="O149" s="1">
        <v>0</v>
      </c>
    </row>
    <row r="150" spans="1:15" ht="15.75" x14ac:dyDescent="0.2">
      <c r="A150" s="163"/>
      <c r="B150" s="164"/>
      <c r="C150" s="51" t="s">
        <v>13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</row>
    <row r="151" spans="1:15" ht="15.75" x14ac:dyDescent="0.2">
      <c r="A151" s="116" t="s">
        <v>110</v>
      </c>
      <c r="B151" s="146" t="s">
        <v>67</v>
      </c>
      <c r="C151" s="51" t="s">
        <v>7</v>
      </c>
      <c r="D151" s="1">
        <f>D152+D153+D154+D156</f>
        <v>1600.3</v>
      </c>
      <c r="E151" s="1">
        <f t="shared" ref="E151:K151" si="67">E152+E153+E154+E156</f>
        <v>1600.3</v>
      </c>
      <c r="F151" s="1">
        <f t="shared" si="67"/>
        <v>0</v>
      </c>
      <c r="G151" s="1">
        <f t="shared" si="67"/>
        <v>0</v>
      </c>
      <c r="H151" s="1">
        <f t="shared" si="67"/>
        <v>0</v>
      </c>
      <c r="I151" s="1">
        <f t="shared" si="67"/>
        <v>0</v>
      </c>
      <c r="J151" s="1">
        <f t="shared" si="67"/>
        <v>0</v>
      </c>
      <c r="K151" s="1">
        <f t="shared" si="67"/>
        <v>0</v>
      </c>
      <c r="L151" s="1">
        <f>L152+L153+L154+L156</f>
        <v>0</v>
      </c>
      <c r="M151" s="1">
        <f>M152+M153+M154+M156</f>
        <v>0</v>
      </c>
      <c r="N151" s="1">
        <f>N152+N153+N154+N156</f>
        <v>0</v>
      </c>
      <c r="O151" s="1">
        <f>O152+O153+O154+O156</f>
        <v>0</v>
      </c>
    </row>
    <row r="152" spans="1:15" ht="15.75" x14ac:dyDescent="0.2">
      <c r="A152" s="121"/>
      <c r="B152" s="147"/>
      <c r="C152" s="51" t="s">
        <v>10</v>
      </c>
      <c r="D152" s="1">
        <f>E152+F152+G152+H152+I152+J152</f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</row>
    <row r="153" spans="1:15" ht="15.75" x14ac:dyDescent="0.2">
      <c r="A153" s="121"/>
      <c r="B153" s="147"/>
      <c r="C153" s="51" t="s">
        <v>11</v>
      </c>
      <c r="D153" s="1">
        <f>E153+F153+G153+H153+I153+J153</f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31.5" x14ac:dyDescent="0.2">
      <c r="A154" s="121"/>
      <c r="B154" s="147"/>
      <c r="C154" s="51" t="s">
        <v>65</v>
      </c>
      <c r="D154" s="1">
        <f>E154+F154+G154+H154+I154+J154</f>
        <v>1600.3</v>
      </c>
      <c r="E154" s="1">
        <v>1600.3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31.5" x14ac:dyDescent="0.2">
      <c r="A155" s="121"/>
      <c r="B155" s="147"/>
      <c r="C155" s="76" t="s">
        <v>79</v>
      </c>
      <c r="D155" s="74">
        <f>E155</f>
        <v>1600.3</v>
      </c>
      <c r="E155" s="74">
        <v>1600.3</v>
      </c>
      <c r="F155" s="74">
        <v>0</v>
      </c>
      <c r="G155" s="74">
        <v>0</v>
      </c>
      <c r="H155" s="74">
        <v>0</v>
      </c>
      <c r="I155" s="74">
        <v>0</v>
      </c>
      <c r="J155" s="74">
        <v>0</v>
      </c>
      <c r="K155" s="1">
        <v>0</v>
      </c>
      <c r="L155" s="74">
        <v>0</v>
      </c>
      <c r="M155" s="74">
        <v>0</v>
      </c>
      <c r="N155" s="74">
        <v>0</v>
      </c>
      <c r="O155" s="1">
        <v>0</v>
      </c>
    </row>
    <row r="156" spans="1:15" ht="21.75" customHeight="1" x14ac:dyDescent="0.2">
      <c r="A156" s="121"/>
      <c r="B156" s="148"/>
      <c r="C156" s="51" t="s">
        <v>13</v>
      </c>
      <c r="D156" s="1">
        <f>E156+F156+G156+H156+I156+J156</f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</row>
    <row r="157" spans="1:15" ht="18" customHeight="1" x14ac:dyDescent="0.2">
      <c r="A157" s="116" t="s">
        <v>111</v>
      </c>
      <c r="B157" s="111" t="s">
        <v>141</v>
      </c>
      <c r="C157" s="51" t="s">
        <v>7</v>
      </c>
      <c r="D157" s="1">
        <f>D158+D159+D161+D162</f>
        <v>3488.1</v>
      </c>
      <c r="E157" s="1">
        <f t="shared" ref="E157:K157" si="68">E158+E159+E161+E162</f>
        <v>3088.1</v>
      </c>
      <c r="F157" s="1">
        <f t="shared" si="68"/>
        <v>0</v>
      </c>
      <c r="G157" s="1">
        <f t="shared" si="68"/>
        <v>0</v>
      </c>
      <c r="H157" s="1">
        <f t="shared" si="68"/>
        <v>400</v>
      </c>
      <c r="I157" s="1">
        <f t="shared" si="68"/>
        <v>0</v>
      </c>
      <c r="J157" s="1">
        <f t="shared" si="68"/>
        <v>0</v>
      </c>
      <c r="K157" s="1">
        <f t="shared" si="68"/>
        <v>0</v>
      </c>
      <c r="L157" s="1">
        <f>L158+L159+L161+L162</f>
        <v>0</v>
      </c>
      <c r="M157" s="1">
        <f>M158+M159+M161+M162</f>
        <v>0</v>
      </c>
      <c r="N157" s="1">
        <f>N158+N159+N161+N162</f>
        <v>0</v>
      </c>
      <c r="O157" s="1">
        <f>O158+O159+O161+O162</f>
        <v>0</v>
      </c>
    </row>
    <row r="158" spans="1:15" ht="15.75" x14ac:dyDescent="0.2">
      <c r="A158" s="121"/>
      <c r="B158" s="111"/>
      <c r="C158" s="51" t="s">
        <v>10</v>
      </c>
      <c r="D158" s="1">
        <f>E158+F158+G158+H158+I158+J158</f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O158" s="1">
        <v>0</v>
      </c>
    </row>
    <row r="159" spans="1:15" ht="30.75" customHeight="1" x14ac:dyDescent="0.2">
      <c r="A159" s="121"/>
      <c r="B159" s="111"/>
      <c r="C159" s="51" t="s">
        <v>69</v>
      </c>
      <c r="D159" s="1">
        <f>D160</f>
        <v>2692</v>
      </c>
      <c r="E159" s="1">
        <f t="shared" ref="E159:M159" si="69">E160</f>
        <v>2692</v>
      </c>
      <c r="F159" s="1">
        <f t="shared" si="69"/>
        <v>0</v>
      </c>
      <c r="G159" s="1">
        <f t="shared" si="69"/>
        <v>0</v>
      </c>
      <c r="H159" s="1">
        <f t="shared" si="69"/>
        <v>0</v>
      </c>
      <c r="I159" s="1">
        <f t="shared" si="69"/>
        <v>0</v>
      </c>
      <c r="J159" s="1">
        <f t="shared" si="69"/>
        <v>0</v>
      </c>
      <c r="K159" s="1">
        <v>0</v>
      </c>
      <c r="L159" s="1">
        <f t="shared" si="69"/>
        <v>0</v>
      </c>
      <c r="M159" s="1">
        <f t="shared" si="69"/>
        <v>0</v>
      </c>
      <c r="N159" s="1">
        <v>0</v>
      </c>
      <c r="O159" s="1">
        <v>0</v>
      </c>
    </row>
    <row r="160" spans="1:15" ht="31.5" x14ac:dyDescent="0.2">
      <c r="A160" s="121"/>
      <c r="B160" s="111"/>
      <c r="C160" s="76" t="s">
        <v>81</v>
      </c>
      <c r="D160" s="74">
        <f>E160+F160+G160+H160+I160+J160</f>
        <v>2692</v>
      </c>
      <c r="E160" s="74">
        <v>2692</v>
      </c>
      <c r="F160" s="74">
        <v>0</v>
      </c>
      <c r="G160" s="74">
        <v>0</v>
      </c>
      <c r="H160" s="74">
        <v>0</v>
      </c>
      <c r="I160" s="74">
        <v>0</v>
      </c>
      <c r="J160" s="74">
        <v>0</v>
      </c>
      <c r="K160" s="1">
        <v>0</v>
      </c>
      <c r="L160" s="74">
        <v>0</v>
      </c>
      <c r="M160" s="74">
        <v>0</v>
      </c>
      <c r="N160" s="1">
        <v>0</v>
      </c>
      <c r="O160" s="1">
        <v>0</v>
      </c>
    </row>
    <row r="161" spans="1:18" ht="15.75" x14ac:dyDescent="0.2">
      <c r="A161" s="121"/>
      <c r="B161" s="111"/>
      <c r="C161" s="51" t="s">
        <v>12</v>
      </c>
      <c r="D161" s="1">
        <f>E161+F161+G161+H161+I161+J161</f>
        <v>796.1</v>
      </c>
      <c r="E161" s="1">
        <v>396.1</v>
      </c>
      <c r="F161" s="1">
        <v>0</v>
      </c>
      <c r="G161" s="1">
        <v>0</v>
      </c>
      <c r="H161" s="1">
        <v>400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</row>
    <row r="162" spans="1:18" ht="15.75" x14ac:dyDescent="0.2">
      <c r="A162" s="121"/>
      <c r="B162" s="111"/>
      <c r="C162" s="51" t="s">
        <v>13</v>
      </c>
      <c r="D162" s="1">
        <f>E162+F162+G162+H162+I162+J162</f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8" ht="15.75" x14ac:dyDescent="0.2">
      <c r="A163" s="116" t="s">
        <v>112</v>
      </c>
      <c r="B163" s="146" t="s">
        <v>75</v>
      </c>
      <c r="C163" s="60" t="s">
        <v>7</v>
      </c>
      <c r="D163" s="1">
        <f t="shared" ref="D163:D169" si="70">E163+F163+G163+H163+I163+J163</f>
        <v>123.9</v>
      </c>
      <c r="E163" s="1">
        <f t="shared" ref="E163:O163" si="71">E165+E166+E167+E169</f>
        <v>123.9</v>
      </c>
      <c r="F163" s="1">
        <f t="shared" si="71"/>
        <v>0</v>
      </c>
      <c r="G163" s="1">
        <f t="shared" si="71"/>
        <v>0</v>
      </c>
      <c r="H163" s="1">
        <f t="shared" si="71"/>
        <v>0</v>
      </c>
      <c r="I163" s="1">
        <f t="shared" si="71"/>
        <v>0</v>
      </c>
      <c r="J163" s="1">
        <f t="shared" si="71"/>
        <v>0</v>
      </c>
      <c r="K163" s="1">
        <f t="shared" si="71"/>
        <v>0</v>
      </c>
      <c r="L163" s="1">
        <f t="shared" si="71"/>
        <v>0</v>
      </c>
      <c r="M163" s="1">
        <f t="shared" si="71"/>
        <v>0</v>
      </c>
      <c r="N163" s="1">
        <f t="shared" si="71"/>
        <v>0</v>
      </c>
      <c r="O163" s="1">
        <f t="shared" si="71"/>
        <v>0</v>
      </c>
    </row>
    <row r="164" spans="1:18" ht="31.5" x14ac:dyDescent="0.2">
      <c r="A164" s="116"/>
      <c r="B164" s="147"/>
      <c r="C164" s="77" t="s">
        <v>79</v>
      </c>
      <c r="D164" s="74">
        <f t="shared" si="70"/>
        <v>123.9</v>
      </c>
      <c r="E164" s="74">
        <f t="shared" ref="E164:O164" si="72">E168</f>
        <v>123.9</v>
      </c>
      <c r="F164" s="74">
        <f t="shared" si="72"/>
        <v>0</v>
      </c>
      <c r="G164" s="74">
        <f t="shared" si="72"/>
        <v>0</v>
      </c>
      <c r="H164" s="74">
        <f t="shared" si="72"/>
        <v>0</v>
      </c>
      <c r="I164" s="74">
        <f t="shared" si="72"/>
        <v>0</v>
      </c>
      <c r="J164" s="74">
        <f t="shared" si="72"/>
        <v>0</v>
      </c>
      <c r="K164" s="74">
        <f t="shared" si="72"/>
        <v>0</v>
      </c>
      <c r="L164" s="74">
        <f t="shared" si="72"/>
        <v>0</v>
      </c>
      <c r="M164" s="74">
        <f t="shared" si="72"/>
        <v>0</v>
      </c>
      <c r="N164" s="74">
        <f t="shared" si="72"/>
        <v>0</v>
      </c>
      <c r="O164" s="74">
        <f t="shared" si="72"/>
        <v>0</v>
      </c>
    </row>
    <row r="165" spans="1:18" ht="15.75" x14ac:dyDescent="0.2">
      <c r="A165" s="116"/>
      <c r="B165" s="147"/>
      <c r="C165" s="60" t="s">
        <v>10</v>
      </c>
      <c r="D165" s="1">
        <f t="shared" si="70"/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</row>
    <row r="166" spans="1:18" ht="15.75" x14ac:dyDescent="0.2">
      <c r="A166" s="116"/>
      <c r="B166" s="147"/>
      <c r="C166" s="60" t="s">
        <v>11</v>
      </c>
      <c r="D166" s="1">
        <f t="shared" si="70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8" ht="31.5" x14ac:dyDescent="0.2">
      <c r="A167" s="116"/>
      <c r="B167" s="147"/>
      <c r="C167" s="51" t="s">
        <v>65</v>
      </c>
      <c r="D167" s="1">
        <f t="shared" si="70"/>
        <v>123.9</v>
      </c>
      <c r="E167" s="1">
        <f>E168</f>
        <v>123.9</v>
      </c>
      <c r="F167" s="1">
        <f>F168</f>
        <v>0</v>
      </c>
      <c r="G167" s="1">
        <f>G168</f>
        <v>0</v>
      </c>
      <c r="H167" s="1">
        <f>H168</f>
        <v>0</v>
      </c>
      <c r="I167" s="1">
        <f>I168</f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8" ht="31.5" x14ac:dyDescent="0.2">
      <c r="A168" s="116"/>
      <c r="B168" s="147"/>
      <c r="C168" s="77" t="s">
        <v>79</v>
      </c>
      <c r="D168" s="74">
        <f t="shared" si="70"/>
        <v>123.9</v>
      </c>
      <c r="E168" s="74">
        <v>123.9</v>
      </c>
      <c r="F168" s="74">
        <v>0</v>
      </c>
      <c r="G168" s="74">
        <v>0</v>
      </c>
      <c r="H168" s="74">
        <v>0</v>
      </c>
      <c r="I168" s="74">
        <v>0</v>
      </c>
      <c r="J168" s="74">
        <v>0</v>
      </c>
      <c r="K168" s="74">
        <v>0</v>
      </c>
      <c r="L168" s="74">
        <v>0</v>
      </c>
      <c r="M168" s="74">
        <v>0</v>
      </c>
      <c r="N168" s="74">
        <v>0</v>
      </c>
      <c r="O168" s="74">
        <v>0</v>
      </c>
      <c r="P168" s="69"/>
      <c r="Q168" s="69"/>
      <c r="R168" s="69"/>
    </row>
    <row r="169" spans="1:18" ht="38.25" customHeight="1" x14ac:dyDescent="0.2">
      <c r="A169" s="116"/>
      <c r="B169" s="148"/>
      <c r="C169" s="60" t="s">
        <v>13</v>
      </c>
      <c r="D169" s="1">
        <f t="shared" si="70"/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</v>
      </c>
      <c r="O169" s="1">
        <v>0</v>
      </c>
      <c r="P169" s="69"/>
      <c r="Q169" s="69"/>
      <c r="R169" s="69"/>
    </row>
    <row r="170" spans="1:18" ht="17.25" customHeight="1" x14ac:dyDescent="0.2">
      <c r="A170" s="116" t="s">
        <v>113</v>
      </c>
      <c r="B170" s="111" t="s">
        <v>78</v>
      </c>
      <c r="C170" s="51" t="s">
        <v>7</v>
      </c>
      <c r="D170" s="1">
        <f t="shared" ref="D170:D176" si="73">E170+F170+G170+H170+I170+J170</f>
        <v>1187</v>
      </c>
      <c r="E170" s="1">
        <f t="shared" ref="E170:K170" si="74">E172+E173+E174+E176</f>
        <v>1187</v>
      </c>
      <c r="F170" s="1">
        <f t="shared" si="74"/>
        <v>0</v>
      </c>
      <c r="G170" s="1">
        <f t="shared" si="74"/>
        <v>0</v>
      </c>
      <c r="H170" s="1">
        <f t="shared" si="74"/>
        <v>0</v>
      </c>
      <c r="I170" s="1">
        <f t="shared" si="74"/>
        <v>0</v>
      </c>
      <c r="J170" s="1">
        <f t="shared" si="74"/>
        <v>0</v>
      </c>
      <c r="K170" s="1">
        <f t="shared" si="74"/>
        <v>0</v>
      </c>
      <c r="L170" s="1">
        <f>L172+L173+L174+L176</f>
        <v>0</v>
      </c>
      <c r="M170" s="1">
        <f>M172+M173+M174+M176</f>
        <v>0</v>
      </c>
      <c r="N170" s="1">
        <f>N172+N173+N174+N176</f>
        <v>0</v>
      </c>
      <c r="O170" s="1">
        <f>O172+O173+O174+O176</f>
        <v>0</v>
      </c>
      <c r="P170" s="78"/>
      <c r="Q170" s="78"/>
      <c r="R170" s="69"/>
    </row>
    <row r="171" spans="1:18" ht="31.5" x14ac:dyDescent="0.2">
      <c r="A171" s="121"/>
      <c r="B171" s="142"/>
      <c r="C171" s="76" t="s">
        <v>79</v>
      </c>
      <c r="D171" s="74">
        <f t="shared" si="73"/>
        <v>1187</v>
      </c>
      <c r="E171" s="74">
        <f t="shared" ref="E171:K171" si="75">E175</f>
        <v>1187</v>
      </c>
      <c r="F171" s="74">
        <f t="shared" si="75"/>
        <v>0</v>
      </c>
      <c r="G171" s="74">
        <f t="shared" si="75"/>
        <v>0</v>
      </c>
      <c r="H171" s="74">
        <f t="shared" si="75"/>
        <v>0</v>
      </c>
      <c r="I171" s="74">
        <f t="shared" si="75"/>
        <v>0</v>
      </c>
      <c r="J171" s="74">
        <f t="shared" si="75"/>
        <v>0</v>
      </c>
      <c r="K171" s="74">
        <f t="shared" si="75"/>
        <v>0</v>
      </c>
      <c r="L171" s="74">
        <f>L175</f>
        <v>0</v>
      </c>
      <c r="M171" s="74">
        <f>M175</f>
        <v>0</v>
      </c>
      <c r="N171" s="74">
        <f>N175</f>
        <v>0</v>
      </c>
      <c r="O171" s="74">
        <f>O175</f>
        <v>0</v>
      </c>
      <c r="P171" s="79"/>
      <c r="Q171" s="79"/>
      <c r="R171" s="69"/>
    </row>
    <row r="172" spans="1:18" ht="15.75" x14ac:dyDescent="0.2">
      <c r="A172" s="121"/>
      <c r="B172" s="142"/>
      <c r="C172" s="51" t="s">
        <v>10</v>
      </c>
      <c r="D172" s="1">
        <f t="shared" si="73"/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0</v>
      </c>
      <c r="O172" s="1">
        <v>0</v>
      </c>
      <c r="P172" s="78"/>
      <c r="Q172" s="78"/>
      <c r="R172" s="69"/>
    </row>
    <row r="173" spans="1:18" ht="15.75" x14ac:dyDescent="0.2">
      <c r="A173" s="121"/>
      <c r="B173" s="142"/>
      <c r="C173" s="51" t="s">
        <v>11</v>
      </c>
      <c r="D173" s="1">
        <f t="shared" si="73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8"/>
      <c r="Q173" s="78"/>
      <c r="R173" s="69"/>
    </row>
    <row r="174" spans="1:18" ht="32.25" customHeight="1" x14ac:dyDescent="0.2">
      <c r="A174" s="121"/>
      <c r="B174" s="142"/>
      <c r="C174" s="51" t="s">
        <v>65</v>
      </c>
      <c r="D174" s="1">
        <f t="shared" si="73"/>
        <v>1187</v>
      </c>
      <c r="E174" s="1">
        <f t="shared" ref="E174:O174" si="76">E175</f>
        <v>1187</v>
      </c>
      <c r="F174" s="1">
        <f t="shared" si="76"/>
        <v>0</v>
      </c>
      <c r="G174" s="1">
        <f t="shared" si="76"/>
        <v>0</v>
      </c>
      <c r="H174" s="1">
        <f t="shared" si="76"/>
        <v>0</v>
      </c>
      <c r="I174" s="1">
        <f t="shared" si="76"/>
        <v>0</v>
      </c>
      <c r="J174" s="1">
        <f t="shared" si="76"/>
        <v>0</v>
      </c>
      <c r="K174" s="1">
        <v>0</v>
      </c>
      <c r="L174" s="1">
        <f t="shared" si="76"/>
        <v>0</v>
      </c>
      <c r="M174" s="1">
        <f t="shared" si="76"/>
        <v>0</v>
      </c>
      <c r="N174" s="1">
        <f t="shared" si="76"/>
        <v>0</v>
      </c>
      <c r="O174" s="1">
        <f t="shared" si="76"/>
        <v>0</v>
      </c>
      <c r="P174" s="78"/>
      <c r="Q174" s="78"/>
      <c r="R174" s="69"/>
    </row>
    <row r="175" spans="1:18" ht="32.25" customHeight="1" x14ac:dyDescent="0.2">
      <c r="A175" s="121"/>
      <c r="B175" s="142"/>
      <c r="C175" s="76" t="s">
        <v>79</v>
      </c>
      <c r="D175" s="74">
        <f t="shared" si="73"/>
        <v>1187</v>
      </c>
      <c r="E175" s="74">
        <v>1187</v>
      </c>
      <c r="F175" s="74">
        <v>0</v>
      </c>
      <c r="G175" s="74">
        <v>0</v>
      </c>
      <c r="H175" s="74">
        <v>0</v>
      </c>
      <c r="I175" s="74">
        <v>0</v>
      </c>
      <c r="J175" s="74">
        <v>0</v>
      </c>
      <c r="K175" s="1">
        <v>0</v>
      </c>
      <c r="L175" s="74">
        <v>0</v>
      </c>
      <c r="M175" s="74">
        <v>0</v>
      </c>
      <c r="N175" s="74">
        <v>0</v>
      </c>
      <c r="O175" s="74">
        <v>0</v>
      </c>
      <c r="P175" s="78"/>
      <c r="Q175" s="78"/>
      <c r="R175" s="69"/>
    </row>
    <row r="176" spans="1:18" ht="18" customHeight="1" x14ac:dyDescent="0.2">
      <c r="A176" s="121"/>
      <c r="B176" s="142"/>
      <c r="C176" s="51" t="s">
        <v>13</v>
      </c>
      <c r="D176" s="1">
        <f t="shared" si="73"/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78"/>
      <c r="Q176" s="78"/>
      <c r="R176" s="69"/>
    </row>
    <row r="177" spans="1:18" ht="15.75" x14ac:dyDescent="0.2">
      <c r="A177" s="116" t="s">
        <v>114</v>
      </c>
      <c r="B177" s="116" t="s">
        <v>213</v>
      </c>
      <c r="C177" s="51" t="s">
        <v>7</v>
      </c>
      <c r="D177" s="1">
        <f t="shared" ref="D177:D182" si="77">E177+F177+G177+H177+I177+J177</f>
        <v>3590.6</v>
      </c>
      <c r="E177" s="1">
        <f>E178+E179+E180+E182</f>
        <v>2639.6</v>
      </c>
      <c r="F177" s="1">
        <f t="shared" ref="F177:K177" si="78">F178+F179+F180+F182</f>
        <v>951</v>
      </c>
      <c r="G177" s="1">
        <f t="shared" si="78"/>
        <v>0</v>
      </c>
      <c r="H177" s="1">
        <f t="shared" si="78"/>
        <v>0</v>
      </c>
      <c r="I177" s="1">
        <f t="shared" si="78"/>
        <v>0</v>
      </c>
      <c r="J177" s="1">
        <f t="shared" si="78"/>
        <v>0</v>
      </c>
      <c r="K177" s="1">
        <f t="shared" si="78"/>
        <v>0</v>
      </c>
      <c r="L177" s="1">
        <f>L178+L179+L180+L182</f>
        <v>0</v>
      </c>
      <c r="M177" s="1">
        <f>M178+M179+M180+M182</f>
        <v>0</v>
      </c>
      <c r="N177" s="1">
        <f>N178+N179+N180+N182</f>
        <v>0</v>
      </c>
      <c r="O177" s="1">
        <f>O178+O179+O180+O182</f>
        <v>0</v>
      </c>
      <c r="P177" s="69"/>
      <c r="Q177" s="69"/>
      <c r="R177" s="69"/>
    </row>
    <row r="178" spans="1:18" ht="15.75" x14ac:dyDescent="0.2">
      <c r="A178" s="121"/>
      <c r="B178" s="116"/>
      <c r="C178" s="51" t="s">
        <v>10</v>
      </c>
      <c r="D178" s="1">
        <f t="shared" si="77"/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1">
        <v>0</v>
      </c>
      <c r="L178" s="1">
        <v>0</v>
      </c>
      <c r="M178" s="1">
        <v>0</v>
      </c>
      <c r="N178" s="1">
        <v>0</v>
      </c>
      <c r="O178" s="1">
        <v>0</v>
      </c>
    </row>
    <row r="179" spans="1:18" ht="15.75" x14ac:dyDescent="0.2">
      <c r="A179" s="121"/>
      <c r="B179" s="116"/>
      <c r="C179" s="51" t="s">
        <v>11</v>
      </c>
      <c r="D179" s="1">
        <f t="shared" si="77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8" ht="31.5" x14ac:dyDescent="0.2">
      <c r="A180" s="121"/>
      <c r="B180" s="116"/>
      <c r="C180" s="51" t="s">
        <v>65</v>
      </c>
      <c r="D180" s="1">
        <f t="shared" si="77"/>
        <v>3590.6</v>
      </c>
      <c r="E180" s="1">
        <v>2639.6</v>
      </c>
      <c r="F180" s="1">
        <v>951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8" ht="31.5" x14ac:dyDescent="0.2">
      <c r="A181" s="121"/>
      <c r="B181" s="116"/>
      <c r="C181" s="76" t="s">
        <v>79</v>
      </c>
      <c r="D181" s="74">
        <f t="shared" si="77"/>
        <v>3590.6</v>
      </c>
      <c r="E181" s="74">
        <f>E180</f>
        <v>2639.6</v>
      </c>
      <c r="F181" s="74">
        <v>951</v>
      </c>
      <c r="G181" s="74">
        <v>0</v>
      </c>
      <c r="H181" s="74">
        <v>0</v>
      </c>
      <c r="I181" s="74">
        <v>0</v>
      </c>
      <c r="J181" s="74">
        <v>0</v>
      </c>
      <c r="K181" s="1">
        <v>0</v>
      </c>
      <c r="L181" s="74">
        <v>0</v>
      </c>
      <c r="M181" s="74">
        <v>0</v>
      </c>
      <c r="N181" s="74">
        <v>0</v>
      </c>
      <c r="O181" s="1">
        <v>0</v>
      </c>
    </row>
    <row r="182" spans="1:18" ht="21" customHeight="1" x14ac:dyDescent="0.2">
      <c r="A182" s="121"/>
      <c r="B182" s="116"/>
      <c r="C182" s="51" t="s">
        <v>13</v>
      </c>
      <c r="D182" s="1">
        <f t="shared" si="77"/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</row>
    <row r="183" spans="1:18" ht="15.75" x14ac:dyDescent="0.2">
      <c r="A183" s="116" t="s">
        <v>115</v>
      </c>
      <c r="B183" s="116" t="s">
        <v>217</v>
      </c>
      <c r="C183" s="51" t="s">
        <v>7</v>
      </c>
      <c r="D183" s="1">
        <f>E183+F183+G183+H183+I183+J183+K183+L183+M183+N183+O183</f>
        <v>2617.1</v>
      </c>
      <c r="E183" s="1">
        <f t="shared" ref="E183:O183" si="79">E184+E185+E186+E187</f>
        <v>0</v>
      </c>
      <c r="F183" s="1">
        <f t="shared" si="79"/>
        <v>0</v>
      </c>
      <c r="G183" s="1">
        <f t="shared" si="79"/>
        <v>332.6</v>
      </c>
      <c r="H183" s="1">
        <f>H184+H185+H186+H187</f>
        <v>984.5</v>
      </c>
      <c r="I183" s="1">
        <f t="shared" si="79"/>
        <v>690</v>
      </c>
      <c r="J183" s="1">
        <f t="shared" si="79"/>
        <v>160</v>
      </c>
      <c r="K183" s="1">
        <f t="shared" si="79"/>
        <v>450</v>
      </c>
      <c r="L183" s="1">
        <f t="shared" si="79"/>
        <v>0</v>
      </c>
      <c r="M183" s="1">
        <f t="shared" si="79"/>
        <v>0</v>
      </c>
      <c r="N183" s="1">
        <f t="shared" si="79"/>
        <v>0</v>
      </c>
      <c r="O183" s="1">
        <f t="shared" si="79"/>
        <v>0</v>
      </c>
    </row>
    <row r="184" spans="1:18" ht="15.75" x14ac:dyDescent="0.2">
      <c r="A184" s="121"/>
      <c r="B184" s="116"/>
      <c r="C184" s="51" t="s">
        <v>10</v>
      </c>
      <c r="D184" s="1">
        <f>E184+F184+G184+H184+I184+J184+K184+L184+M184+N184+O184</f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</row>
    <row r="185" spans="1:18" ht="15.75" x14ac:dyDescent="0.2">
      <c r="A185" s="121"/>
      <c r="B185" s="116"/>
      <c r="C185" s="51" t="s">
        <v>11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8" ht="15.75" x14ac:dyDescent="0.2">
      <c r="A186" s="121"/>
      <c r="B186" s="116"/>
      <c r="C186" s="51" t="s">
        <v>12</v>
      </c>
      <c r="D186" s="1">
        <f>E186+F186+G186+H186+I186+J186+K186+L186+M186+N186+O186</f>
        <v>2617.1</v>
      </c>
      <c r="E186" s="1">
        <v>0</v>
      </c>
      <c r="F186" s="1">
        <v>0</v>
      </c>
      <c r="G186" s="1">
        <v>332.6</v>
      </c>
      <c r="H186" s="1">
        <v>984.5</v>
      </c>
      <c r="I186" s="1">
        <v>690</v>
      </c>
      <c r="J186" s="1">
        <f>2000-1800-40</f>
        <v>160</v>
      </c>
      <c r="K186" s="1">
        <f>2000-1550</f>
        <v>450</v>
      </c>
      <c r="L186" s="1">
        <v>0</v>
      </c>
      <c r="M186" s="1">
        <v>0</v>
      </c>
      <c r="N186" s="1">
        <v>0</v>
      </c>
      <c r="O186" s="1">
        <f>2433.3-2433.3</f>
        <v>0</v>
      </c>
    </row>
    <row r="187" spans="1:18" ht="43.5" customHeight="1" x14ac:dyDescent="0.2">
      <c r="A187" s="121"/>
      <c r="B187" s="116"/>
      <c r="C187" s="51" t="s">
        <v>13</v>
      </c>
      <c r="D187" s="1">
        <f>E187+F187+G187+H187+I187+J187+K187+L187+M187+N187+O187</f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</row>
    <row r="188" spans="1:18" ht="15.75" x14ac:dyDescent="0.2">
      <c r="A188" s="116" t="s">
        <v>116</v>
      </c>
      <c r="B188" s="116" t="s">
        <v>224</v>
      </c>
      <c r="C188" s="51" t="s">
        <v>7</v>
      </c>
      <c r="D188" s="1">
        <f t="shared" ref="D188:D197" si="80">E188+F188+G188+H188+I188+J188</f>
        <v>3968.3</v>
      </c>
      <c r="E188" s="1">
        <f t="shared" ref="E188:J188" si="81">E189+E190+E191+E192</f>
        <v>0</v>
      </c>
      <c r="F188" s="1">
        <f t="shared" si="81"/>
        <v>0</v>
      </c>
      <c r="G188" s="1">
        <f t="shared" si="81"/>
        <v>0</v>
      </c>
      <c r="H188" s="1">
        <f t="shared" si="81"/>
        <v>3968.3</v>
      </c>
      <c r="I188" s="1">
        <f t="shared" si="81"/>
        <v>0</v>
      </c>
      <c r="J188" s="1">
        <f t="shared" si="81"/>
        <v>0</v>
      </c>
      <c r="K188" s="1">
        <v>0</v>
      </c>
      <c r="L188" s="1">
        <f>L189+L190+L191+L192</f>
        <v>0</v>
      </c>
      <c r="M188" s="1">
        <f>M189+M190+M191+M192</f>
        <v>0</v>
      </c>
      <c r="N188" s="1">
        <f>N189+N190+N191+N192</f>
        <v>0</v>
      </c>
      <c r="O188" s="1">
        <f>O189+O190+O191+O192</f>
        <v>0</v>
      </c>
    </row>
    <row r="189" spans="1:18" ht="15.75" x14ac:dyDescent="0.2">
      <c r="A189" s="121"/>
      <c r="B189" s="116"/>
      <c r="C189" s="51" t="s">
        <v>10</v>
      </c>
      <c r="D189" s="1">
        <f t="shared" si="80"/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</row>
    <row r="190" spans="1:18" ht="15.75" x14ac:dyDescent="0.2">
      <c r="A190" s="121"/>
      <c r="B190" s="116"/>
      <c r="C190" s="51" t="s">
        <v>11</v>
      </c>
      <c r="D190" s="1">
        <f t="shared" si="80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8" ht="15.75" x14ac:dyDescent="0.2">
      <c r="A191" s="121"/>
      <c r="B191" s="116"/>
      <c r="C191" s="51" t="s">
        <v>12</v>
      </c>
      <c r="D191" s="1">
        <f t="shared" si="80"/>
        <v>3968.3</v>
      </c>
      <c r="E191" s="1">
        <v>0</v>
      </c>
      <c r="F191" s="1">
        <v>0</v>
      </c>
      <c r="G191" s="1">
        <v>0</v>
      </c>
      <c r="H191" s="1">
        <v>3968.3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8" ht="44.25" customHeight="1" x14ac:dyDescent="0.2">
      <c r="A192" s="121"/>
      <c r="B192" s="116"/>
      <c r="C192" s="51" t="s">
        <v>13</v>
      </c>
      <c r="D192" s="1">
        <f t="shared" si="80"/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0" ht="15.75" x14ac:dyDescent="0.2">
      <c r="A193" s="116" t="s">
        <v>117</v>
      </c>
      <c r="B193" s="116" t="s">
        <v>225</v>
      </c>
      <c r="C193" s="51" t="s">
        <v>7</v>
      </c>
      <c r="D193" s="1">
        <f t="shared" si="80"/>
        <v>15790</v>
      </c>
      <c r="E193" s="1">
        <f t="shared" ref="E193:K193" si="82">E194+E195+E196+E197</f>
        <v>0</v>
      </c>
      <c r="F193" s="1">
        <f t="shared" si="82"/>
        <v>15790</v>
      </c>
      <c r="G193" s="1">
        <f t="shared" si="82"/>
        <v>0</v>
      </c>
      <c r="H193" s="1">
        <f t="shared" si="82"/>
        <v>0</v>
      </c>
      <c r="I193" s="1">
        <f t="shared" si="82"/>
        <v>0</v>
      </c>
      <c r="J193" s="1">
        <f t="shared" si="82"/>
        <v>0</v>
      </c>
      <c r="K193" s="1">
        <f t="shared" si="82"/>
        <v>0</v>
      </c>
      <c r="L193" s="1">
        <f>L194+L195+L196+L197</f>
        <v>0</v>
      </c>
      <c r="M193" s="1">
        <f>M194+M195+M196+M197</f>
        <v>0</v>
      </c>
      <c r="N193" s="1">
        <f>N194+N195+N196+N197</f>
        <v>0</v>
      </c>
      <c r="O193" s="1">
        <f>O194+O195+O196+O197</f>
        <v>0</v>
      </c>
    </row>
    <row r="194" spans="1:20" ht="18" customHeight="1" x14ac:dyDescent="0.2">
      <c r="A194" s="121"/>
      <c r="B194" s="116"/>
      <c r="C194" s="60" t="s">
        <v>10</v>
      </c>
      <c r="D194" s="1">
        <f t="shared" si="80"/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</row>
    <row r="195" spans="1:20" ht="18" customHeight="1" x14ac:dyDescent="0.2">
      <c r="A195" s="121"/>
      <c r="B195" s="116"/>
      <c r="C195" s="60" t="s">
        <v>11</v>
      </c>
      <c r="D195" s="1">
        <f t="shared" si="80"/>
        <v>15000</v>
      </c>
      <c r="E195" s="1">
        <v>0</v>
      </c>
      <c r="F195" s="1">
        <v>15000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0" ht="15.75" x14ac:dyDescent="0.2">
      <c r="A196" s="121"/>
      <c r="B196" s="116"/>
      <c r="C196" s="60" t="s">
        <v>12</v>
      </c>
      <c r="D196" s="1">
        <f t="shared" si="80"/>
        <v>790</v>
      </c>
      <c r="E196" s="1">
        <v>0</v>
      </c>
      <c r="F196" s="1">
        <v>790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20" ht="36.75" customHeight="1" x14ac:dyDescent="0.2">
      <c r="A197" s="121"/>
      <c r="B197" s="116"/>
      <c r="C197" s="60" t="s">
        <v>13</v>
      </c>
      <c r="D197" s="1">
        <f t="shared" si="80"/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0" ht="15.75" x14ac:dyDescent="0.2">
      <c r="A198" s="116" t="s">
        <v>118</v>
      </c>
      <c r="B198" s="116" t="s">
        <v>378</v>
      </c>
      <c r="C198" s="51" t="s">
        <v>7</v>
      </c>
      <c r="D198" s="1">
        <f>E198+F198+G198+H198+I198+J198+J198+K198+L198+M198+N198+O198</f>
        <v>3101377.4000000004</v>
      </c>
      <c r="E198" s="1">
        <f t="shared" ref="E198:M198" si="83">E199+E200+E201+E202</f>
        <v>0</v>
      </c>
      <c r="F198" s="1">
        <f t="shared" si="83"/>
        <v>0</v>
      </c>
      <c r="G198" s="1">
        <f t="shared" si="83"/>
        <v>27664</v>
      </c>
      <c r="H198" s="1">
        <f t="shared" si="83"/>
        <v>50456.399999999994</v>
      </c>
      <c r="I198" s="1">
        <f t="shared" si="83"/>
        <v>17092.099999999999</v>
      </c>
      <c r="J198" s="1">
        <f t="shared" si="83"/>
        <v>373247.1</v>
      </c>
      <c r="K198" s="1">
        <f t="shared" si="83"/>
        <v>886803.5</v>
      </c>
      <c r="L198" s="1">
        <f t="shared" si="83"/>
        <v>611320</v>
      </c>
      <c r="M198" s="1">
        <f t="shared" si="83"/>
        <v>238339.69999999998</v>
      </c>
      <c r="N198" s="1">
        <f>N199+N200+N201+N202</f>
        <v>150867.1</v>
      </c>
      <c r="O198" s="1">
        <f>O199+O200+O201+O202</f>
        <v>372340.4</v>
      </c>
      <c r="P198" s="62"/>
      <c r="Q198" s="71"/>
      <c r="R198" s="80"/>
      <c r="T198" s="81"/>
    </row>
    <row r="199" spans="1:20" ht="15.75" x14ac:dyDescent="0.2">
      <c r="A199" s="121"/>
      <c r="B199" s="116"/>
      <c r="C199" s="60" t="s">
        <v>10</v>
      </c>
      <c r="D199" s="1">
        <f>E199+F199+G199+H199+I199+J199+K199+L199+M199+N199+O199</f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</row>
    <row r="200" spans="1:20" ht="15.75" x14ac:dyDescent="0.2">
      <c r="A200" s="121"/>
      <c r="B200" s="116"/>
      <c r="C200" s="60" t="s">
        <v>11</v>
      </c>
      <c r="D200" s="1">
        <f>E200+F200+G200+H200+I200+J200+K200+L200+M200+N200+O200</f>
        <v>2556759.7999999998</v>
      </c>
      <c r="E200" s="1">
        <v>0</v>
      </c>
      <c r="F200" s="1">
        <v>0</v>
      </c>
      <c r="G200" s="1">
        <v>26276.799999999999</v>
      </c>
      <c r="H200" s="1">
        <v>47416.2</v>
      </c>
      <c r="I200" s="1">
        <v>16128.9</v>
      </c>
      <c r="J200" s="1">
        <v>350852.3</v>
      </c>
      <c r="K200" s="1">
        <v>827090.5</v>
      </c>
      <c r="L200" s="1">
        <f>90675.1+341780.4+162261.4-10000-10076.1</f>
        <v>574640.80000000005</v>
      </c>
      <c r="M200" s="1">
        <f>221840-840+3039.3</f>
        <v>224039.3</v>
      </c>
      <c r="N200" s="1">
        <f>221840-81525</f>
        <v>140315</v>
      </c>
      <c r="O200" s="1">
        <v>350000</v>
      </c>
      <c r="P200" s="82"/>
      <c r="Q200" s="69"/>
    </row>
    <row r="201" spans="1:20" ht="15.75" x14ac:dyDescent="0.2">
      <c r="A201" s="121"/>
      <c r="B201" s="116"/>
      <c r="C201" s="60" t="s">
        <v>12</v>
      </c>
      <c r="D201" s="1">
        <f>E201+F201+G201+H201+I201+J201+K201+L201+M201+N201+O201</f>
        <v>171370.5</v>
      </c>
      <c r="E201" s="1">
        <v>0</v>
      </c>
      <c r="F201" s="1">
        <v>0</v>
      </c>
      <c r="G201" s="1">
        <v>1387.2</v>
      </c>
      <c r="H201" s="1">
        <v>3040.2</v>
      </c>
      <c r="I201" s="1">
        <v>963.2</v>
      </c>
      <c r="J201" s="1">
        <v>22394.799999999999</v>
      </c>
      <c r="K201" s="1">
        <v>59713</v>
      </c>
      <c r="L201" s="1">
        <f>24355.9+3247.6+10357.2-0.1-638.3-643.2+0.1</f>
        <v>36679.199999999997</v>
      </c>
      <c r="M201" s="1">
        <f>14160-53.6+194</f>
        <v>14300.4</v>
      </c>
      <c r="N201" s="1">
        <f>14160-3319.2-288.7</f>
        <v>10552.099999999999</v>
      </c>
      <c r="O201" s="1">
        <f>22340.4</f>
        <v>22340.400000000001</v>
      </c>
      <c r="P201" s="82"/>
      <c r="Q201" s="69"/>
    </row>
    <row r="202" spans="1:20" ht="28.5" customHeight="1" x14ac:dyDescent="0.2">
      <c r="A202" s="121"/>
      <c r="B202" s="116"/>
      <c r="C202" s="60" t="s">
        <v>13</v>
      </c>
      <c r="D202" s="1">
        <f>E202+F202+G202+H202+I202+J202+K202+L202+M202+N202+O202</f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64"/>
      <c r="Q202" s="64"/>
    </row>
    <row r="203" spans="1:20" ht="15.75" x14ac:dyDescent="0.2">
      <c r="A203" s="116" t="s">
        <v>212</v>
      </c>
      <c r="B203" s="116" t="s">
        <v>298</v>
      </c>
      <c r="C203" s="51" t="s">
        <v>7</v>
      </c>
      <c r="D203" s="1">
        <f>D204+D205+D206+D207</f>
        <v>18555.600000000002</v>
      </c>
      <c r="E203" s="1">
        <f t="shared" ref="E203:K203" si="84">E204+E205+E206+E207</f>
        <v>0</v>
      </c>
      <c r="F203" s="1">
        <f t="shared" si="84"/>
        <v>0</v>
      </c>
      <c r="G203" s="1">
        <f t="shared" si="84"/>
        <v>0</v>
      </c>
      <c r="H203" s="1">
        <f t="shared" si="84"/>
        <v>0</v>
      </c>
      <c r="I203" s="1">
        <f t="shared" si="84"/>
        <v>1845.8</v>
      </c>
      <c r="J203" s="1">
        <f t="shared" si="84"/>
        <v>4535.2</v>
      </c>
      <c r="K203" s="1">
        <f t="shared" si="84"/>
        <v>599.90000000000146</v>
      </c>
      <c r="L203" s="1">
        <f>L204+L205+L206+L207</f>
        <v>4131.6000000000004</v>
      </c>
      <c r="M203" s="1">
        <f>M204+M205+M206+M207</f>
        <v>7443.1</v>
      </c>
      <c r="N203" s="1">
        <f>N204+N205+N206+N207</f>
        <v>0</v>
      </c>
      <c r="O203" s="1">
        <f>O204+O205+O206+O207</f>
        <v>0</v>
      </c>
      <c r="P203" s="62" t="s">
        <v>354</v>
      </c>
      <c r="Q203" s="71"/>
      <c r="T203" s="81"/>
    </row>
    <row r="204" spans="1:20" ht="15.75" x14ac:dyDescent="0.2">
      <c r="A204" s="121"/>
      <c r="B204" s="121"/>
      <c r="C204" s="51" t="s">
        <v>10</v>
      </c>
      <c r="D204" s="1">
        <f t="shared" ref="D204:D235" si="85">E204+F204+G204+H204+I204+J204+K204+L204+M204+N204+O204</f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</row>
    <row r="205" spans="1:20" ht="15.75" x14ac:dyDescent="0.2">
      <c r="A205" s="121"/>
      <c r="B205" s="121"/>
      <c r="C205" s="51" t="s">
        <v>11</v>
      </c>
      <c r="D205" s="1">
        <f t="shared" si="85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64"/>
      <c r="Q205" s="64"/>
    </row>
    <row r="206" spans="1:20" ht="15.75" x14ac:dyDescent="0.2">
      <c r="A206" s="121"/>
      <c r="B206" s="121"/>
      <c r="C206" s="51" t="s">
        <v>12</v>
      </c>
      <c r="D206" s="1">
        <f t="shared" si="85"/>
        <v>18555.600000000002</v>
      </c>
      <c r="E206" s="1">
        <v>0</v>
      </c>
      <c r="F206" s="1">
        <v>0</v>
      </c>
      <c r="G206" s="1">
        <v>0</v>
      </c>
      <c r="H206" s="1">
        <v>0</v>
      </c>
      <c r="I206" s="1">
        <v>1845.8</v>
      </c>
      <c r="J206" s="1">
        <f>4243-69.6+361.8</f>
        <v>4535.2</v>
      </c>
      <c r="K206" s="1">
        <f>14535.2-13935.3</f>
        <v>599.90000000000146</v>
      </c>
      <c r="L206" s="1">
        <v>4131.6000000000004</v>
      </c>
      <c r="M206" s="1">
        <f>4131.6+3311.5</f>
        <v>7443.1</v>
      </c>
      <c r="N206" s="1">
        <v>0</v>
      </c>
      <c r="O206" s="1">
        <v>0</v>
      </c>
    </row>
    <row r="207" spans="1:20" ht="24" customHeight="1" x14ac:dyDescent="0.2">
      <c r="A207" s="121"/>
      <c r="B207" s="121"/>
      <c r="C207" s="51" t="s">
        <v>13</v>
      </c>
      <c r="D207" s="1">
        <f t="shared" si="85"/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0" ht="15.75" x14ac:dyDescent="0.2">
      <c r="A208" s="116" t="s">
        <v>252</v>
      </c>
      <c r="B208" s="116" t="s">
        <v>256</v>
      </c>
      <c r="C208" s="51" t="s">
        <v>7</v>
      </c>
      <c r="D208" s="1">
        <f t="shared" si="85"/>
        <v>379.3</v>
      </c>
      <c r="E208" s="1">
        <f t="shared" ref="E208:J208" si="86">E209+E210+E211+E212</f>
        <v>0</v>
      </c>
      <c r="F208" s="1">
        <f t="shared" si="86"/>
        <v>0</v>
      </c>
      <c r="G208" s="1">
        <f t="shared" si="86"/>
        <v>0</v>
      </c>
      <c r="H208" s="1">
        <f t="shared" si="86"/>
        <v>0</v>
      </c>
      <c r="I208" s="1">
        <f t="shared" si="86"/>
        <v>10.3</v>
      </c>
      <c r="J208" s="1">
        <f t="shared" si="86"/>
        <v>0</v>
      </c>
      <c r="K208" s="1">
        <f>K209+K210+K211+K212</f>
        <v>369</v>
      </c>
      <c r="L208" s="1">
        <f>L209+L210+L211+L212</f>
        <v>0</v>
      </c>
      <c r="M208" s="1">
        <f>M209+M210+M211+M212</f>
        <v>0</v>
      </c>
      <c r="N208" s="1">
        <f>N209+N210+N211+N212</f>
        <v>0</v>
      </c>
      <c r="O208" s="1">
        <f>O209+O210+O211+O212</f>
        <v>0</v>
      </c>
      <c r="P208" s="66" t="s">
        <v>354</v>
      </c>
    </row>
    <row r="209" spans="1:16" ht="15.75" x14ac:dyDescent="0.2">
      <c r="A209" s="121"/>
      <c r="B209" s="121"/>
      <c r="C209" s="51" t="s">
        <v>10</v>
      </c>
      <c r="D209" s="1">
        <f t="shared" si="85"/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</row>
    <row r="210" spans="1:16" ht="15.75" x14ac:dyDescent="0.2">
      <c r="A210" s="121"/>
      <c r="B210" s="121"/>
      <c r="C210" s="51" t="s">
        <v>11</v>
      </c>
      <c r="D210" s="1">
        <f t="shared" si="85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21"/>
      <c r="B211" s="121"/>
      <c r="C211" s="51" t="s">
        <v>12</v>
      </c>
      <c r="D211" s="1">
        <f t="shared" si="85"/>
        <v>379.3</v>
      </c>
      <c r="E211" s="1">
        <v>0</v>
      </c>
      <c r="F211" s="1">
        <v>0</v>
      </c>
      <c r="G211" s="1">
        <v>0</v>
      </c>
      <c r="H211" s="1">
        <v>0</v>
      </c>
      <c r="I211" s="1">
        <v>10.3</v>
      </c>
      <c r="J211" s="1">
        <f>10000-10000</f>
        <v>0</v>
      </c>
      <c r="K211" s="1">
        <f>10000-1800-110-137.5-7583.5</f>
        <v>369</v>
      </c>
      <c r="L211" s="1">
        <v>0</v>
      </c>
      <c r="M211" s="1">
        <v>0</v>
      </c>
      <c r="N211" s="1">
        <v>0</v>
      </c>
      <c r="O211" s="1">
        <v>0</v>
      </c>
    </row>
    <row r="212" spans="1:16" ht="36.75" customHeight="1" x14ac:dyDescent="0.2">
      <c r="A212" s="121"/>
      <c r="B212" s="121"/>
      <c r="C212" s="60" t="s">
        <v>13</v>
      </c>
      <c r="D212" s="1">
        <f t="shared" si="85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16" t="s">
        <v>253</v>
      </c>
      <c r="B213" s="116" t="s">
        <v>292</v>
      </c>
      <c r="C213" s="51" t="s">
        <v>7</v>
      </c>
      <c r="D213" s="1">
        <f t="shared" si="85"/>
        <v>5482.5</v>
      </c>
      <c r="E213" s="1">
        <f t="shared" ref="E213:J213" si="87">E214+E215+E216+E217</f>
        <v>0</v>
      </c>
      <c r="F213" s="1">
        <f t="shared" si="87"/>
        <v>0</v>
      </c>
      <c r="G213" s="1">
        <f t="shared" si="87"/>
        <v>0</v>
      </c>
      <c r="H213" s="1">
        <f t="shared" si="87"/>
        <v>0</v>
      </c>
      <c r="I213" s="1">
        <f t="shared" si="87"/>
        <v>0</v>
      </c>
      <c r="J213" s="1">
        <f t="shared" si="87"/>
        <v>2736.5</v>
      </c>
      <c r="K213" s="1">
        <f>K214+K215+K216+K217</f>
        <v>2746</v>
      </c>
      <c r="L213" s="1">
        <f>L214+L215+L216+L217</f>
        <v>0</v>
      </c>
      <c r="M213" s="1">
        <f>M214+M215+M216+M217</f>
        <v>0</v>
      </c>
      <c r="N213" s="1">
        <f>N214+N215+N216+N217</f>
        <v>0</v>
      </c>
      <c r="O213" s="1">
        <f>O214+O215+O216+O217</f>
        <v>0</v>
      </c>
      <c r="P213" s="66" t="s">
        <v>354</v>
      </c>
    </row>
    <row r="214" spans="1:16" ht="15.75" x14ac:dyDescent="0.2">
      <c r="A214" s="121"/>
      <c r="B214" s="121"/>
      <c r="C214" s="51" t="s">
        <v>10</v>
      </c>
      <c r="D214" s="1">
        <f t="shared" si="85"/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</row>
    <row r="215" spans="1:16" ht="15.75" x14ac:dyDescent="0.2">
      <c r="A215" s="121"/>
      <c r="B215" s="121"/>
      <c r="C215" s="51" t="s">
        <v>11</v>
      </c>
      <c r="D215" s="1">
        <f t="shared" si="85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21"/>
      <c r="B216" s="121"/>
      <c r="C216" s="51" t="s">
        <v>12</v>
      </c>
      <c r="D216" s="1">
        <f t="shared" si="85"/>
        <v>5482.5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f>2800-63.5</f>
        <v>2736.5</v>
      </c>
      <c r="K216" s="1">
        <v>2746</v>
      </c>
      <c r="L216" s="1">
        <v>0</v>
      </c>
      <c r="M216" s="1">
        <v>0</v>
      </c>
      <c r="N216" s="1">
        <v>0</v>
      </c>
      <c r="O216" s="1">
        <v>0</v>
      </c>
    </row>
    <row r="217" spans="1:16" ht="32.25" customHeight="1" x14ac:dyDescent="0.2">
      <c r="A217" s="121"/>
      <c r="B217" s="121"/>
      <c r="C217" s="60" t="s">
        <v>13</v>
      </c>
      <c r="D217" s="1">
        <f t="shared" si="85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16" t="s">
        <v>254</v>
      </c>
      <c r="B218" s="116" t="s">
        <v>413</v>
      </c>
      <c r="C218" s="51" t="s">
        <v>7</v>
      </c>
      <c r="D218" s="1">
        <f t="shared" si="85"/>
        <v>241</v>
      </c>
      <c r="E218" s="1">
        <f t="shared" ref="E218:J218" si="88">E219+E220+E221+E222</f>
        <v>0</v>
      </c>
      <c r="F218" s="1">
        <f t="shared" si="88"/>
        <v>0</v>
      </c>
      <c r="G218" s="1">
        <f t="shared" si="88"/>
        <v>0</v>
      </c>
      <c r="H218" s="1">
        <f t="shared" si="88"/>
        <v>0</v>
      </c>
      <c r="I218" s="1">
        <f t="shared" si="88"/>
        <v>0</v>
      </c>
      <c r="J218" s="1">
        <f t="shared" si="88"/>
        <v>230</v>
      </c>
      <c r="K218" s="1">
        <f>K219+K220+K221+K222</f>
        <v>0</v>
      </c>
      <c r="L218" s="1">
        <f>L219+L220+L221+L222</f>
        <v>11</v>
      </c>
      <c r="M218" s="1">
        <f>M219+M220+M221+M222</f>
        <v>0</v>
      </c>
      <c r="N218" s="1">
        <f>N219+N220+N221+N222</f>
        <v>0</v>
      </c>
      <c r="O218" s="1">
        <f>O219+O220+O221+O222</f>
        <v>0</v>
      </c>
    </row>
    <row r="219" spans="1:16" ht="15.75" x14ac:dyDescent="0.2">
      <c r="A219" s="121"/>
      <c r="B219" s="121"/>
      <c r="C219" s="51" t="s">
        <v>10</v>
      </c>
      <c r="D219" s="1">
        <f t="shared" si="85"/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</row>
    <row r="220" spans="1:16" ht="15.75" x14ac:dyDescent="0.2">
      <c r="A220" s="121"/>
      <c r="B220" s="121"/>
      <c r="C220" s="51" t="s">
        <v>11</v>
      </c>
      <c r="D220" s="1">
        <f t="shared" si="85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21"/>
      <c r="B221" s="121"/>
      <c r="C221" s="51" t="s">
        <v>12</v>
      </c>
      <c r="D221" s="1">
        <f t="shared" si="85"/>
        <v>241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f>8500-8500+300-65.1-4.9</f>
        <v>230</v>
      </c>
      <c r="K221" s="1">
        <v>0</v>
      </c>
      <c r="L221" s="1">
        <v>11</v>
      </c>
      <c r="M221" s="1">
        <v>0</v>
      </c>
      <c r="N221" s="1">
        <v>0</v>
      </c>
      <c r="O221" s="1">
        <v>0</v>
      </c>
    </row>
    <row r="222" spans="1:16" ht="17.25" customHeight="1" x14ac:dyDescent="0.2">
      <c r="A222" s="121"/>
      <c r="B222" s="121"/>
      <c r="C222" s="51" t="s">
        <v>13</v>
      </c>
      <c r="D222" s="1">
        <f t="shared" si="85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16" t="s">
        <v>255</v>
      </c>
      <c r="B223" s="116" t="s">
        <v>257</v>
      </c>
      <c r="C223" s="51" t="s">
        <v>7</v>
      </c>
      <c r="D223" s="1">
        <f t="shared" si="85"/>
        <v>159.99999999999997</v>
      </c>
      <c r="E223" s="1">
        <f t="shared" ref="E223:J223" si="89">E224+E225+E226+E227</f>
        <v>0</v>
      </c>
      <c r="F223" s="1">
        <f t="shared" si="89"/>
        <v>0</v>
      </c>
      <c r="G223" s="1">
        <f t="shared" si="89"/>
        <v>0</v>
      </c>
      <c r="H223" s="1">
        <f t="shared" si="89"/>
        <v>0</v>
      </c>
      <c r="I223" s="1">
        <f t="shared" si="89"/>
        <v>160</v>
      </c>
      <c r="J223" s="1">
        <f t="shared" si="89"/>
        <v>0</v>
      </c>
      <c r="K223" s="1">
        <f>K224+K225+K226+K227</f>
        <v>-2.2648549702353193E-14</v>
      </c>
      <c r="L223" s="1">
        <f>L224+L225+L226+L227</f>
        <v>0</v>
      </c>
      <c r="M223" s="1">
        <f>M224+M225+M226+M227</f>
        <v>0</v>
      </c>
      <c r="N223" s="1">
        <f>N224+N225+N226+N227</f>
        <v>0</v>
      </c>
      <c r="O223" s="1">
        <f>O224+O225+O226+O227</f>
        <v>0</v>
      </c>
    </row>
    <row r="224" spans="1:16" ht="15.75" x14ac:dyDescent="0.2">
      <c r="A224" s="121"/>
      <c r="B224" s="121"/>
      <c r="C224" s="51" t="s">
        <v>10</v>
      </c>
      <c r="D224" s="1">
        <f t="shared" si="85"/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</row>
    <row r="225" spans="1:24" ht="15.75" x14ac:dyDescent="0.2">
      <c r="A225" s="121"/>
      <c r="B225" s="121"/>
      <c r="C225" s="51" t="s">
        <v>11</v>
      </c>
      <c r="D225" s="1">
        <f t="shared" si="85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24" ht="15.75" x14ac:dyDescent="0.2">
      <c r="A226" s="121"/>
      <c r="B226" s="121"/>
      <c r="C226" s="51" t="s">
        <v>12</v>
      </c>
      <c r="D226" s="1">
        <f t="shared" si="85"/>
        <v>159.99999999999997</v>
      </c>
      <c r="E226" s="1">
        <v>0</v>
      </c>
      <c r="F226" s="1">
        <v>0</v>
      </c>
      <c r="G226" s="1">
        <v>0</v>
      </c>
      <c r="H226" s="1">
        <v>0</v>
      </c>
      <c r="I226" s="1">
        <v>160</v>
      </c>
      <c r="J226" s="1">
        <f>2000-600-1400</f>
        <v>0</v>
      </c>
      <c r="K226" s="1">
        <f>454.9-451-3.9</f>
        <v>-2.2648549702353193E-14</v>
      </c>
      <c r="L226" s="1">
        <v>0</v>
      </c>
      <c r="M226" s="1">
        <v>0</v>
      </c>
      <c r="N226" s="1">
        <v>0</v>
      </c>
      <c r="O226" s="1">
        <v>0</v>
      </c>
    </row>
    <row r="227" spans="1:24" ht="27.75" customHeight="1" x14ac:dyDescent="0.2">
      <c r="A227" s="121"/>
      <c r="B227" s="121"/>
      <c r="C227" s="60" t="s">
        <v>13</v>
      </c>
      <c r="D227" s="1">
        <f t="shared" si="85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24" ht="15.75" x14ac:dyDescent="0.2">
      <c r="A228" s="116" t="s">
        <v>271</v>
      </c>
      <c r="B228" s="105" t="s">
        <v>272</v>
      </c>
      <c r="C228" s="51" t="s">
        <v>7</v>
      </c>
      <c r="D228" s="1">
        <f t="shared" si="85"/>
        <v>1402.5</v>
      </c>
      <c r="E228" s="1">
        <f t="shared" ref="E228:J228" si="90">E229+E230+E231+E232</f>
        <v>0</v>
      </c>
      <c r="F228" s="1">
        <f t="shared" si="90"/>
        <v>0</v>
      </c>
      <c r="G228" s="1">
        <f t="shared" si="90"/>
        <v>0</v>
      </c>
      <c r="H228" s="1">
        <f t="shared" si="90"/>
        <v>0</v>
      </c>
      <c r="I228" s="1">
        <f t="shared" si="90"/>
        <v>1402.5</v>
      </c>
      <c r="J228" s="1">
        <f t="shared" si="90"/>
        <v>0</v>
      </c>
      <c r="K228" s="1">
        <f>K229+K230+K231+K232</f>
        <v>0</v>
      </c>
      <c r="L228" s="1">
        <f>L229+L230+L231+L232</f>
        <v>0</v>
      </c>
      <c r="M228" s="1">
        <f>M229+M230+M231+M232</f>
        <v>0</v>
      </c>
      <c r="N228" s="1">
        <f>N229+N230+N231+N232</f>
        <v>0</v>
      </c>
      <c r="O228" s="1">
        <f>O229+O230+O231+O232</f>
        <v>0</v>
      </c>
    </row>
    <row r="229" spans="1:24" ht="15.75" x14ac:dyDescent="0.2">
      <c r="A229" s="121"/>
      <c r="B229" s="138"/>
      <c r="C229" s="51" t="s">
        <v>10</v>
      </c>
      <c r="D229" s="1">
        <f t="shared" si="85"/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</row>
    <row r="230" spans="1:24" ht="15.75" x14ac:dyDescent="0.2">
      <c r="A230" s="121"/>
      <c r="B230" s="138"/>
      <c r="C230" s="51" t="s">
        <v>11</v>
      </c>
      <c r="D230" s="1">
        <f t="shared" si="85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24" ht="15.75" x14ac:dyDescent="0.2">
      <c r="A231" s="121"/>
      <c r="B231" s="138"/>
      <c r="C231" s="51" t="s">
        <v>12</v>
      </c>
      <c r="D231" s="1">
        <f t="shared" si="85"/>
        <v>1402.5</v>
      </c>
      <c r="E231" s="1">
        <v>0</v>
      </c>
      <c r="F231" s="1">
        <v>0</v>
      </c>
      <c r="G231" s="1">
        <v>0</v>
      </c>
      <c r="H231" s="1">
        <v>0</v>
      </c>
      <c r="I231" s="1">
        <v>1402.5</v>
      </c>
      <c r="J231" s="1">
        <v>0</v>
      </c>
      <c r="K231" s="1">
        <v>0</v>
      </c>
      <c r="L231" s="1">
        <v>0</v>
      </c>
      <c r="M231" s="1">
        <v>0</v>
      </c>
      <c r="N231" s="1">
        <v>0</v>
      </c>
      <c r="O231" s="1">
        <v>0</v>
      </c>
    </row>
    <row r="232" spans="1:24" ht="21.75" customHeight="1" x14ac:dyDescent="0.2">
      <c r="A232" s="121"/>
      <c r="B232" s="139"/>
      <c r="C232" s="60" t="s">
        <v>13</v>
      </c>
      <c r="D232" s="1">
        <f t="shared" si="85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24" ht="15.75" x14ac:dyDescent="0.2">
      <c r="A233" s="116" t="s">
        <v>279</v>
      </c>
      <c r="B233" s="105" t="s">
        <v>280</v>
      </c>
      <c r="C233" s="51" t="s">
        <v>7</v>
      </c>
      <c r="D233" s="1">
        <f t="shared" si="85"/>
        <v>4280.7</v>
      </c>
      <c r="E233" s="1">
        <f t="shared" ref="E233:J233" si="91">E234+E235+E236+E237</f>
        <v>0</v>
      </c>
      <c r="F233" s="1">
        <f t="shared" si="91"/>
        <v>0</v>
      </c>
      <c r="G233" s="1">
        <f t="shared" si="91"/>
        <v>0</v>
      </c>
      <c r="H233" s="1">
        <f t="shared" si="91"/>
        <v>0</v>
      </c>
      <c r="I233" s="1">
        <f t="shared" si="91"/>
        <v>4280.7</v>
      </c>
      <c r="J233" s="1">
        <f t="shared" si="91"/>
        <v>0</v>
      </c>
      <c r="K233" s="1">
        <f>K234+K235+K236+K237</f>
        <v>0</v>
      </c>
      <c r="L233" s="1">
        <f>L234+L235+L236+L237</f>
        <v>0</v>
      </c>
      <c r="M233" s="1">
        <f>M234+M235+M236+M237</f>
        <v>0</v>
      </c>
      <c r="N233" s="1">
        <f>N234+N235+N236+N237</f>
        <v>0</v>
      </c>
      <c r="O233" s="1">
        <f>O234+O235+O236+O237</f>
        <v>0</v>
      </c>
    </row>
    <row r="234" spans="1:24" ht="15.75" x14ac:dyDescent="0.2">
      <c r="A234" s="121"/>
      <c r="B234" s="138"/>
      <c r="C234" s="51" t="s">
        <v>10</v>
      </c>
      <c r="D234" s="1">
        <f t="shared" si="85"/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24" ht="15.75" x14ac:dyDescent="0.2">
      <c r="A235" s="121"/>
      <c r="B235" s="138"/>
      <c r="C235" s="51" t="s">
        <v>11</v>
      </c>
      <c r="D235" s="1">
        <f t="shared" si="85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24" ht="15.75" x14ac:dyDescent="0.2">
      <c r="A236" s="121"/>
      <c r="B236" s="138"/>
      <c r="C236" s="51" t="s">
        <v>12</v>
      </c>
      <c r="D236" s="1">
        <f t="shared" ref="D236:D267" si="92">E236+F236+G236+H236+I236+J236+K236+L236+M236+N236+O236</f>
        <v>4280.7</v>
      </c>
      <c r="E236" s="1">
        <v>0</v>
      </c>
      <c r="F236" s="1">
        <v>0</v>
      </c>
      <c r="G236" s="1">
        <v>0</v>
      </c>
      <c r="H236" s="1">
        <v>0</v>
      </c>
      <c r="I236" s="1">
        <v>4280.7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</row>
    <row r="237" spans="1:24" ht="23.25" customHeight="1" x14ac:dyDescent="0.2">
      <c r="A237" s="121"/>
      <c r="B237" s="139"/>
      <c r="C237" s="51" t="s">
        <v>13</v>
      </c>
      <c r="D237" s="1">
        <f t="shared" si="92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24" ht="15.75" x14ac:dyDescent="0.2">
      <c r="A238" s="116" t="s">
        <v>293</v>
      </c>
      <c r="B238" s="105" t="s">
        <v>367</v>
      </c>
      <c r="C238" s="51" t="s">
        <v>43</v>
      </c>
      <c r="D238" s="1">
        <f t="shared" si="92"/>
        <v>307198.09999999998</v>
      </c>
      <c r="E238" s="1">
        <f t="shared" ref="E238:J238" si="93">E239+E240+E241+E242</f>
        <v>0</v>
      </c>
      <c r="F238" s="1">
        <f t="shared" si="93"/>
        <v>0</v>
      </c>
      <c r="G238" s="1">
        <f t="shared" si="93"/>
        <v>0</v>
      </c>
      <c r="H238" s="1">
        <f t="shared" si="93"/>
        <v>0</v>
      </c>
      <c r="I238" s="1">
        <f t="shared" si="93"/>
        <v>0</v>
      </c>
      <c r="J238" s="1">
        <f t="shared" si="93"/>
        <v>159665.60000000001</v>
      </c>
      <c r="K238" s="1">
        <f>K239+K240+K241+K242</f>
        <v>120030.5</v>
      </c>
      <c r="L238" s="1">
        <f>L239+L240+L241+L242</f>
        <v>27502</v>
      </c>
      <c r="M238" s="1">
        <f>M239+M240+M241+M242</f>
        <v>0</v>
      </c>
      <c r="N238" s="1">
        <f>N239+N240+N241+N242</f>
        <v>0</v>
      </c>
      <c r="O238" s="1">
        <f>O239+O240+O241+O242</f>
        <v>0</v>
      </c>
      <c r="X238" s="64"/>
    </row>
    <row r="239" spans="1:24" ht="15.75" x14ac:dyDescent="0.2">
      <c r="A239" s="121"/>
      <c r="B239" s="138"/>
      <c r="C239" s="51" t="s">
        <v>10</v>
      </c>
      <c r="D239" s="1">
        <f t="shared" si="92"/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24" ht="15.75" x14ac:dyDescent="0.2">
      <c r="A240" s="121"/>
      <c r="B240" s="138"/>
      <c r="C240" s="51" t="s">
        <v>11</v>
      </c>
      <c r="D240" s="1">
        <f t="shared" si="92"/>
        <v>307198.09999999998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159665.60000000001</v>
      </c>
      <c r="K240" s="1">
        <f>173506.2-22060.2-31415.5</f>
        <v>120030.5</v>
      </c>
      <c r="L240" s="1">
        <f>151446-151446+27502</f>
        <v>27502</v>
      </c>
      <c r="M240" s="1">
        <f t="shared" ref="M240:N240" si="94">151446-151446</f>
        <v>0</v>
      </c>
      <c r="N240" s="1">
        <f t="shared" si="94"/>
        <v>0</v>
      </c>
      <c r="O240" s="1">
        <v>0</v>
      </c>
    </row>
    <row r="241" spans="1:15" ht="15.75" x14ac:dyDescent="0.2">
      <c r="A241" s="121"/>
      <c r="B241" s="138"/>
      <c r="C241" s="51" t="s">
        <v>12</v>
      </c>
      <c r="D241" s="1">
        <f t="shared" si="92"/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0</v>
      </c>
      <c r="O241" s="1">
        <v>0</v>
      </c>
    </row>
    <row r="242" spans="1:15" ht="24" customHeight="1" x14ac:dyDescent="0.2">
      <c r="A242" s="121"/>
      <c r="B242" s="139"/>
      <c r="C242" s="60" t="s">
        <v>13</v>
      </c>
      <c r="D242" s="1">
        <f t="shared" si="92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15" ht="15.75" x14ac:dyDescent="0.2">
      <c r="A243" s="116" t="s">
        <v>299</v>
      </c>
      <c r="B243" s="116" t="s">
        <v>305</v>
      </c>
      <c r="C243" s="51" t="s">
        <v>7</v>
      </c>
      <c r="D243" s="1">
        <f t="shared" si="92"/>
        <v>1528</v>
      </c>
      <c r="E243" s="1">
        <f t="shared" ref="E243:J243" si="95">E244+E245+E246+E247</f>
        <v>0</v>
      </c>
      <c r="F243" s="1">
        <f t="shared" si="95"/>
        <v>0</v>
      </c>
      <c r="G243" s="1">
        <f t="shared" si="95"/>
        <v>0</v>
      </c>
      <c r="H243" s="1">
        <f t="shared" si="95"/>
        <v>0</v>
      </c>
      <c r="I243" s="1">
        <f t="shared" si="95"/>
        <v>1528</v>
      </c>
      <c r="J243" s="1">
        <f t="shared" si="95"/>
        <v>0</v>
      </c>
      <c r="K243" s="1">
        <f>K244+K245+K246+K247</f>
        <v>0</v>
      </c>
      <c r="L243" s="1">
        <f>L244+L245+L246+L247</f>
        <v>0</v>
      </c>
      <c r="M243" s="1">
        <f>M244+M245+M246+M247</f>
        <v>0</v>
      </c>
      <c r="N243" s="1">
        <f>N244+N245+N246+N247</f>
        <v>0</v>
      </c>
      <c r="O243" s="1">
        <f>O244+O245+O246+O247</f>
        <v>0</v>
      </c>
    </row>
    <row r="244" spans="1:15" ht="15.75" x14ac:dyDescent="0.2">
      <c r="A244" s="121"/>
      <c r="B244" s="121"/>
      <c r="C244" s="51" t="s">
        <v>10</v>
      </c>
      <c r="D244" s="1">
        <f t="shared" si="92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15" ht="15.75" x14ac:dyDescent="0.2">
      <c r="A245" s="121"/>
      <c r="B245" s="121"/>
      <c r="C245" s="51" t="s">
        <v>11</v>
      </c>
      <c r="D245" s="1">
        <f t="shared" si="92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15" ht="15.75" x14ac:dyDescent="0.2">
      <c r="A246" s="121"/>
      <c r="B246" s="121"/>
      <c r="C246" s="51" t="s">
        <v>12</v>
      </c>
      <c r="D246" s="1">
        <f t="shared" si="92"/>
        <v>1528</v>
      </c>
      <c r="E246" s="1">
        <v>0</v>
      </c>
      <c r="F246" s="1">
        <v>0</v>
      </c>
      <c r="G246" s="1">
        <v>0</v>
      </c>
      <c r="H246" s="1">
        <v>0</v>
      </c>
      <c r="I246" s="1">
        <v>1528</v>
      </c>
      <c r="J246" s="1">
        <v>0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</row>
    <row r="247" spans="1:15" ht="24.75" customHeight="1" x14ac:dyDescent="0.2">
      <c r="A247" s="121"/>
      <c r="B247" s="121"/>
      <c r="C247" s="60" t="s">
        <v>13</v>
      </c>
      <c r="D247" s="1">
        <f t="shared" si="92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15" ht="42" customHeight="1" x14ac:dyDescent="0.2">
      <c r="A248" s="116" t="s">
        <v>301</v>
      </c>
      <c r="B248" s="116" t="s">
        <v>372</v>
      </c>
      <c r="C248" s="51" t="s">
        <v>7</v>
      </c>
      <c r="D248" s="1">
        <f t="shared" si="92"/>
        <v>50891.799999999996</v>
      </c>
      <c r="E248" s="1">
        <f t="shared" ref="E248:J248" si="96">E249+E250+E251+E252</f>
        <v>0</v>
      </c>
      <c r="F248" s="1">
        <f t="shared" si="96"/>
        <v>0</v>
      </c>
      <c r="G248" s="1">
        <f t="shared" si="96"/>
        <v>0</v>
      </c>
      <c r="H248" s="1">
        <f t="shared" si="96"/>
        <v>0</v>
      </c>
      <c r="I248" s="1">
        <f t="shared" si="96"/>
        <v>0</v>
      </c>
      <c r="J248" s="1">
        <f t="shared" si="96"/>
        <v>50891.799999999996</v>
      </c>
      <c r="K248" s="1">
        <f>K249+K250+K251+K252</f>
        <v>0</v>
      </c>
      <c r="L248" s="1">
        <f>L249+L250+L251+L252</f>
        <v>0</v>
      </c>
      <c r="M248" s="1">
        <f>M249+M250+M251+M252</f>
        <v>0</v>
      </c>
      <c r="N248" s="1">
        <f>N249+N250+N251+N252</f>
        <v>0</v>
      </c>
      <c r="O248" s="1">
        <f>O249+O250+O251+O252</f>
        <v>0</v>
      </c>
    </row>
    <row r="249" spans="1:15" ht="19.5" customHeight="1" x14ac:dyDescent="0.2">
      <c r="A249" s="121"/>
      <c r="B249" s="121"/>
      <c r="C249" s="51" t="s">
        <v>10</v>
      </c>
      <c r="D249" s="1">
        <f t="shared" si="92"/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15" ht="15.75" x14ac:dyDescent="0.2">
      <c r="A250" s="121"/>
      <c r="B250" s="121"/>
      <c r="C250" s="51" t="s">
        <v>11</v>
      </c>
      <c r="D250" s="1">
        <f t="shared" si="92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15" ht="15.75" x14ac:dyDescent="0.2">
      <c r="A251" s="121"/>
      <c r="B251" s="121"/>
      <c r="C251" s="51" t="s">
        <v>12</v>
      </c>
      <c r="D251" s="1">
        <f t="shared" si="92"/>
        <v>50891.799999999996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f>58078.1-10000+10000-9132.4+146.1+1800</f>
        <v>50891.799999999996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</row>
    <row r="252" spans="1:15" ht="29.25" customHeight="1" x14ac:dyDescent="0.2">
      <c r="A252" s="121"/>
      <c r="B252" s="121"/>
      <c r="C252" s="60" t="s">
        <v>13</v>
      </c>
      <c r="D252" s="1">
        <f t="shared" si="92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15" ht="15.75" hidden="1" x14ac:dyDescent="0.2">
      <c r="A253" s="116"/>
      <c r="B253" s="105" t="s">
        <v>320</v>
      </c>
      <c r="C253" s="51" t="s">
        <v>7</v>
      </c>
      <c r="D253" s="1">
        <f t="shared" si="92"/>
        <v>0</v>
      </c>
      <c r="E253" s="1">
        <f t="shared" ref="E253:J253" si="97">E254+E255+E256+E257</f>
        <v>0</v>
      </c>
      <c r="F253" s="1">
        <f t="shared" si="97"/>
        <v>0</v>
      </c>
      <c r="G253" s="1">
        <f t="shared" si="97"/>
        <v>0</v>
      </c>
      <c r="H253" s="1">
        <f t="shared" si="97"/>
        <v>0</v>
      </c>
      <c r="I253" s="1">
        <f t="shared" si="97"/>
        <v>0</v>
      </c>
      <c r="J253" s="1">
        <f t="shared" si="97"/>
        <v>0</v>
      </c>
      <c r="K253" s="1">
        <f>K254+K255+K256+K257</f>
        <v>0</v>
      </c>
      <c r="L253" s="1">
        <f>L254+L255+L256+L257</f>
        <v>0</v>
      </c>
      <c r="M253" s="1">
        <f>M254+M255+M256+M257</f>
        <v>0</v>
      </c>
      <c r="N253" s="1">
        <f>N254+N255+N256+N257</f>
        <v>0</v>
      </c>
      <c r="O253" s="1">
        <f>O254+O255+O256+O257</f>
        <v>0</v>
      </c>
    </row>
    <row r="254" spans="1:15" ht="15.75" hidden="1" x14ac:dyDescent="0.2">
      <c r="A254" s="121"/>
      <c r="B254" s="138"/>
      <c r="C254" s="51" t="s">
        <v>10</v>
      </c>
      <c r="D254" s="1">
        <f t="shared" si="92"/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15" ht="15.75" hidden="1" x14ac:dyDescent="0.2">
      <c r="A255" s="121"/>
      <c r="B255" s="138"/>
      <c r="C255" s="51" t="s">
        <v>11</v>
      </c>
      <c r="D255" s="1">
        <f t="shared" si="92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15" ht="15.75" hidden="1" x14ac:dyDescent="0.2">
      <c r="A256" s="121"/>
      <c r="B256" s="138"/>
      <c r="C256" s="51" t="s">
        <v>12</v>
      </c>
      <c r="D256" s="1">
        <f t="shared" si="92"/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</row>
    <row r="257" spans="1:15" ht="21.75" hidden="1" customHeight="1" x14ac:dyDescent="0.2">
      <c r="A257" s="121"/>
      <c r="B257" s="139"/>
      <c r="C257" s="60" t="s">
        <v>13</v>
      </c>
      <c r="D257" s="1">
        <f t="shared" si="92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 ht="15.75" x14ac:dyDescent="0.2">
      <c r="A258" s="116" t="s">
        <v>304</v>
      </c>
      <c r="B258" s="105" t="s">
        <v>323</v>
      </c>
      <c r="C258" s="60" t="s">
        <v>7</v>
      </c>
      <c r="D258" s="1">
        <f t="shared" si="92"/>
        <v>1919</v>
      </c>
      <c r="E258" s="1">
        <f t="shared" ref="E258:J258" si="98">E259+E260+E261+E262</f>
        <v>0</v>
      </c>
      <c r="F258" s="1">
        <f t="shared" si="98"/>
        <v>0</v>
      </c>
      <c r="G258" s="1">
        <f t="shared" si="98"/>
        <v>0</v>
      </c>
      <c r="H258" s="1">
        <f t="shared" si="98"/>
        <v>0</v>
      </c>
      <c r="I258" s="1">
        <f t="shared" si="98"/>
        <v>0</v>
      </c>
      <c r="J258" s="1">
        <f t="shared" si="98"/>
        <v>1919</v>
      </c>
      <c r="K258" s="1">
        <f>K259+K260+K261+K262</f>
        <v>0</v>
      </c>
      <c r="L258" s="1">
        <f>L259+L260+L261+L262</f>
        <v>0</v>
      </c>
      <c r="M258" s="1">
        <f>M259+M260+M261+M262</f>
        <v>0</v>
      </c>
      <c r="N258" s="1">
        <f>N259+N260+N261+N262</f>
        <v>0</v>
      </c>
      <c r="O258" s="1">
        <f>O259+O260+O261+O262</f>
        <v>0</v>
      </c>
    </row>
    <row r="259" spans="1:15" ht="15.75" x14ac:dyDescent="0.2">
      <c r="A259" s="121"/>
      <c r="B259" s="138"/>
      <c r="C259" s="60" t="s">
        <v>10</v>
      </c>
      <c r="D259" s="1">
        <f t="shared" si="92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 ht="15.75" x14ac:dyDescent="0.2">
      <c r="A260" s="121"/>
      <c r="B260" s="138"/>
      <c r="C260" s="60" t="s">
        <v>11</v>
      </c>
      <c r="D260" s="1">
        <f t="shared" si="92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ht="15.75" x14ac:dyDescent="0.2">
      <c r="A261" s="121"/>
      <c r="B261" s="138"/>
      <c r="C261" s="60" t="s">
        <v>12</v>
      </c>
      <c r="D261" s="1">
        <f t="shared" si="92"/>
        <v>1919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f>2000-81</f>
        <v>1919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</row>
    <row r="262" spans="1:15" ht="35.25" customHeight="1" x14ac:dyDescent="0.2">
      <c r="A262" s="121"/>
      <c r="B262" s="139"/>
      <c r="C262" s="60" t="s">
        <v>13</v>
      </c>
      <c r="D262" s="1">
        <f t="shared" si="92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5" ht="15.75" x14ac:dyDescent="0.2">
      <c r="A263" s="116" t="s">
        <v>319</v>
      </c>
      <c r="B263" s="105" t="s">
        <v>324</v>
      </c>
      <c r="C263" s="60" t="s">
        <v>7</v>
      </c>
      <c r="D263" s="1">
        <f t="shared" si="92"/>
        <v>15546.3</v>
      </c>
      <c r="E263" s="1">
        <f t="shared" ref="E263:J263" si="99">E264+E265+E266+E267</f>
        <v>0</v>
      </c>
      <c r="F263" s="1">
        <f t="shared" si="99"/>
        <v>0</v>
      </c>
      <c r="G263" s="1">
        <f t="shared" si="99"/>
        <v>0</v>
      </c>
      <c r="H263" s="1">
        <f t="shared" si="99"/>
        <v>0</v>
      </c>
      <c r="I263" s="1">
        <f t="shared" si="99"/>
        <v>0</v>
      </c>
      <c r="J263" s="1">
        <f t="shared" si="99"/>
        <v>7794.2999999999993</v>
      </c>
      <c r="K263" s="1">
        <f>K264+K265+K266+K267</f>
        <v>7752</v>
      </c>
      <c r="L263" s="1">
        <f>L264+L265+L266+L267</f>
        <v>0</v>
      </c>
      <c r="M263" s="1">
        <f>M264+M265+M266+M267</f>
        <v>0</v>
      </c>
      <c r="N263" s="1">
        <f>N264+N265+N266+N267</f>
        <v>0</v>
      </c>
      <c r="O263" s="1">
        <f>O264+O265+O266+O267</f>
        <v>0</v>
      </c>
    </row>
    <row r="264" spans="1:15" ht="16.5" customHeight="1" x14ac:dyDescent="0.2">
      <c r="A264" s="121"/>
      <c r="B264" s="138"/>
      <c r="C264" s="51" t="s">
        <v>10</v>
      </c>
      <c r="D264" s="1">
        <f t="shared" si="92"/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16.5" customHeight="1" x14ac:dyDescent="0.2">
      <c r="A265" s="121"/>
      <c r="B265" s="138"/>
      <c r="C265" s="51" t="s">
        <v>11</v>
      </c>
      <c r="D265" s="1">
        <f t="shared" si="92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5" ht="16.5" customHeight="1" x14ac:dyDescent="0.2">
      <c r="A266" s="121"/>
      <c r="B266" s="138"/>
      <c r="C266" s="51" t="s">
        <v>12</v>
      </c>
      <c r="D266" s="1">
        <f t="shared" si="92"/>
        <v>15546.3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f>8000-205.6-0.1</f>
        <v>7794.2999999999993</v>
      </c>
      <c r="K266" s="1">
        <f>8000-300+52</f>
        <v>7752</v>
      </c>
      <c r="L266" s="1">
        <v>0</v>
      </c>
      <c r="M266" s="1">
        <v>0</v>
      </c>
      <c r="N266" s="1">
        <v>0</v>
      </c>
      <c r="O266" s="1">
        <v>0</v>
      </c>
    </row>
    <row r="267" spans="1:15" ht="27.75" customHeight="1" x14ac:dyDescent="0.2">
      <c r="A267" s="121"/>
      <c r="B267" s="139"/>
      <c r="C267" s="60" t="s">
        <v>13</v>
      </c>
      <c r="D267" s="1">
        <f t="shared" si="92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 ht="15.75" x14ac:dyDescent="0.2">
      <c r="A268" s="116" t="s">
        <v>321</v>
      </c>
      <c r="B268" s="116" t="s">
        <v>339</v>
      </c>
      <c r="C268" s="60" t="s">
        <v>7</v>
      </c>
      <c r="D268" s="1">
        <f t="shared" ref="D268:D277" si="100">E268+F268+G268+H268+I268+J268+K268+L268+M268+N268+O268</f>
        <v>9202</v>
      </c>
      <c r="E268" s="1">
        <f t="shared" ref="E268:J268" si="101">E269+E270+E271+E272</f>
        <v>0</v>
      </c>
      <c r="F268" s="1">
        <f t="shared" si="101"/>
        <v>0</v>
      </c>
      <c r="G268" s="1">
        <f t="shared" si="101"/>
        <v>0</v>
      </c>
      <c r="H268" s="1">
        <f t="shared" si="101"/>
        <v>0</v>
      </c>
      <c r="I268" s="1">
        <f t="shared" si="101"/>
        <v>0</v>
      </c>
      <c r="J268" s="1">
        <f t="shared" si="101"/>
        <v>9202</v>
      </c>
      <c r="K268" s="1">
        <f>K269+K270+K271+K272</f>
        <v>0</v>
      </c>
      <c r="L268" s="1">
        <f>L269+L270+L271+L272</f>
        <v>0</v>
      </c>
      <c r="M268" s="1">
        <f>M269+M270+M271+M272</f>
        <v>0</v>
      </c>
      <c r="N268" s="1">
        <f>N269+N270+N271+N272</f>
        <v>0</v>
      </c>
      <c r="O268" s="1">
        <f>O269+O270+O271+O272</f>
        <v>0</v>
      </c>
    </row>
    <row r="269" spans="1:15" ht="16.5" customHeight="1" x14ac:dyDescent="0.2">
      <c r="A269" s="121"/>
      <c r="B269" s="121"/>
      <c r="C269" s="51" t="s">
        <v>10</v>
      </c>
      <c r="D269" s="1">
        <f t="shared" si="100"/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</v>
      </c>
      <c r="O269" s="1">
        <v>0</v>
      </c>
    </row>
    <row r="270" spans="1:15" ht="16.5" customHeight="1" x14ac:dyDescent="0.2">
      <c r="A270" s="121"/>
      <c r="B270" s="121"/>
      <c r="C270" s="51" t="s">
        <v>11</v>
      </c>
      <c r="D270" s="1">
        <f t="shared" si="100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 ht="16.5" customHeight="1" x14ac:dyDescent="0.2">
      <c r="A271" s="121"/>
      <c r="B271" s="121"/>
      <c r="C271" s="51" t="s">
        <v>12</v>
      </c>
      <c r="D271" s="1">
        <f t="shared" si="100"/>
        <v>9202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f>10000-798</f>
        <v>9202</v>
      </c>
      <c r="K271" s="1">
        <v>0</v>
      </c>
      <c r="L271" s="1">
        <v>0</v>
      </c>
      <c r="M271" s="1">
        <v>0</v>
      </c>
      <c r="N271" s="1">
        <v>0</v>
      </c>
      <c r="O271" s="1">
        <v>0</v>
      </c>
    </row>
    <row r="272" spans="1:15" ht="36" customHeight="1" x14ac:dyDescent="0.2">
      <c r="A272" s="121"/>
      <c r="B272" s="121"/>
      <c r="C272" s="60" t="s">
        <v>13</v>
      </c>
      <c r="D272" s="1">
        <f t="shared" si="100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41.25" customHeight="1" x14ac:dyDescent="0.2">
      <c r="A273" s="116" t="s">
        <v>322</v>
      </c>
      <c r="B273" s="116" t="s">
        <v>373</v>
      </c>
      <c r="C273" s="60" t="s">
        <v>7</v>
      </c>
      <c r="D273" s="1">
        <f t="shared" si="100"/>
        <v>8744.6</v>
      </c>
      <c r="E273" s="1">
        <f t="shared" ref="E273:J273" si="102">E274+E275+E276+E277</f>
        <v>0</v>
      </c>
      <c r="F273" s="1">
        <f t="shared" si="102"/>
        <v>0</v>
      </c>
      <c r="G273" s="1">
        <f t="shared" si="102"/>
        <v>0</v>
      </c>
      <c r="H273" s="1">
        <f>H274+H275+H276+H277</f>
        <v>0</v>
      </c>
      <c r="I273" s="1">
        <f t="shared" si="102"/>
        <v>0</v>
      </c>
      <c r="J273" s="1">
        <f t="shared" si="102"/>
        <v>8679.5</v>
      </c>
      <c r="K273" s="1">
        <f>K274+K275+K276+K277</f>
        <v>65.099999999999994</v>
      </c>
      <c r="L273" s="1">
        <f>L274+L275+L276+L277</f>
        <v>0</v>
      </c>
      <c r="M273" s="1">
        <f>M274+M275+M276+M277</f>
        <v>0</v>
      </c>
      <c r="N273" s="1">
        <f>N274+N275+N276+N277</f>
        <v>0</v>
      </c>
      <c r="O273" s="1">
        <f>O274+O275+O276+O277</f>
        <v>0</v>
      </c>
      <c r="P273" s="66" t="s">
        <v>348</v>
      </c>
    </row>
    <row r="274" spans="1:24" ht="16.5" customHeight="1" x14ac:dyDescent="0.2">
      <c r="A274" s="121"/>
      <c r="B274" s="121"/>
      <c r="C274" s="51" t="s">
        <v>10</v>
      </c>
      <c r="D274" s="1">
        <f t="shared" si="100"/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24" ht="16.5" customHeight="1" x14ac:dyDescent="0.2">
      <c r="A275" s="121"/>
      <c r="B275" s="121"/>
      <c r="C275" s="51" t="s">
        <v>11</v>
      </c>
      <c r="D275" s="1">
        <f t="shared" si="100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16.5" customHeight="1" x14ac:dyDescent="0.2">
      <c r="A276" s="121"/>
      <c r="B276" s="121"/>
      <c r="C276" s="51" t="s">
        <v>12</v>
      </c>
      <c r="D276" s="1">
        <f t="shared" si="100"/>
        <v>8744.6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f>8846.9-23.4-144</f>
        <v>8679.5</v>
      </c>
      <c r="K276" s="1">
        <f>0+65.1</f>
        <v>65.099999999999994</v>
      </c>
      <c r="L276" s="1">
        <v>0</v>
      </c>
      <c r="M276" s="1">
        <v>0</v>
      </c>
      <c r="N276" s="1">
        <v>0</v>
      </c>
      <c r="O276" s="1">
        <v>0</v>
      </c>
    </row>
    <row r="277" spans="1:24" ht="16.5" customHeight="1" x14ac:dyDescent="0.2">
      <c r="A277" s="121"/>
      <c r="B277" s="121"/>
      <c r="C277" s="60" t="s">
        <v>13</v>
      </c>
      <c r="D277" s="1">
        <f t="shared" si="100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42" hidden="1" customHeight="1" x14ac:dyDescent="0.2">
      <c r="A278" s="116" t="s">
        <v>425</v>
      </c>
      <c r="B278" s="116" t="s">
        <v>377</v>
      </c>
      <c r="C278" s="60" t="s">
        <v>7</v>
      </c>
      <c r="D278" s="1">
        <f t="shared" ref="D278:D299" si="103">E278+F278+G278+H278+I278+J278+K278+L278+M278+N278+O278</f>
        <v>0</v>
      </c>
      <c r="E278" s="1">
        <f t="shared" ref="E278:O278" si="104">E279+E280+E281+E282</f>
        <v>0</v>
      </c>
      <c r="F278" s="1">
        <f t="shared" si="104"/>
        <v>0</v>
      </c>
      <c r="G278" s="1">
        <f t="shared" si="104"/>
        <v>0</v>
      </c>
      <c r="H278" s="1">
        <f t="shared" si="104"/>
        <v>0</v>
      </c>
      <c r="I278" s="1">
        <f t="shared" si="104"/>
        <v>0</v>
      </c>
      <c r="J278" s="1">
        <f t="shared" si="104"/>
        <v>0</v>
      </c>
      <c r="K278" s="1">
        <f t="shared" si="104"/>
        <v>0</v>
      </c>
      <c r="L278" s="1">
        <f t="shared" si="104"/>
        <v>0</v>
      </c>
      <c r="M278" s="1">
        <f t="shared" si="104"/>
        <v>0</v>
      </c>
      <c r="N278" s="1">
        <f t="shared" si="104"/>
        <v>0</v>
      </c>
      <c r="O278" s="1">
        <f t="shared" si="104"/>
        <v>0</v>
      </c>
    </row>
    <row r="279" spans="1:24" ht="16.5" hidden="1" customHeight="1" x14ac:dyDescent="0.2">
      <c r="A279" s="121"/>
      <c r="B279" s="121"/>
      <c r="C279" s="51" t="s">
        <v>10</v>
      </c>
      <c r="D279" s="1">
        <f t="shared" si="103"/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0</v>
      </c>
      <c r="O279" s="1">
        <v>0</v>
      </c>
    </row>
    <row r="280" spans="1:24" ht="16.5" hidden="1" customHeight="1" x14ac:dyDescent="0.2">
      <c r="A280" s="121"/>
      <c r="B280" s="121"/>
      <c r="C280" s="51" t="s">
        <v>11</v>
      </c>
      <c r="D280" s="1">
        <f t="shared" si="103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f>23500-23500</f>
        <v>0</v>
      </c>
      <c r="M280" s="1">
        <v>0</v>
      </c>
      <c r="N280" s="1">
        <v>0</v>
      </c>
      <c r="O280" s="1">
        <v>0</v>
      </c>
      <c r="X280" s="66" t="s">
        <v>424</v>
      </c>
    </row>
    <row r="281" spans="1:24" ht="16.5" hidden="1" customHeight="1" x14ac:dyDescent="0.2">
      <c r="A281" s="121"/>
      <c r="B281" s="121"/>
      <c r="C281" s="51" t="s">
        <v>12</v>
      </c>
      <c r="D281" s="1">
        <f t="shared" si="103"/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0</v>
      </c>
      <c r="L281" s="1">
        <f>1500-1500</f>
        <v>0</v>
      </c>
      <c r="M281" s="1">
        <v>0</v>
      </c>
      <c r="N281" s="1">
        <v>0</v>
      </c>
      <c r="O281" s="1">
        <v>0</v>
      </c>
    </row>
    <row r="282" spans="1:24" ht="23.25" hidden="1" customHeight="1" x14ac:dyDescent="0.2">
      <c r="A282" s="121"/>
      <c r="B282" s="121"/>
      <c r="C282" s="60" t="s">
        <v>13</v>
      </c>
      <c r="D282" s="1">
        <f t="shared" si="103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5.75" x14ac:dyDescent="0.2">
      <c r="A283" s="116" t="s">
        <v>336</v>
      </c>
      <c r="B283" s="116" t="s">
        <v>366</v>
      </c>
      <c r="C283" s="60" t="s">
        <v>7</v>
      </c>
      <c r="D283" s="1">
        <f t="shared" si="103"/>
        <v>589.1</v>
      </c>
      <c r="E283" s="1">
        <f t="shared" ref="E283:O283" si="105">E284+E285+E286+E287</f>
        <v>0</v>
      </c>
      <c r="F283" s="1">
        <f t="shared" si="105"/>
        <v>0</v>
      </c>
      <c r="G283" s="1">
        <f t="shared" si="105"/>
        <v>0</v>
      </c>
      <c r="H283" s="1">
        <f t="shared" si="105"/>
        <v>0</v>
      </c>
      <c r="I283" s="1">
        <f t="shared" si="105"/>
        <v>0</v>
      </c>
      <c r="J283" s="1">
        <f t="shared" si="105"/>
        <v>0</v>
      </c>
      <c r="K283" s="1">
        <f t="shared" si="105"/>
        <v>589.1</v>
      </c>
      <c r="L283" s="1">
        <f t="shared" si="105"/>
        <v>0</v>
      </c>
      <c r="M283" s="1">
        <f t="shared" si="105"/>
        <v>0</v>
      </c>
      <c r="N283" s="1">
        <f t="shared" si="105"/>
        <v>0</v>
      </c>
      <c r="O283" s="1">
        <f t="shared" si="105"/>
        <v>0</v>
      </c>
    </row>
    <row r="284" spans="1:24" ht="16.5" customHeight="1" x14ac:dyDescent="0.2">
      <c r="A284" s="121"/>
      <c r="B284" s="121"/>
      <c r="C284" s="51" t="s">
        <v>10</v>
      </c>
      <c r="D284" s="1">
        <f t="shared" si="103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</row>
    <row r="285" spans="1:24" ht="16.5" customHeight="1" x14ac:dyDescent="0.2">
      <c r="A285" s="121"/>
      <c r="B285" s="121"/>
      <c r="C285" s="51" t="s">
        <v>11</v>
      </c>
      <c r="D285" s="1">
        <f t="shared" si="103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6.5" customHeight="1" x14ac:dyDescent="0.2">
      <c r="A286" s="121"/>
      <c r="B286" s="121"/>
      <c r="C286" s="51" t="s">
        <v>12</v>
      </c>
      <c r="D286" s="1">
        <f t="shared" si="103"/>
        <v>589.1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1">
        <f>2000-65.1-1345.7-0.1</f>
        <v>589.1</v>
      </c>
      <c r="L286" s="1">
        <v>0</v>
      </c>
      <c r="M286" s="1">
        <v>0</v>
      </c>
      <c r="N286" s="1">
        <v>0</v>
      </c>
      <c r="O286" s="1">
        <v>0</v>
      </c>
    </row>
    <row r="287" spans="1:24" ht="24" customHeight="1" x14ac:dyDescent="0.2">
      <c r="A287" s="121"/>
      <c r="B287" s="121"/>
      <c r="C287" s="60" t="s">
        <v>13</v>
      </c>
      <c r="D287" s="1">
        <f t="shared" si="103"/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5.75" hidden="1" x14ac:dyDescent="0.2">
      <c r="A288" s="116"/>
      <c r="B288" s="116" t="s">
        <v>388</v>
      </c>
      <c r="C288" s="60" t="s">
        <v>7</v>
      </c>
      <c r="D288" s="1">
        <f t="shared" si="103"/>
        <v>0</v>
      </c>
      <c r="E288" s="1">
        <f t="shared" ref="E288:O289" si="106">E289+E290+E291+E292</f>
        <v>0</v>
      </c>
      <c r="F288" s="1">
        <f t="shared" si="106"/>
        <v>0</v>
      </c>
      <c r="G288" s="1">
        <f t="shared" si="106"/>
        <v>0</v>
      </c>
      <c r="H288" s="1">
        <f t="shared" si="106"/>
        <v>0</v>
      </c>
      <c r="I288" s="1">
        <f t="shared" si="106"/>
        <v>0</v>
      </c>
      <c r="J288" s="1">
        <f t="shared" si="106"/>
        <v>0</v>
      </c>
      <c r="K288" s="1">
        <f t="shared" si="106"/>
        <v>0</v>
      </c>
      <c r="L288" s="1">
        <f t="shared" si="106"/>
        <v>0</v>
      </c>
      <c r="M288" s="1">
        <f t="shared" si="106"/>
        <v>0</v>
      </c>
      <c r="N288" s="1">
        <f t="shared" si="106"/>
        <v>0</v>
      </c>
      <c r="O288" s="1">
        <f t="shared" si="106"/>
        <v>0</v>
      </c>
    </row>
    <row r="289" spans="1:24" ht="16.5" hidden="1" customHeight="1" x14ac:dyDescent="0.2">
      <c r="A289" s="121"/>
      <c r="B289" s="121"/>
      <c r="C289" s="51" t="s">
        <v>10</v>
      </c>
      <c r="D289" s="1">
        <f t="shared" si="103"/>
        <v>0</v>
      </c>
      <c r="E289" s="1">
        <f t="shared" si="106"/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</row>
    <row r="290" spans="1:24" ht="16.5" hidden="1" customHeight="1" x14ac:dyDescent="0.2">
      <c r="A290" s="121"/>
      <c r="B290" s="121"/>
      <c r="C290" s="51" t="s">
        <v>11</v>
      </c>
      <c r="D290" s="1">
        <f t="shared" si="103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6.5" hidden="1" customHeight="1" x14ac:dyDescent="0.2">
      <c r="A291" s="121"/>
      <c r="B291" s="121"/>
      <c r="C291" s="51" t="s">
        <v>12</v>
      </c>
      <c r="D291" s="1">
        <f t="shared" si="103"/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</v>
      </c>
      <c r="O291" s="1">
        <v>0</v>
      </c>
    </row>
    <row r="292" spans="1:24" ht="21.75" hidden="1" customHeight="1" x14ac:dyDescent="0.2">
      <c r="A292" s="121"/>
      <c r="B292" s="121"/>
      <c r="C292" s="60" t="s">
        <v>13</v>
      </c>
      <c r="D292" s="1">
        <f t="shared" si="103"/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5.75" hidden="1" x14ac:dyDescent="0.2">
      <c r="A293" s="116"/>
      <c r="B293" s="116" t="s">
        <v>300</v>
      </c>
      <c r="C293" s="60" t="s">
        <v>7</v>
      </c>
      <c r="D293" s="1">
        <f t="shared" si="103"/>
        <v>0</v>
      </c>
      <c r="E293" s="1">
        <f t="shared" ref="E293:O293" si="107">E294+E295+E296+E297</f>
        <v>0</v>
      </c>
      <c r="F293" s="1">
        <f t="shared" si="107"/>
        <v>0</v>
      </c>
      <c r="G293" s="1">
        <f t="shared" si="107"/>
        <v>0</v>
      </c>
      <c r="H293" s="1">
        <f t="shared" si="107"/>
        <v>0</v>
      </c>
      <c r="I293" s="1">
        <f t="shared" si="107"/>
        <v>0</v>
      </c>
      <c r="J293" s="1">
        <f t="shared" si="107"/>
        <v>0</v>
      </c>
      <c r="K293" s="1">
        <f t="shared" si="107"/>
        <v>0</v>
      </c>
      <c r="L293" s="1">
        <f t="shared" si="107"/>
        <v>0</v>
      </c>
      <c r="M293" s="1">
        <f t="shared" si="107"/>
        <v>0</v>
      </c>
      <c r="N293" s="1">
        <f t="shared" si="107"/>
        <v>0</v>
      </c>
      <c r="O293" s="1">
        <f t="shared" si="107"/>
        <v>0</v>
      </c>
    </row>
    <row r="294" spans="1:24" ht="16.5" hidden="1" customHeight="1" x14ac:dyDescent="0.2">
      <c r="A294" s="121"/>
      <c r="B294" s="121"/>
      <c r="C294" s="51" t="s">
        <v>10</v>
      </c>
      <c r="D294" s="1">
        <f t="shared" si="103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16.5" hidden="1" customHeight="1" x14ac:dyDescent="0.2">
      <c r="A295" s="121"/>
      <c r="B295" s="121"/>
      <c r="C295" s="51" t="s">
        <v>11</v>
      </c>
      <c r="D295" s="1">
        <f t="shared" si="103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ht="16.5" hidden="1" customHeight="1" x14ac:dyDescent="0.2">
      <c r="A296" s="121"/>
      <c r="B296" s="121"/>
      <c r="C296" s="51" t="s">
        <v>12</v>
      </c>
      <c r="D296" s="1">
        <f t="shared" si="103"/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f>4000-4000</f>
        <v>0</v>
      </c>
      <c r="L296" s="1">
        <v>0</v>
      </c>
      <c r="M296" s="1">
        <v>0</v>
      </c>
      <c r="N296" s="1">
        <v>0</v>
      </c>
      <c r="O296" s="1">
        <v>0</v>
      </c>
    </row>
    <row r="297" spans="1:24" ht="24" hidden="1" customHeight="1" x14ac:dyDescent="0.2">
      <c r="A297" s="121"/>
      <c r="B297" s="121"/>
      <c r="C297" s="60" t="s">
        <v>13</v>
      </c>
      <c r="D297" s="1">
        <f t="shared" si="103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s="8" customFormat="1" ht="24.75" customHeight="1" x14ac:dyDescent="0.2">
      <c r="A298" s="105" t="s">
        <v>338</v>
      </c>
      <c r="B298" s="105" t="s">
        <v>374</v>
      </c>
      <c r="C298" s="60" t="s">
        <v>7</v>
      </c>
      <c r="D298" s="1">
        <f t="shared" si="103"/>
        <v>75259.7</v>
      </c>
      <c r="E298" s="1">
        <f>E299+E300+E301+E302</f>
        <v>0</v>
      </c>
      <c r="F298" s="1">
        <f t="shared" ref="F298:O298" si="108">F299+F300+F301+F302</f>
        <v>0</v>
      </c>
      <c r="G298" s="1">
        <f t="shared" si="108"/>
        <v>0</v>
      </c>
      <c r="H298" s="1">
        <f t="shared" si="108"/>
        <v>0</v>
      </c>
      <c r="I298" s="1">
        <f t="shared" si="108"/>
        <v>0</v>
      </c>
      <c r="J298" s="1">
        <f t="shared" si="108"/>
        <v>0</v>
      </c>
      <c r="K298" s="1">
        <f t="shared" si="108"/>
        <v>75259.7</v>
      </c>
      <c r="L298" s="1">
        <f t="shared" si="108"/>
        <v>0</v>
      </c>
      <c r="M298" s="1">
        <f t="shared" si="108"/>
        <v>0</v>
      </c>
      <c r="N298" s="1">
        <f t="shared" si="108"/>
        <v>0</v>
      </c>
      <c r="O298" s="1">
        <f t="shared" si="108"/>
        <v>0</v>
      </c>
    </row>
    <row r="299" spans="1:24" s="8" customFormat="1" ht="24.75" customHeight="1" x14ac:dyDescent="0.2">
      <c r="A299" s="106"/>
      <c r="B299" s="106"/>
      <c r="C299" s="51" t="s">
        <v>10</v>
      </c>
      <c r="D299" s="1">
        <f t="shared" si="103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s="8" customFormat="1" ht="24.75" customHeight="1" x14ac:dyDescent="0.2">
      <c r="A300" s="106"/>
      <c r="B300" s="106"/>
      <c r="C300" s="51" t="s">
        <v>11</v>
      </c>
      <c r="D300" s="1">
        <f>E300+F300+G300+H300+I300+J300+K300+L300+M300+N300+O300</f>
        <v>75259.7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f>139260-42274.5-21725.8</f>
        <v>75259.7</v>
      </c>
      <c r="L300" s="1">
        <f>44738.1-44738.1</f>
        <v>0</v>
      </c>
      <c r="M300" s="1">
        <f t="shared" ref="M300:N300" si="109">44738.1-44738.1</f>
        <v>0</v>
      </c>
      <c r="N300" s="1">
        <f t="shared" si="109"/>
        <v>0</v>
      </c>
      <c r="O300" s="1">
        <v>0</v>
      </c>
      <c r="X300" s="83"/>
    </row>
    <row r="301" spans="1:24" s="8" customFormat="1" ht="24.75" customHeight="1" x14ac:dyDescent="0.2">
      <c r="A301" s="106"/>
      <c r="B301" s="106"/>
      <c r="C301" s="51" t="s">
        <v>12</v>
      </c>
      <c r="D301" s="1">
        <f t="shared" ref="D301:D307" si="110">E301+F301+G301+H301+I301+J301+K301+L301+M301+N301+O301</f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</row>
    <row r="302" spans="1:24" s="8" customFormat="1" ht="24.75" customHeight="1" x14ac:dyDescent="0.2">
      <c r="A302" s="107"/>
      <c r="B302" s="107"/>
      <c r="C302" s="60" t="s">
        <v>13</v>
      </c>
      <c r="D302" s="1">
        <f t="shared" si="110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2.5" customHeight="1" x14ac:dyDescent="0.2">
      <c r="A303" s="116" t="s">
        <v>345</v>
      </c>
      <c r="B303" s="116" t="s">
        <v>380</v>
      </c>
      <c r="C303" s="51" t="s">
        <v>7</v>
      </c>
      <c r="D303" s="1">
        <f t="shared" si="110"/>
        <v>553.4</v>
      </c>
      <c r="E303" s="1">
        <f>E304+E305+E306+E307</f>
        <v>0</v>
      </c>
      <c r="F303" s="1">
        <f t="shared" ref="F303:L303" si="111">F304+F305+F306+F307</f>
        <v>0</v>
      </c>
      <c r="G303" s="1">
        <f t="shared" si="111"/>
        <v>0</v>
      </c>
      <c r="H303" s="1">
        <f t="shared" si="111"/>
        <v>0</v>
      </c>
      <c r="I303" s="1">
        <f t="shared" si="111"/>
        <v>0</v>
      </c>
      <c r="J303" s="1">
        <f t="shared" si="111"/>
        <v>0</v>
      </c>
      <c r="K303" s="1">
        <f t="shared" si="111"/>
        <v>553.4</v>
      </c>
      <c r="L303" s="1">
        <f t="shared" si="111"/>
        <v>0</v>
      </c>
      <c r="M303" s="1">
        <f t="shared" ref="M303" si="112">M304+M305+M306+M307</f>
        <v>0</v>
      </c>
      <c r="N303" s="1">
        <f t="shared" ref="N303" si="113">N304+N305+N306+N307</f>
        <v>0</v>
      </c>
      <c r="O303" s="1">
        <f t="shared" ref="O303" si="114">O304+O305+O306+O307</f>
        <v>0</v>
      </c>
    </row>
    <row r="304" spans="1:24" s="8" customFormat="1" ht="22.5" customHeight="1" x14ac:dyDescent="0.2">
      <c r="A304" s="121"/>
      <c r="B304" s="116"/>
      <c r="C304" s="60" t="s">
        <v>10</v>
      </c>
      <c r="D304" s="1">
        <f t="shared" si="110"/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2.5" customHeight="1" x14ac:dyDescent="0.2">
      <c r="A305" s="121"/>
      <c r="B305" s="116"/>
      <c r="C305" s="60" t="s">
        <v>11</v>
      </c>
      <c r="D305" s="1">
        <f>E305+F305+G305+H305+I305+J305+K305+L305+M305+N305+O305</f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22.5" customHeight="1" x14ac:dyDescent="0.2">
      <c r="A306" s="121"/>
      <c r="B306" s="116"/>
      <c r="C306" s="60" t="s">
        <v>12</v>
      </c>
      <c r="D306" s="1">
        <f t="shared" si="110"/>
        <v>553.4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553.4</v>
      </c>
      <c r="L306" s="1">
        <v>0</v>
      </c>
      <c r="M306" s="1">
        <v>0</v>
      </c>
      <c r="N306" s="1">
        <v>0</v>
      </c>
      <c r="O306" s="1">
        <v>0</v>
      </c>
    </row>
    <row r="307" spans="1:15" s="8" customFormat="1" ht="33.75" customHeight="1" x14ac:dyDescent="0.2">
      <c r="A307" s="121"/>
      <c r="B307" s="116"/>
      <c r="C307" s="60" t="s">
        <v>13</v>
      </c>
      <c r="D307" s="1">
        <f t="shared" si="110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18.75" customHeight="1" x14ac:dyDescent="0.2">
      <c r="A308" s="116" t="s">
        <v>347</v>
      </c>
      <c r="B308" s="116" t="s">
        <v>383</v>
      </c>
      <c r="C308" s="51" t="s">
        <v>7</v>
      </c>
      <c r="D308" s="1">
        <f t="shared" ref="D308:D309" si="115">E308+F308+G308+H308+I308+J308+K308+L308+M308+N308+O308</f>
        <v>4165.1000000000004</v>
      </c>
      <c r="E308" s="1">
        <f>E309+E310+E311+E312</f>
        <v>0</v>
      </c>
      <c r="F308" s="1">
        <f t="shared" ref="F308:O308" si="116">F309+F310+F311+F312</f>
        <v>0</v>
      </c>
      <c r="G308" s="1">
        <f t="shared" si="116"/>
        <v>0</v>
      </c>
      <c r="H308" s="1">
        <f t="shared" si="116"/>
        <v>0</v>
      </c>
      <c r="I308" s="1">
        <f t="shared" si="116"/>
        <v>0</v>
      </c>
      <c r="J308" s="1">
        <f t="shared" si="116"/>
        <v>0</v>
      </c>
      <c r="K308" s="1">
        <f t="shared" si="116"/>
        <v>2648</v>
      </c>
      <c r="L308" s="1">
        <f t="shared" si="116"/>
        <v>1101.0999999999999</v>
      </c>
      <c r="M308" s="1">
        <f t="shared" si="116"/>
        <v>416</v>
      </c>
      <c r="N308" s="1">
        <f t="shared" si="116"/>
        <v>0</v>
      </c>
      <c r="O308" s="1">
        <f t="shared" si="116"/>
        <v>0</v>
      </c>
    </row>
    <row r="309" spans="1:15" s="8" customFormat="1" ht="18.75" customHeight="1" x14ac:dyDescent="0.2">
      <c r="A309" s="121"/>
      <c r="B309" s="116"/>
      <c r="C309" s="60" t="s">
        <v>10</v>
      </c>
      <c r="D309" s="1">
        <f t="shared" si="115"/>
        <v>0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</row>
    <row r="310" spans="1:15" s="8" customFormat="1" ht="18.75" customHeight="1" x14ac:dyDescent="0.2">
      <c r="A310" s="121"/>
      <c r="B310" s="116"/>
      <c r="C310" s="60" t="s">
        <v>11</v>
      </c>
      <c r="D310" s="1">
        <f>E310+F310+G310+H310+I310+J310+K310+L310+M310+N310+O310</f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21"/>
      <c r="B311" s="116"/>
      <c r="C311" s="60" t="s">
        <v>12</v>
      </c>
      <c r="D311" s="1">
        <f t="shared" ref="D311:D312" si="117">E311+F311+G311+H311+I311+J311+K311+L311+M311+N311+O311</f>
        <v>4165.1000000000004</v>
      </c>
      <c r="E311" s="1"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2648</v>
      </c>
      <c r="L311" s="1">
        <f>1668.6-567.5</f>
        <v>1101.0999999999999</v>
      </c>
      <c r="M311" s="1">
        <v>416</v>
      </c>
      <c r="N311" s="1">
        <v>0</v>
      </c>
      <c r="O311" s="1">
        <v>0</v>
      </c>
    </row>
    <row r="312" spans="1:15" s="8" customFormat="1" ht="33.75" customHeight="1" x14ac:dyDescent="0.2">
      <c r="A312" s="121"/>
      <c r="B312" s="116"/>
      <c r="C312" s="60" t="s">
        <v>13</v>
      </c>
      <c r="D312" s="1">
        <f t="shared" si="117"/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05" t="s">
        <v>408</v>
      </c>
      <c r="B313" s="105" t="s">
        <v>389</v>
      </c>
      <c r="C313" s="51" t="s">
        <v>7</v>
      </c>
      <c r="D313" s="1">
        <f>SUM(D314:D317)</f>
        <v>251.1</v>
      </c>
      <c r="E313" s="1">
        <f t="shared" ref="E313:J313" si="118">SUM(E314:E317)</f>
        <v>0</v>
      </c>
      <c r="F313" s="1">
        <f t="shared" si="118"/>
        <v>0</v>
      </c>
      <c r="G313" s="1">
        <f t="shared" si="118"/>
        <v>0</v>
      </c>
      <c r="H313" s="1">
        <f t="shared" si="118"/>
        <v>0</v>
      </c>
      <c r="I313" s="1">
        <f t="shared" si="118"/>
        <v>0</v>
      </c>
      <c r="J313" s="1">
        <f t="shared" si="118"/>
        <v>0</v>
      </c>
      <c r="K313" s="1">
        <f>SUM(K314:K317)</f>
        <v>251.1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06"/>
      <c r="B314" s="106"/>
      <c r="C314" s="60" t="s">
        <v>10</v>
      </c>
      <c r="D314" s="1">
        <f>SUM(E314:O314)</f>
        <v>0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</row>
    <row r="315" spans="1:15" s="8" customFormat="1" ht="18.75" customHeight="1" x14ac:dyDescent="0.2">
      <c r="A315" s="106"/>
      <c r="B315" s="106"/>
      <c r="C315" s="60" t="s">
        <v>11</v>
      </c>
      <c r="D315" s="1">
        <f t="shared" ref="D315:D317" si="119">SUM(E315:O315)</f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customHeight="1" x14ac:dyDescent="0.2">
      <c r="A316" s="106"/>
      <c r="B316" s="106"/>
      <c r="C316" s="60" t="s">
        <v>12</v>
      </c>
      <c r="D316" s="1">
        <f t="shared" si="119"/>
        <v>251.1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f>451-199.9</f>
        <v>251.1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35.25" customHeight="1" x14ac:dyDescent="0.2">
      <c r="A317" s="107"/>
      <c r="B317" s="107"/>
      <c r="C317" s="60" t="s">
        <v>13</v>
      </c>
      <c r="D317" s="1">
        <f t="shared" si="119"/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hidden="1" customHeight="1" x14ac:dyDescent="0.2">
      <c r="A318" s="105"/>
      <c r="B318" s="105" t="s">
        <v>401</v>
      </c>
      <c r="C318" s="51" t="s">
        <v>7</v>
      </c>
      <c r="D318" s="1">
        <f>SUM(D319:D322)</f>
        <v>0</v>
      </c>
      <c r="E318" s="1">
        <f t="shared" ref="E318:J318" si="120">SUM(E319:E322)</f>
        <v>0</v>
      </c>
      <c r="F318" s="1">
        <f t="shared" si="120"/>
        <v>0</v>
      </c>
      <c r="G318" s="1">
        <f t="shared" si="120"/>
        <v>0</v>
      </c>
      <c r="H318" s="1">
        <f t="shared" si="120"/>
        <v>0</v>
      </c>
      <c r="I318" s="1">
        <f t="shared" si="120"/>
        <v>0</v>
      </c>
      <c r="J318" s="1">
        <f t="shared" si="120"/>
        <v>0</v>
      </c>
      <c r="K318" s="1">
        <f>SUM(K319:K322)</f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hidden="1" customHeight="1" x14ac:dyDescent="0.2">
      <c r="A319" s="106"/>
      <c r="B319" s="106"/>
      <c r="C319" s="60" t="s">
        <v>10</v>
      </c>
      <c r="D319" s="1">
        <f>SUM(E319:O319)</f>
        <v>0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18.75" hidden="1" customHeight="1" x14ac:dyDescent="0.2">
      <c r="A320" s="106"/>
      <c r="B320" s="106"/>
      <c r="C320" s="60" t="s">
        <v>11</v>
      </c>
      <c r="D320" s="1">
        <f t="shared" ref="D320:D322" si="121">SUM(E320:O320)</f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hidden="1" customHeight="1" x14ac:dyDescent="0.2">
      <c r="A321" s="106"/>
      <c r="B321" s="106"/>
      <c r="C321" s="60" t="s">
        <v>12</v>
      </c>
      <c r="D321" s="1">
        <f t="shared" si="121"/>
        <v>0</v>
      </c>
      <c r="E321" s="1"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f>3553.2-3553.2</f>
        <v>0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hidden="1" customHeight="1" x14ac:dyDescent="0.2">
      <c r="A322" s="107"/>
      <c r="B322" s="107"/>
      <c r="C322" s="60" t="s">
        <v>13</v>
      </c>
      <c r="D322" s="1">
        <f t="shared" si="121"/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22" s="8" customFormat="1" ht="18.75" customHeight="1" x14ac:dyDescent="0.2">
      <c r="A323" s="105" t="s">
        <v>406</v>
      </c>
      <c r="B323" s="105" t="s">
        <v>407</v>
      </c>
      <c r="C323" s="51" t="s">
        <v>7</v>
      </c>
      <c r="D323" s="1">
        <f>SUM(D324:D327)</f>
        <v>994.1</v>
      </c>
      <c r="E323" s="1">
        <f t="shared" ref="E323:J323" si="122">SUM(E324:E327)</f>
        <v>0</v>
      </c>
      <c r="F323" s="1">
        <f t="shared" si="122"/>
        <v>0</v>
      </c>
      <c r="G323" s="1">
        <f t="shared" si="122"/>
        <v>0</v>
      </c>
      <c r="H323" s="1">
        <f t="shared" si="122"/>
        <v>0</v>
      </c>
      <c r="I323" s="1">
        <f t="shared" si="122"/>
        <v>0</v>
      </c>
      <c r="J323" s="1">
        <f t="shared" si="122"/>
        <v>0</v>
      </c>
      <c r="K323" s="1">
        <f>SUM(K324:K327)</f>
        <v>994.1</v>
      </c>
      <c r="L323" s="1">
        <v>0</v>
      </c>
      <c r="M323" s="1">
        <v>0</v>
      </c>
      <c r="N323" s="1">
        <v>0</v>
      </c>
      <c r="O323" s="1">
        <v>0</v>
      </c>
    </row>
    <row r="324" spans="1:22" s="8" customFormat="1" ht="18.75" customHeight="1" x14ac:dyDescent="0.2">
      <c r="A324" s="106"/>
      <c r="B324" s="106"/>
      <c r="C324" s="60" t="s">
        <v>10</v>
      </c>
      <c r="D324" s="1">
        <f>SUM(E324:O324)</f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</row>
    <row r="325" spans="1:22" s="8" customFormat="1" ht="18.75" customHeight="1" x14ac:dyDescent="0.2">
      <c r="A325" s="106"/>
      <c r="B325" s="106"/>
      <c r="C325" s="60" t="s">
        <v>11</v>
      </c>
      <c r="D325" s="1">
        <f t="shared" ref="D325:D327" si="123">SUM(E325:O325)</f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</row>
    <row r="326" spans="1:22" s="8" customFormat="1" ht="18.75" customHeight="1" x14ac:dyDescent="0.2">
      <c r="A326" s="106"/>
      <c r="B326" s="106"/>
      <c r="C326" s="60" t="s">
        <v>12</v>
      </c>
      <c r="D326" s="1">
        <f t="shared" si="123"/>
        <v>994.1</v>
      </c>
      <c r="E326" s="1"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994.1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1">
        <v>0</v>
      </c>
      <c r="S326" s="1">
        <v>0</v>
      </c>
      <c r="T326" s="1">
        <v>0</v>
      </c>
      <c r="U326" s="1">
        <v>0</v>
      </c>
      <c r="V326" s="1">
        <v>0</v>
      </c>
    </row>
    <row r="327" spans="1:22" s="8" customFormat="1" ht="33.75" customHeight="1" x14ac:dyDescent="0.2">
      <c r="A327" s="107"/>
      <c r="B327" s="107"/>
      <c r="C327" s="60" t="s">
        <v>13</v>
      </c>
      <c r="D327" s="1">
        <f t="shared" si="123"/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</row>
    <row r="328" spans="1:22" s="8" customFormat="1" ht="18.75" customHeight="1" x14ac:dyDescent="0.2">
      <c r="A328" s="105" t="s">
        <v>381</v>
      </c>
      <c r="B328" s="105" t="s">
        <v>419</v>
      </c>
      <c r="C328" s="51" t="s">
        <v>7</v>
      </c>
      <c r="D328" s="1">
        <f>SUM(D329:D332)</f>
        <v>1269013.2000000002</v>
      </c>
      <c r="E328" s="1">
        <f t="shared" ref="E328:J328" si="124">SUM(E329:E332)</f>
        <v>0</v>
      </c>
      <c r="F328" s="1">
        <f t="shared" si="124"/>
        <v>0</v>
      </c>
      <c r="G328" s="1">
        <f t="shared" si="124"/>
        <v>0</v>
      </c>
      <c r="H328" s="1">
        <f t="shared" si="124"/>
        <v>0</v>
      </c>
      <c r="I328" s="1">
        <f t="shared" si="124"/>
        <v>0</v>
      </c>
      <c r="J328" s="1">
        <f t="shared" si="124"/>
        <v>0</v>
      </c>
      <c r="K328" s="1">
        <f>SUM(K329:K332)</f>
        <v>0</v>
      </c>
      <c r="L328" s="1">
        <f t="shared" ref="L328:O328" si="125">SUM(L329:L332)</f>
        <v>429013.19999999995</v>
      </c>
      <c r="M328" s="1">
        <f t="shared" si="125"/>
        <v>840000</v>
      </c>
      <c r="N328" s="1">
        <f t="shared" si="125"/>
        <v>0</v>
      </c>
      <c r="O328" s="1">
        <f t="shared" si="125"/>
        <v>0</v>
      </c>
      <c r="P328" s="78"/>
      <c r="Q328" s="78"/>
      <c r="R328" s="78"/>
      <c r="S328" s="78"/>
      <c r="T328" s="78"/>
      <c r="U328" s="78"/>
      <c r="V328" s="78"/>
    </row>
    <row r="329" spans="1:22" s="8" customFormat="1" ht="18.75" customHeight="1" x14ac:dyDescent="0.2">
      <c r="A329" s="106"/>
      <c r="B329" s="106"/>
      <c r="C329" s="60" t="s">
        <v>10</v>
      </c>
      <c r="D329" s="1">
        <f>SUM(E329:O329)</f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78"/>
      <c r="Q329" s="78"/>
      <c r="R329" s="78"/>
      <c r="S329" s="78"/>
      <c r="T329" s="78"/>
      <c r="U329" s="78"/>
      <c r="V329" s="78"/>
    </row>
    <row r="330" spans="1:22" s="8" customFormat="1" ht="18.75" customHeight="1" x14ac:dyDescent="0.2">
      <c r="A330" s="106"/>
      <c r="B330" s="106"/>
      <c r="C330" s="60" t="s">
        <v>11</v>
      </c>
      <c r="D330" s="1">
        <f t="shared" ref="D330:D332" si="126">SUM(E330:O330)</f>
        <v>1256323.1000000001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f>L335+L340</f>
        <v>424723.1</v>
      </c>
      <c r="M330" s="1">
        <f t="shared" ref="M330:V330" si="127">M335+M340</f>
        <v>831600</v>
      </c>
      <c r="N330" s="1">
        <f t="shared" si="127"/>
        <v>0</v>
      </c>
      <c r="O330" s="1">
        <f t="shared" si="127"/>
        <v>0</v>
      </c>
      <c r="P330" s="1">
        <f t="shared" si="127"/>
        <v>0</v>
      </c>
      <c r="Q330" s="1">
        <f t="shared" si="127"/>
        <v>0</v>
      </c>
      <c r="R330" s="1">
        <f t="shared" si="127"/>
        <v>0</v>
      </c>
      <c r="S330" s="1">
        <f t="shared" si="127"/>
        <v>0</v>
      </c>
      <c r="T330" s="1">
        <f t="shared" si="127"/>
        <v>0</v>
      </c>
      <c r="U330" s="1">
        <f t="shared" si="127"/>
        <v>0</v>
      </c>
      <c r="V330" s="1">
        <f t="shared" si="127"/>
        <v>0</v>
      </c>
    </row>
    <row r="331" spans="1:22" s="8" customFormat="1" ht="18.75" customHeight="1" x14ac:dyDescent="0.2">
      <c r="A331" s="106"/>
      <c r="B331" s="106"/>
      <c r="C331" s="60" t="s">
        <v>12</v>
      </c>
      <c r="D331" s="1">
        <f t="shared" si="126"/>
        <v>12690.1</v>
      </c>
      <c r="E331" s="1">
        <v>0</v>
      </c>
      <c r="F331" s="1">
        <v>0</v>
      </c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f>L336++L341</f>
        <v>4290.1000000000004</v>
      </c>
      <c r="M331" s="1">
        <f t="shared" ref="M331:O331" si="128">M336++M341</f>
        <v>8400</v>
      </c>
      <c r="N331" s="1">
        <f t="shared" si="128"/>
        <v>0</v>
      </c>
      <c r="O331" s="1">
        <f t="shared" si="128"/>
        <v>0</v>
      </c>
      <c r="P331" s="78"/>
      <c r="Q331" s="78"/>
      <c r="R331" s="78"/>
      <c r="S331" s="78"/>
      <c r="T331" s="78"/>
      <c r="U331" s="78"/>
      <c r="V331" s="78"/>
    </row>
    <row r="332" spans="1:22" s="8" customFormat="1" ht="36.75" customHeight="1" x14ac:dyDescent="0.2">
      <c r="A332" s="107"/>
      <c r="B332" s="107"/>
      <c r="C332" s="60" t="s">
        <v>13</v>
      </c>
      <c r="D332" s="1">
        <f t="shared" si="126"/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8"/>
      <c r="Q332" s="78"/>
      <c r="R332" s="78"/>
      <c r="S332" s="78"/>
      <c r="T332" s="78"/>
      <c r="U332" s="78"/>
      <c r="V332" s="78"/>
    </row>
    <row r="333" spans="1:22" s="8" customFormat="1" ht="21" customHeight="1" x14ac:dyDescent="0.2">
      <c r="A333" s="105" t="s">
        <v>426</v>
      </c>
      <c r="B333" s="105" t="s">
        <v>418</v>
      </c>
      <c r="C333" s="51" t="s">
        <v>7</v>
      </c>
      <c r="D333" s="1">
        <f>SUM(D334:D337)</f>
        <v>1200000</v>
      </c>
      <c r="E333" s="1">
        <f t="shared" ref="E333:J333" si="129">SUM(E334:E337)</f>
        <v>0</v>
      </c>
      <c r="F333" s="1">
        <f t="shared" si="129"/>
        <v>0</v>
      </c>
      <c r="G333" s="1">
        <f t="shared" si="129"/>
        <v>0</v>
      </c>
      <c r="H333" s="1">
        <f t="shared" si="129"/>
        <v>0</v>
      </c>
      <c r="I333" s="1">
        <f t="shared" si="129"/>
        <v>0</v>
      </c>
      <c r="J333" s="1">
        <f t="shared" si="129"/>
        <v>0</v>
      </c>
      <c r="K333" s="1">
        <f>SUM(K334:K337)</f>
        <v>0</v>
      </c>
      <c r="L333" s="1">
        <f t="shared" ref="L333:O333" si="130">SUM(L334:L337)</f>
        <v>360000</v>
      </c>
      <c r="M333" s="1">
        <f t="shared" si="130"/>
        <v>840000</v>
      </c>
      <c r="N333" s="1">
        <f t="shared" si="130"/>
        <v>0</v>
      </c>
      <c r="O333" s="1">
        <f t="shared" si="130"/>
        <v>0</v>
      </c>
      <c r="P333" s="78"/>
      <c r="Q333" s="78"/>
      <c r="R333" s="78"/>
      <c r="S333" s="78"/>
      <c r="T333" s="78"/>
      <c r="U333" s="78"/>
      <c r="V333" s="78"/>
    </row>
    <row r="334" spans="1:22" s="8" customFormat="1" ht="21" customHeight="1" x14ac:dyDescent="0.2">
      <c r="A334" s="106"/>
      <c r="B334" s="106"/>
      <c r="C334" s="60" t="s">
        <v>10</v>
      </c>
      <c r="D334" s="1">
        <f>SUM(E334:O334)</f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0</v>
      </c>
      <c r="O334" s="1">
        <v>0</v>
      </c>
      <c r="P334" s="78"/>
      <c r="Q334" s="78"/>
      <c r="R334" s="78"/>
      <c r="S334" s="78"/>
      <c r="T334" s="78"/>
      <c r="U334" s="78"/>
      <c r="V334" s="78"/>
    </row>
    <row r="335" spans="1:22" s="8" customFormat="1" ht="21" customHeight="1" x14ac:dyDescent="0.2">
      <c r="A335" s="106"/>
      <c r="B335" s="106"/>
      <c r="C335" s="60" t="s">
        <v>11</v>
      </c>
      <c r="D335" s="1">
        <f t="shared" ref="D335:D337" si="131">SUM(E335:O335)</f>
        <v>1188000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356400</v>
      </c>
      <c r="M335" s="1">
        <v>831600</v>
      </c>
      <c r="N335" s="1">
        <v>0</v>
      </c>
      <c r="O335" s="1">
        <v>0</v>
      </c>
      <c r="P335" s="78"/>
      <c r="Q335" s="78"/>
      <c r="R335" s="78"/>
      <c r="S335" s="78"/>
      <c r="T335" s="78"/>
      <c r="U335" s="78"/>
      <c r="V335" s="78"/>
    </row>
    <row r="336" spans="1:22" s="8" customFormat="1" ht="21" customHeight="1" x14ac:dyDescent="0.2">
      <c r="A336" s="106"/>
      <c r="B336" s="106"/>
      <c r="C336" s="60" t="s">
        <v>12</v>
      </c>
      <c r="D336" s="1">
        <f t="shared" si="131"/>
        <v>12000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3600</v>
      </c>
      <c r="M336" s="1">
        <v>8400</v>
      </c>
      <c r="N336" s="1">
        <v>0</v>
      </c>
      <c r="O336" s="1">
        <v>0</v>
      </c>
      <c r="P336" s="78"/>
      <c r="Q336" s="78"/>
      <c r="R336" s="78"/>
      <c r="S336" s="78"/>
      <c r="T336" s="78"/>
      <c r="U336" s="78"/>
      <c r="V336" s="78"/>
    </row>
    <row r="337" spans="1:22" s="8" customFormat="1" ht="30.75" customHeight="1" x14ac:dyDescent="0.2">
      <c r="A337" s="107"/>
      <c r="B337" s="107"/>
      <c r="C337" s="60" t="s">
        <v>13</v>
      </c>
      <c r="D337" s="1">
        <f t="shared" si="131"/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8"/>
      <c r="Q337" s="78"/>
      <c r="R337" s="78"/>
      <c r="S337" s="78"/>
      <c r="T337" s="78"/>
      <c r="U337" s="78"/>
      <c r="V337" s="78"/>
    </row>
    <row r="338" spans="1:22" s="8" customFormat="1" ht="21" customHeight="1" x14ac:dyDescent="0.2">
      <c r="A338" s="105" t="s">
        <v>427</v>
      </c>
      <c r="B338" s="105" t="s">
        <v>415</v>
      </c>
      <c r="C338" s="51" t="s">
        <v>7</v>
      </c>
      <c r="D338" s="1">
        <f>SUM(D339:D342)</f>
        <v>69013.200000000012</v>
      </c>
      <c r="E338" s="1">
        <f t="shared" ref="E338:J338" si="132">SUM(E339:E342)</f>
        <v>0</v>
      </c>
      <c r="F338" s="1">
        <f t="shared" si="132"/>
        <v>0</v>
      </c>
      <c r="G338" s="1">
        <f t="shared" si="132"/>
        <v>0</v>
      </c>
      <c r="H338" s="1">
        <f t="shared" si="132"/>
        <v>0</v>
      </c>
      <c r="I338" s="1">
        <f t="shared" si="132"/>
        <v>0</v>
      </c>
      <c r="J338" s="1">
        <f t="shared" si="132"/>
        <v>0</v>
      </c>
      <c r="K338" s="1">
        <f>SUM(K339:K342)</f>
        <v>0</v>
      </c>
      <c r="L338" s="1">
        <f t="shared" ref="L338:O338" si="133">SUM(L339:L342)</f>
        <v>69013.200000000012</v>
      </c>
      <c r="M338" s="1">
        <f t="shared" si="133"/>
        <v>0</v>
      </c>
      <c r="N338" s="1">
        <f t="shared" si="133"/>
        <v>0</v>
      </c>
      <c r="O338" s="1">
        <f t="shared" si="133"/>
        <v>0</v>
      </c>
      <c r="P338" s="78"/>
      <c r="Q338" s="78"/>
      <c r="R338" s="78"/>
      <c r="S338" s="78"/>
      <c r="T338" s="78"/>
      <c r="U338" s="78"/>
      <c r="V338" s="78"/>
    </row>
    <row r="339" spans="1:22" s="8" customFormat="1" ht="21" customHeight="1" x14ac:dyDescent="0.2">
      <c r="A339" s="106"/>
      <c r="B339" s="106"/>
      <c r="C339" s="60" t="s">
        <v>10</v>
      </c>
      <c r="D339" s="1">
        <f>SUM(E339:O339)</f>
        <v>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78"/>
      <c r="Q339" s="78"/>
      <c r="R339" s="78"/>
      <c r="S339" s="78"/>
      <c r="T339" s="78"/>
      <c r="U339" s="78"/>
      <c r="V339" s="78"/>
    </row>
    <row r="340" spans="1:22" s="8" customFormat="1" ht="21" customHeight="1" x14ac:dyDescent="0.2">
      <c r="A340" s="106"/>
      <c r="B340" s="106"/>
      <c r="C340" s="60" t="s">
        <v>11</v>
      </c>
      <c r="D340" s="1">
        <f t="shared" ref="D340:D342" si="134">SUM(E340:O340)</f>
        <v>68323.100000000006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f>68322.8 - 1.7+2</f>
        <v>68323.100000000006</v>
      </c>
      <c r="M340" s="1">
        <v>0</v>
      </c>
      <c r="N340" s="1">
        <v>0</v>
      </c>
      <c r="O340" s="1">
        <v>0</v>
      </c>
      <c r="P340" s="78"/>
      <c r="Q340" s="78"/>
      <c r="R340" s="78"/>
      <c r="S340" s="78"/>
      <c r="T340" s="78"/>
      <c r="U340" s="78"/>
      <c r="V340" s="78"/>
    </row>
    <row r="341" spans="1:22" s="8" customFormat="1" ht="21" customHeight="1" x14ac:dyDescent="0.2">
      <c r="A341" s="106"/>
      <c r="B341" s="106"/>
      <c r="C341" s="60" t="s">
        <v>12</v>
      </c>
      <c r="D341" s="1">
        <f t="shared" si="134"/>
        <v>690.1</v>
      </c>
      <c r="E341" s="1"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690.1</v>
      </c>
      <c r="M341" s="1">
        <v>0</v>
      </c>
      <c r="N341" s="1">
        <v>0</v>
      </c>
      <c r="O341" s="1">
        <v>0</v>
      </c>
      <c r="P341" s="78"/>
      <c r="Q341" s="78"/>
      <c r="R341" s="78"/>
      <c r="S341" s="78"/>
      <c r="T341" s="78"/>
      <c r="U341" s="78"/>
      <c r="V341" s="78"/>
    </row>
    <row r="342" spans="1:22" s="8" customFormat="1" ht="36" customHeight="1" x14ac:dyDescent="0.2">
      <c r="A342" s="107"/>
      <c r="B342" s="107"/>
      <c r="C342" s="60" t="s">
        <v>13</v>
      </c>
      <c r="D342" s="1">
        <f t="shared" si="134"/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8"/>
      <c r="Q342" s="78"/>
      <c r="R342" s="78"/>
      <c r="S342" s="78"/>
      <c r="T342" s="78"/>
      <c r="U342" s="78"/>
      <c r="V342" s="78"/>
    </row>
    <row r="343" spans="1:22" s="8" customFormat="1" ht="18.75" customHeight="1" x14ac:dyDescent="0.2">
      <c r="A343" s="105" t="s">
        <v>382</v>
      </c>
      <c r="B343" s="105" t="s">
        <v>410</v>
      </c>
      <c r="C343" s="51" t="s">
        <v>7</v>
      </c>
      <c r="D343" s="1">
        <f>SUM(D344:D347)</f>
        <v>520608</v>
      </c>
      <c r="E343" s="1">
        <f t="shared" ref="E343:J343" si="135">SUM(E344:E347)</f>
        <v>0</v>
      </c>
      <c r="F343" s="1">
        <f t="shared" si="135"/>
        <v>0</v>
      </c>
      <c r="G343" s="1">
        <f t="shared" si="135"/>
        <v>0</v>
      </c>
      <c r="H343" s="1">
        <f t="shared" si="135"/>
        <v>0</v>
      </c>
      <c r="I343" s="1">
        <f t="shared" si="135"/>
        <v>0</v>
      </c>
      <c r="J343" s="1">
        <f t="shared" si="135"/>
        <v>0</v>
      </c>
      <c r="K343" s="1">
        <f>SUM(K344:K347)</f>
        <v>0</v>
      </c>
      <c r="L343" s="1">
        <f t="shared" ref="L343:N343" si="136">SUM(L344:L347)</f>
        <v>152212.40000000002</v>
      </c>
      <c r="M343" s="1">
        <f>SUM(M344:M347)</f>
        <v>114473.5</v>
      </c>
      <c r="N343" s="1">
        <f t="shared" si="136"/>
        <v>124117.20000000001</v>
      </c>
      <c r="O343" s="1">
        <f t="shared" ref="O343" si="137">SUM(O344:O347)</f>
        <v>129804.90000000001</v>
      </c>
      <c r="P343" s="78"/>
      <c r="Q343" s="78"/>
      <c r="R343" s="78"/>
      <c r="S343" s="78"/>
      <c r="T343" s="78"/>
      <c r="U343" s="78"/>
      <c r="V343" s="78"/>
    </row>
    <row r="344" spans="1:22" s="8" customFormat="1" ht="18.75" customHeight="1" x14ac:dyDescent="0.2">
      <c r="A344" s="106"/>
      <c r="B344" s="106"/>
      <c r="C344" s="60" t="s">
        <v>10</v>
      </c>
      <c r="D344" s="1">
        <f>SUM(E344:O344)</f>
        <v>0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78"/>
      <c r="Q344" s="78"/>
      <c r="R344" s="78"/>
      <c r="S344" s="78"/>
      <c r="T344" s="78"/>
      <c r="U344" s="78"/>
      <c r="V344" s="78"/>
    </row>
    <row r="345" spans="1:22" s="8" customFormat="1" ht="18.75" customHeight="1" x14ac:dyDescent="0.2">
      <c r="A345" s="106"/>
      <c r="B345" s="106"/>
      <c r="C345" s="60" t="s">
        <v>11</v>
      </c>
      <c r="D345" s="1">
        <f t="shared" ref="D345:D347" si="138">SUM(E345:O345)</f>
        <v>489371.6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f>147166.6-4086.9</f>
        <v>143079.70000000001</v>
      </c>
      <c r="M345" s="1">
        <f>108572.1-34465.5+33498.5</f>
        <v>107605.1</v>
      </c>
      <c r="N345" s="1">
        <f>114543.6-4523.5+6650.1</f>
        <v>116670.20000000001</v>
      </c>
      <c r="O345" s="1">
        <f>114543.6+7473</f>
        <v>122016.6</v>
      </c>
      <c r="P345" s="78"/>
      <c r="Q345" s="78"/>
      <c r="R345" s="78"/>
      <c r="S345" s="78"/>
      <c r="T345" s="78"/>
      <c r="U345" s="78"/>
      <c r="V345" s="78"/>
    </row>
    <row r="346" spans="1:22" s="8" customFormat="1" ht="18.75" customHeight="1" x14ac:dyDescent="0.2">
      <c r="A346" s="106"/>
      <c r="B346" s="106"/>
      <c r="C346" s="60" t="s">
        <v>12</v>
      </c>
      <c r="D346" s="1">
        <f t="shared" si="138"/>
        <v>31236.399999999998</v>
      </c>
      <c r="E346" s="1"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f>9393.6-260.9</f>
        <v>9132.7000000000007</v>
      </c>
      <c r="M346" s="1">
        <f>6656.4-1926.2-108+2246.2</f>
        <v>6868.4</v>
      </c>
      <c r="N346" s="1">
        <f>7311.3-288.7+424.4</f>
        <v>7447</v>
      </c>
      <c r="O346" s="1">
        <f>7311.3+477</f>
        <v>7788.3</v>
      </c>
      <c r="P346" s="78"/>
      <c r="Q346" s="78"/>
      <c r="R346" s="78"/>
      <c r="S346" s="78"/>
      <c r="T346" s="78"/>
      <c r="U346" s="78"/>
      <c r="V346" s="78"/>
    </row>
    <row r="347" spans="1:22" s="8" customFormat="1" ht="33.75" customHeight="1" x14ac:dyDescent="0.2">
      <c r="A347" s="107"/>
      <c r="B347" s="107"/>
      <c r="C347" s="60" t="s">
        <v>13</v>
      </c>
      <c r="D347" s="1">
        <f t="shared" si="138"/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8"/>
      <c r="Q347" s="78"/>
      <c r="R347" s="78"/>
      <c r="S347" s="78"/>
      <c r="T347" s="78"/>
      <c r="U347" s="78"/>
      <c r="V347" s="78"/>
    </row>
    <row r="348" spans="1:22" s="8" customFormat="1" ht="18.75" customHeight="1" x14ac:dyDescent="0.2">
      <c r="A348" s="105" t="s">
        <v>409</v>
      </c>
      <c r="B348" s="105" t="s">
        <v>412</v>
      </c>
      <c r="C348" s="51" t="s">
        <v>7</v>
      </c>
      <c r="D348" s="1">
        <f>SUM(D349:D352)</f>
        <v>2577072.7000000002</v>
      </c>
      <c r="E348" s="1">
        <f t="shared" ref="E348:J348" si="139">SUM(E349:E352)</f>
        <v>0</v>
      </c>
      <c r="F348" s="1">
        <f t="shared" si="139"/>
        <v>0</v>
      </c>
      <c r="G348" s="1">
        <f t="shared" si="139"/>
        <v>0</v>
      </c>
      <c r="H348" s="1">
        <f t="shared" si="139"/>
        <v>0</v>
      </c>
      <c r="I348" s="1">
        <f t="shared" si="139"/>
        <v>0</v>
      </c>
      <c r="J348" s="1">
        <f t="shared" si="139"/>
        <v>0</v>
      </c>
      <c r="K348" s="1">
        <f>SUM(K349:K352)</f>
        <v>0</v>
      </c>
      <c r="L348" s="1">
        <f t="shared" ref="L348:O348" si="140">SUM(L349:L352)</f>
        <v>808080.8</v>
      </c>
      <c r="M348" s="1">
        <f t="shared" si="140"/>
        <v>1768991.9</v>
      </c>
      <c r="N348" s="1">
        <f t="shared" si="140"/>
        <v>0</v>
      </c>
      <c r="O348" s="1">
        <f t="shared" si="140"/>
        <v>0</v>
      </c>
      <c r="P348" s="78"/>
      <c r="Q348" s="78"/>
      <c r="R348" s="78"/>
      <c r="S348" s="78"/>
      <c r="T348" s="78"/>
      <c r="U348" s="78"/>
      <c r="V348" s="78"/>
    </row>
    <row r="349" spans="1:22" s="8" customFormat="1" ht="18.75" customHeight="1" x14ac:dyDescent="0.2">
      <c r="A349" s="106"/>
      <c r="B349" s="106"/>
      <c r="C349" s="60" t="s">
        <v>10</v>
      </c>
      <c r="D349" s="1">
        <f>SUM(E349:O349)</f>
        <v>0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78"/>
      <c r="Q349" s="78"/>
      <c r="R349" s="78"/>
      <c r="S349" s="78"/>
      <c r="T349" s="78"/>
      <c r="U349" s="78"/>
      <c r="V349" s="78"/>
    </row>
    <row r="350" spans="1:22" s="8" customFormat="1" ht="18.75" customHeight="1" x14ac:dyDescent="0.2">
      <c r="A350" s="106"/>
      <c r="B350" s="106"/>
      <c r="C350" s="60" t="s">
        <v>11</v>
      </c>
      <c r="D350" s="1">
        <f t="shared" ref="D350:D352" si="141">SUM(E350:O350)</f>
        <v>2551302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800000</v>
      </c>
      <c r="M350" s="1">
        <v>1751302</v>
      </c>
      <c r="N350" s="1">
        <v>0</v>
      </c>
      <c r="O350" s="1">
        <v>0</v>
      </c>
      <c r="P350" s="78"/>
      <c r="Q350" s="78"/>
      <c r="R350" s="78"/>
      <c r="S350" s="78"/>
      <c r="T350" s="78"/>
      <c r="U350" s="78"/>
      <c r="V350" s="78"/>
    </row>
    <row r="351" spans="1:22" s="8" customFormat="1" ht="18.75" customHeight="1" x14ac:dyDescent="0.2">
      <c r="A351" s="106"/>
      <c r="B351" s="106"/>
      <c r="C351" s="60" t="s">
        <v>12</v>
      </c>
      <c r="D351" s="1">
        <f t="shared" si="141"/>
        <v>25770.7</v>
      </c>
      <c r="E351" s="1">
        <v>0</v>
      </c>
      <c r="F351" s="1">
        <v>0</v>
      </c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8080.8</v>
      </c>
      <c r="M351" s="1">
        <v>17689.900000000001</v>
      </c>
      <c r="N351" s="1">
        <v>0</v>
      </c>
      <c r="O351" s="1">
        <v>0</v>
      </c>
      <c r="P351" s="78"/>
      <c r="Q351" s="78"/>
      <c r="R351" s="78"/>
      <c r="S351" s="78"/>
      <c r="T351" s="78"/>
      <c r="U351" s="78"/>
      <c r="V351" s="78"/>
    </row>
    <row r="352" spans="1:22" s="8" customFormat="1" ht="37.5" customHeight="1" x14ac:dyDescent="0.2">
      <c r="A352" s="107"/>
      <c r="B352" s="107"/>
      <c r="C352" s="60" t="s">
        <v>13</v>
      </c>
      <c r="D352" s="1">
        <f t="shared" si="141"/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8"/>
      <c r="Q352" s="78"/>
      <c r="R352" s="78"/>
      <c r="S352" s="78"/>
      <c r="T352" s="78"/>
      <c r="U352" s="78"/>
      <c r="V352" s="78"/>
    </row>
    <row r="353" spans="1:22" s="8" customFormat="1" ht="18.75" customHeight="1" x14ac:dyDescent="0.2">
      <c r="A353" s="135" t="s">
        <v>438</v>
      </c>
      <c r="B353" s="105" t="s">
        <v>439</v>
      </c>
      <c r="C353" s="51" t="s">
        <v>7</v>
      </c>
      <c r="D353" s="1">
        <f>SUM(D354:D357)</f>
        <v>2577072.7000000002</v>
      </c>
      <c r="E353" s="1">
        <f t="shared" ref="E353:J353" si="142">SUM(E354:E357)</f>
        <v>0</v>
      </c>
      <c r="F353" s="1">
        <f t="shared" si="142"/>
        <v>0</v>
      </c>
      <c r="G353" s="1">
        <f t="shared" si="142"/>
        <v>0</v>
      </c>
      <c r="H353" s="1">
        <f t="shared" si="142"/>
        <v>0</v>
      </c>
      <c r="I353" s="1">
        <f t="shared" si="142"/>
        <v>0</v>
      </c>
      <c r="J353" s="1">
        <f t="shared" si="142"/>
        <v>0</v>
      </c>
      <c r="K353" s="1">
        <f>SUM(K354:K357)</f>
        <v>0</v>
      </c>
      <c r="L353" s="1">
        <f t="shared" ref="L353:O353" si="143">SUM(L354:L357)</f>
        <v>808080.8</v>
      </c>
      <c r="M353" s="1">
        <f t="shared" si="143"/>
        <v>1768991.9</v>
      </c>
      <c r="N353" s="1">
        <f t="shared" si="143"/>
        <v>0</v>
      </c>
      <c r="O353" s="1">
        <f t="shared" si="143"/>
        <v>0</v>
      </c>
      <c r="P353" s="78"/>
      <c r="Q353" s="78"/>
      <c r="R353" s="78"/>
      <c r="S353" s="78"/>
      <c r="T353" s="78"/>
      <c r="U353" s="78"/>
      <c r="V353" s="78"/>
    </row>
    <row r="354" spans="1:22" s="8" customFormat="1" ht="18.75" customHeight="1" x14ac:dyDescent="0.2">
      <c r="A354" s="136"/>
      <c r="B354" s="106"/>
      <c r="C354" s="60" t="s">
        <v>10</v>
      </c>
      <c r="D354" s="1">
        <f>SUM(E354:O354)</f>
        <v>0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0</v>
      </c>
      <c r="M354" s="1">
        <v>0</v>
      </c>
      <c r="N354" s="1">
        <v>0</v>
      </c>
      <c r="O354" s="1">
        <v>0</v>
      </c>
      <c r="P354" s="78"/>
      <c r="Q354" s="78"/>
      <c r="R354" s="78"/>
      <c r="S354" s="78"/>
      <c r="T354" s="78"/>
      <c r="U354" s="78"/>
      <c r="V354" s="78"/>
    </row>
    <row r="355" spans="1:22" s="8" customFormat="1" ht="18.75" customHeight="1" x14ac:dyDescent="0.2">
      <c r="A355" s="136"/>
      <c r="B355" s="106"/>
      <c r="C355" s="60" t="s">
        <v>11</v>
      </c>
      <c r="D355" s="1">
        <f t="shared" ref="D355:D357" si="144">SUM(E355:O355)</f>
        <v>2551302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800000</v>
      </c>
      <c r="M355" s="1">
        <v>1751302</v>
      </c>
      <c r="N355" s="1">
        <v>0</v>
      </c>
      <c r="O355" s="1">
        <v>0</v>
      </c>
      <c r="P355" s="78"/>
      <c r="Q355" s="78"/>
      <c r="R355" s="78"/>
      <c r="S355" s="78"/>
      <c r="T355" s="78"/>
      <c r="U355" s="78"/>
      <c r="V355" s="78"/>
    </row>
    <row r="356" spans="1:22" s="8" customFormat="1" ht="18.75" customHeight="1" x14ac:dyDescent="0.2">
      <c r="A356" s="136"/>
      <c r="B356" s="106"/>
      <c r="C356" s="60" t="s">
        <v>12</v>
      </c>
      <c r="D356" s="1">
        <f t="shared" si="144"/>
        <v>25770.7</v>
      </c>
      <c r="E356" s="1"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8080.8</v>
      </c>
      <c r="M356" s="1">
        <v>17689.900000000001</v>
      </c>
      <c r="N356" s="1">
        <v>0</v>
      </c>
      <c r="O356" s="1">
        <v>0</v>
      </c>
      <c r="P356" s="78"/>
      <c r="Q356" s="78"/>
      <c r="R356" s="78"/>
      <c r="S356" s="78"/>
      <c r="T356" s="78"/>
      <c r="U356" s="78"/>
      <c r="V356" s="78"/>
    </row>
    <row r="357" spans="1:22" s="8" customFormat="1" ht="33.75" customHeight="1" x14ac:dyDescent="0.2">
      <c r="A357" s="137"/>
      <c r="B357" s="107"/>
      <c r="C357" s="60" t="s">
        <v>13</v>
      </c>
      <c r="D357" s="1">
        <f t="shared" si="144"/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8"/>
      <c r="Q357" s="78"/>
      <c r="R357" s="78"/>
      <c r="S357" s="78"/>
      <c r="T357" s="78"/>
      <c r="U357" s="78"/>
      <c r="V357" s="78"/>
    </row>
    <row r="358" spans="1:22" s="8" customFormat="1" ht="18.75" customHeight="1" x14ac:dyDescent="0.2">
      <c r="A358" s="105" t="s">
        <v>411</v>
      </c>
      <c r="B358" s="105" t="s">
        <v>423</v>
      </c>
      <c r="C358" s="51" t="s">
        <v>7</v>
      </c>
      <c r="D358" s="1">
        <f>SUM(D359:D362)</f>
        <v>258.29999999999995</v>
      </c>
      <c r="E358" s="1">
        <f t="shared" ref="E358:J358" si="145">SUM(E359:E362)</f>
        <v>0</v>
      </c>
      <c r="F358" s="1">
        <f t="shared" si="145"/>
        <v>0</v>
      </c>
      <c r="G358" s="1">
        <f t="shared" si="145"/>
        <v>0</v>
      </c>
      <c r="H358" s="1">
        <f t="shared" si="145"/>
        <v>0</v>
      </c>
      <c r="I358" s="1">
        <f t="shared" si="145"/>
        <v>0</v>
      </c>
      <c r="J358" s="1">
        <f t="shared" si="145"/>
        <v>0</v>
      </c>
      <c r="K358" s="1">
        <f>SUM(K359:K362)</f>
        <v>0</v>
      </c>
      <c r="L358" s="1">
        <f t="shared" ref="L358:O358" si="146">SUM(L359:L362)</f>
        <v>258.29999999999995</v>
      </c>
      <c r="M358" s="1">
        <f t="shared" si="146"/>
        <v>0</v>
      </c>
      <c r="N358" s="1">
        <f t="shared" si="146"/>
        <v>0</v>
      </c>
      <c r="O358" s="1">
        <f t="shared" si="146"/>
        <v>0</v>
      </c>
      <c r="P358" s="78"/>
      <c r="Q358" s="78"/>
      <c r="R358" s="78"/>
      <c r="S358" s="78"/>
      <c r="T358" s="78"/>
      <c r="U358" s="78"/>
      <c r="V358" s="78"/>
    </row>
    <row r="359" spans="1:22" s="8" customFormat="1" ht="18.75" customHeight="1" x14ac:dyDescent="0.2">
      <c r="A359" s="106"/>
      <c r="B359" s="106"/>
      <c r="C359" s="60" t="s">
        <v>10</v>
      </c>
      <c r="D359" s="1">
        <f>SUM(E359:O359)</f>
        <v>0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78"/>
      <c r="Q359" s="78"/>
      <c r="R359" s="78"/>
      <c r="S359" s="78"/>
      <c r="T359" s="78"/>
      <c r="U359" s="78"/>
      <c r="V359" s="78"/>
    </row>
    <row r="360" spans="1:22" s="8" customFormat="1" ht="18.75" customHeight="1" x14ac:dyDescent="0.2">
      <c r="A360" s="106"/>
      <c r="B360" s="106"/>
      <c r="C360" s="60" t="s">
        <v>11</v>
      </c>
      <c r="D360" s="1">
        <f t="shared" ref="D360:D362" si="147">SUM(E360:O360)</f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8"/>
      <c r="Q360" s="78"/>
      <c r="R360" s="78"/>
      <c r="S360" s="78"/>
      <c r="T360" s="78"/>
      <c r="U360" s="78"/>
      <c r="V360" s="78"/>
    </row>
    <row r="361" spans="1:22" s="8" customFormat="1" ht="18.75" customHeight="1" x14ac:dyDescent="0.2">
      <c r="A361" s="106"/>
      <c r="B361" s="106"/>
      <c r="C361" s="60" t="s">
        <v>12</v>
      </c>
      <c r="D361" s="1">
        <f t="shared" si="147"/>
        <v>258.29999999999995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f>2.5+198.3+1493.4-1493.4+57.4+0.1</f>
        <v>258.29999999999995</v>
      </c>
      <c r="M361" s="1">
        <v>0</v>
      </c>
      <c r="N361" s="1">
        <v>0</v>
      </c>
      <c r="O361" s="1">
        <v>0</v>
      </c>
      <c r="P361" s="78"/>
      <c r="Q361" s="78"/>
      <c r="R361" s="78"/>
      <c r="S361" s="78"/>
      <c r="T361" s="78"/>
      <c r="U361" s="78"/>
      <c r="V361" s="78"/>
    </row>
    <row r="362" spans="1:22" s="8" customFormat="1" ht="39" customHeight="1" x14ac:dyDescent="0.2">
      <c r="A362" s="107"/>
      <c r="B362" s="107"/>
      <c r="C362" s="60" t="s">
        <v>13</v>
      </c>
      <c r="D362" s="1">
        <f t="shared" si="147"/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8"/>
      <c r="Q362" s="78"/>
      <c r="R362" s="78"/>
      <c r="S362" s="78"/>
      <c r="T362" s="78"/>
      <c r="U362" s="78"/>
      <c r="V362" s="78"/>
    </row>
    <row r="363" spans="1:22" s="8" customFormat="1" ht="18.75" customHeight="1" x14ac:dyDescent="0.2">
      <c r="A363" s="105" t="s">
        <v>428</v>
      </c>
      <c r="B363" s="105" t="s">
        <v>431</v>
      </c>
      <c r="C363" s="51" t="s">
        <v>7</v>
      </c>
      <c r="D363" s="1">
        <f>SUM(D364:D367)</f>
        <v>4394382.7</v>
      </c>
      <c r="E363" s="1">
        <f t="shared" ref="E363:J363" si="148">SUM(E364:E367)</f>
        <v>0</v>
      </c>
      <c r="F363" s="1">
        <f t="shared" si="148"/>
        <v>0</v>
      </c>
      <c r="G363" s="1">
        <f t="shared" si="148"/>
        <v>0</v>
      </c>
      <c r="H363" s="1">
        <f t="shared" si="148"/>
        <v>0</v>
      </c>
      <c r="I363" s="1">
        <f t="shared" si="148"/>
        <v>0</v>
      </c>
      <c r="J363" s="1">
        <f t="shared" si="148"/>
        <v>0</v>
      </c>
      <c r="K363" s="1">
        <f>SUM(K364:K367)</f>
        <v>0</v>
      </c>
      <c r="L363" s="1">
        <f t="shared" ref="L363:O363" si="149">SUM(L364:L367)</f>
        <v>1044585.9</v>
      </c>
      <c r="M363" s="1">
        <f t="shared" si="149"/>
        <v>804898.4</v>
      </c>
      <c r="N363" s="1">
        <f t="shared" si="149"/>
        <v>2544898.4</v>
      </c>
      <c r="O363" s="1">
        <f t="shared" si="149"/>
        <v>0</v>
      </c>
      <c r="P363" s="78"/>
      <c r="Q363" s="78"/>
      <c r="R363" s="78"/>
      <c r="S363" s="78"/>
      <c r="T363" s="78"/>
      <c r="U363" s="78"/>
      <c r="V363" s="78"/>
    </row>
    <row r="364" spans="1:22" s="8" customFormat="1" ht="18.75" customHeight="1" x14ac:dyDescent="0.2">
      <c r="A364" s="106"/>
      <c r="B364" s="106"/>
      <c r="C364" s="60" t="s">
        <v>10</v>
      </c>
      <c r="D364" s="1">
        <f>SUM(E364:O364)</f>
        <v>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L369+L374</f>
        <v>0</v>
      </c>
      <c r="M364" s="1">
        <f t="shared" ref="M364:O364" si="150">M369+M374</f>
        <v>0</v>
      </c>
      <c r="N364" s="1">
        <f t="shared" si="150"/>
        <v>0</v>
      </c>
      <c r="O364" s="1">
        <f t="shared" si="150"/>
        <v>0</v>
      </c>
      <c r="P364" s="78"/>
      <c r="Q364" s="78"/>
      <c r="R364" s="78"/>
      <c r="S364" s="78"/>
      <c r="T364" s="78"/>
      <c r="U364" s="78"/>
      <c r="V364" s="78"/>
    </row>
    <row r="365" spans="1:22" s="8" customFormat="1" ht="18.75" customHeight="1" x14ac:dyDescent="0.2">
      <c r="A365" s="106"/>
      <c r="B365" s="106"/>
      <c r="C365" s="60" t="s">
        <v>11</v>
      </c>
      <c r="D365" s="1">
        <f t="shared" ref="D365:D367" si="151">SUM(E365:O365)</f>
        <v>4350438.8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f>L370+L375</f>
        <v>1034140</v>
      </c>
      <c r="M365" s="1">
        <f t="shared" ref="M365:O365" si="152">M370+M375</f>
        <v>796849.4</v>
      </c>
      <c r="N365" s="1">
        <f t="shared" si="152"/>
        <v>2519449.4</v>
      </c>
      <c r="O365" s="1">
        <f t="shared" si="152"/>
        <v>0</v>
      </c>
      <c r="P365" s="78"/>
      <c r="Q365" s="78"/>
      <c r="R365" s="78"/>
      <c r="S365" s="78"/>
      <c r="T365" s="78"/>
      <c r="U365" s="78"/>
      <c r="V365" s="78"/>
    </row>
    <row r="366" spans="1:22" s="8" customFormat="1" ht="18.75" customHeight="1" x14ac:dyDescent="0.2">
      <c r="A366" s="106"/>
      <c r="B366" s="106"/>
      <c r="C366" s="60" t="s">
        <v>12</v>
      </c>
      <c r="D366" s="1">
        <f t="shared" si="151"/>
        <v>43943.9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f>L376+L371</f>
        <v>10445.9</v>
      </c>
      <c r="M366" s="1">
        <f t="shared" ref="M366:V366" si="153">M376+M371</f>
        <v>8049</v>
      </c>
      <c r="N366" s="1">
        <f t="shared" si="153"/>
        <v>25449</v>
      </c>
      <c r="O366" s="1">
        <f t="shared" si="153"/>
        <v>0</v>
      </c>
      <c r="P366" s="1">
        <f t="shared" si="153"/>
        <v>0</v>
      </c>
      <c r="Q366" s="1">
        <f t="shared" si="153"/>
        <v>0</v>
      </c>
      <c r="R366" s="1">
        <f t="shared" si="153"/>
        <v>0</v>
      </c>
      <c r="S366" s="1">
        <f t="shared" si="153"/>
        <v>0</v>
      </c>
      <c r="T366" s="1">
        <f t="shared" si="153"/>
        <v>0</v>
      </c>
      <c r="U366" s="1">
        <f t="shared" si="153"/>
        <v>0</v>
      </c>
      <c r="V366" s="1">
        <f t="shared" si="153"/>
        <v>0</v>
      </c>
    </row>
    <row r="367" spans="1:22" s="8" customFormat="1" ht="38.25" customHeight="1" x14ac:dyDescent="0.2">
      <c r="A367" s="107"/>
      <c r="B367" s="107"/>
      <c r="C367" s="60" t="s">
        <v>13</v>
      </c>
      <c r="D367" s="1">
        <f t="shared" si="151"/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f>L372+L377</f>
        <v>0</v>
      </c>
      <c r="M367" s="1">
        <f t="shared" ref="M367:O367" si="154">M372+M377</f>
        <v>0</v>
      </c>
      <c r="N367" s="1">
        <f t="shared" si="154"/>
        <v>0</v>
      </c>
      <c r="O367" s="1">
        <f t="shared" si="154"/>
        <v>0</v>
      </c>
      <c r="P367" s="78"/>
      <c r="Q367" s="78"/>
      <c r="R367" s="78"/>
      <c r="S367" s="78"/>
      <c r="T367" s="78"/>
      <c r="U367" s="78"/>
      <c r="V367" s="78"/>
    </row>
    <row r="368" spans="1:22" s="8" customFormat="1" ht="18.75" customHeight="1" x14ac:dyDescent="0.2">
      <c r="A368" s="105" t="s">
        <v>429</v>
      </c>
      <c r="B368" s="105" t="s">
        <v>414</v>
      </c>
      <c r="C368" s="51" t="s">
        <v>7</v>
      </c>
      <c r="D368" s="1">
        <f>SUM(D369:D372)</f>
        <v>3140000</v>
      </c>
      <c r="E368" s="1">
        <f t="shared" ref="E368:J368" si="155">SUM(E369:E372)</f>
        <v>0</v>
      </c>
      <c r="F368" s="1">
        <f t="shared" si="155"/>
        <v>0</v>
      </c>
      <c r="G368" s="1">
        <f t="shared" si="155"/>
        <v>0</v>
      </c>
      <c r="H368" s="1">
        <f t="shared" si="155"/>
        <v>0</v>
      </c>
      <c r="I368" s="1">
        <f t="shared" si="155"/>
        <v>0</v>
      </c>
      <c r="J368" s="1">
        <f t="shared" si="155"/>
        <v>0</v>
      </c>
      <c r="K368" s="1">
        <f>SUM(K369:K372)</f>
        <v>0</v>
      </c>
      <c r="L368" s="1">
        <f t="shared" ref="L368:O368" si="156">SUM(L369:L372)</f>
        <v>1000000</v>
      </c>
      <c r="M368" s="1">
        <f t="shared" si="156"/>
        <v>200000</v>
      </c>
      <c r="N368" s="1">
        <f t="shared" si="156"/>
        <v>1940000</v>
      </c>
      <c r="O368" s="1">
        <f t="shared" si="156"/>
        <v>0</v>
      </c>
      <c r="P368" s="78"/>
      <c r="Q368" s="78"/>
      <c r="R368" s="78"/>
      <c r="S368" s="78"/>
      <c r="T368" s="78"/>
      <c r="U368" s="78"/>
      <c r="V368" s="78"/>
    </row>
    <row r="369" spans="1:22" s="8" customFormat="1" ht="18.75" customHeight="1" x14ac:dyDescent="0.2">
      <c r="A369" s="106"/>
      <c r="B369" s="106"/>
      <c r="C369" s="60" t="s">
        <v>10</v>
      </c>
      <c r="D369" s="1">
        <f>SUM(E369:O369)</f>
        <v>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78"/>
      <c r="Q369" s="78"/>
      <c r="R369" s="78"/>
      <c r="S369" s="78"/>
      <c r="T369" s="78"/>
      <c r="U369" s="78"/>
      <c r="V369" s="78"/>
    </row>
    <row r="370" spans="1:22" s="8" customFormat="1" ht="18.75" customHeight="1" x14ac:dyDescent="0.2">
      <c r="A370" s="106"/>
      <c r="B370" s="106"/>
      <c r="C370" s="60" t="s">
        <v>11</v>
      </c>
      <c r="D370" s="1">
        <f t="shared" ref="D370:D372" si="157">SUM(E370:O370)</f>
        <v>3108600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v>990000</v>
      </c>
      <c r="M370" s="1">
        <v>198000</v>
      </c>
      <c r="N370" s="1">
        <v>1920600</v>
      </c>
      <c r="O370" s="1">
        <v>0</v>
      </c>
      <c r="P370" s="78"/>
      <c r="Q370" s="78"/>
      <c r="R370" s="78"/>
      <c r="S370" s="78"/>
      <c r="T370" s="78"/>
      <c r="U370" s="78"/>
      <c r="V370" s="78"/>
    </row>
    <row r="371" spans="1:22" s="8" customFormat="1" ht="18.75" customHeight="1" x14ac:dyDescent="0.2">
      <c r="A371" s="106"/>
      <c r="B371" s="106"/>
      <c r="C371" s="60" t="s">
        <v>12</v>
      </c>
      <c r="D371" s="1">
        <f t="shared" si="157"/>
        <v>31400</v>
      </c>
      <c r="E371" s="1">
        <v>0</v>
      </c>
      <c r="F371" s="1">
        <v>0</v>
      </c>
      <c r="G371" s="1">
        <v>0</v>
      </c>
      <c r="H371" s="1">
        <v>0</v>
      </c>
      <c r="I371" s="1">
        <v>0</v>
      </c>
      <c r="J371" s="1">
        <v>0</v>
      </c>
      <c r="K371" s="1">
        <v>0</v>
      </c>
      <c r="L371" s="1">
        <v>10000</v>
      </c>
      <c r="M371" s="1">
        <v>2000</v>
      </c>
      <c r="N371" s="1">
        <v>19400</v>
      </c>
      <c r="O371" s="1">
        <v>0</v>
      </c>
      <c r="P371" s="78"/>
      <c r="Q371" s="78"/>
      <c r="R371" s="78"/>
      <c r="S371" s="78"/>
      <c r="T371" s="78"/>
      <c r="U371" s="78"/>
      <c r="V371" s="78"/>
    </row>
    <row r="372" spans="1:22" s="8" customFormat="1" ht="35.25" customHeight="1" x14ac:dyDescent="0.2">
      <c r="A372" s="107"/>
      <c r="B372" s="107"/>
      <c r="C372" s="60" t="s">
        <v>13</v>
      </c>
      <c r="D372" s="1">
        <f t="shared" si="157"/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8"/>
      <c r="Q372" s="78"/>
      <c r="R372" s="78"/>
      <c r="S372" s="78"/>
      <c r="T372" s="78"/>
      <c r="U372" s="78"/>
      <c r="V372" s="78"/>
    </row>
    <row r="373" spans="1:22" s="8" customFormat="1" ht="18.75" customHeight="1" x14ac:dyDescent="0.2">
      <c r="A373" s="105" t="s">
        <v>430</v>
      </c>
      <c r="B373" s="105" t="s">
        <v>420</v>
      </c>
      <c r="C373" s="51" t="s">
        <v>7</v>
      </c>
      <c r="D373" s="1">
        <f>SUM(D374:D377)</f>
        <v>1254382.7</v>
      </c>
      <c r="E373" s="1">
        <f t="shared" ref="E373:J373" si="158">SUM(E374:E377)</f>
        <v>0</v>
      </c>
      <c r="F373" s="1">
        <f t="shared" si="158"/>
        <v>0</v>
      </c>
      <c r="G373" s="1">
        <f t="shared" si="158"/>
        <v>0</v>
      </c>
      <c r="H373" s="1">
        <f t="shared" si="158"/>
        <v>0</v>
      </c>
      <c r="I373" s="1">
        <f t="shared" si="158"/>
        <v>0</v>
      </c>
      <c r="J373" s="1">
        <f t="shared" si="158"/>
        <v>0</v>
      </c>
      <c r="K373" s="1">
        <f>SUM(K374:K377)</f>
        <v>0</v>
      </c>
      <c r="L373" s="1">
        <f t="shared" ref="L373:O373" si="159">SUM(L374:L377)</f>
        <v>44585.9</v>
      </c>
      <c r="M373" s="1">
        <f t="shared" si="159"/>
        <v>604898.4</v>
      </c>
      <c r="N373" s="1">
        <f t="shared" si="159"/>
        <v>604898.4</v>
      </c>
      <c r="O373" s="1">
        <f t="shared" si="159"/>
        <v>0</v>
      </c>
      <c r="P373" s="78"/>
      <c r="Q373" s="78"/>
      <c r="R373" s="78"/>
      <c r="S373" s="78"/>
      <c r="T373" s="78"/>
      <c r="U373" s="78"/>
      <c r="V373" s="78"/>
    </row>
    <row r="374" spans="1:22" s="8" customFormat="1" ht="18.75" customHeight="1" x14ac:dyDescent="0.2">
      <c r="A374" s="106"/>
      <c r="B374" s="106"/>
      <c r="C374" s="60" t="s">
        <v>10</v>
      </c>
      <c r="D374" s="1">
        <f>SUM(E374:O374)</f>
        <v>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78"/>
      <c r="Q374" s="78"/>
      <c r="R374" s="78"/>
      <c r="S374" s="78"/>
      <c r="T374" s="78"/>
      <c r="U374" s="78"/>
      <c r="V374" s="78"/>
    </row>
    <row r="375" spans="1:22" s="8" customFormat="1" ht="18.75" customHeight="1" x14ac:dyDescent="0.2">
      <c r="A375" s="106"/>
      <c r="B375" s="106"/>
      <c r="C375" s="60" t="s">
        <v>11</v>
      </c>
      <c r="D375" s="1">
        <f t="shared" ref="D375:D377" si="160">SUM(E375:O375)</f>
        <v>1241838.8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44140</v>
      </c>
      <c r="M375" s="1">
        <v>598849.4</v>
      </c>
      <c r="N375" s="1">
        <v>598849.4</v>
      </c>
      <c r="O375" s="1">
        <v>0</v>
      </c>
      <c r="P375" s="78"/>
      <c r="Q375" s="78"/>
      <c r="R375" s="78"/>
      <c r="S375" s="78"/>
      <c r="T375" s="78"/>
      <c r="U375" s="78"/>
      <c r="V375" s="78"/>
    </row>
    <row r="376" spans="1:22" s="8" customFormat="1" ht="18.75" customHeight="1" x14ac:dyDescent="0.2">
      <c r="A376" s="106"/>
      <c r="B376" s="106"/>
      <c r="C376" s="60" t="s">
        <v>12</v>
      </c>
      <c r="D376" s="1">
        <f t="shared" si="160"/>
        <v>12543.9</v>
      </c>
      <c r="E376" s="1">
        <v>0</v>
      </c>
      <c r="F376" s="1">
        <v>0</v>
      </c>
      <c r="G376" s="1">
        <v>0</v>
      </c>
      <c r="H376" s="1">
        <v>0</v>
      </c>
      <c r="I376" s="1">
        <v>0</v>
      </c>
      <c r="J376" s="1">
        <v>0</v>
      </c>
      <c r="K376" s="1">
        <v>0</v>
      </c>
      <c r="L376" s="1">
        <f>446-0.1</f>
        <v>445.9</v>
      </c>
      <c r="M376" s="1">
        <v>6049</v>
      </c>
      <c r="N376" s="1">
        <v>6049</v>
      </c>
      <c r="O376" s="1">
        <v>0</v>
      </c>
      <c r="P376" s="78"/>
      <c r="Q376" s="78"/>
      <c r="R376" s="78"/>
      <c r="S376" s="78"/>
      <c r="T376" s="78"/>
      <c r="U376" s="78"/>
      <c r="V376" s="78"/>
    </row>
    <row r="377" spans="1:22" s="8" customFormat="1" ht="18.75" customHeight="1" x14ac:dyDescent="0.2">
      <c r="A377" s="107"/>
      <c r="B377" s="107"/>
      <c r="C377" s="60" t="s">
        <v>13</v>
      </c>
      <c r="D377" s="1">
        <f t="shared" si="160"/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8"/>
      <c r="Q377" s="78"/>
      <c r="R377" s="78"/>
      <c r="S377" s="78"/>
      <c r="T377" s="78"/>
      <c r="U377" s="78"/>
      <c r="V377" s="78"/>
    </row>
    <row r="378" spans="1:22" s="8" customFormat="1" ht="18.75" customHeight="1" x14ac:dyDescent="0.2">
      <c r="A378" s="105" t="s">
        <v>436</v>
      </c>
      <c r="B378" s="105" t="s">
        <v>437</v>
      </c>
      <c r="C378" s="51" t="s">
        <v>7</v>
      </c>
      <c r="D378" s="1">
        <f>SUM(D379:D382)</f>
        <v>18726.099999999999</v>
      </c>
      <c r="E378" s="1">
        <f t="shared" ref="E378:J378" si="161">SUM(E379:E382)</f>
        <v>0</v>
      </c>
      <c r="F378" s="1">
        <f t="shared" si="161"/>
        <v>0</v>
      </c>
      <c r="G378" s="1">
        <f t="shared" si="161"/>
        <v>0</v>
      </c>
      <c r="H378" s="1">
        <f t="shared" si="161"/>
        <v>0</v>
      </c>
      <c r="I378" s="1">
        <f t="shared" si="161"/>
        <v>0</v>
      </c>
      <c r="J378" s="1">
        <f t="shared" si="161"/>
        <v>0</v>
      </c>
      <c r="K378" s="1">
        <f>SUM(K379:K382)</f>
        <v>0</v>
      </c>
      <c r="L378" s="1">
        <f t="shared" ref="L378" si="162">SUM(L379:L382)</f>
        <v>4347.8</v>
      </c>
      <c r="M378" s="1">
        <f>SUM(M379:M382)</f>
        <v>4561.3999999999996</v>
      </c>
      <c r="N378" s="1">
        <f t="shared" ref="N378" si="163">SUM(N379:N382)</f>
        <v>4812.2</v>
      </c>
      <c r="O378" s="1">
        <f t="shared" ref="O378" si="164">SUM(O379:O382)</f>
        <v>5004.7</v>
      </c>
      <c r="P378" s="78"/>
      <c r="Q378" s="78"/>
      <c r="R378" s="78"/>
      <c r="S378" s="78"/>
      <c r="T378" s="78"/>
      <c r="U378" s="78"/>
      <c r="V378" s="78"/>
    </row>
    <row r="379" spans="1:22" s="8" customFormat="1" ht="18.75" customHeight="1" x14ac:dyDescent="0.2">
      <c r="A379" s="106"/>
      <c r="B379" s="106"/>
      <c r="C379" s="60" t="s">
        <v>10</v>
      </c>
      <c r="D379" s="1">
        <f>SUM(E379:O379)</f>
        <v>0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78"/>
      <c r="Q379" s="78"/>
      <c r="R379" s="78"/>
      <c r="S379" s="78"/>
      <c r="T379" s="78"/>
      <c r="U379" s="78"/>
      <c r="V379" s="78"/>
    </row>
    <row r="380" spans="1:22" s="8" customFormat="1" ht="18.75" customHeight="1" x14ac:dyDescent="0.2">
      <c r="A380" s="106"/>
      <c r="B380" s="106"/>
      <c r="C380" s="60" t="s">
        <v>11</v>
      </c>
      <c r="D380" s="1">
        <f t="shared" ref="D380:D382" si="165">SUM(E380:O380)</f>
        <v>17602.5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4086.9</v>
      </c>
      <c r="M380" s="1">
        <v>4287.7</v>
      </c>
      <c r="N380" s="1">
        <v>4523.5</v>
      </c>
      <c r="O380" s="1">
        <v>4704.3999999999996</v>
      </c>
      <c r="P380" s="78"/>
      <c r="Q380" s="78"/>
      <c r="R380" s="78"/>
      <c r="S380" s="78"/>
      <c r="T380" s="78"/>
      <c r="U380" s="78"/>
      <c r="V380" s="78"/>
    </row>
    <row r="381" spans="1:22" s="8" customFormat="1" ht="18.75" customHeight="1" x14ac:dyDescent="0.2">
      <c r="A381" s="106"/>
      <c r="B381" s="106"/>
      <c r="C381" s="60" t="s">
        <v>12</v>
      </c>
      <c r="D381" s="1">
        <f t="shared" si="165"/>
        <v>1123.5999999999999</v>
      </c>
      <c r="E381" s="1">
        <v>0</v>
      </c>
      <c r="F381" s="1">
        <v>0</v>
      </c>
      <c r="G381" s="1">
        <v>0</v>
      </c>
      <c r="H381" s="1">
        <v>0</v>
      </c>
      <c r="I381" s="1">
        <v>0</v>
      </c>
      <c r="J381" s="1">
        <v>0</v>
      </c>
      <c r="K381" s="1">
        <v>0</v>
      </c>
      <c r="L381" s="1">
        <v>260.89999999999998</v>
      </c>
      <c r="M381" s="1">
        <v>273.7</v>
      </c>
      <c r="N381" s="1">
        <v>288.7</v>
      </c>
      <c r="O381" s="1">
        <v>300.3</v>
      </c>
      <c r="P381" s="78"/>
      <c r="Q381" s="78"/>
      <c r="R381" s="78"/>
      <c r="S381" s="78"/>
      <c r="T381" s="78"/>
      <c r="U381" s="78"/>
      <c r="V381" s="78"/>
    </row>
    <row r="382" spans="1:22" s="8" customFormat="1" ht="39" customHeight="1" x14ac:dyDescent="0.2">
      <c r="A382" s="107"/>
      <c r="B382" s="107"/>
      <c r="C382" s="60" t="s">
        <v>13</v>
      </c>
      <c r="D382" s="1">
        <f t="shared" si="165"/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8"/>
      <c r="Q382" s="78"/>
      <c r="R382" s="78"/>
      <c r="S382" s="78"/>
      <c r="T382" s="78"/>
      <c r="U382" s="78"/>
      <c r="V382" s="78"/>
    </row>
    <row r="383" spans="1:22" s="8" customFormat="1" ht="18.75" customHeight="1" x14ac:dyDescent="0.2">
      <c r="A383" s="105" t="s">
        <v>440</v>
      </c>
      <c r="B383" s="105" t="s">
        <v>441</v>
      </c>
      <c r="C383" s="51" t="s">
        <v>7</v>
      </c>
      <c r="D383" s="1">
        <f>SUM(D384:D387)</f>
        <v>117906.80000000002</v>
      </c>
      <c r="E383" s="1">
        <f t="shared" ref="E383:J383" si="166">SUM(E384:E387)</f>
        <v>0</v>
      </c>
      <c r="F383" s="1">
        <f t="shared" si="166"/>
        <v>0</v>
      </c>
      <c r="G383" s="1">
        <f t="shared" si="166"/>
        <v>0</v>
      </c>
      <c r="H383" s="1">
        <f t="shared" si="166"/>
        <v>0</v>
      </c>
      <c r="I383" s="1">
        <f t="shared" si="166"/>
        <v>0</v>
      </c>
      <c r="J383" s="1">
        <f t="shared" si="166"/>
        <v>0</v>
      </c>
      <c r="K383" s="1">
        <f>SUM(K384:K387)</f>
        <v>0</v>
      </c>
      <c r="L383" s="1">
        <f t="shared" ref="L383" si="167">SUM(L384:L387)</f>
        <v>3885.8</v>
      </c>
      <c r="M383" s="1">
        <f>SUM(M384:M387)</f>
        <v>23202.399999999998</v>
      </c>
      <c r="N383" s="1">
        <f t="shared" ref="N383:O383" si="168">SUM(N384:N387)</f>
        <v>47418.400000000001</v>
      </c>
      <c r="O383" s="1">
        <f t="shared" si="168"/>
        <v>43400.200000000004</v>
      </c>
      <c r="P383" s="78"/>
      <c r="Q383" s="78"/>
      <c r="R383" s="78"/>
      <c r="S383" s="78"/>
      <c r="T383" s="78"/>
      <c r="U383" s="78"/>
      <c r="V383" s="78"/>
    </row>
    <row r="384" spans="1:22" s="8" customFormat="1" ht="18.75" customHeight="1" x14ac:dyDescent="0.2">
      <c r="A384" s="106"/>
      <c r="B384" s="106"/>
      <c r="C384" s="60" t="s">
        <v>10</v>
      </c>
      <c r="D384" s="1">
        <f>SUM(E384:O384)</f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78"/>
      <c r="Q384" s="78"/>
      <c r="R384" s="78"/>
      <c r="S384" s="78"/>
      <c r="T384" s="78"/>
      <c r="U384" s="78"/>
      <c r="V384" s="78"/>
    </row>
    <row r="385" spans="1:22" s="8" customFormat="1" ht="18.75" customHeight="1" x14ac:dyDescent="0.2">
      <c r="A385" s="106"/>
      <c r="B385" s="106"/>
      <c r="C385" s="60" t="s">
        <v>11</v>
      </c>
      <c r="D385" s="1">
        <f t="shared" ref="D385:D387" si="169">SUM(E385:O385)</f>
        <v>117906.80000000002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f>4013.3-127.5</f>
        <v>3885.8</v>
      </c>
      <c r="M385" s="57">
        <f>23833.1-630.7</f>
        <v>23202.399999999998</v>
      </c>
      <c r="N385" s="57">
        <f>48714.9-1296.5</f>
        <v>47418.400000000001</v>
      </c>
      <c r="O385" s="57">
        <f>44585.8-1185.6</f>
        <v>43400.200000000004</v>
      </c>
      <c r="P385" s="78"/>
      <c r="Q385" s="78"/>
      <c r="R385" s="78"/>
      <c r="S385" s="78"/>
      <c r="T385" s="78"/>
      <c r="U385" s="78"/>
      <c r="V385" s="78"/>
    </row>
    <row r="386" spans="1:22" s="8" customFormat="1" ht="18.75" customHeight="1" x14ac:dyDescent="0.2">
      <c r="A386" s="106"/>
      <c r="B386" s="106"/>
      <c r="C386" s="60" t="s">
        <v>12</v>
      </c>
      <c r="D386" s="1">
        <f t="shared" si="169"/>
        <v>0</v>
      </c>
      <c r="E386" s="1">
        <v>0</v>
      </c>
      <c r="F386" s="1">
        <v>0</v>
      </c>
      <c r="G386" s="1">
        <v>0</v>
      </c>
      <c r="H386" s="1">
        <v>0</v>
      </c>
      <c r="I386" s="1">
        <v>0</v>
      </c>
      <c r="J386" s="1">
        <v>0</v>
      </c>
      <c r="K386" s="1">
        <v>0</v>
      </c>
      <c r="L386" s="1">
        <v>0</v>
      </c>
      <c r="M386" s="1">
        <f>273.7-273.7</f>
        <v>0</v>
      </c>
      <c r="N386" s="1">
        <f>288.7-288.7</f>
        <v>0</v>
      </c>
      <c r="O386" s="1">
        <v>0</v>
      </c>
      <c r="P386" s="78"/>
      <c r="Q386" s="78"/>
      <c r="R386" s="78"/>
      <c r="S386" s="78"/>
      <c r="T386" s="78"/>
      <c r="U386" s="78"/>
      <c r="V386" s="78"/>
    </row>
    <row r="387" spans="1:22" s="8" customFormat="1" ht="30" customHeight="1" x14ac:dyDescent="0.2">
      <c r="A387" s="107"/>
      <c r="B387" s="107"/>
      <c r="C387" s="60" t="s">
        <v>13</v>
      </c>
      <c r="D387" s="1">
        <f t="shared" si="169"/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8"/>
      <c r="Q387" s="78"/>
      <c r="R387" s="78"/>
      <c r="S387" s="78"/>
      <c r="T387" s="78"/>
      <c r="U387" s="78"/>
      <c r="V387" s="78"/>
    </row>
    <row r="388" spans="1:22" s="8" customFormat="1" ht="18.75" customHeight="1" x14ac:dyDescent="0.2">
      <c r="A388" s="105" t="s">
        <v>447</v>
      </c>
      <c r="B388" s="105" t="s">
        <v>448</v>
      </c>
      <c r="C388" s="51" t="s">
        <v>7</v>
      </c>
      <c r="D388" s="1">
        <f>SUM(D389:D392)</f>
        <v>3000</v>
      </c>
      <c r="E388" s="1">
        <f t="shared" ref="E388:J388" si="170">SUM(E389:E392)</f>
        <v>0</v>
      </c>
      <c r="F388" s="1">
        <f t="shared" si="170"/>
        <v>0</v>
      </c>
      <c r="G388" s="1">
        <f t="shared" si="170"/>
        <v>0</v>
      </c>
      <c r="H388" s="1">
        <f t="shared" si="170"/>
        <v>0</v>
      </c>
      <c r="I388" s="1">
        <f t="shared" si="170"/>
        <v>0</v>
      </c>
      <c r="J388" s="1">
        <f t="shared" si="170"/>
        <v>0</v>
      </c>
      <c r="K388" s="1">
        <f>SUM(K389:K392)</f>
        <v>0</v>
      </c>
      <c r="L388" s="1">
        <f t="shared" ref="L388" si="171">SUM(L389:L392)</f>
        <v>0</v>
      </c>
      <c r="M388" s="1">
        <f>SUM(M389:M392)</f>
        <v>3000</v>
      </c>
      <c r="N388" s="1">
        <f t="shared" ref="N388:O388" si="172">SUM(N389:N392)</f>
        <v>0</v>
      </c>
      <c r="O388" s="1">
        <f t="shared" si="172"/>
        <v>0</v>
      </c>
      <c r="P388" s="78"/>
      <c r="Q388" s="78"/>
      <c r="R388" s="78"/>
      <c r="S388" s="78"/>
      <c r="T388" s="78"/>
      <c r="U388" s="78"/>
      <c r="V388" s="78"/>
    </row>
    <row r="389" spans="1:22" s="8" customFormat="1" ht="18.75" customHeight="1" x14ac:dyDescent="0.2">
      <c r="A389" s="106"/>
      <c r="B389" s="106"/>
      <c r="C389" s="60" t="s">
        <v>10</v>
      </c>
      <c r="D389" s="1">
        <f>SUM(E389:O389)</f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78"/>
      <c r="Q389" s="78"/>
      <c r="R389" s="78"/>
      <c r="S389" s="78"/>
      <c r="T389" s="78"/>
      <c r="U389" s="78"/>
      <c r="V389" s="78"/>
    </row>
    <row r="390" spans="1:22" s="8" customFormat="1" ht="18.75" customHeight="1" x14ac:dyDescent="0.2">
      <c r="A390" s="106"/>
      <c r="B390" s="106"/>
      <c r="C390" s="60" t="s">
        <v>11</v>
      </c>
      <c r="D390" s="1">
        <f t="shared" ref="D390:D392" si="173">SUM(E390:O390)</f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78"/>
      <c r="Q390" s="78"/>
      <c r="R390" s="78"/>
      <c r="S390" s="78"/>
      <c r="T390" s="78"/>
      <c r="U390" s="78"/>
      <c r="V390" s="78"/>
    </row>
    <row r="391" spans="1:22" s="8" customFormat="1" ht="18.75" customHeight="1" x14ac:dyDescent="0.2">
      <c r="A391" s="106"/>
      <c r="B391" s="106"/>
      <c r="C391" s="60" t="s">
        <v>12</v>
      </c>
      <c r="D391" s="1">
        <f t="shared" si="173"/>
        <v>3000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3000</v>
      </c>
      <c r="N391" s="1">
        <f>288.7-288.7</f>
        <v>0</v>
      </c>
      <c r="O391" s="1">
        <v>0</v>
      </c>
      <c r="P391" s="78"/>
      <c r="Q391" s="78"/>
      <c r="R391" s="78"/>
      <c r="S391" s="78"/>
      <c r="T391" s="78"/>
      <c r="U391" s="78"/>
      <c r="V391" s="78"/>
    </row>
    <row r="392" spans="1:22" s="8" customFormat="1" ht="18.75" customHeight="1" x14ac:dyDescent="0.2">
      <c r="A392" s="107"/>
      <c r="B392" s="107"/>
      <c r="C392" s="60" t="s">
        <v>13</v>
      </c>
      <c r="D392" s="1">
        <f t="shared" si="173"/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8"/>
      <c r="Q392" s="78"/>
      <c r="R392" s="78"/>
      <c r="S392" s="78"/>
      <c r="T392" s="78"/>
      <c r="U392" s="78"/>
      <c r="V392" s="78"/>
    </row>
    <row r="393" spans="1:22" ht="15.75" x14ac:dyDescent="0.2">
      <c r="A393" s="116" t="s">
        <v>145</v>
      </c>
      <c r="B393" s="111" t="s">
        <v>446</v>
      </c>
      <c r="C393" s="51" t="s">
        <v>7</v>
      </c>
      <c r="D393" s="1">
        <f>D394+D395+D396+D397</f>
        <v>222707</v>
      </c>
      <c r="E393" s="1">
        <f>E394+E395+E396+E397</f>
        <v>24704.6</v>
      </c>
      <c r="F393" s="1">
        <f t="shared" ref="F393:O393" si="174">F394+F395+F396+F397</f>
        <v>23418.400000000001</v>
      </c>
      <c r="G393" s="1">
        <f t="shared" si="174"/>
        <v>28089.699999999997</v>
      </c>
      <c r="H393" s="1">
        <f t="shared" si="174"/>
        <v>23411.7</v>
      </c>
      <c r="I393" s="1">
        <f t="shared" si="174"/>
        <v>24700.5</v>
      </c>
      <c r="J393" s="1">
        <f t="shared" si="174"/>
        <v>23045.699999999997</v>
      </c>
      <c r="K393" s="1">
        <f t="shared" si="174"/>
        <v>23013.5</v>
      </c>
      <c r="L393" s="1">
        <f t="shared" si="174"/>
        <v>17844</v>
      </c>
      <c r="M393" s="1">
        <f t="shared" si="174"/>
        <v>10870</v>
      </c>
      <c r="N393" s="1">
        <f t="shared" si="174"/>
        <v>12043.5</v>
      </c>
      <c r="O393" s="1">
        <f t="shared" si="174"/>
        <v>11565.4</v>
      </c>
    </row>
    <row r="394" spans="1:22" ht="16.5" customHeight="1" x14ac:dyDescent="0.2">
      <c r="A394" s="116"/>
      <c r="B394" s="111"/>
      <c r="C394" s="51" t="s">
        <v>10</v>
      </c>
      <c r="D394" s="1">
        <f t="shared" ref="D394:D444" si="175">E394+F394+G394+H394+I394+J394+K394+L394+M394+N394+O394</f>
        <v>0</v>
      </c>
      <c r="E394" s="1">
        <f>E399+E409+E419</f>
        <v>0</v>
      </c>
      <c r="F394" s="1">
        <f t="shared" ref="F394:O394" si="176">F399+F409+F419</f>
        <v>0</v>
      </c>
      <c r="G394" s="1">
        <f t="shared" si="176"/>
        <v>0</v>
      </c>
      <c r="H394" s="1">
        <f t="shared" si="176"/>
        <v>0</v>
      </c>
      <c r="I394" s="1">
        <f t="shared" si="176"/>
        <v>0</v>
      </c>
      <c r="J394" s="1">
        <f t="shared" si="176"/>
        <v>0</v>
      </c>
      <c r="K394" s="1">
        <f t="shared" si="176"/>
        <v>0</v>
      </c>
      <c r="L394" s="1">
        <f t="shared" si="176"/>
        <v>0</v>
      </c>
      <c r="M394" s="1">
        <f t="shared" si="176"/>
        <v>0</v>
      </c>
      <c r="N394" s="1">
        <f t="shared" si="176"/>
        <v>0</v>
      </c>
      <c r="O394" s="1">
        <f t="shared" si="176"/>
        <v>0</v>
      </c>
      <c r="P394" s="64"/>
      <c r="Q394" s="64"/>
    </row>
    <row r="395" spans="1:22" ht="18" customHeight="1" x14ac:dyDescent="0.2">
      <c r="A395" s="116"/>
      <c r="B395" s="111"/>
      <c r="C395" s="51" t="s">
        <v>11</v>
      </c>
      <c r="D395" s="1">
        <f t="shared" si="175"/>
        <v>23608.400000000001</v>
      </c>
      <c r="E395" s="1">
        <f>E400+E405+E410+E415+E420</f>
        <v>0</v>
      </c>
      <c r="F395" s="1">
        <f t="shared" ref="F395:O395" si="177">F400+F405+F410+F415+F420</f>
        <v>0</v>
      </c>
      <c r="G395" s="1">
        <f t="shared" si="177"/>
        <v>0</v>
      </c>
      <c r="H395" s="1">
        <f t="shared" si="177"/>
        <v>0</v>
      </c>
      <c r="I395" s="1">
        <f t="shared" si="177"/>
        <v>16106.5</v>
      </c>
      <c r="J395" s="1">
        <f>J400+J405+J410+J415+J420</f>
        <v>7501.9</v>
      </c>
      <c r="K395" s="1">
        <f t="shared" si="177"/>
        <v>0</v>
      </c>
      <c r="L395" s="1">
        <f t="shared" si="177"/>
        <v>0</v>
      </c>
      <c r="M395" s="1">
        <f t="shared" si="177"/>
        <v>0</v>
      </c>
      <c r="N395" s="1">
        <f t="shared" si="177"/>
        <v>0</v>
      </c>
      <c r="O395" s="1">
        <f t="shared" si="177"/>
        <v>0</v>
      </c>
    </row>
    <row r="396" spans="1:22" ht="18" customHeight="1" x14ac:dyDescent="0.2">
      <c r="A396" s="116"/>
      <c r="B396" s="111"/>
      <c r="C396" s="51" t="s">
        <v>12</v>
      </c>
      <c r="D396" s="1">
        <f t="shared" si="175"/>
        <v>199098.6</v>
      </c>
      <c r="E396" s="1">
        <f>E401+E411+E421+E426+E406+E416</f>
        <v>24704.6</v>
      </c>
      <c r="F396" s="1">
        <f t="shared" ref="F396:I396" si="178">F401+F411+F421+F426+F406+F416</f>
        <v>23418.400000000001</v>
      </c>
      <c r="G396" s="1">
        <f t="shared" si="178"/>
        <v>28089.699999999997</v>
      </c>
      <c r="H396" s="1">
        <f t="shared" si="178"/>
        <v>23411.7</v>
      </c>
      <c r="I396" s="1">
        <f t="shared" si="178"/>
        <v>8594</v>
      </c>
      <c r="J396" s="1">
        <f>J401+J411+J421+J426+J406+J416</f>
        <v>15543.8</v>
      </c>
      <c r="K396" s="1">
        <f>K401+K411+K421+K426+K406+K416+K431</f>
        <v>23013.5</v>
      </c>
      <c r="L396" s="1">
        <f t="shared" ref="L396" si="179">L401+L411+L421+L426+L406+L416+L431</f>
        <v>17844</v>
      </c>
      <c r="M396" s="1">
        <f>M401+M411+M421+M426+M406+M416+M431+M436</f>
        <v>10870</v>
      </c>
      <c r="N396" s="1">
        <f t="shared" ref="N396:O396" si="180">N401+N411+N421+N426+N406+N416+N431+N436</f>
        <v>12043.5</v>
      </c>
      <c r="O396" s="1">
        <f t="shared" si="180"/>
        <v>11565.4</v>
      </c>
    </row>
    <row r="397" spans="1:22" ht="18" customHeight="1" x14ac:dyDescent="0.2">
      <c r="A397" s="116"/>
      <c r="B397" s="111"/>
      <c r="C397" s="51" t="s">
        <v>13</v>
      </c>
      <c r="D397" s="1">
        <f t="shared" si="175"/>
        <v>0</v>
      </c>
      <c r="E397" s="1">
        <f>E402+E412+E422</f>
        <v>0</v>
      </c>
      <c r="F397" s="1">
        <f t="shared" ref="F397:O397" si="181">F402+F412+F422</f>
        <v>0</v>
      </c>
      <c r="G397" s="1">
        <f t="shared" si="181"/>
        <v>0</v>
      </c>
      <c r="H397" s="1">
        <f t="shared" si="181"/>
        <v>0</v>
      </c>
      <c r="I397" s="1">
        <f t="shared" si="181"/>
        <v>0</v>
      </c>
      <c r="J397" s="1">
        <f t="shared" si="181"/>
        <v>0</v>
      </c>
      <c r="K397" s="1">
        <f t="shared" si="181"/>
        <v>0</v>
      </c>
      <c r="L397" s="1">
        <f t="shared" si="181"/>
        <v>0</v>
      </c>
      <c r="M397" s="1">
        <f t="shared" si="181"/>
        <v>0</v>
      </c>
      <c r="N397" s="1">
        <f t="shared" si="181"/>
        <v>0</v>
      </c>
      <c r="O397" s="1">
        <f t="shared" si="181"/>
        <v>0</v>
      </c>
    </row>
    <row r="398" spans="1:22" ht="15.75" x14ac:dyDescent="0.2">
      <c r="A398" s="116" t="s">
        <v>146</v>
      </c>
      <c r="B398" s="111" t="s">
        <v>52</v>
      </c>
      <c r="C398" s="51" t="s">
        <v>7</v>
      </c>
      <c r="D398" s="1">
        <f t="shared" si="175"/>
        <v>89726.5</v>
      </c>
      <c r="E398" s="1">
        <f t="shared" ref="E398:O398" si="182">E399+E400+E401+E402</f>
        <v>5089.5</v>
      </c>
      <c r="F398" s="1">
        <f t="shared" si="182"/>
        <v>6465</v>
      </c>
      <c r="G398" s="1">
        <f t="shared" si="182"/>
        <v>8661.7999999999993</v>
      </c>
      <c r="H398" s="1">
        <f t="shared" si="182"/>
        <v>9358.2000000000007</v>
      </c>
      <c r="I398" s="1">
        <f t="shared" si="182"/>
        <v>8594</v>
      </c>
      <c r="J398" s="1">
        <f>J399+J400+J401+J402</f>
        <v>7198.9000000000005</v>
      </c>
      <c r="K398" s="1">
        <f t="shared" si="182"/>
        <v>12364.6</v>
      </c>
      <c r="L398" s="1">
        <f t="shared" si="182"/>
        <v>10751.5</v>
      </c>
      <c r="M398" s="1">
        <f t="shared" si="182"/>
        <v>6906.5</v>
      </c>
      <c r="N398" s="1">
        <f t="shared" si="182"/>
        <v>7372.8</v>
      </c>
      <c r="O398" s="1">
        <f t="shared" si="182"/>
        <v>6963.6999999999989</v>
      </c>
    </row>
    <row r="399" spans="1:22" ht="15.75" x14ac:dyDescent="0.2">
      <c r="A399" s="116"/>
      <c r="B399" s="111"/>
      <c r="C399" s="51" t="s">
        <v>10</v>
      </c>
      <c r="D399" s="1">
        <f t="shared" si="175"/>
        <v>0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>
        <v>0</v>
      </c>
      <c r="O399" s="1">
        <v>0</v>
      </c>
    </row>
    <row r="400" spans="1:22" ht="15.75" x14ac:dyDescent="0.2">
      <c r="A400" s="116"/>
      <c r="B400" s="111"/>
      <c r="C400" s="51" t="s">
        <v>11</v>
      </c>
      <c r="D400" s="1">
        <f t="shared" si="175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</row>
    <row r="401" spans="1:25" ht="15.75" x14ac:dyDescent="0.2">
      <c r="A401" s="116"/>
      <c r="B401" s="111"/>
      <c r="C401" s="51" t="s">
        <v>12</v>
      </c>
      <c r="D401" s="1">
        <f t="shared" si="175"/>
        <v>89726.5</v>
      </c>
      <c r="E401" s="1">
        <v>5089.5</v>
      </c>
      <c r="F401" s="1">
        <v>6465</v>
      </c>
      <c r="G401" s="1">
        <v>8661.7999999999993</v>
      </c>
      <c r="H401" s="1">
        <v>9358.2000000000007</v>
      </c>
      <c r="I401" s="1">
        <v>8594</v>
      </c>
      <c r="J401" s="1">
        <f>2886.8+1860.3+2451.8</f>
        <v>7198.9000000000005</v>
      </c>
      <c r="K401" s="1">
        <f>8859.6+1000+555+1950</f>
        <v>12364.6</v>
      </c>
      <c r="L401" s="1">
        <f>5576.5+2175+1500+1500</f>
        <v>10751.5</v>
      </c>
      <c r="M401" s="1">
        <f>5913.1+343.4+650</f>
        <v>6906.5</v>
      </c>
      <c r="N401" s="1">
        <f>5942+1430.8</f>
        <v>7372.8</v>
      </c>
      <c r="O401" s="1">
        <f>10976.3-3712.3-300.3</f>
        <v>6963.6999999999989</v>
      </c>
      <c r="W401" s="64"/>
      <c r="X401" s="64"/>
      <c r="Y401" s="64"/>
    </row>
    <row r="402" spans="1:25" ht="15.75" x14ac:dyDescent="0.2">
      <c r="A402" s="116"/>
      <c r="B402" s="111"/>
      <c r="C402" s="60" t="s">
        <v>13</v>
      </c>
      <c r="D402" s="1">
        <f t="shared" si="175"/>
        <v>0</v>
      </c>
      <c r="E402" s="1">
        <v>0</v>
      </c>
      <c r="F402" s="1">
        <v>0</v>
      </c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>
        <v>0</v>
      </c>
      <c r="O402" s="1">
        <v>0</v>
      </c>
    </row>
    <row r="403" spans="1:25" ht="15.75" x14ac:dyDescent="0.2">
      <c r="A403" s="116" t="s">
        <v>147</v>
      </c>
      <c r="B403" s="111" t="s">
        <v>365</v>
      </c>
      <c r="C403" s="51" t="s">
        <v>7</v>
      </c>
      <c r="D403" s="1">
        <f t="shared" si="175"/>
        <v>11065.3</v>
      </c>
      <c r="E403" s="1">
        <f t="shared" ref="E403:O403" si="183">E404+E405+E406+E407</f>
        <v>0</v>
      </c>
      <c r="F403" s="1">
        <f t="shared" si="183"/>
        <v>0</v>
      </c>
      <c r="G403" s="1">
        <f t="shared" si="183"/>
        <v>0</v>
      </c>
      <c r="H403" s="1">
        <f t="shared" si="183"/>
        <v>0</v>
      </c>
      <c r="I403" s="1">
        <f t="shared" si="183"/>
        <v>7430.4</v>
      </c>
      <c r="J403" s="1">
        <f t="shared" si="183"/>
        <v>3634.8999999999996</v>
      </c>
      <c r="K403" s="1">
        <f t="shared" si="183"/>
        <v>0</v>
      </c>
      <c r="L403" s="1">
        <f t="shared" si="183"/>
        <v>0</v>
      </c>
      <c r="M403" s="1">
        <f t="shared" si="183"/>
        <v>0</v>
      </c>
      <c r="N403" s="1">
        <f t="shared" si="183"/>
        <v>0</v>
      </c>
      <c r="O403" s="1">
        <f t="shared" si="183"/>
        <v>0</v>
      </c>
    </row>
    <row r="404" spans="1:25" ht="21" customHeight="1" x14ac:dyDescent="0.2">
      <c r="A404" s="116"/>
      <c r="B404" s="111"/>
      <c r="C404" s="51" t="s">
        <v>10</v>
      </c>
      <c r="D404" s="1">
        <f t="shared" si="175"/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</v>
      </c>
      <c r="L404" s="1">
        <v>0</v>
      </c>
      <c r="M404" s="1">
        <v>0</v>
      </c>
      <c r="N404" s="1">
        <v>0</v>
      </c>
      <c r="O404" s="1">
        <v>0</v>
      </c>
    </row>
    <row r="405" spans="1:25" ht="15.75" x14ac:dyDescent="0.2">
      <c r="A405" s="116"/>
      <c r="B405" s="111"/>
      <c r="C405" s="51" t="s">
        <v>11</v>
      </c>
      <c r="D405" s="1">
        <f t="shared" si="175"/>
        <v>11065.3</v>
      </c>
      <c r="E405" s="1">
        <v>0</v>
      </c>
      <c r="F405" s="1">
        <v>0</v>
      </c>
      <c r="G405" s="1">
        <v>0</v>
      </c>
      <c r="H405" s="1">
        <v>0</v>
      </c>
      <c r="I405" s="1">
        <f>6602.5+827.9</f>
        <v>7430.4</v>
      </c>
      <c r="J405" s="1">
        <f>6521.7-2886.8</f>
        <v>3634.8999999999996</v>
      </c>
      <c r="K405" s="1">
        <v>0</v>
      </c>
      <c r="L405" s="1">
        <v>0</v>
      </c>
      <c r="M405" s="1">
        <v>0</v>
      </c>
      <c r="N405" s="1">
        <v>0</v>
      </c>
      <c r="O405" s="1">
        <v>0</v>
      </c>
    </row>
    <row r="406" spans="1:25" ht="15.75" x14ac:dyDescent="0.2">
      <c r="A406" s="116"/>
      <c r="B406" s="111"/>
      <c r="C406" s="51" t="s">
        <v>12</v>
      </c>
      <c r="D406" s="1">
        <f t="shared" si="175"/>
        <v>0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</row>
    <row r="407" spans="1:25" ht="21.75" customHeight="1" x14ac:dyDescent="0.2">
      <c r="A407" s="116"/>
      <c r="B407" s="111"/>
      <c r="C407" s="60" t="s">
        <v>13</v>
      </c>
      <c r="D407" s="1">
        <f t="shared" si="175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25" ht="15.75" customHeight="1" x14ac:dyDescent="0.2">
      <c r="A408" s="116" t="s">
        <v>148</v>
      </c>
      <c r="B408" s="111" t="s">
        <v>58</v>
      </c>
      <c r="C408" s="51" t="s">
        <v>7</v>
      </c>
      <c r="D408" s="1">
        <f t="shared" si="175"/>
        <v>104328.4</v>
      </c>
      <c r="E408" s="1">
        <f t="shared" ref="E408:O408" si="184">E409+E410+E412+E411</f>
        <v>17919.099999999999</v>
      </c>
      <c r="F408" s="1">
        <f t="shared" si="184"/>
        <v>16953.400000000001</v>
      </c>
      <c r="G408" s="1">
        <f t="shared" si="184"/>
        <v>16137.9</v>
      </c>
      <c r="H408" s="1">
        <f t="shared" si="184"/>
        <v>14053.5</v>
      </c>
      <c r="I408" s="1">
        <f t="shared" si="184"/>
        <v>0</v>
      </c>
      <c r="J408" s="1">
        <f t="shared" si="184"/>
        <v>8344.9</v>
      </c>
      <c r="K408" s="1">
        <f t="shared" si="184"/>
        <v>10648.9</v>
      </c>
      <c r="L408" s="1">
        <f t="shared" si="184"/>
        <v>7072.5</v>
      </c>
      <c r="M408" s="1">
        <f t="shared" si="184"/>
        <v>3952.2000000000003</v>
      </c>
      <c r="N408" s="1">
        <f t="shared" si="184"/>
        <v>4657.4000000000005</v>
      </c>
      <c r="O408" s="1">
        <f t="shared" si="184"/>
        <v>4588.6000000000004</v>
      </c>
    </row>
    <row r="409" spans="1:25" ht="15.75" customHeight="1" x14ac:dyDescent="0.2">
      <c r="A409" s="116"/>
      <c r="B409" s="111"/>
      <c r="C409" s="51" t="s">
        <v>10</v>
      </c>
      <c r="D409" s="1">
        <f t="shared" si="175"/>
        <v>0</v>
      </c>
      <c r="E409" s="1">
        <v>0</v>
      </c>
      <c r="F409" s="1">
        <v>0</v>
      </c>
      <c r="G409" s="1">
        <v>0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</v>
      </c>
      <c r="O409" s="1">
        <v>0</v>
      </c>
    </row>
    <row r="410" spans="1:25" ht="15.75" customHeight="1" x14ac:dyDescent="0.2">
      <c r="A410" s="116"/>
      <c r="B410" s="111"/>
      <c r="C410" s="51" t="s">
        <v>11</v>
      </c>
      <c r="D410" s="1">
        <f t="shared" si="175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25" ht="15.75" customHeight="1" x14ac:dyDescent="0.2">
      <c r="A411" s="116"/>
      <c r="B411" s="111"/>
      <c r="C411" s="51" t="s">
        <v>12</v>
      </c>
      <c r="D411" s="1">
        <f t="shared" si="175"/>
        <v>104328.4</v>
      </c>
      <c r="E411" s="1">
        <v>17919.099999999999</v>
      </c>
      <c r="F411" s="1">
        <v>16953.400000000001</v>
      </c>
      <c r="G411" s="1">
        <v>16137.9</v>
      </c>
      <c r="H411" s="1">
        <v>14053.5</v>
      </c>
      <c r="I411" s="1">
        <v>0</v>
      </c>
      <c r="J411" s="1">
        <f>0+2600+6251.4-506.5</f>
        <v>8344.9</v>
      </c>
      <c r="K411" s="1">
        <f>13474.9-2900+74</f>
        <v>10648.9</v>
      </c>
      <c r="L411" s="1">
        <f>5037.6+2000-40.6-15+90.5</f>
        <v>7072.5</v>
      </c>
      <c r="M411" s="1">
        <f>5341.7-1097.6-291.9</f>
        <v>3952.2000000000003</v>
      </c>
      <c r="N411" s="1">
        <f>5367.8-710.4</f>
        <v>4657.4000000000005</v>
      </c>
      <c r="O411" s="1">
        <f>13511.2-8922.6</f>
        <v>4588.6000000000004</v>
      </c>
      <c r="X411" s="64"/>
      <c r="Y411" s="64"/>
    </row>
    <row r="412" spans="1:25" ht="22.5" customHeight="1" x14ac:dyDescent="0.2">
      <c r="A412" s="116"/>
      <c r="B412" s="111"/>
      <c r="C412" s="60" t="s">
        <v>13</v>
      </c>
      <c r="D412" s="1">
        <f t="shared" si="175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3">
        <v>0</v>
      </c>
      <c r="K412" s="3">
        <v>0</v>
      </c>
      <c r="L412" s="3">
        <v>0</v>
      </c>
      <c r="M412" s="3">
        <v>0</v>
      </c>
      <c r="N412" s="3">
        <v>0</v>
      </c>
      <c r="O412" s="3">
        <v>0</v>
      </c>
    </row>
    <row r="413" spans="1:25" ht="18.75" customHeight="1" x14ac:dyDescent="0.2">
      <c r="A413" s="116" t="s">
        <v>209</v>
      </c>
      <c r="B413" s="111" t="s">
        <v>264</v>
      </c>
      <c r="C413" s="60" t="s">
        <v>7</v>
      </c>
      <c r="D413" s="1">
        <f t="shared" si="175"/>
        <v>12543.1</v>
      </c>
      <c r="E413" s="1">
        <f t="shared" ref="E413:O413" si="185">E414+E415+E417+E416</f>
        <v>0</v>
      </c>
      <c r="F413" s="1">
        <f t="shared" si="185"/>
        <v>0</v>
      </c>
      <c r="G413" s="1">
        <f t="shared" si="185"/>
        <v>0</v>
      </c>
      <c r="H413" s="1">
        <f t="shared" si="185"/>
        <v>0</v>
      </c>
      <c r="I413" s="1">
        <f t="shared" si="185"/>
        <v>8676.1</v>
      </c>
      <c r="J413" s="1">
        <f t="shared" si="185"/>
        <v>3867</v>
      </c>
      <c r="K413" s="1">
        <f t="shared" si="185"/>
        <v>0</v>
      </c>
      <c r="L413" s="1">
        <f t="shared" si="185"/>
        <v>0</v>
      </c>
      <c r="M413" s="1">
        <f t="shared" si="185"/>
        <v>0</v>
      </c>
      <c r="N413" s="1">
        <f t="shared" si="185"/>
        <v>0</v>
      </c>
      <c r="O413" s="1">
        <f t="shared" si="185"/>
        <v>0</v>
      </c>
    </row>
    <row r="414" spans="1:25" ht="18.75" customHeight="1" x14ac:dyDescent="0.2">
      <c r="A414" s="116"/>
      <c r="B414" s="111"/>
      <c r="C414" s="60" t="s">
        <v>10</v>
      </c>
      <c r="D414" s="1">
        <f t="shared" si="175"/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25" ht="18.75" customHeight="1" x14ac:dyDescent="0.2">
      <c r="A415" s="116"/>
      <c r="B415" s="111"/>
      <c r="C415" s="60" t="s">
        <v>11</v>
      </c>
      <c r="D415" s="1">
        <f t="shared" si="175"/>
        <v>12543.1</v>
      </c>
      <c r="E415" s="1">
        <v>0</v>
      </c>
      <c r="F415" s="1">
        <v>0</v>
      </c>
      <c r="G415" s="1">
        <v>0</v>
      </c>
      <c r="H415" s="1">
        <v>0</v>
      </c>
      <c r="I415" s="1">
        <f>10280.7-1604.6</f>
        <v>8676.1</v>
      </c>
      <c r="J415" s="1">
        <f>10118.4-6251.4</f>
        <v>3867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25" ht="18.75" customHeight="1" x14ac:dyDescent="0.2">
      <c r="A416" s="116"/>
      <c r="B416" s="111"/>
      <c r="C416" s="60" t="s">
        <v>12</v>
      </c>
      <c r="D416" s="1">
        <f t="shared" si="175"/>
        <v>0</v>
      </c>
      <c r="E416" s="1">
        <v>0</v>
      </c>
      <c r="F416" s="1">
        <v>0</v>
      </c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</row>
    <row r="417" spans="1:15" ht="18.75" customHeight="1" x14ac:dyDescent="0.2">
      <c r="A417" s="116"/>
      <c r="B417" s="111"/>
      <c r="C417" s="60" t="s">
        <v>13</v>
      </c>
      <c r="D417" s="1">
        <f t="shared" si="175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3">
        <v>0</v>
      </c>
      <c r="K417" s="3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15" ht="15.75" customHeight="1" x14ac:dyDescent="0.2">
      <c r="A418" s="116" t="s">
        <v>269</v>
      </c>
      <c r="B418" s="111" t="s">
        <v>22</v>
      </c>
      <c r="C418" s="51" t="s">
        <v>7</v>
      </c>
      <c r="D418" s="1">
        <f t="shared" si="175"/>
        <v>1696</v>
      </c>
      <c r="E418" s="1">
        <f t="shared" ref="E418:K418" si="186">E419+E420+E421+E422</f>
        <v>1696</v>
      </c>
      <c r="F418" s="1">
        <f t="shared" si="186"/>
        <v>0</v>
      </c>
      <c r="G418" s="1">
        <f t="shared" si="186"/>
        <v>0</v>
      </c>
      <c r="H418" s="1">
        <f t="shared" si="186"/>
        <v>0</v>
      </c>
      <c r="I418" s="1">
        <f t="shared" si="186"/>
        <v>0</v>
      </c>
      <c r="J418" s="1">
        <f t="shared" si="186"/>
        <v>0</v>
      </c>
      <c r="K418" s="1">
        <f t="shared" si="186"/>
        <v>0</v>
      </c>
      <c r="L418" s="1">
        <f>L419+L420+L421+L422</f>
        <v>0</v>
      </c>
      <c r="M418" s="1">
        <f>M419+M420+M421+M422</f>
        <v>0</v>
      </c>
      <c r="N418" s="1">
        <f>N419+N420+N421+N422</f>
        <v>0</v>
      </c>
      <c r="O418" s="1">
        <f>O419+O420+O421+O422</f>
        <v>0</v>
      </c>
    </row>
    <row r="419" spans="1:15" ht="15.75" customHeight="1" x14ac:dyDescent="0.2">
      <c r="A419" s="116"/>
      <c r="B419" s="111"/>
      <c r="C419" s="51" t="s">
        <v>10</v>
      </c>
      <c r="D419" s="1">
        <f t="shared" si="175"/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</row>
    <row r="420" spans="1:15" ht="15.75" customHeight="1" x14ac:dyDescent="0.2">
      <c r="A420" s="116"/>
      <c r="B420" s="111"/>
      <c r="C420" s="51" t="s">
        <v>11</v>
      </c>
      <c r="D420" s="1">
        <f t="shared" si="175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1">
        <v>0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</row>
    <row r="421" spans="1:15" ht="15.75" customHeight="1" x14ac:dyDescent="0.2">
      <c r="A421" s="116"/>
      <c r="B421" s="111"/>
      <c r="C421" s="51" t="s">
        <v>12</v>
      </c>
      <c r="D421" s="1">
        <f t="shared" si="175"/>
        <v>1696</v>
      </c>
      <c r="E421" s="1">
        <v>1696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</row>
    <row r="422" spans="1:15" ht="18" customHeight="1" x14ac:dyDescent="0.2">
      <c r="A422" s="116"/>
      <c r="B422" s="111"/>
      <c r="C422" s="60" t="s">
        <v>13</v>
      </c>
      <c r="D422" s="1">
        <f t="shared" si="175"/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15" ht="15.75" x14ac:dyDescent="0.2">
      <c r="A423" s="116" t="s">
        <v>270</v>
      </c>
      <c r="B423" s="116" t="s">
        <v>237</v>
      </c>
      <c r="C423" s="51" t="s">
        <v>7</v>
      </c>
      <c r="D423" s="1">
        <f t="shared" si="175"/>
        <v>3290</v>
      </c>
      <c r="E423" s="1">
        <f>E424+E425+E426+E427</f>
        <v>0</v>
      </c>
      <c r="F423" s="1">
        <f t="shared" ref="F423:K423" si="187">F424+F425+F426+F427</f>
        <v>0</v>
      </c>
      <c r="G423" s="1">
        <f t="shared" si="187"/>
        <v>3290</v>
      </c>
      <c r="H423" s="1">
        <f t="shared" si="187"/>
        <v>0</v>
      </c>
      <c r="I423" s="1">
        <f t="shared" si="187"/>
        <v>0</v>
      </c>
      <c r="J423" s="1">
        <f t="shared" si="187"/>
        <v>0</v>
      </c>
      <c r="K423" s="1">
        <f t="shared" si="187"/>
        <v>0</v>
      </c>
      <c r="L423" s="1">
        <f>L424+L425+L426+L427</f>
        <v>0</v>
      </c>
      <c r="M423" s="1">
        <f>M424+M425+M426+M427</f>
        <v>0</v>
      </c>
      <c r="N423" s="1">
        <f>N424+N425+N426+N427</f>
        <v>0</v>
      </c>
      <c r="O423" s="1">
        <f>O424+O425+O426+O427</f>
        <v>0</v>
      </c>
    </row>
    <row r="424" spans="1:15" ht="15.75" x14ac:dyDescent="0.2">
      <c r="A424" s="116"/>
      <c r="B424" s="116"/>
      <c r="C424" s="51" t="s">
        <v>10</v>
      </c>
      <c r="D424" s="1">
        <f t="shared" si="175"/>
        <v>0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</row>
    <row r="425" spans="1:15" ht="15.75" x14ac:dyDescent="0.2">
      <c r="A425" s="116"/>
      <c r="B425" s="116"/>
      <c r="C425" s="51" t="s">
        <v>11</v>
      </c>
      <c r="D425" s="1">
        <f t="shared" si="175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15" ht="15.75" x14ac:dyDescent="0.2">
      <c r="A426" s="116"/>
      <c r="B426" s="116"/>
      <c r="C426" s="51" t="s">
        <v>12</v>
      </c>
      <c r="D426" s="1">
        <f t="shared" si="175"/>
        <v>3290</v>
      </c>
      <c r="E426" s="1">
        <v>0</v>
      </c>
      <c r="F426" s="1">
        <v>0</v>
      </c>
      <c r="G426" s="1">
        <v>3290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</row>
    <row r="427" spans="1:15" ht="23.25" customHeight="1" x14ac:dyDescent="0.2">
      <c r="A427" s="116"/>
      <c r="B427" s="116"/>
      <c r="C427" s="60" t="s">
        <v>13</v>
      </c>
      <c r="D427" s="1">
        <f t="shared" si="175"/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15" ht="23.25" customHeight="1" x14ac:dyDescent="0.2">
      <c r="A428" s="116" t="s">
        <v>386</v>
      </c>
      <c r="B428" s="116" t="s">
        <v>396</v>
      </c>
      <c r="C428" s="51" t="s">
        <v>7</v>
      </c>
      <c r="D428" s="1">
        <f>E428+F428+G428+H428+I428+J428+K428+L428+M428+N428+O428</f>
        <v>57.699999999999996</v>
      </c>
      <c r="E428" s="1">
        <f>SUM(E429:E432)</f>
        <v>0</v>
      </c>
      <c r="F428" s="1">
        <f t="shared" ref="F428:O428" si="188">SUM(F429:F432)</f>
        <v>0</v>
      </c>
      <c r="G428" s="1">
        <f t="shared" si="188"/>
        <v>0</v>
      </c>
      <c r="H428" s="1">
        <f t="shared" si="188"/>
        <v>0</v>
      </c>
      <c r="I428" s="1">
        <f t="shared" si="188"/>
        <v>0</v>
      </c>
      <c r="J428" s="1">
        <f t="shared" si="188"/>
        <v>0</v>
      </c>
      <c r="K428" s="1">
        <f t="shared" si="188"/>
        <v>0</v>
      </c>
      <c r="L428" s="1">
        <f t="shared" si="188"/>
        <v>20</v>
      </c>
      <c r="M428" s="1">
        <f t="shared" si="188"/>
        <v>11.299999999999999</v>
      </c>
      <c r="N428" s="1">
        <f t="shared" si="188"/>
        <v>13.3</v>
      </c>
      <c r="O428" s="1">
        <f t="shared" si="188"/>
        <v>13.1</v>
      </c>
    </row>
    <row r="429" spans="1:15" ht="23.25" customHeight="1" x14ac:dyDescent="0.2">
      <c r="A429" s="116"/>
      <c r="B429" s="116"/>
      <c r="C429" s="51" t="s">
        <v>10</v>
      </c>
      <c r="D429" s="1">
        <f t="shared" ref="D429:D432" si="189">E429+F429+G429+H429+I429+J429+K429+L429+M429+N429+O429</f>
        <v>0</v>
      </c>
      <c r="E429" s="1">
        <v>0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15" ht="23.25" customHeight="1" x14ac:dyDescent="0.2">
      <c r="A430" s="116"/>
      <c r="B430" s="116"/>
      <c r="C430" s="51" t="s">
        <v>11</v>
      </c>
      <c r="D430" s="1">
        <f t="shared" si="189"/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15" ht="23.25" customHeight="1" x14ac:dyDescent="0.2">
      <c r="A431" s="116"/>
      <c r="B431" s="116"/>
      <c r="C431" s="51" t="s">
        <v>12</v>
      </c>
      <c r="D431" s="1">
        <f t="shared" si="189"/>
        <v>57.699999999999996</v>
      </c>
      <c r="E431" s="1">
        <v>0</v>
      </c>
      <c r="F431" s="1">
        <v>0</v>
      </c>
      <c r="G431" s="1">
        <v>0</v>
      </c>
      <c r="H431" s="1">
        <v>0</v>
      </c>
      <c r="I431" s="1">
        <v>0</v>
      </c>
      <c r="J431" s="1">
        <v>0</v>
      </c>
      <c r="K431" s="1">
        <f>550.5-550.5</f>
        <v>0</v>
      </c>
      <c r="L431" s="1">
        <f>20</f>
        <v>20</v>
      </c>
      <c r="M431" s="1">
        <f>21.2-9.9</f>
        <v>11.299999999999999</v>
      </c>
      <c r="N431" s="1">
        <f>21.3-8</f>
        <v>13.3</v>
      </c>
      <c r="O431" s="1">
        <v>13.1</v>
      </c>
    </row>
    <row r="432" spans="1:15" ht="23.25" customHeight="1" x14ac:dyDescent="0.2">
      <c r="A432" s="116"/>
      <c r="B432" s="116"/>
      <c r="C432" s="60" t="s">
        <v>13</v>
      </c>
      <c r="D432" s="1">
        <f t="shared" si="189"/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 ht="23.25" hidden="1" customHeight="1" x14ac:dyDescent="0.2">
      <c r="A433" s="116" t="s">
        <v>444</v>
      </c>
      <c r="B433" s="116" t="s">
        <v>445</v>
      </c>
      <c r="C433" s="51" t="s">
        <v>7</v>
      </c>
      <c r="D433" s="1">
        <f>E433+F433+G433+H433+I433+J433+K433+L433+M433+N433+O433</f>
        <v>0</v>
      </c>
      <c r="E433" s="1">
        <f>SUM(E434:E437)</f>
        <v>0</v>
      </c>
      <c r="F433" s="1">
        <f t="shared" ref="F433:O433" si="190">SUM(F434:F437)</f>
        <v>0</v>
      </c>
      <c r="G433" s="1">
        <f t="shared" si="190"/>
        <v>0</v>
      </c>
      <c r="H433" s="1">
        <f t="shared" si="190"/>
        <v>0</v>
      </c>
      <c r="I433" s="1">
        <f t="shared" si="190"/>
        <v>0</v>
      </c>
      <c r="J433" s="1">
        <f t="shared" si="190"/>
        <v>0</v>
      </c>
      <c r="K433" s="1">
        <f t="shared" si="190"/>
        <v>0</v>
      </c>
      <c r="L433" s="1">
        <f t="shared" si="190"/>
        <v>0</v>
      </c>
      <c r="M433" s="1">
        <f t="shared" si="190"/>
        <v>0</v>
      </c>
      <c r="N433" s="1">
        <f t="shared" si="190"/>
        <v>0</v>
      </c>
      <c r="O433" s="1">
        <f t="shared" si="190"/>
        <v>0</v>
      </c>
    </row>
    <row r="434" spans="1:15" ht="23.25" hidden="1" customHeight="1" x14ac:dyDescent="0.2">
      <c r="A434" s="116"/>
      <c r="B434" s="116"/>
      <c r="C434" s="51" t="s">
        <v>10</v>
      </c>
      <c r="D434" s="1">
        <f t="shared" ref="D434:D437" si="191">E434+F434+G434+H434+I434+J434+K434+L434+M434+N434+O434</f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15" ht="23.25" hidden="1" customHeight="1" x14ac:dyDescent="0.2">
      <c r="A435" s="116"/>
      <c r="B435" s="116"/>
      <c r="C435" s="51" t="s">
        <v>11</v>
      </c>
      <c r="D435" s="1">
        <f t="shared" si="191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 ht="23.25" hidden="1" customHeight="1" x14ac:dyDescent="0.2">
      <c r="A436" s="116"/>
      <c r="B436" s="116"/>
      <c r="C436" s="51" t="s">
        <v>12</v>
      </c>
      <c r="D436" s="1">
        <f t="shared" si="191"/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f>550.5-550.5</f>
        <v>0</v>
      </c>
      <c r="L436" s="1">
        <v>0</v>
      </c>
      <c r="M436" s="1">
        <f>650-650</f>
        <v>0</v>
      </c>
      <c r="N436" s="1">
        <v>0</v>
      </c>
      <c r="O436" s="1">
        <v>0</v>
      </c>
    </row>
    <row r="437" spans="1:15" ht="23.25" hidden="1" customHeight="1" x14ac:dyDescent="0.2">
      <c r="A437" s="116"/>
      <c r="B437" s="116"/>
      <c r="C437" s="60" t="s">
        <v>13</v>
      </c>
      <c r="D437" s="1">
        <f t="shared" si="191"/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 ht="15.75" x14ac:dyDescent="0.2">
      <c r="A438" s="116" t="s">
        <v>149</v>
      </c>
      <c r="B438" s="111" t="s">
        <v>379</v>
      </c>
      <c r="C438" s="51" t="s">
        <v>7</v>
      </c>
      <c r="D438" s="1">
        <f>E438+F438+G438+H438+I438+J438+K438+L438+M438+N438+O438</f>
        <v>39329.599999999991</v>
      </c>
      <c r="E438" s="1">
        <f>E439+E440+E441+E443</f>
        <v>3741.9</v>
      </c>
      <c r="F438" s="1">
        <f t="shared" ref="F438:O438" si="192">F439+F440+F441+F443</f>
        <v>2450</v>
      </c>
      <c r="G438" s="1">
        <f t="shared" si="192"/>
        <v>2262.1</v>
      </c>
      <c r="H438" s="1">
        <f t="shared" si="192"/>
        <v>1999</v>
      </c>
      <c r="I438" s="1">
        <f t="shared" si="192"/>
        <v>13558.599999999999</v>
      </c>
      <c r="J438" s="1">
        <f>J439+J440+J441+J443</f>
        <v>8475.2999999999993</v>
      </c>
      <c r="K438" s="1">
        <f t="shared" si="192"/>
        <v>5424.9</v>
      </c>
      <c r="L438" s="1">
        <f t="shared" si="192"/>
        <v>1285.4000000000003</v>
      </c>
      <c r="M438" s="1">
        <f t="shared" si="192"/>
        <v>0</v>
      </c>
      <c r="N438" s="1">
        <f t="shared" si="192"/>
        <v>66.7</v>
      </c>
      <c r="O438" s="1">
        <f t="shared" si="192"/>
        <v>65.699999999999989</v>
      </c>
    </row>
    <row r="439" spans="1:15" ht="15.75" x14ac:dyDescent="0.2">
      <c r="A439" s="116"/>
      <c r="B439" s="111"/>
      <c r="C439" s="51" t="s">
        <v>10</v>
      </c>
      <c r="D439" s="1">
        <f t="shared" si="175"/>
        <v>0</v>
      </c>
      <c r="E439" s="1">
        <f>E445+E452+E457</f>
        <v>0</v>
      </c>
      <c r="F439" s="1">
        <f t="shared" ref="F439:O439" si="193">F445+F452+F457</f>
        <v>0</v>
      </c>
      <c r="G439" s="1">
        <f t="shared" si="193"/>
        <v>0</v>
      </c>
      <c r="H439" s="1">
        <f t="shared" si="193"/>
        <v>0</v>
      </c>
      <c r="I439" s="1">
        <f t="shared" si="193"/>
        <v>0</v>
      </c>
      <c r="J439" s="1">
        <f t="shared" si="193"/>
        <v>0</v>
      </c>
      <c r="K439" s="1">
        <f t="shared" si="193"/>
        <v>0</v>
      </c>
      <c r="L439" s="1">
        <f t="shared" si="193"/>
        <v>0</v>
      </c>
      <c r="M439" s="1">
        <f t="shared" si="193"/>
        <v>0</v>
      </c>
      <c r="N439" s="1">
        <f t="shared" si="193"/>
        <v>0</v>
      </c>
      <c r="O439" s="1">
        <f t="shared" si="193"/>
        <v>0</v>
      </c>
    </row>
    <row r="440" spans="1:15" ht="15.75" x14ac:dyDescent="0.2">
      <c r="A440" s="116"/>
      <c r="B440" s="111"/>
      <c r="C440" s="51" t="s">
        <v>11</v>
      </c>
      <c r="D440" s="1">
        <f t="shared" si="175"/>
        <v>22235.8</v>
      </c>
      <c r="E440" s="1">
        <f t="shared" ref="E440:O440" si="194">E446+E453+E458</f>
        <v>0</v>
      </c>
      <c r="F440" s="1">
        <f t="shared" si="194"/>
        <v>0</v>
      </c>
      <c r="G440" s="1">
        <f t="shared" si="194"/>
        <v>0</v>
      </c>
      <c r="H440" s="1">
        <f t="shared" si="194"/>
        <v>0</v>
      </c>
      <c r="I440" s="1">
        <f>I446+I453+I458</f>
        <v>11234.3</v>
      </c>
      <c r="J440" s="1">
        <f>J446+J453+J458+J463</f>
        <v>7403.7</v>
      </c>
      <c r="K440" s="1">
        <f t="shared" si="194"/>
        <v>3597.8</v>
      </c>
      <c r="L440" s="1">
        <f t="shared" si="194"/>
        <v>0</v>
      </c>
      <c r="M440" s="1">
        <f t="shared" si="194"/>
        <v>0</v>
      </c>
      <c r="N440" s="1">
        <f t="shared" si="194"/>
        <v>0</v>
      </c>
      <c r="O440" s="1">
        <f t="shared" si="194"/>
        <v>0</v>
      </c>
    </row>
    <row r="441" spans="1:15" ht="31.5" x14ac:dyDescent="0.2">
      <c r="A441" s="116"/>
      <c r="B441" s="111"/>
      <c r="C441" s="51" t="s">
        <v>65</v>
      </c>
      <c r="D441" s="1">
        <f t="shared" si="175"/>
        <v>17093.800000000003</v>
      </c>
      <c r="E441" s="1">
        <f>E447+E454+E459+E464</f>
        <v>3741.9</v>
      </c>
      <c r="F441" s="1">
        <f t="shared" ref="F441:J441" si="195">F447+F454+F459+F464</f>
        <v>2450</v>
      </c>
      <c r="G441" s="1">
        <f t="shared" si="195"/>
        <v>2262.1</v>
      </c>
      <c r="H441" s="1">
        <f t="shared" si="195"/>
        <v>1999</v>
      </c>
      <c r="I441" s="1">
        <f>I447+I454+I459+I464</f>
        <v>2324.3000000000002</v>
      </c>
      <c r="J441" s="1">
        <f t="shared" si="195"/>
        <v>1071.5999999999999</v>
      </c>
      <c r="K441" s="1">
        <f>K447+K454+K459+K464+K469</f>
        <v>1827.1</v>
      </c>
      <c r="L441" s="1">
        <f>L447+L454+L459+L464+L469+L474</f>
        <v>1285.4000000000003</v>
      </c>
      <c r="M441" s="1">
        <f t="shared" ref="M441:O441" si="196">M447+M454+M459+M464+M469</f>
        <v>0</v>
      </c>
      <c r="N441" s="1">
        <f t="shared" si="196"/>
        <v>66.7</v>
      </c>
      <c r="O441" s="1">
        <f t="shared" si="196"/>
        <v>65.699999999999989</v>
      </c>
    </row>
    <row r="442" spans="1:15" ht="31.5" x14ac:dyDescent="0.2">
      <c r="A442" s="116"/>
      <c r="B442" s="111"/>
      <c r="C442" s="76" t="s">
        <v>79</v>
      </c>
      <c r="D442" s="1">
        <f t="shared" si="175"/>
        <v>3631.3</v>
      </c>
      <c r="E442" s="1">
        <f t="shared" ref="E442:K442" si="197">E448+E455+E460</f>
        <v>2932.6</v>
      </c>
      <c r="F442" s="1">
        <f t="shared" si="197"/>
        <v>0</v>
      </c>
      <c r="G442" s="1">
        <f t="shared" si="197"/>
        <v>0</v>
      </c>
      <c r="H442" s="1">
        <f t="shared" si="197"/>
        <v>0</v>
      </c>
      <c r="I442" s="1">
        <f>I448+I455+I460</f>
        <v>698.7</v>
      </c>
      <c r="J442" s="1">
        <f t="shared" si="197"/>
        <v>0</v>
      </c>
      <c r="K442" s="1">
        <f t="shared" si="197"/>
        <v>0</v>
      </c>
      <c r="L442" s="1">
        <f>L448+L455+L460</f>
        <v>0</v>
      </c>
      <c r="M442" s="1">
        <f>M448+M455+M460</f>
        <v>0</v>
      </c>
      <c r="N442" s="1">
        <f>N448+N455+N460</f>
        <v>0</v>
      </c>
      <c r="O442" s="1">
        <f>O448+O455+O460</f>
        <v>0</v>
      </c>
    </row>
    <row r="443" spans="1:15" ht="39" customHeight="1" x14ac:dyDescent="0.2">
      <c r="A443" s="116"/>
      <c r="B443" s="111"/>
      <c r="C443" s="51" t="s">
        <v>13</v>
      </c>
      <c r="D443" s="1">
        <f t="shared" si="175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 ht="15.75" x14ac:dyDescent="0.2">
      <c r="A444" s="116" t="s">
        <v>150</v>
      </c>
      <c r="B444" s="111" t="s">
        <v>45</v>
      </c>
      <c r="C444" s="51" t="s">
        <v>7</v>
      </c>
      <c r="D444" s="1">
        <f t="shared" si="175"/>
        <v>11185.6</v>
      </c>
      <c r="E444" s="1">
        <f t="shared" ref="E444:O444" si="198">E445+E446+E447+E450</f>
        <v>3437.4</v>
      </c>
      <c r="F444" s="1">
        <f t="shared" si="198"/>
        <v>2000</v>
      </c>
      <c r="G444" s="1">
        <f t="shared" si="198"/>
        <v>2000</v>
      </c>
      <c r="H444" s="1">
        <f t="shared" si="198"/>
        <v>1905.6</v>
      </c>
      <c r="I444" s="1">
        <f t="shared" si="198"/>
        <v>698.69999999999993</v>
      </c>
      <c r="J444" s="1">
        <f t="shared" si="198"/>
        <v>599</v>
      </c>
      <c r="K444" s="1">
        <f t="shared" si="198"/>
        <v>544.9</v>
      </c>
      <c r="L444" s="1">
        <f t="shared" si="198"/>
        <v>0</v>
      </c>
      <c r="M444" s="1">
        <f t="shared" si="198"/>
        <v>0</v>
      </c>
      <c r="N444" s="1">
        <f t="shared" si="198"/>
        <v>0</v>
      </c>
      <c r="O444" s="1">
        <f t="shared" si="198"/>
        <v>0</v>
      </c>
    </row>
    <row r="445" spans="1:15" ht="15.75" customHeight="1" x14ac:dyDescent="0.2">
      <c r="A445" s="116"/>
      <c r="B445" s="111"/>
      <c r="C445" s="51" t="s">
        <v>10</v>
      </c>
      <c r="D445" s="1">
        <f t="shared" ref="D445:D450" si="199">E445+F445+G445+H445+I445+J445+K445+L445+M445+N445+O445</f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</row>
    <row r="446" spans="1:15" ht="15.75" customHeight="1" x14ac:dyDescent="0.2">
      <c r="A446" s="116"/>
      <c r="B446" s="111"/>
      <c r="C446" s="51" t="s">
        <v>11</v>
      </c>
      <c r="D446" s="1">
        <f t="shared" si="199"/>
        <v>0</v>
      </c>
      <c r="E446" s="1">
        <v>0</v>
      </c>
      <c r="F446" s="1">
        <v>0</v>
      </c>
      <c r="G446" s="1">
        <v>0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</row>
    <row r="447" spans="1:15" ht="31.5" x14ac:dyDescent="0.2">
      <c r="A447" s="116"/>
      <c r="B447" s="111"/>
      <c r="C447" s="51" t="s">
        <v>65</v>
      </c>
      <c r="D447" s="1">
        <f t="shared" si="199"/>
        <v>11185.6</v>
      </c>
      <c r="E447" s="1">
        <v>3437.4</v>
      </c>
      <c r="F447" s="1">
        <v>2000</v>
      </c>
      <c r="G447" s="1">
        <v>2000</v>
      </c>
      <c r="H447" s="1">
        <v>1905.6</v>
      </c>
      <c r="I447" s="1">
        <f>734.4-35.7</f>
        <v>698.69999999999993</v>
      </c>
      <c r="J447" s="1">
        <f>1907.8-800-508.8</f>
        <v>599</v>
      </c>
      <c r="K447" s="1">
        <f>775.5-230.6</f>
        <v>544.9</v>
      </c>
      <c r="L447" s="1">
        <f>181.4-181.4+181.4-181.4</f>
        <v>0</v>
      </c>
      <c r="M447" s="1">
        <f>192.3-192.3</f>
        <v>0</v>
      </c>
      <c r="N447" s="1">
        <f>193.3-193.3</f>
        <v>0</v>
      </c>
      <c r="O447" s="1">
        <f>866.6-866.6</f>
        <v>0</v>
      </c>
    </row>
    <row r="448" spans="1:15" ht="31.5" x14ac:dyDescent="0.2">
      <c r="A448" s="116"/>
      <c r="B448" s="111"/>
      <c r="C448" s="76" t="s">
        <v>79</v>
      </c>
      <c r="D448" s="1">
        <f t="shared" si="199"/>
        <v>3631.3</v>
      </c>
      <c r="E448" s="74">
        <v>2932.6</v>
      </c>
      <c r="F448" s="74">
        <v>0</v>
      </c>
      <c r="G448" s="74">
        <v>0</v>
      </c>
      <c r="H448" s="74">
        <v>0</v>
      </c>
      <c r="I448" s="74">
        <v>698.7</v>
      </c>
      <c r="J448" s="74">
        <v>0</v>
      </c>
      <c r="K448" s="74">
        <v>0</v>
      </c>
      <c r="L448" s="74">
        <v>0</v>
      </c>
      <c r="M448" s="74">
        <v>0</v>
      </c>
      <c r="N448" s="74">
        <v>0</v>
      </c>
      <c r="O448" s="74">
        <v>0</v>
      </c>
    </row>
    <row r="449" spans="1:15" ht="31.5" x14ac:dyDescent="0.2">
      <c r="A449" s="116"/>
      <c r="B449" s="111"/>
      <c r="C449" s="76" t="s">
        <v>81</v>
      </c>
      <c r="D449" s="1">
        <f t="shared" si="199"/>
        <v>475.5</v>
      </c>
      <c r="E449" s="1">
        <v>0</v>
      </c>
      <c r="F449" s="1">
        <v>0</v>
      </c>
      <c r="G449" s="1">
        <v>0</v>
      </c>
      <c r="H449" s="1">
        <v>475.5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</row>
    <row r="450" spans="1:15" ht="40.5" customHeight="1" x14ac:dyDescent="0.2">
      <c r="A450" s="116"/>
      <c r="B450" s="111"/>
      <c r="C450" s="51" t="s">
        <v>13</v>
      </c>
      <c r="D450" s="1">
        <f t="shared" si="199"/>
        <v>0</v>
      </c>
      <c r="E450" s="1">
        <v>0</v>
      </c>
      <c r="F450" s="1">
        <v>0</v>
      </c>
      <c r="G450" s="1">
        <v>0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</row>
    <row r="451" spans="1:15" ht="21" customHeight="1" x14ac:dyDescent="0.2">
      <c r="A451" s="116" t="s">
        <v>151</v>
      </c>
      <c r="B451" s="111" t="s">
        <v>50</v>
      </c>
      <c r="C451" s="51" t="s">
        <v>7</v>
      </c>
      <c r="D451" s="1">
        <f t="shared" ref="D451:D504" si="200">E451+F451+G451+H451+I451+J451+K451+L451+M451+N451+O451</f>
        <v>1588.8000000000002</v>
      </c>
      <c r="E451" s="1">
        <f t="shared" ref="E451:O451" si="201">E452+E453+E454+E455</f>
        <v>304.5</v>
      </c>
      <c r="F451" s="1">
        <f t="shared" si="201"/>
        <v>450</v>
      </c>
      <c r="G451" s="1">
        <f t="shared" si="201"/>
        <v>262.10000000000002</v>
      </c>
      <c r="H451" s="1">
        <f t="shared" si="201"/>
        <v>93.4</v>
      </c>
      <c r="I451" s="1">
        <f t="shared" si="201"/>
        <v>346.4</v>
      </c>
      <c r="J451" s="1">
        <f t="shared" si="201"/>
        <v>0</v>
      </c>
      <c r="K451" s="1">
        <f t="shared" si="201"/>
        <v>0</v>
      </c>
      <c r="L451" s="1">
        <f t="shared" si="201"/>
        <v>0</v>
      </c>
      <c r="M451" s="1">
        <f t="shared" si="201"/>
        <v>0</v>
      </c>
      <c r="N451" s="1">
        <f t="shared" si="201"/>
        <v>66.7</v>
      </c>
      <c r="O451" s="1">
        <f t="shared" si="201"/>
        <v>65.699999999999989</v>
      </c>
    </row>
    <row r="452" spans="1:15" ht="17.25" customHeight="1" x14ac:dyDescent="0.2">
      <c r="A452" s="116"/>
      <c r="B452" s="111"/>
      <c r="C452" s="51" t="s">
        <v>10</v>
      </c>
      <c r="D452" s="1">
        <f t="shared" si="200"/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</row>
    <row r="453" spans="1:15" ht="17.25" customHeight="1" x14ac:dyDescent="0.2">
      <c r="A453" s="116"/>
      <c r="B453" s="111"/>
      <c r="C453" s="51" t="s">
        <v>11</v>
      </c>
      <c r="D453" s="1">
        <f t="shared" si="200"/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21" customHeight="1" x14ac:dyDescent="0.2">
      <c r="A454" s="116"/>
      <c r="B454" s="111"/>
      <c r="C454" s="51" t="s">
        <v>12</v>
      </c>
      <c r="D454" s="1">
        <f t="shared" si="200"/>
        <v>1588.8000000000002</v>
      </c>
      <c r="E454" s="1">
        <v>304.5</v>
      </c>
      <c r="F454" s="1">
        <v>450</v>
      </c>
      <c r="G454" s="1">
        <v>262.10000000000002</v>
      </c>
      <c r="H454" s="1">
        <v>93.4</v>
      </c>
      <c r="I454" s="1">
        <f>504.9-158.5</f>
        <v>346.4</v>
      </c>
      <c r="J454" s="1">
        <f>227.7-227.7</f>
        <v>0</v>
      </c>
      <c r="K454" s="1">
        <f>420-320-100</f>
        <v>0</v>
      </c>
      <c r="L454" s="1">
        <f>56.6-56.6+56.6-56.6</f>
        <v>0</v>
      </c>
      <c r="M454" s="57">
        <f>75-4.2-70.8+70.8-70.8</f>
        <v>0</v>
      </c>
      <c r="N454" s="1">
        <f>60.3+6.4</f>
        <v>66.7</v>
      </c>
      <c r="O454" s="1">
        <f>139.2-73.5</f>
        <v>65.699999999999989</v>
      </c>
    </row>
    <row r="455" spans="1:15" ht="37.5" customHeight="1" x14ac:dyDescent="0.2">
      <c r="A455" s="116"/>
      <c r="B455" s="111"/>
      <c r="C455" s="51" t="s">
        <v>13</v>
      </c>
      <c r="D455" s="1">
        <f t="shared" si="200"/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</row>
    <row r="456" spans="1:15" ht="15.75" x14ac:dyDescent="0.2">
      <c r="A456" s="116" t="s">
        <v>276</v>
      </c>
      <c r="B456" s="111" t="s">
        <v>274</v>
      </c>
      <c r="C456" s="84" t="s">
        <v>7</v>
      </c>
      <c r="D456" s="3">
        <f t="shared" si="200"/>
        <v>24217.200000000001</v>
      </c>
      <c r="E456" s="3">
        <f>E457+E458+E459+E460</f>
        <v>0</v>
      </c>
      <c r="F456" s="3">
        <f t="shared" ref="F456:O456" si="202">F457+F458+F459+F460</f>
        <v>0</v>
      </c>
      <c r="G456" s="3">
        <f t="shared" si="202"/>
        <v>0</v>
      </c>
      <c r="H456" s="3">
        <f t="shared" si="202"/>
        <v>0</v>
      </c>
      <c r="I456" s="3">
        <f t="shared" si="202"/>
        <v>12513.5</v>
      </c>
      <c r="J456" s="3">
        <f t="shared" si="202"/>
        <v>7876.2999999999993</v>
      </c>
      <c r="K456" s="3">
        <f t="shared" si="202"/>
        <v>3827.4</v>
      </c>
      <c r="L456" s="3">
        <f t="shared" si="202"/>
        <v>0</v>
      </c>
      <c r="M456" s="3">
        <f t="shared" si="202"/>
        <v>0</v>
      </c>
      <c r="N456" s="3">
        <f t="shared" si="202"/>
        <v>0</v>
      </c>
      <c r="O456" s="3">
        <f t="shared" si="202"/>
        <v>0</v>
      </c>
    </row>
    <row r="457" spans="1:15" ht="15.75" x14ac:dyDescent="0.2">
      <c r="A457" s="116"/>
      <c r="B457" s="140"/>
      <c r="C457" s="60" t="s">
        <v>10</v>
      </c>
      <c r="D457" s="3">
        <f t="shared" si="200"/>
        <v>0</v>
      </c>
      <c r="E457" s="3">
        <v>0</v>
      </c>
      <c r="F457" s="3">
        <v>0</v>
      </c>
      <c r="G457" s="3">
        <v>0</v>
      </c>
      <c r="H457" s="3">
        <v>0</v>
      </c>
      <c r="I457" s="3">
        <v>0</v>
      </c>
      <c r="J457" s="3">
        <v>0</v>
      </c>
      <c r="K457" s="3">
        <v>0</v>
      </c>
      <c r="L457" s="3">
        <v>0</v>
      </c>
      <c r="M457" s="3">
        <v>0</v>
      </c>
      <c r="N457" s="3">
        <v>0</v>
      </c>
      <c r="O457" s="3">
        <v>0</v>
      </c>
    </row>
    <row r="458" spans="1:15" ht="15.75" x14ac:dyDescent="0.2">
      <c r="A458" s="116"/>
      <c r="B458" s="140"/>
      <c r="C458" s="60" t="s">
        <v>11</v>
      </c>
      <c r="D458" s="3">
        <f t="shared" si="200"/>
        <v>22235.8</v>
      </c>
      <c r="E458" s="3">
        <v>0</v>
      </c>
      <c r="F458" s="3">
        <v>0</v>
      </c>
      <c r="G458" s="3">
        <v>0</v>
      </c>
      <c r="H458" s="3">
        <v>0</v>
      </c>
      <c r="I458" s="3">
        <v>11234.3</v>
      </c>
      <c r="J458" s="3">
        <v>7403.7</v>
      </c>
      <c r="K458" s="3">
        <v>3597.8</v>
      </c>
      <c r="L458" s="3">
        <v>0</v>
      </c>
      <c r="M458" s="3">
        <v>0</v>
      </c>
      <c r="N458" s="3">
        <v>0</v>
      </c>
      <c r="O458" s="3">
        <v>0</v>
      </c>
    </row>
    <row r="459" spans="1:15" ht="15.75" x14ac:dyDescent="0.2">
      <c r="A459" s="116"/>
      <c r="B459" s="140"/>
      <c r="C459" s="60" t="s">
        <v>12</v>
      </c>
      <c r="D459" s="3">
        <f t="shared" si="200"/>
        <v>1981.3999999999999</v>
      </c>
      <c r="E459" s="3">
        <v>0</v>
      </c>
      <c r="F459" s="3">
        <v>0</v>
      </c>
      <c r="G459" s="3">
        <v>0</v>
      </c>
      <c r="H459" s="3">
        <v>0</v>
      </c>
      <c r="I459" s="3">
        <f>1850-570.8</f>
        <v>1279.2</v>
      </c>
      <c r="J459" s="3">
        <f>3000-545.9-1981.5</f>
        <v>472.59999999999991</v>
      </c>
      <c r="K459" s="3">
        <v>229.6</v>
      </c>
      <c r="L459" s="3">
        <f>61.2-61.2</f>
        <v>0</v>
      </c>
      <c r="M459" s="3">
        <v>0</v>
      </c>
      <c r="N459" s="3">
        <v>0</v>
      </c>
      <c r="O459" s="3">
        <v>0</v>
      </c>
    </row>
    <row r="460" spans="1:15" ht="15" customHeight="1" x14ac:dyDescent="0.2">
      <c r="A460" s="116"/>
      <c r="B460" s="140"/>
      <c r="C460" s="60" t="s">
        <v>13</v>
      </c>
      <c r="D460" s="3">
        <f t="shared" si="200"/>
        <v>0</v>
      </c>
      <c r="E460" s="3">
        <v>0</v>
      </c>
      <c r="F460" s="3">
        <v>0</v>
      </c>
      <c r="G460" s="3">
        <v>0</v>
      </c>
      <c r="H460" s="3">
        <v>0</v>
      </c>
      <c r="I460" s="3">
        <v>0</v>
      </c>
      <c r="J460" s="3">
        <v>0</v>
      </c>
      <c r="K460" s="3">
        <v>0</v>
      </c>
      <c r="L460" s="3">
        <v>0</v>
      </c>
      <c r="M460" s="3">
        <v>0</v>
      </c>
      <c r="N460" s="3">
        <v>0</v>
      </c>
      <c r="O460" s="3">
        <v>0</v>
      </c>
    </row>
    <row r="461" spans="1:15" ht="15.75" hidden="1" x14ac:dyDescent="0.2">
      <c r="A461" s="116"/>
      <c r="B461" s="111" t="s">
        <v>289</v>
      </c>
      <c r="C461" s="84" t="s">
        <v>7</v>
      </c>
      <c r="D461" s="3">
        <f t="shared" si="200"/>
        <v>0</v>
      </c>
      <c r="E461" s="3">
        <f>E462+E463+E464+E465</f>
        <v>0</v>
      </c>
      <c r="F461" s="3">
        <f t="shared" ref="F461:O461" si="203">F462+F463+F464+F465</f>
        <v>0</v>
      </c>
      <c r="G461" s="3">
        <f t="shared" si="203"/>
        <v>0</v>
      </c>
      <c r="H461" s="3">
        <f t="shared" si="203"/>
        <v>0</v>
      </c>
      <c r="I461" s="3">
        <f t="shared" si="203"/>
        <v>0</v>
      </c>
      <c r="J461" s="3">
        <f t="shared" si="203"/>
        <v>0</v>
      </c>
      <c r="K461" s="3">
        <f t="shared" si="203"/>
        <v>0</v>
      </c>
      <c r="L461" s="3">
        <f t="shared" si="203"/>
        <v>0</v>
      </c>
      <c r="M461" s="3">
        <f t="shared" si="203"/>
        <v>0</v>
      </c>
      <c r="N461" s="3">
        <f t="shared" si="203"/>
        <v>0</v>
      </c>
      <c r="O461" s="3">
        <f t="shared" si="203"/>
        <v>0</v>
      </c>
    </row>
    <row r="462" spans="1:15" ht="15.75" hidden="1" x14ac:dyDescent="0.2">
      <c r="A462" s="116"/>
      <c r="B462" s="140"/>
      <c r="C462" s="60" t="s">
        <v>10</v>
      </c>
      <c r="D462" s="3">
        <f t="shared" si="200"/>
        <v>0</v>
      </c>
      <c r="E462" s="3">
        <v>0</v>
      </c>
      <c r="F462" s="3">
        <v>0</v>
      </c>
      <c r="G462" s="3">
        <v>0</v>
      </c>
      <c r="H462" s="3">
        <v>0</v>
      </c>
      <c r="I462" s="3">
        <v>0</v>
      </c>
      <c r="J462" s="3">
        <v>0</v>
      </c>
      <c r="K462" s="3">
        <v>0</v>
      </c>
      <c r="L462" s="3">
        <v>0</v>
      </c>
      <c r="M462" s="3">
        <v>0</v>
      </c>
      <c r="N462" s="3">
        <v>0</v>
      </c>
      <c r="O462" s="3">
        <v>0</v>
      </c>
    </row>
    <row r="463" spans="1:15" ht="15.75" hidden="1" x14ac:dyDescent="0.2">
      <c r="A463" s="116"/>
      <c r="B463" s="140"/>
      <c r="C463" s="60" t="s">
        <v>11</v>
      </c>
      <c r="D463" s="3">
        <f t="shared" si="200"/>
        <v>0</v>
      </c>
      <c r="E463" s="3">
        <v>0</v>
      </c>
      <c r="F463" s="3">
        <v>0</v>
      </c>
      <c r="G463" s="3">
        <v>0</v>
      </c>
      <c r="H463" s="3">
        <v>0</v>
      </c>
      <c r="I463" s="3">
        <v>0</v>
      </c>
      <c r="J463" s="3">
        <v>0</v>
      </c>
      <c r="K463" s="3">
        <v>0</v>
      </c>
      <c r="L463" s="3">
        <v>0</v>
      </c>
      <c r="M463" s="3">
        <v>0</v>
      </c>
      <c r="N463" s="3">
        <v>0</v>
      </c>
      <c r="O463" s="3">
        <v>0</v>
      </c>
    </row>
    <row r="464" spans="1:15" ht="15.75" hidden="1" x14ac:dyDescent="0.2">
      <c r="A464" s="116"/>
      <c r="B464" s="140"/>
      <c r="C464" s="60" t="s">
        <v>12</v>
      </c>
      <c r="D464" s="3">
        <f t="shared" si="200"/>
        <v>0</v>
      </c>
      <c r="E464" s="3">
        <v>0</v>
      </c>
      <c r="F464" s="3">
        <v>0</v>
      </c>
      <c r="G464" s="3">
        <v>0</v>
      </c>
      <c r="H464" s="3">
        <v>0</v>
      </c>
      <c r="I464" s="3">
        <v>0</v>
      </c>
      <c r="J464" s="3">
        <v>0</v>
      </c>
      <c r="K464" s="3">
        <v>0</v>
      </c>
      <c r="L464" s="3">
        <v>0</v>
      </c>
      <c r="M464" s="3">
        <v>0</v>
      </c>
      <c r="N464" s="3">
        <v>0</v>
      </c>
      <c r="O464" s="3">
        <f>N464*104%</f>
        <v>0</v>
      </c>
    </row>
    <row r="465" spans="1:15" ht="18" hidden="1" customHeight="1" x14ac:dyDescent="0.2">
      <c r="A465" s="116"/>
      <c r="B465" s="140"/>
      <c r="C465" s="60" t="s">
        <v>13</v>
      </c>
      <c r="D465" s="3">
        <f t="shared" si="200"/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</row>
    <row r="466" spans="1:15" ht="18" customHeight="1" x14ac:dyDescent="0.2">
      <c r="A466" s="116" t="s">
        <v>291</v>
      </c>
      <c r="B466" s="146" t="s">
        <v>404</v>
      </c>
      <c r="C466" s="84" t="s">
        <v>7</v>
      </c>
      <c r="D466" s="3">
        <f t="shared" si="200"/>
        <v>1052.5999999999999</v>
      </c>
      <c r="E466" s="3">
        <f>E467+E468+E469+E470</f>
        <v>0</v>
      </c>
      <c r="F466" s="3">
        <f t="shared" ref="F466:O466" si="204">F467+F468+F469+F470</f>
        <v>0</v>
      </c>
      <c r="G466" s="3">
        <f t="shared" si="204"/>
        <v>0</v>
      </c>
      <c r="H466" s="3">
        <f t="shared" si="204"/>
        <v>0</v>
      </c>
      <c r="I466" s="3">
        <f t="shared" si="204"/>
        <v>0</v>
      </c>
      <c r="J466" s="3">
        <f t="shared" si="204"/>
        <v>0</v>
      </c>
      <c r="K466" s="3">
        <f t="shared" si="204"/>
        <v>1052.5999999999999</v>
      </c>
      <c r="L466" s="3">
        <f t="shared" si="204"/>
        <v>0</v>
      </c>
      <c r="M466" s="3">
        <f t="shared" si="204"/>
        <v>0</v>
      </c>
      <c r="N466" s="3">
        <f t="shared" si="204"/>
        <v>0</v>
      </c>
      <c r="O466" s="3">
        <f t="shared" si="204"/>
        <v>0</v>
      </c>
    </row>
    <row r="467" spans="1:15" ht="18" customHeight="1" x14ac:dyDescent="0.2">
      <c r="A467" s="116"/>
      <c r="B467" s="147"/>
      <c r="C467" s="60" t="s">
        <v>10</v>
      </c>
      <c r="D467" s="3">
        <f t="shared" si="200"/>
        <v>0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3">
        <v>0</v>
      </c>
      <c r="M467" s="3">
        <v>0</v>
      </c>
      <c r="N467" s="3">
        <v>0</v>
      </c>
      <c r="O467" s="3">
        <v>0</v>
      </c>
    </row>
    <row r="468" spans="1:15" ht="18" customHeight="1" x14ac:dyDescent="0.2">
      <c r="A468" s="116"/>
      <c r="B468" s="147"/>
      <c r="C468" s="60" t="s">
        <v>11</v>
      </c>
      <c r="D468" s="3">
        <f t="shared" si="200"/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</row>
    <row r="469" spans="1:15" ht="18" customHeight="1" x14ac:dyDescent="0.2">
      <c r="A469" s="116"/>
      <c r="B469" s="147"/>
      <c r="C469" s="60" t="s">
        <v>12</v>
      </c>
      <c r="D469" s="3">
        <f t="shared" si="200"/>
        <v>1052.5999999999999</v>
      </c>
      <c r="E469" s="3">
        <v>0</v>
      </c>
      <c r="F469" s="3">
        <v>0</v>
      </c>
      <c r="G469" s="3">
        <v>0</v>
      </c>
      <c r="H469" s="3">
        <v>0</v>
      </c>
      <c r="I469" s="3">
        <v>0</v>
      </c>
      <c r="J469" s="3">
        <v>0</v>
      </c>
      <c r="K469" s="3">
        <v>1052.5999999999999</v>
      </c>
      <c r="L469" s="3">
        <v>0</v>
      </c>
      <c r="M469" s="3">
        <v>0</v>
      </c>
      <c r="N469" s="3">
        <v>0</v>
      </c>
      <c r="O469" s="3">
        <v>0</v>
      </c>
    </row>
    <row r="470" spans="1:15" ht="33" customHeight="1" x14ac:dyDescent="0.2">
      <c r="A470" s="116"/>
      <c r="B470" s="148"/>
      <c r="C470" s="60" t="s">
        <v>13</v>
      </c>
      <c r="D470" s="3">
        <f t="shared" si="200"/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</row>
    <row r="471" spans="1:15" ht="18" customHeight="1" x14ac:dyDescent="0.2">
      <c r="A471" s="116" t="s">
        <v>435</v>
      </c>
      <c r="B471" s="105" t="s">
        <v>434</v>
      </c>
      <c r="C471" s="84" t="s">
        <v>7</v>
      </c>
      <c r="D471" s="1">
        <f t="shared" si="200"/>
        <v>1285.4000000000003</v>
      </c>
      <c r="E471" s="3">
        <f>E472+E473+E474+E475</f>
        <v>0</v>
      </c>
      <c r="F471" s="3">
        <f t="shared" ref="F471:H471" si="205">F472+F473+F474+F475</f>
        <v>0</v>
      </c>
      <c r="G471" s="3">
        <f t="shared" si="205"/>
        <v>0</v>
      </c>
      <c r="H471" s="3">
        <f t="shared" si="205"/>
        <v>0</v>
      </c>
      <c r="I471" s="3">
        <f>I472+I473+I474+I475</f>
        <v>0</v>
      </c>
      <c r="J471" s="3">
        <f t="shared" ref="J471:O471" si="206">J472+J473+J474+J475</f>
        <v>0</v>
      </c>
      <c r="K471" s="3">
        <f t="shared" si="206"/>
        <v>0</v>
      </c>
      <c r="L471" s="3">
        <f t="shared" si="206"/>
        <v>1285.4000000000003</v>
      </c>
      <c r="M471" s="3">
        <f t="shared" si="206"/>
        <v>0</v>
      </c>
      <c r="N471" s="3">
        <f t="shared" si="206"/>
        <v>0</v>
      </c>
      <c r="O471" s="3">
        <f t="shared" si="206"/>
        <v>0</v>
      </c>
    </row>
    <row r="472" spans="1:15" ht="18" customHeight="1" x14ac:dyDescent="0.2">
      <c r="A472" s="116"/>
      <c r="B472" s="106"/>
      <c r="C472" s="60" t="s">
        <v>10</v>
      </c>
      <c r="D472" s="1">
        <f t="shared" si="200"/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v>0</v>
      </c>
    </row>
    <row r="473" spans="1:15" ht="18" customHeight="1" x14ac:dyDescent="0.2">
      <c r="A473" s="116"/>
      <c r="B473" s="106"/>
      <c r="C473" s="60" t="s">
        <v>11</v>
      </c>
      <c r="D473" s="1">
        <f>E473+F473+G473+H473+I473+J473+K473+L473+M473+N473+O473</f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</row>
    <row r="474" spans="1:15" ht="18" customHeight="1" x14ac:dyDescent="0.2">
      <c r="A474" s="116"/>
      <c r="B474" s="106"/>
      <c r="C474" s="60" t="s">
        <v>12</v>
      </c>
      <c r="D474" s="1">
        <f t="shared" ref="D474:D475" si="207">E474+F474+G474+H474+I474+J474+K474+L474+M474+N474+O474</f>
        <v>1285.4000000000003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f>2677.9-256.7-1135.8</f>
        <v>1285.4000000000003</v>
      </c>
      <c r="M474" s="3">
        <v>0</v>
      </c>
      <c r="N474" s="3">
        <v>0</v>
      </c>
      <c r="O474" s="3">
        <v>0</v>
      </c>
    </row>
    <row r="475" spans="1:15" ht="38.25" customHeight="1" x14ac:dyDescent="0.2">
      <c r="A475" s="116"/>
      <c r="B475" s="107"/>
      <c r="C475" s="60" t="s">
        <v>13</v>
      </c>
      <c r="D475" s="1">
        <f t="shared" si="207"/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  <c r="O475" s="3">
        <v>0</v>
      </c>
    </row>
    <row r="476" spans="1:15" ht="15.75" x14ac:dyDescent="0.2">
      <c r="A476" s="116" t="s">
        <v>312</v>
      </c>
      <c r="B476" s="111" t="s">
        <v>369</v>
      </c>
      <c r="C476" s="84" t="s">
        <v>7</v>
      </c>
      <c r="D476" s="3">
        <f t="shared" si="200"/>
        <v>424805.23</v>
      </c>
      <c r="E476" s="3">
        <f>E477+E478+E479+E480</f>
        <v>0</v>
      </c>
      <c r="F476" s="3">
        <f t="shared" ref="F476:O476" si="208">F477+F478+F479+F480</f>
        <v>0</v>
      </c>
      <c r="G476" s="3">
        <f t="shared" si="208"/>
        <v>0</v>
      </c>
      <c r="H476" s="3">
        <f t="shared" si="208"/>
        <v>0</v>
      </c>
      <c r="I476" s="3">
        <f t="shared" si="208"/>
        <v>0</v>
      </c>
      <c r="J476" s="3">
        <f t="shared" si="208"/>
        <v>208238.7</v>
      </c>
      <c r="K476" s="3">
        <f>K477+K478+K479+K480</f>
        <v>216566.53</v>
      </c>
      <c r="L476" s="3">
        <f t="shared" si="208"/>
        <v>0</v>
      </c>
      <c r="M476" s="3">
        <f t="shared" si="208"/>
        <v>0</v>
      </c>
      <c r="N476" s="3">
        <f t="shared" si="208"/>
        <v>0</v>
      </c>
      <c r="O476" s="3">
        <f t="shared" si="208"/>
        <v>0</v>
      </c>
    </row>
    <row r="477" spans="1:15" ht="15.75" x14ac:dyDescent="0.2">
      <c r="A477" s="116"/>
      <c r="B477" s="140"/>
      <c r="C477" s="60" t="s">
        <v>10</v>
      </c>
      <c r="D477" s="3">
        <f t="shared" si="200"/>
        <v>115023.2</v>
      </c>
      <c r="E477" s="3">
        <f t="shared" ref="E477:O477" si="209">E482+E487</f>
        <v>0</v>
      </c>
      <c r="F477" s="3">
        <f t="shared" si="209"/>
        <v>0</v>
      </c>
      <c r="G477" s="3">
        <f t="shared" si="209"/>
        <v>0</v>
      </c>
      <c r="H477" s="3">
        <f t="shared" si="209"/>
        <v>0</v>
      </c>
      <c r="I477" s="3">
        <f t="shared" si="209"/>
        <v>0</v>
      </c>
      <c r="J477" s="3">
        <f t="shared" si="209"/>
        <v>0</v>
      </c>
      <c r="K477" s="3">
        <f t="shared" si="209"/>
        <v>115023.2</v>
      </c>
      <c r="L477" s="3">
        <f t="shared" si="209"/>
        <v>0</v>
      </c>
      <c r="M477" s="3">
        <f t="shared" si="209"/>
        <v>0</v>
      </c>
      <c r="N477" s="3">
        <f t="shared" si="209"/>
        <v>0</v>
      </c>
      <c r="O477" s="3">
        <f t="shared" si="209"/>
        <v>0</v>
      </c>
    </row>
    <row r="478" spans="1:15" ht="15.75" x14ac:dyDescent="0.2">
      <c r="A478" s="116"/>
      <c r="B478" s="140"/>
      <c r="C478" s="60" t="s">
        <v>11</v>
      </c>
      <c r="D478" s="3">
        <f t="shared" si="200"/>
        <v>287838.81</v>
      </c>
      <c r="E478" s="3">
        <f>E483+E488</f>
        <v>0</v>
      </c>
      <c r="F478" s="3">
        <f t="shared" ref="F478:O478" si="210">F483+F488</f>
        <v>0</v>
      </c>
      <c r="G478" s="3">
        <f t="shared" si="210"/>
        <v>0</v>
      </c>
      <c r="H478" s="3">
        <f t="shared" si="210"/>
        <v>0</v>
      </c>
      <c r="I478" s="3">
        <f t="shared" si="210"/>
        <v>0</v>
      </c>
      <c r="J478" s="3">
        <f t="shared" si="210"/>
        <v>193000</v>
      </c>
      <c r="K478" s="3">
        <f t="shared" si="210"/>
        <v>94838.81</v>
      </c>
      <c r="L478" s="3">
        <f t="shared" si="210"/>
        <v>0</v>
      </c>
      <c r="M478" s="3">
        <f t="shared" si="210"/>
        <v>0</v>
      </c>
      <c r="N478" s="3">
        <f t="shared" si="210"/>
        <v>0</v>
      </c>
      <c r="O478" s="3">
        <f t="shared" si="210"/>
        <v>0</v>
      </c>
    </row>
    <row r="479" spans="1:15" ht="15.75" x14ac:dyDescent="0.2">
      <c r="A479" s="116"/>
      <c r="B479" s="140"/>
      <c r="C479" s="60" t="s">
        <v>12</v>
      </c>
      <c r="D479" s="3">
        <f t="shared" si="200"/>
        <v>21943.22</v>
      </c>
      <c r="E479" s="3">
        <f>E484+E489</f>
        <v>0</v>
      </c>
      <c r="F479" s="3">
        <f t="shared" ref="F479:O479" si="211">F484+F489</f>
        <v>0</v>
      </c>
      <c r="G479" s="3">
        <f t="shared" si="211"/>
        <v>0</v>
      </c>
      <c r="H479" s="3">
        <f t="shared" si="211"/>
        <v>0</v>
      </c>
      <c r="I479" s="3">
        <f t="shared" si="211"/>
        <v>0</v>
      </c>
      <c r="J479" s="3">
        <f t="shared" si="211"/>
        <v>15238.7</v>
      </c>
      <c r="K479" s="3">
        <f>K484+K489+K494</f>
        <v>6704.52</v>
      </c>
      <c r="L479" s="3">
        <f t="shared" si="211"/>
        <v>0</v>
      </c>
      <c r="M479" s="3">
        <f t="shared" si="211"/>
        <v>0</v>
      </c>
      <c r="N479" s="3">
        <f t="shared" si="211"/>
        <v>0</v>
      </c>
      <c r="O479" s="3">
        <f t="shared" si="211"/>
        <v>0</v>
      </c>
    </row>
    <row r="480" spans="1:15" ht="15.75" x14ac:dyDescent="0.2">
      <c r="A480" s="116"/>
      <c r="B480" s="140"/>
      <c r="C480" s="60" t="s">
        <v>13</v>
      </c>
      <c r="D480" s="3">
        <f t="shared" si="200"/>
        <v>0</v>
      </c>
      <c r="E480" s="3">
        <f>E485+E490</f>
        <v>0</v>
      </c>
      <c r="F480" s="3">
        <f t="shared" ref="F480:O480" si="212">F485+F490</f>
        <v>0</v>
      </c>
      <c r="G480" s="3">
        <f t="shared" si="212"/>
        <v>0</v>
      </c>
      <c r="H480" s="3">
        <f t="shared" si="212"/>
        <v>0</v>
      </c>
      <c r="I480" s="3">
        <f t="shared" si="212"/>
        <v>0</v>
      </c>
      <c r="J480" s="3">
        <f t="shared" si="212"/>
        <v>0</v>
      </c>
      <c r="K480" s="3">
        <f t="shared" si="212"/>
        <v>0</v>
      </c>
      <c r="L480" s="3">
        <f t="shared" si="212"/>
        <v>0</v>
      </c>
      <c r="M480" s="3">
        <f t="shared" si="212"/>
        <v>0</v>
      </c>
      <c r="N480" s="3">
        <f t="shared" si="212"/>
        <v>0</v>
      </c>
      <c r="O480" s="3">
        <f t="shared" si="212"/>
        <v>0</v>
      </c>
    </row>
    <row r="481" spans="1:15" ht="29.25" customHeight="1" x14ac:dyDescent="0.2">
      <c r="A481" s="116" t="s">
        <v>332</v>
      </c>
      <c r="B481" s="111" t="s">
        <v>399</v>
      </c>
      <c r="C481" s="84" t="s">
        <v>7</v>
      </c>
      <c r="D481" s="1">
        <f t="shared" si="200"/>
        <v>420220.53</v>
      </c>
      <c r="E481" s="1">
        <f>E482+E483+E484+E485</f>
        <v>0</v>
      </c>
      <c r="F481" s="1">
        <f t="shared" ref="F481:O481" si="213">F482+F483+F484+F485</f>
        <v>0</v>
      </c>
      <c r="G481" s="1">
        <f t="shared" si="213"/>
        <v>0</v>
      </c>
      <c r="H481" s="1">
        <f t="shared" si="213"/>
        <v>0</v>
      </c>
      <c r="I481" s="1">
        <f t="shared" si="213"/>
        <v>0</v>
      </c>
      <c r="J481" s="1">
        <f t="shared" si="213"/>
        <v>208238.7</v>
      </c>
      <c r="K481" s="1">
        <f t="shared" si="213"/>
        <v>211981.83000000002</v>
      </c>
      <c r="L481" s="1">
        <f t="shared" si="213"/>
        <v>0</v>
      </c>
      <c r="M481" s="1">
        <f t="shared" si="213"/>
        <v>0</v>
      </c>
      <c r="N481" s="1">
        <f t="shared" si="213"/>
        <v>0</v>
      </c>
      <c r="O481" s="1">
        <f t="shared" si="213"/>
        <v>0</v>
      </c>
    </row>
    <row r="482" spans="1:15" ht="24" customHeight="1" x14ac:dyDescent="0.2">
      <c r="A482" s="116"/>
      <c r="B482" s="140"/>
      <c r="C482" s="60" t="s">
        <v>10</v>
      </c>
      <c r="D482" s="1">
        <f t="shared" si="200"/>
        <v>115023.2</v>
      </c>
      <c r="E482" s="1">
        <v>0</v>
      </c>
      <c r="F482" s="1">
        <v>0</v>
      </c>
      <c r="G482" s="1">
        <v>0</v>
      </c>
      <c r="H482" s="1">
        <v>0</v>
      </c>
      <c r="I482" s="1">
        <v>0</v>
      </c>
      <c r="J482" s="1">
        <v>0</v>
      </c>
      <c r="K482" s="1">
        <v>115023.2</v>
      </c>
      <c r="L482" s="1">
        <v>0</v>
      </c>
      <c r="M482" s="1">
        <v>0</v>
      </c>
      <c r="N482" s="1">
        <v>0</v>
      </c>
      <c r="O482" s="1">
        <v>0</v>
      </c>
    </row>
    <row r="483" spans="1:15" ht="24" customHeight="1" x14ac:dyDescent="0.2">
      <c r="A483" s="116"/>
      <c r="B483" s="140"/>
      <c r="C483" s="60" t="s">
        <v>11</v>
      </c>
      <c r="D483" s="1">
        <f t="shared" si="200"/>
        <v>287838.81</v>
      </c>
      <c r="E483" s="1">
        <v>0</v>
      </c>
      <c r="F483" s="1">
        <v>0</v>
      </c>
      <c r="G483" s="1">
        <v>0</v>
      </c>
      <c r="H483" s="1">
        <v>0</v>
      </c>
      <c r="I483" s="1">
        <v>0</v>
      </c>
      <c r="J483" s="1">
        <v>193000</v>
      </c>
      <c r="K483" s="1">
        <v>94838.81</v>
      </c>
      <c r="L483" s="1">
        <v>0</v>
      </c>
      <c r="M483" s="1">
        <v>0</v>
      </c>
      <c r="N483" s="1">
        <v>0</v>
      </c>
      <c r="O483" s="1">
        <v>0</v>
      </c>
    </row>
    <row r="484" spans="1:15" ht="20.25" customHeight="1" x14ac:dyDescent="0.2">
      <c r="A484" s="116"/>
      <c r="B484" s="140"/>
      <c r="C484" s="60" t="s">
        <v>12</v>
      </c>
      <c r="D484" s="1">
        <f t="shared" si="200"/>
        <v>17358.52</v>
      </c>
      <c r="E484" s="1">
        <v>0</v>
      </c>
      <c r="F484" s="1">
        <v>0</v>
      </c>
      <c r="G484" s="1">
        <v>0</v>
      </c>
      <c r="H484" s="1">
        <v>0</v>
      </c>
      <c r="I484" s="1">
        <v>0</v>
      </c>
      <c r="J484" s="1">
        <f>12319.1+2918+1.6</f>
        <v>15238.7</v>
      </c>
      <c r="K484" s="1">
        <v>2119.8200000000002</v>
      </c>
      <c r="L484" s="1">
        <v>0</v>
      </c>
      <c r="M484" s="1">
        <v>0</v>
      </c>
      <c r="N484" s="1">
        <v>0</v>
      </c>
      <c r="O484" s="1">
        <v>0</v>
      </c>
    </row>
    <row r="485" spans="1:15" ht="30.75" customHeight="1" x14ac:dyDescent="0.2">
      <c r="A485" s="116"/>
      <c r="B485" s="140"/>
      <c r="C485" s="60" t="s">
        <v>13</v>
      </c>
      <c r="D485" s="1">
        <f t="shared" si="200"/>
        <v>0</v>
      </c>
      <c r="E485" s="1">
        <v>0</v>
      </c>
      <c r="F485" s="1">
        <v>0</v>
      </c>
      <c r="G485" s="1">
        <v>0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</row>
    <row r="486" spans="1:15" ht="25.5" customHeight="1" x14ac:dyDescent="0.2">
      <c r="A486" s="105" t="s">
        <v>376</v>
      </c>
      <c r="B486" s="111" t="s">
        <v>422</v>
      </c>
      <c r="C486" s="84" t="s">
        <v>7</v>
      </c>
      <c r="D486" s="1">
        <f>E486+F486+G486+H486+I486+J486+K486+L486+M486+N486+O486</f>
        <v>4584.7</v>
      </c>
      <c r="E486" s="1">
        <f>E487+E488+E489+E490</f>
        <v>0</v>
      </c>
      <c r="F486" s="1">
        <f t="shared" ref="F486:O486" si="214">F487+F488+F489+F490</f>
        <v>0</v>
      </c>
      <c r="G486" s="1">
        <f t="shared" si="214"/>
        <v>0</v>
      </c>
      <c r="H486" s="1">
        <f t="shared" si="214"/>
        <v>0</v>
      </c>
      <c r="I486" s="1">
        <f t="shared" si="214"/>
        <v>0</v>
      </c>
      <c r="J486" s="1">
        <f t="shared" si="214"/>
        <v>0</v>
      </c>
      <c r="K486" s="1">
        <f t="shared" si="214"/>
        <v>4584.7</v>
      </c>
      <c r="L486" s="1">
        <f t="shared" si="214"/>
        <v>0</v>
      </c>
      <c r="M486" s="1">
        <f t="shared" si="214"/>
        <v>0</v>
      </c>
      <c r="N486" s="1">
        <f t="shared" si="214"/>
        <v>0</v>
      </c>
      <c r="O486" s="1">
        <f t="shared" si="214"/>
        <v>0</v>
      </c>
    </row>
    <row r="487" spans="1:15" ht="25.5" customHeight="1" x14ac:dyDescent="0.2">
      <c r="A487" s="106"/>
      <c r="B487" s="140"/>
      <c r="C487" s="60" t="s">
        <v>10</v>
      </c>
      <c r="D487" s="1">
        <f t="shared" ref="D487:D495" si="215">E487+F487+G487+H487+I487+J487+K487+L487+M487+N487+O487</f>
        <v>0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</row>
    <row r="488" spans="1:15" ht="25.5" customHeight="1" x14ac:dyDescent="0.2">
      <c r="A488" s="106"/>
      <c r="B488" s="140"/>
      <c r="C488" s="60" t="s">
        <v>11</v>
      </c>
      <c r="D488" s="1">
        <f t="shared" si="215"/>
        <v>0</v>
      </c>
      <c r="E488" s="1">
        <v>0</v>
      </c>
      <c r="F488" s="1">
        <v>0</v>
      </c>
      <c r="G488" s="1">
        <v>0</v>
      </c>
      <c r="H488" s="1">
        <v>0</v>
      </c>
      <c r="I488" s="1">
        <v>0</v>
      </c>
      <c r="J488" s="1">
        <v>0</v>
      </c>
      <c r="K488" s="1">
        <v>0</v>
      </c>
      <c r="L488" s="1">
        <v>0</v>
      </c>
      <c r="M488" s="1">
        <v>0</v>
      </c>
      <c r="N488" s="1">
        <v>0</v>
      </c>
      <c r="O488" s="1">
        <v>0</v>
      </c>
    </row>
    <row r="489" spans="1:15" ht="25.5" customHeight="1" x14ac:dyDescent="0.2">
      <c r="A489" s="106"/>
      <c r="B489" s="140"/>
      <c r="C489" s="60" t="s">
        <v>12</v>
      </c>
      <c r="D489" s="1">
        <f t="shared" si="215"/>
        <v>4584.7</v>
      </c>
      <c r="E489" s="1">
        <v>0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  <c r="K489" s="1">
        <f>4584.7</f>
        <v>4584.7</v>
      </c>
      <c r="L489" s="1">
        <v>0</v>
      </c>
      <c r="M489" s="1">
        <v>0</v>
      </c>
      <c r="N489" s="1">
        <v>0</v>
      </c>
      <c r="O489" s="1">
        <v>0</v>
      </c>
    </row>
    <row r="490" spans="1:15" ht="25.5" customHeight="1" x14ac:dyDescent="0.2">
      <c r="A490" s="107"/>
      <c r="B490" s="140"/>
      <c r="C490" s="60" t="s">
        <v>13</v>
      </c>
      <c r="D490" s="1">
        <f t="shared" si="215"/>
        <v>0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</v>
      </c>
      <c r="L490" s="1">
        <v>0</v>
      </c>
      <c r="M490" s="1">
        <v>0</v>
      </c>
      <c r="N490" s="1">
        <v>0</v>
      </c>
      <c r="O490" s="1">
        <v>0</v>
      </c>
    </row>
    <row r="491" spans="1:15" ht="25.5" hidden="1" customHeight="1" x14ac:dyDescent="0.2">
      <c r="A491" s="105"/>
      <c r="B491" s="111" t="s">
        <v>400</v>
      </c>
      <c r="C491" s="84" t="s">
        <v>7</v>
      </c>
      <c r="D491" s="1">
        <f>E491+F491+G491+H491+I491+J491+K491+L491+M491+N491+O491</f>
        <v>0</v>
      </c>
      <c r="E491" s="1">
        <f>E492+E493+E494+E495</f>
        <v>0</v>
      </c>
      <c r="F491" s="1">
        <f t="shared" ref="F491:O491" si="216">F492+F493+F494+F495</f>
        <v>0</v>
      </c>
      <c r="G491" s="1">
        <f t="shared" si="216"/>
        <v>0</v>
      </c>
      <c r="H491" s="1">
        <f t="shared" si="216"/>
        <v>0</v>
      </c>
      <c r="I491" s="1">
        <f t="shared" si="216"/>
        <v>0</v>
      </c>
      <c r="J491" s="1">
        <f t="shared" si="216"/>
        <v>0</v>
      </c>
      <c r="K491" s="1">
        <f t="shared" si="216"/>
        <v>0</v>
      </c>
      <c r="L491" s="1">
        <f t="shared" si="216"/>
        <v>0</v>
      </c>
      <c r="M491" s="1">
        <f t="shared" si="216"/>
        <v>0</v>
      </c>
      <c r="N491" s="1">
        <f t="shared" si="216"/>
        <v>0</v>
      </c>
      <c r="O491" s="1">
        <f t="shared" si="216"/>
        <v>0</v>
      </c>
    </row>
    <row r="492" spans="1:15" ht="25.5" hidden="1" customHeight="1" x14ac:dyDescent="0.2">
      <c r="A492" s="106"/>
      <c r="B492" s="140"/>
      <c r="C492" s="60" t="s">
        <v>10</v>
      </c>
      <c r="D492" s="1">
        <f t="shared" si="215"/>
        <v>0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</row>
    <row r="493" spans="1:15" ht="25.5" hidden="1" customHeight="1" x14ac:dyDescent="0.2">
      <c r="A493" s="106"/>
      <c r="B493" s="140"/>
      <c r="C493" s="60" t="s">
        <v>11</v>
      </c>
      <c r="D493" s="1">
        <f t="shared" si="215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15" ht="25.5" hidden="1" customHeight="1" x14ac:dyDescent="0.2">
      <c r="A494" s="106"/>
      <c r="B494" s="140"/>
      <c r="C494" s="60" t="s">
        <v>12</v>
      </c>
      <c r="D494" s="1">
        <f t="shared" si="215"/>
        <v>0</v>
      </c>
      <c r="E494" s="1">
        <v>0</v>
      </c>
      <c r="F494" s="1">
        <v>0</v>
      </c>
      <c r="G494" s="1">
        <v>0</v>
      </c>
      <c r="H494" s="1">
        <v>0</v>
      </c>
      <c r="I494" s="1">
        <v>0</v>
      </c>
      <c r="J494" s="1">
        <v>0</v>
      </c>
      <c r="K494" s="1">
        <f>1800-1800</f>
        <v>0</v>
      </c>
      <c r="L494" s="1">
        <v>0</v>
      </c>
      <c r="M494" s="1">
        <v>0</v>
      </c>
      <c r="N494" s="1">
        <v>0</v>
      </c>
      <c r="O494" s="1">
        <v>0</v>
      </c>
    </row>
    <row r="495" spans="1:15" ht="23.25" hidden="1" customHeight="1" x14ac:dyDescent="0.2">
      <c r="A495" s="107"/>
      <c r="B495" s="140"/>
      <c r="C495" s="60" t="s">
        <v>13</v>
      </c>
      <c r="D495" s="1">
        <f t="shared" si="215"/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5" ht="15.75" x14ac:dyDescent="0.2">
      <c r="A496" s="116" t="s">
        <v>317</v>
      </c>
      <c r="B496" s="111" t="s">
        <v>370</v>
      </c>
      <c r="C496" s="84" t="s">
        <v>7</v>
      </c>
      <c r="D496" s="3">
        <f t="shared" si="200"/>
        <v>71929.2</v>
      </c>
      <c r="E496" s="3">
        <f t="shared" ref="E496:O496" si="217">E497+E498+E500+E502</f>
        <v>0</v>
      </c>
      <c r="F496" s="3">
        <f t="shared" si="217"/>
        <v>0</v>
      </c>
      <c r="G496" s="3">
        <f t="shared" si="217"/>
        <v>0</v>
      </c>
      <c r="H496" s="3">
        <f t="shared" si="217"/>
        <v>0</v>
      </c>
      <c r="I496" s="3">
        <f t="shared" si="217"/>
        <v>0</v>
      </c>
      <c r="J496" s="3">
        <f t="shared" si="217"/>
        <v>0</v>
      </c>
      <c r="K496" s="3">
        <f t="shared" si="217"/>
        <v>25529.200000000001</v>
      </c>
      <c r="L496" s="3">
        <f t="shared" si="217"/>
        <v>23200</v>
      </c>
      <c r="M496" s="3">
        <f t="shared" si="217"/>
        <v>23200</v>
      </c>
      <c r="N496" s="3">
        <f t="shared" si="217"/>
        <v>0</v>
      </c>
      <c r="O496" s="3">
        <f t="shared" si="217"/>
        <v>0</v>
      </c>
    </row>
    <row r="497" spans="1:23" ht="15.75" x14ac:dyDescent="0.2">
      <c r="A497" s="116"/>
      <c r="B497" s="140"/>
      <c r="C497" s="60" t="s">
        <v>10</v>
      </c>
      <c r="D497" s="3">
        <f t="shared" si="200"/>
        <v>0</v>
      </c>
      <c r="E497" s="3">
        <f>E504+E509</f>
        <v>0</v>
      </c>
      <c r="F497" s="3">
        <f t="shared" ref="F497:O497" si="218">F504+F509</f>
        <v>0</v>
      </c>
      <c r="G497" s="3">
        <f t="shared" si="218"/>
        <v>0</v>
      </c>
      <c r="H497" s="3">
        <f t="shared" si="218"/>
        <v>0</v>
      </c>
      <c r="I497" s="3">
        <f t="shared" si="218"/>
        <v>0</v>
      </c>
      <c r="J497" s="3">
        <f t="shared" si="218"/>
        <v>0</v>
      </c>
      <c r="K497" s="3">
        <f t="shared" si="218"/>
        <v>0</v>
      </c>
      <c r="L497" s="3">
        <f t="shared" si="218"/>
        <v>0</v>
      </c>
      <c r="M497" s="3">
        <f t="shared" si="218"/>
        <v>0</v>
      </c>
      <c r="N497" s="3">
        <f t="shared" si="218"/>
        <v>0</v>
      </c>
      <c r="O497" s="3">
        <f t="shared" si="218"/>
        <v>0</v>
      </c>
    </row>
    <row r="498" spans="1:23" ht="31.5" x14ac:dyDescent="0.2">
      <c r="A498" s="116"/>
      <c r="B498" s="140"/>
      <c r="C498" s="96" t="s">
        <v>69</v>
      </c>
      <c r="D498" s="3">
        <f t="shared" si="200"/>
        <v>67613.399999999994</v>
      </c>
      <c r="E498" s="3">
        <f>E505+E510</f>
        <v>0</v>
      </c>
      <c r="F498" s="3">
        <f t="shared" ref="F498:O498" si="219">F505+F510</f>
        <v>0</v>
      </c>
      <c r="G498" s="3">
        <f t="shared" si="219"/>
        <v>0</v>
      </c>
      <c r="H498" s="3">
        <f t="shared" si="219"/>
        <v>0</v>
      </c>
      <c r="I498" s="3">
        <f t="shared" si="219"/>
        <v>0</v>
      </c>
      <c r="J498" s="3">
        <f t="shared" si="219"/>
        <v>0</v>
      </c>
      <c r="K498" s="3">
        <f t="shared" si="219"/>
        <v>23997.4</v>
      </c>
      <c r="L498" s="3">
        <f t="shared" si="219"/>
        <v>21808</v>
      </c>
      <c r="M498" s="3">
        <f t="shared" si="219"/>
        <v>21808</v>
      </c>
      <c r="N498" s="3">
        <f t="shared" si="219"/>
        <v>0</v>
      </c>
      <c r="O498" s="3">
        <f t="shared" si="219"/>
        <v>0</v>
      </c>
    </row>
    <row r="499" spans="1:23" ht="39.75" customHeight="1" x14ac:dyDescent="0.2">
      <c r="A499" s="116"/>
      <c r="B499" s="140"/>
      <c r="C499" s="100" t="s">
        <v>81</v>
      </c>
      <c r="D499" s="74">
        <f t="shared" si="200"/>
        <v>43616</v>
      </c>
      <c r="E499" s="99">
        <v>0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21808</v>
      </c>
      <c r="M499" s="99">
        <v>21808</v>
      </c>
      <c r="N499" s="99">
        <v>0</v>
      </c>
      <c r="O499" s="99">
        <v>0</v>
      </c>
    </row>
    <row r="500" spans="1:23" ht="31.5" x14ac:dyDescent="0.2">
      <c r="A500" s="116"/>
      <c r="B500" s="140"/>
      <c r="C500" s="97" t="s">
        <v>65</v>
      </c>
      <c r="D500" s="3">
        <f t="shared" si="200"/>
        <v>4315.8</v>
      </c>
      <c r="E500" s="3">
        <f>E506+E512</f>
        <v>0</v>
      </c>
      <c r="F500" s="3">
        <f t="shared" ref="F500:O500" si="220">F506+F512</f>
        <v>0</v>
      </c>
      <c r="G500" s="3">
        <f t="shared" si="220"/>
        <v>0</v>
      </c>
      <c r="H500" s="3">
        <f t="shared" si="220"/>
        <v>0</v>
      </c>
      <c r="I500" s="3">
        <f t="shared" si="220"/>
        <v>0</v>
      </c>
      <c r="J500" s="3">
        <f t="shared" si="220"/>
        <v>0</v>
      </c>
      <c r="K500" s="3">
        <f t="shared" si="220"/>
        <v>1531.8</v>
      </c>
      <c r="L500" s="3">
        <f t="shared" si="220"/>
        <v>1392</v>
      </c>
      <c r="M500" s="3">
        <f t="shared" si="220"/>
        <v>1392</v>
      </c>
      <c r="N500" s="3">
        <f t="shared" si="220"/>
        <v>0</v>
      </c>
      <c r="O500" s="3">
        <f t="shared" si="220"/>
        <v>0</v>
      </c>
    </row>
    <row r="501" spans="1:23" ht="31.5" x14ac:dyDescent="0.2">
      <c r="A501" s="116"/>
      <c r="B501" s="140"/>
      <c r="C501" s="100" t="s">
        <v>449</v>
      </c>
      <c r="D501" s="74">
        <f t="shared" si="200"/>
        <v>2784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99">
        <v>0</v>
      </c>
      <c r="L501" s="99">
        <v>1392</v>
      </c>
      <c r="M501" s="99">
        <v>1392</v>
      </c>
      <c r="N501" s="99">
        <v>0</v>
      </c>
      <c r="O501" s="99">
        <v>0</v>
      </c>
    </row>
    <row r="502" spans="1:23" ht="32.25" customHeight="1" x14ac:dyDescent="0.2">
      <c r="A502" s="116"/>
      <c r="B502" s="140"/>
      <c r="C502" s="60" t="s">
        <v>13</v>
      </c>
      <c r="D502" s="3">
        <f t="shared" si="200"/>
        <v>0</v>
      </c>
      <c r="E502" s="3">
        <f>E507+E514</f>
        <v>0</v>
      </c>
      <c r="F502" s="3">
        <f t="shared" ref="F502:O502" si="221">F507+F514</f>
        <v>0</v>
      </c>
      <c r="G502" s="3">
        <f t="shared" si="221"/>
        <v>0</v>
      </c>
      <c r="H502" s="3">
        <f t="shared" si="221"/>
        <v>0</v>
      </c>
      <c r="I502" s="3">
        <f t="shared" si="221"/>
        <v>0</v>
      </c>
      <c r="J502" s="3">
        <f t="shared" si="221"/>
        <v>0</v>
      </c>
      <c r="K502" s="3">
        <f t="shared" si="221"/>
        <v>0</v>
      </c>
      <c r="L502" s="3">
        <f t="shared" si="221"/>
        <v>0</v>
      </c>
      <c r="M502" s="3">
        <f t="shared" si="221"/>
        <v>0</v>
      </c>
      <c r="N502" s="3">
        <f t="shared" si="221"/>
        <v>0</v>
      </c>
      <c r="O502" s="3">
        <f t="shared" si="221"/>
        <v>0</v>
      </c>
    </row>
    <row r="503" spans="1:23" ht="15.75" hidden="1" x14ac:dyDescent="0.2">
      <c r="A503" s="116" t="s">
        <v>333</v>
      </c>
      <c r="B503" s="111" t="s">
        <v>318</v>
      </c>
      <c r="C503" s="84" t="s">
        <v>7</v>
      </c>
      <c r="D503" s="1">
        <f t="shared" si="200"/>
        <v>0</v>
      </c>
      <c r="E503" s="1">
        <f t="shared" ref="E503:J503" si="222">E504+E505+E506+E507</f>
        <v>0</v>
      </c>
      <c r="F503" s="1">
        <f t="shared" si="222"/>
        <v>0</v>
      </c>
      <c r="G503" s="1">
        <f t="shared" si="222"/>
        <v>0</v>
      </c>
      <c r="H503" s="1">
        <f t="shared" si="222"/>
        <v>0</v>
      </c>
      <c r="I503" s="1">
        <f t="shared" si="222"/>
        <v>0</v>
      </c>
      <c r="J503" s="1">
        <f t="shared" si="222"/>
        <v>0</v>
      </c>
      <c r="K503" s="1">
        <f>K504+K505+K506+K507</f>
        <v>0</v>
      </c>
      <c r="L503" s="1">
        <f>L504+L505+L506+L507</f>
        <v>0</v>
      </c>
      <c r="M503" s="1">
        <f>M504+M505+M506+M507</f>
        <v>0</v>
      </c>
      <c r="N503" s="1">
        <f>N504+N505+N506+N507</f>
        <v>0</v>
      </c>
      <c r="O503" s="1">
        <f>O504+O505+O506+O507</f>
        <v>0</v>
      </c>
      <c r="W503" s="85"/>
    </row>
    <row r="504" spans="1:23" ht="15.75" hidden="1" x14ac:dyDescent="0.2">
      <c r="A504" s="116"/>
      <c r="B504" s="140"/>
      <c r="C504" s="60" t="s">
        <v>10</v>
      </c>
      <c r="D504" s="1">
        <f t="shared" si="200"/>
        <v>0</v>
      </c>
      <c r="E504" s="1">
        <v>0</v>
      </c>
      <c r="F504" s="1">
        <v>0</v>
      </c>
      <c r="G504" s="1">
        <v>0</v>
      </c>
      <c r="H504" s="1">
        <v>0</v>
      </c>
      <c r="I504" s="1">
        <v>0</v>
      </c>
      <c r="J504" s="1">
        <v>0</v>
      </c>
      <c r="K504" s="1">
        <v>0</v>
      </c>
      <c r="L504" s="1">
        <v>0</v>
      </c>
      <c r="M504" s="1">
        <v>0</v>
      </c>
      <c r="N504" s="1">
        <v>0</v>
      </c>
      <c r="O504" s="1">
        <v>0</v>
      </c>
      <c r="W504" s="85"/>
    </row>
    <row r="505" spans="1:23" ht="15.75" hidden="1" x14ac:dyDescent="0.2">
      <c r="A505" s="116"/>
      <c r="B505" s="140"/>
      <c r="C505" s="60" t="s">
        <v>11</v>
      </c>
      <c r="D505" s="1">
        <f t="shared" ref="D505:D540" si="223">E505+F505+G505+H505+I505+J505+K505+L505+M505+N505+O505</f>
        <v>0</v>
      </c>
      <c r="E505" s="1">
        <v>0</v>
      </c>
      <c r="F505" s="1">
        <v>0</v>
      </c>
      <c r="G505" s="1">
        <v>0</v>
      </c>
      <c r="H505" s="1">
        <v>0</v>
      </c>
      <c r="I505" s="1">
        <v>0</v>
      </c>
      <c r="J505" s="1">
        <v>0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  <c r="W505" s="85"/>
    </row>
    <row r="506" spans="1:23" ht="15.75" hidden="1" x14ac:dyDescent="0.2">
      <c r="A506" s="116"/>
      <c r="B506" s="140"/>
      <c r="C506" s="60" t="s">
        <v>12</v>
      </c>
      <c r="D506" s="1">
        <f t="shared" si="223"/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f>98.2-11-2.5-57.4-27.3</f>
        <v>0</v>
      </c>
      <c r="M506" s="1">
        <f>416.2-416.2</f>
        <v>0</v>
      </c>
      <c r="N506" s="1">
        <v>0</v>
      </c>
      <c r="O506" s="1">
        <v>0</v>
      </c>
      <c r="W506" s="85"/>
    </row>
    <row r="507" spans="1:23" ht="17.25" hidden="1" customHeight="1" x14ac:dyDescent="0.2">
      <c r="A507" s="116"/>
      <c r="B507" s="140"/>
      <c r="C507" s="60" t="s">
        <v>13</v>
      </c>
      <c r="D507" s="1">
        <f t="shared" si="223"/>
        <v>0</v>
      </c>
      <c r="E507" s="1">
        <v>0</v>
      </c>
      <c r="F507" s="1">
        <v>0</v>
      </c>
      <c r="G507" s="1">
        <v>0</v>
      </c>
      <c r="H507" s="1">
        <v>0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W507" s="85"/>
    </row>
    <row r="508" spans="1:23" ht="17.25" customHeight="1" x14ac:dyDescent="0.2">
      <c r="A508" s="105" t="s">
        <v>333</v>
      </c>
      <c r="B508" s="105" t="s">
        <v>375</v>
      </c>
      <c r="C508" s="84" t="s">
        <v>7</v>
      </c>
      <c r="D508" s="1">
        <f>E508+F508+G508+H508+I508+J508+K508+L508+M508+N508+O508</f>
        <v>71929.2</v>
      </c>
      <c r="E508" s="1">
        <f t="shared" ref="E508:O508" si="224">E509+E510+E512+E514</f>
        <v>0</v>
      </c>
      <c r="F508" s="1">
        <f t="shared" si="224"/>
        <v>0</v>
      </c>
      <c r="G508" s="1">
        <f t="shared" si="224"/>
        <v>0</v>
      </c>
      <c r="H508" s="1">
        <f t="shared" si="224"/>
        <v>0</v>
      </c>
      <c r="I508" s="1">
        <f t="shared" si="224"/>
        <v>0</v>
      </c>
      <c r="J508" s="1">
        <f t="shared" si="224"/>
        <v>0</v>
      </c>
      <c r="K508" s="1">
        <f t="shared" si="224"/>
        <v>25529.200000000001</v>
      </c>
      <c r="L508" s="1">
        <f t="shared" si="224"/>
        <v>23200</v>
      </c>
      <c r="M508" s="1">
        <f t="shared" si="224"/>
        <v>23200</v>
      </c>
      <c r="N508" s="1">
        <f t="shared" si="224"/>
        <v>0</v>
      </c>
      <c r="O508" s="1">
        <f t="shared" si="224"/>
        <v>0</v>
      </c>
      <c r="W508" s="85"/>
    </row>
    <row r="509" spans="1:23" ht="17.25" customHeight="1" x14ac:dyDescent="0.2">
      <c r="A509" s="106"/>
      <c r="B509" s="106"/>
      <c r="C509" s="60" t="s">
        <v>10</v>
      </c>
      <c r="D509" s="1">
        <f t="shared" ref="D509:D514" si="225">E509+F509+G509+H509+I509+J509+K509+L509+M509+N509+O509</f>
        <v>0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1">
        <v>0</v>
      </c>
      <c r="L509" s="1">
        <v>0</v>
      </c>
      <c r="M509" s="1">
        <v>0</v>
      </c>
      <c r="N509" s="1">
        <v>0</v>
      </c>
      <c r="O509" s="1">
        <v>0</v>
      </c>
      <c r="W509" s="85"/>
    </row>
    <row r="510" spans="1:23" ht="33.75" customHeight="1" x14ac:dyDescent="0.2">
      <c r="A510" s="106"/>
      <c r="B510" s="106"/>
      <c r="C510" s="60" t="s">
        <v>69</v>
      </c>
      <c r="D510" s="1">
        <f t="shared" si="225"/>
        <v>67613.399999999994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23997.4</v>
      </c>
      <c r="L510" s="1">
        <v>21808</v>
      </c>
      <c r="M510" s="57">
        <v>21808</v>
      </c>
      <c r="N510" s="1">
        <v>0</v>
      </c>
      <c r="O510" s="1">
        <v>0</v>
      </c>
      <c r="W510" s="85"/>
    </row>
    <row r="511" spans="1:23" ht="33.75" customHeight="1" x14ac:dyDescent="0.2">
      <c r="A511" s="106"/>
      <c r="B511" s="106"/>
      <c r="C511" s="100" t="s">
        <v>81</v>
      </c>
      <c r="D511" s="74">
        <f t="shared" si="225"/>
        <v>43616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21808</v>
      </c>
      <c r="M511" s="99">
        <v>21808</v>
      </c>
      <c r="N511" s="99">
        <v>0</v>
      </c>
      <c r="O511" s="99">
        <v>0</v>
      </c>
      <c r="W511" s="85"/>
    </row>
    <row r="512" spans="1:23" ht="30.75" customHeight="1" x14ac:dyDescent="0.2">
      <c r="A512" s="106"/>
      <c r="B512" s="106"/>
      <c r="C512" s="60" t="s">
        <v>65</v>
      </c>
      <c r="D512" s="1">
        <f t="shared" si="225"/>
        <v>4315.8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f>1531.8</f>
        <v>1531.8</v>
      </c>
      <c r="L512" s="1">
        <v>1392</v>
      </c>
      <c r="M512" s="57">
        <v>1392</v>
      </c>
      <c r="N512" s="1">
        <v>0</v>
      </c>
      <c r="O512" s="1">
        <v>0</v>
      </c>
      <c r="W512" s="85"/>
    </row>
    <row r="513" spans="1:23" s="101" customFormat="1" ht="36" customHeight="1" x14ac:dyDescent="0.2">
      <c r="A513" s="106"/>
      <c r="B513" s="106"/>
      <c r="C513" s="100" t="s">
        <v>449</v>
      </c>
      <c r="D513" s="74">
        <f t="shared" si="225"/>
        <v>2784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99">
        <v>0</v>
      </c>
      <c r="L513" s="99">
        <v>1392</v>
      </c>
      <c r="M513" s="99">
        <v>1392</v>
      </c>
      <c r="N513" s="99">
        <v>0</v>
      </c>
      <c r="O513" s="99">
        <v>0</v>
      </c>
    </row>
    <row r="514" spans="1:23" ht="30" customHeight="1" x14ac:dyDescent="0.2">
      <c r="A514" s="107"/>
      <c r="B514" s="107"/>
      <c r="C514" s="60" t="s">
        <v>13</v>
      </c>
      <c r="D514" s="1">
        <f t="shared" si="225"/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  <c r="W514" s="85"/>
    </row>
    <row r="515" spans="1:23" ht="15.75" customHeight="1" x14ac:dyDescent="0.2">
      <c r="A515" s="118" t="s">
        <v>33</v>
      </c>
      <c r="B515" s="149" t="s">
        <v>46</v>
      </c>
      <c r="C515" s="51" t="s">
        <v>7</v>
      </c>
      <c r="D515" s="2">
        <f t="shared" si="223"/>
        <v>33326.1</v>
      </c>
      <c r="E515" s="2">
        <f>E516+E517+E518+E519</f>
        <v>20400</v>
      </c>
      <c r="F515" s="2">
        <f t="shared" ref="F515:O515" si="226">F516+F517+F518+F519</f>
        <v>3430</v>
      </c>
      <c r="G515" s="2">
        <f t="shared" si="226"/>
        <v>2049.1999999999998</v>
      </c>
      <c r="H515" s="2">
        <f t="shared" si="226"/>
        <v>3688.6</v>
      </c>
      <c r="I515" s="2">
        <f t="shared" si="226"/>
        <v>2475</v>
      </c>
      <c r="J515" s="2">
        <f>J516+J517+J518+J519</f>
        <v>227.4</v>
      </c>
      <c r="K515" s="2">
        <f t="shared" si="226"/>
        <v>251</v>
      </c>
      <c r="L515" s="2">
        <f t="shared" si="226"/>
        <v>278.5</v>
      </c>
      <c r="M515" s="2">
        <f>M516+M517+M518+M519</f>
        <v>157.6</v>
      </c>
      <c r="N515" s="2">
        <f t="shared" si="226"/>
        <v>185.8</v>
      </c>
      <c r="O515" s="2">
        <f t="shared" si="226"/>
        <v>183</v>
      </c>
      <c r="P515" s="64"/>
      <c r="Q515" s="64"/>
      <c r="W515" s="85"/>
    </row>
    <row r="516" spans="1:23" ht="15.75" customHeight="1" x14ac:dyDescent="0.2">
      <c r="A516" s="118"/>
      <c r="B516" s="111"/>
      <c r="C516" s="51" t="s">
        <v>10</v>
      </c>
      <c r="D516" s="1">
        <f t="shared" si="223"/>
        <v>0</v>
      </c>
      <c r="E516" s="1">
        <f>E521</f>
        <v>0</v>
      </c>
      <c r="F516" s="1">
        <f t="shared" ref="F516:O516" si="227">F521</f>
        <v>0</v>
      </c>
      <c r="G516" s="1">
        <f t="shared" si="227"/>
        <v>0</v>
      </c>
      <c r="H516" s="1">
        <f t="shared" si="227"/>
        <v>0</v>
      </c>
      <c r="I516" s="1">
        <f t="shared" si="227"/>
        <v>0</v>
      </c>
      <c r="J516" s="1">
        <f t="shared" si="227"/>
        <v>0</v>
      </c>
      <c r="K516" s="1">
        <f t="shared" si="227"/>
        <v>0</v>
      </c>
      <c r="L516" s="1">
        <f t="shared" si="227"/>
        <v>0</v>
      </c>
      <c r="M516" s="1">
        <f t="shared" si="227"/>
        <v>0</v>
      </c>
      <c r="N516" s="1">
        <f t="shared" si="227"/>
        <v>0</v>
      </c>
      <c r="O516" s="1">
        <f t="shared" si="227"/>
        <v>0</v>
      </c>
      <c r="W516" s="85"/>
    </row>
    <row r="517" spans="1:23" ht="15.75" customHeight="1" x14ac:dyDescent="0.2">
      <c r="A517" s="118"/>
      <c r="B517" s="111"/>
      <c r="C517" s="51" t="s">
        <v>11</v>
      </c>
      <c r="D517" s="1">
        <f t="shared" si="223"/>
        <v>0</v>
      </c>
      <c r="E517" s="1">
        <f>E522</f>
        <v>0</v>
      </c>
      <c r="F517" s="1">
        <f t="shared" ref="F517:O517" si="228">F531</f>
        <v>0</v>
      </c>
      <c r="G517" s="1">
        <f t="shared" si="228"/>
        <v>0</v>
      </c>
      <c r="H517" s="1">
        <f t="shared" si="228"/>
        <v>0</v>
      </c>
      <c r="I517" s="1">
        <f t="shared" si="228"/>
        <v>0</v>
      </c>
      <c r="J517" s="1">
        <f t="shared" si="228"/>
        <v>0</v>
      </c>
      <c r="K517" s="1">
        <f t="shared" si="228"/>
        <v>0</v>
      </c>
      <c r="L517" s="1">
        <f t="shared" si="228"/>
        <v>0</v>
      </c>
      <c r="M517" s="1">
        <f t="shared" si="228"/>
        <v>0</v>
      </c>
      <c r="N517" s="1">
        <f t="shared" si="228"/>
        <v>0</v>
      </c>
      <c r="O517" s="1">
        <f t="shared" si="228"/>
        <v>0</v>
      </c>
    </row>
    <row r="518" spans="1:23" ht="15.75" customHeight="1" x14ac:dyDescent="0.2">
      <c r="A518" s="118"/>
      <c r="B518" s="111"/>
      <c r="C518" s="51" t="s">
        <v>12</v>
      </c>
      <c r="D518" s="1">
        <f t="shared" si="223"/>
        <v>3061.1000000000004</v>
      </c>
      <c r="E518" s="1">
        <f>E523</f>
        <v>400</v>
      </c>
      <c r="F518" s="1">
        <f>F523</f>
        <v>430</v>
      </c>
      <c r="G518" s="1">
        <f t="shared" ref="G518:O518" si="229">G523</f>
        <v>449.2</v>
      </c>
      <c r="H518" s="1">
        <f t="shared" si="229"/>
        <v>235</v>
      </c>
      <c r="I518" s="1">
        <f t="shared" si="229"/>
        <v>263.60000000000002</v>
      </c>
      <c r="J518" s="1">
        <f t="shared" si="229"/>
        <v>227.4</v>
      </c>
      <c r="K518" s="1">
        <f t="shared" si="229"/>
        <v>251</v>
      </c>
      <c r="L518" s="1">
        <f t="shared" si="229"/>
        <v>278.5</v>
      </c>
      <c r="M518" s="1">
        <f t="shared" si="229"/>
        <v>157.6</v>
      </c>
      <c r="N518" s="1">
        <f t="shared" si="229"/>
        <v>185.8</v>
      </c>
      <c r="O518" s="1">
        <f t="shared" si="229"/>
        <v>183</v>
      </c>
    </row>
    <row r="519" spans="1:23" ht="15.75" x14ac:dyDescent="0.2">
      <c r="A519" s="118"/>
      <c r="B519" s="111"/>
      <c r="C519" s="51" t="s">
        <v>13</v>
      </c>
      <c r="D519" s="1">
        <f t="shared" si="223"/>
        <v>30265</v>
      </c>
      <c r="E519" s="1">
        <f>E524</f>
        <v>20000</v>
      </c>
      <c r="F519" s="1">
        <f t="shared" ref="F519:O519" si="230">F524</f>
        <v>3000</v>
      </c>
      <c r="G519" s="1">
        <f t="shared" si="230"/>
        <v>1600</v>
      </c>
      <c r="H519" s="1">
        <f t="shared" si="230"/>
        <v>3453.6</v>
      </c>
      <c r="I519" s="1">
        <f t="shared" si="230"/>
        <v>2211.4</v>
      </c>
      <c r="J519" s="1">
        <f t="shared" si="230"/>
        <v>0</v>
      </c>
      <c r="K519" s="1">
        <f t="shared" si="230"/>
        <v>0</v>
      </c>
      <c r="L519" s="1">
        <f t="shared" si="230"/>
        <v>0</v>
      </c>
      <c r="M519" s="1">
        <f t="shared" si="230"/>
        <v>0</v>
      </c>
      <c r="N519" s="1">
        <f t="shared" si="230"/>
        <v>0</v>
      </c>
      <c r="O519" s="1">
        <f t="shared" si="230"/>
        <v>0</v>
      </c>
    </row>
    <row r="520" spans="1:23" ht="19.5" customHeight="1" x14ac:dyDescent="0.2">
      <c r="A520" s="116" t="s">
        <v>132</v>
      </c>
      <c r="B520" s="111" t="s">
        <v>119</v>
      </c>
      <c r="C520" s="51" t="s">
        <v>7</v>
      </c>
      <c r="D520" s="1">
        <f t="shared" si="223"/>
        <v>33326.1</v>
      </c>
      <c r="E520" s="1">
        <f t="shared" ref="E520:O520" si="231">E521+E522+E523+E524</f>
        <v>20400</v>
      </c>
      <c r="F520" s="1">
        <f t="shared" si="231"/>
        <v>3430</v>
      </c>
      <c r="G520" s="1">
        <f t="shared" si="231"/>
        <v>2049.1999999999998</v>
      </c>
      <c r="H520" s="1">
        <f t="shared" si="231"/>
        <v>3688.6</v>
      </c>
      <c r="I520" s="1">
        <f t="shared" si="231"/>
        <v>2475</v>
      </c>
      <c r="J520" s="1">
        <f t="shared" si="231"/>
        <v>227.4</v>
      </c>
      <c r="K520" s="1">
        <f t="shared" si="231"/>
        <v>251</v>
      </c>
      <c r="L520" s="1">
        <f t="shared" si="231"/>
        <v>278.5</v>
      </c>
      <c r="M520" s="1">
        <f t="shared" si="231"/>
        <v>157.6</v>
      </c>
      <c r="N520" s="1">
        <f t="shared" si="231"/>
        <v>185.8</v>
      </c>
      <c r="O520" s="1">
        <f t="shared" si="231"/>
        <v>183</v>
      </c>
    </row>
    <row r="521" spans="1:23" ht="23.25" customHeight="1" x14ac:dyDescent="0.2">
      <c r="A521" s="116"/>
      <c r="B521" s="111"/>
      <c r="C521" s="51" t="s">
        <v>10</v>
      </c>
      <c r="D521" s="1">
        <f t="shared" si="223"/>
        <v>0</v>
      </c>
      <c r="E521" s="1">
        <f t="shared" ref="E521:O521" si="232">E526+E531+E536</f>
        <v>0</v>
      </c>
      <c r="F521" s="1">
        <f t="shared" si="232"/>
        <v>0</v>
      </c>
      <c r="G521" s="1">
        <f t="shared" si="232"/>
        <v>0</v>
      </c>
      <c r="H521" s="1">
        <f t="shared" si="232"/>
        <v>0</v>
      </c>
      <c r="I521" s="1">
        <f t="shared" si="232"/>
        <v>0</v>
      </c>
      <c r="J521" s="1">
        <f t="shared" si="232"/>
        <v>0</v>
      </c>
      <c r="K521" s="1">
        <f t="shared" si="232"/>
        <v>0</v>
      </c>
      <c r="L521" s="1">
        <f t="shared" si="232"/>
        <v>0</v>
      </c>
      <c r="M521" s="1">
        <f t="shared" si="232"/>
        <v>0</v>
      </c>
      <c r="N521" s="1">
        <f t="shared" si="232"/>
        <v>0</v>
      </c>
      <c r="O521" s="1">
        <f t="shared" si="232"/>
        <v>0</v>
      </c>
    </row>
    <row r="522" spans="1:23" ht="23.25" customHeight="1" x14ac:dyDescent="0.2">
      <c r="A522" s="116"/>
      <c r="B522" s="111"/>
      <c r="C522" s="51" t="s">
        <v>11</v>
      </c>
      <c r="D522" s="1">
        <f t="shared" si="223"/>
        <v>0</v>
      </c>
      <c r="E522" s="1">
        <f t="shared" ref="E522:O522" si="233">E527+E532+E537</f>
        <v>0</v>
      </c>
      <c r="F522" s="1">
        <f t="shared" si="233"/>
        <v>0</v>
      </c>
      <c r="G522" s="1">
        <f t="shared" si="233"/>
        <v>0</v>
      </c>
      <c r="H522" s="1">
        <f t="shared" si="233"/>
        <v>0</v>
      </c>
      <c r="I522" s="1">
        <f t="shared" si="233"/>
        <v>0</v>
      </c>
      <c r="J522" s="1">
        <f t="shared" si="233"/>
        <v>0</v>
      </c>
      <c r="K522" s="1">
        <f t="shared" si="233"/>
        <v>0</v>
      </c>
      <c r="L522" s="1">
        <f t="shared" si="233"/>
        <v>0</v>
      </c>
      <c r="M522" s="1">
        <f t="shared" si="233"/>
        <v>0</v>
      </c>
      <c r="N522" s="1">
        <f t="shared" si="233"/>
        <v>0</v>
      </c>
      <c r="O522" s="1">
        <f t="shared" si="233"/>
        <v>0</v>
      </c>
    </row>
    <row r="523" spans="1:23" ht="23.25" customHeight="1" x14ac:dyDescent="0.2">
      <c r="A523" s="116"/>
      <c r="B523" s="111"/>
      <c r="C523" s="51" t="s">
        <v>12</v>
      </c>
      <c r="D523" s="1">
        <f t="shared" si="223"/>
        <v>3061.1000000000004</v>
      </c>
      <c r="E523" s="1">
        <f t="shared" ref="E523:O523" si="234">E528+E533+E538</f>
        <v>400</v>
      </c>
      <c r="F523" s="1">
        <f t="shared" si="234"/>
        <v>430</v>
      </c>
      <c r="G523" s="1">
        <f t="shared" si="234"/>
        <v>449.2</v>
      </c>
      <c r="H523" s="1">
        <f t="shared" si="234"/>
        <v>235</v>
      </c>
      <c r="I523" s="1">
        <f>I528+I533+I538</f>
        <v>263.60000000000002</v>
      </c>
      <c r="J523" s="1">
        <f t="shared" si="234"/>
        <v>227.4</v>
      </c>
      <c r="K523" s="1">
        <f t="shared" si="234"/>
        <v>251</v>
      </c>
      <c r="L523" s="1">
        <f t="shared" si="234"/>
        <v>278.5</v>
      </c>
      <c r="M523" s="1">
        <f t="shared" si="234"/>
        <v>157.6</v>
      </c>
      <c r="N523" s="1">
        <f t="shared" si="234"/>
        <v>185.8</v>
      </c>
      <c r="O523" s="1">
        <f t="shared" si="234"/>
        <v>183</v>
      </c>
    </row>
    <row r="524" spans="1:23" ht="23.25" customHeight="1" x14ac:dyDescent="0.2">
      <c r="A524" s="116"/>
      <c r="B524" s="111"/>
      <c r="C524" s="51" t="s">
        <v>13</v>
      </c>
      <c r="D524" s="1">
        <f t="shared" si="223"/>
        <v>30265</v>
      </c>
      <c r="E524" s="1">
        <f t="shared" ref="E524:O524" si="235">E529+E534+E539</f>
        <v>20000</v>
      </c>
      <c r="F524" s="1">
        <f t="shared" si="235"/>
        <v>3000</v>
      </c>
      <c r="G524" s="1">
        <f t="shared" si="235"/>
        <v>1600</v>
      </c>
      <c r="H524" s="1">
        <f t="shared" si="235"/>
        <v>3453.6</v>
      </c>
      <c r="I524" s="1">
        <f t="shared" si="235"/>
        <v>2211.4</v>
      </c>
      <c r="J524" s="1">
        <f t="shared" si="235"/>
        <v>0</v>
      </c>
      <c r="K524" s="1">
        <f t="shared" si="235"/>
        <v>0</v>
      </c>
      <c r="L524" s="1">
        <f t="shared" si="235"/>
        <v>0</v>
      </c>
      <c r="M524" s="1">
        <f t="shared" si="235"/>
        <v>0</v>
      </c>
      <c r="N524" s="1">
        <f t="shared" si="235"/>
        <v>0</v>
      </c>
      <c r="O524" s="1">
        <f t="shared" si="235"/>
        <v>0</v>
      </c>
    </row>
    <row r="525" spans="1:23" ht="15.75" x14ac:dyDescent="0.2">
      <c r="A525" s="116" t="s">
        <v>120</v>
      </c>
      <c r="B525" s="111" t="s">
        <v>85</v>
      </c>
      <c r="C525" s="60" t="s">
        <v>7</v>
      </c>
      <c r="D525" s="1">
        <f t="shared" si="223"/>
        <v>3933.4</v>
      </c>
      <c r="E525" s="1">
        <f t="shared" ref="E525:J525" si="236">E526+E527+E528+E529</f>
        <v>0</v>
      </c>
      <c r="F525" s="1">
        <f t="shared" si="236"/>
        <v>0</v>
      </c>
      <c r="G525" s="1">
        <f t="shared" si="236"/>
        <v>0</v>
      </c>
      <c r="H525" s="1">
        <f t="shared" si="236"/>
        <v>2662</v>
      </c>
      <c r="I525" s="1">
        <f t="shared" si="236"/>
        <v>1271.4000000000001</v>
      </c>
      <c r="J525" s="1">
        <f t="shared" si="236"/>
        <v>0</v>
      </c>
      <c r="K525" s="1">
        <f>K526+K527+K528+K529</f>
        <v>0</v>
      </c>
      <c r="L525" s="1">
        <f>L526+L527+L528+L529</f>
        <v>0</v>
      </c>
      <c r="M525" s="1">
        <f>M526+M527+M528+M529</f>
        <v>0</v>
      </c>
      <c r="N525" s="1">
        <f>N526+N527+N528+N529</f>
        <v>0</v>
      </c>
      <c r="O525" s="1">
        <f>O526+O527+O528+O529</f>
        <v>0</v>
      </c>
    </row>
    <row r="526" spans="1:23" ht="15.75" customHeight="1" x14ac:dyDescent="0.2">
      <c r="A526" s="116"/>
      <c r="B526" s="111"/>
      <c r="C526" s="60" t="s">
        <v>10</v>
      </c>
      <c r="D526" s="1">
        <f t="shared" si="223"/>
        <v>0</v>
      </c>
      <c r="E526" s="1">
        <v>0</v>
      </c>
      <c r="F526" s="1">
        <v>0</v>
      </c>
      <c r="G526" s="1">
        <v>0</v>
      </c>
      <c r="H526" s="1">
        <v>0</v>
      </c>
      <c r="I526" s="1">
        <v>0</v>
      </c>
      <c r="J526" s="1">
        <v>0</v>
      </c>
      <c r="K526" s="1">
        <v>0</v>
      </c>
      <c r="L526" s="1">
        <v>0</v>
      </c>
      <c r="M526" s="1">
        <v>0</v>
      </c>
      <c r="N526" s="1">
        <v>0</v>
      </c>
      <c r="O526" s="1">
        <v>0</v>
      </c>
    </row>
    <row r="527" spans="1:23" ht="15.75" customHeight="1" x14ac:dyDescent="0.2">
      <c r="A527" s="116"/>
      <c r="B527" s="111"/>
      <c r="C527" s="60" t="s">
        <v>11</v>
      </c>
      <c r="D527" s="1">
        <f t="shared" si="223"/>
        <v>0</v>
      </c>
      <c r="E527" s="1">
        <v>0</v>
      </c>
      <c r="F527" s="1">
        <v>0</v>
      </c>
      <c r="G527" s="1">
        <v>0</v>
      </c>
      <c r="H527" s="1">
        <v>0</v>
      </c>
      <c r="I527" s="1">
        <v>0</v>
      </c>
      <c r="J527" s="1">
        <v>0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</row>
    <row r="528" spans="1:23" ht="15.75" customHeight="1" x14ac:dyDescent="0.2">
      <c r="A528" s="116"/>
      <c r="B528" s="111"/>
      <c r="C528" s="60" t="s">
        <v>12</v>
      </c>
      <c r="D528" s="1">
        <f t="shared" si="223"/>
        <v>0</v>
      </c>
      <c r="E528" s="1">
        <v>0</v>
      </c>
      <c r="F528" s="1">
        <v>0</v>
      </c>
      <c r="G528" s="1">
        <v>0</v>
      </c>
      <c r="H528" s="1">
        <v>0</v>
      </c>
      <c r="I528" s="1">
        <v>0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</row>
    <row r="529" spans="1:17" ht="15.75" x14ac:dyDescent="0.2">
      <c r="A529" s="116"/>
      <c r="B529" s="111"/>
      <c r="C529" s="60" t="s">
        <v>13</v>
      </c>
      <c r="D529" s="1">
        <f t="shared" si="223"/>
        <v>3933.4</v>
      </c>
      <c r="E529" s="1">
        <v>0</v>
      </c>
      <c r="F529" s="1">
        <v>0</v>
      </c>
      <c r="G529" s="1">
        <v>0</v>
      </c>
      <c r="H529" s="1">
        <v>2662</v>
      </c>
      <c r="I529" s="1">
        <f>837+48.7+385.7</f>
        <v>1271.4000000000001</v>
      </c>
      <c r="J529" s="1">
        <v>0</v>
      </c>
      <c r="K529" s="1">
        <v>0</v>
      </c>
      <c r="L529" s="1">
        <v>0</v>
      </c>
      <c r="M529" s="1">
        <v>0</v>
      </c>
      <c r="N529" s="1">
        <v>0</v>
      </c>
      <c r="O529" s="1">
        <v>0</v>
      </c>
    </row>
    <row r="530" spans="1:17" ht="15.75" x14ac:dyDescent="0.2">
      <c r="A530" s="116" t="s">
        <v>121</v>
      </c>
      <c r="B530" s="111" t="s">
        <v>32</v>
      </c>
      <c r="C530" s="60" t="s">
        <v>7</v>
      </c>
      <c r="D530" s="1">
        <f t="shared" si="223"/>
        <v>3061.1000000000004</v>
      </c>
      <c r="E530" s="1">
        <f t="shared" ref="E530:J530" si="237">E531+E532+E533+E534</f>
        <v>400</v>
      </c>
      <c r="F530" s="1">
        <f t="shared" si="237"/>
        <v>430</v>
      </c>
      <c r="G530" s="1">
        <f t="shared" si="237"/>
        <v>449.2</v>
      </c>
      <c r="H530" s="1">
        <f t="shared" si="237"/>
        <v>235</v>
      </c>
      <c r="I530" s="1">
        <f t="shared" si="237"/>
        <v>263.60000000000002</v>
      </c>
      <c r="J530" s="1">
        <f t="shared" si="237"/>
        <v>227.4</v>
      </c>
      <c r="K530" s="1">
        <f>K531+K532+K533+K534</f>
        <v>251</v>
      </c>
      <c r="L530" s="1">
        <f>L531+L532+L533+L534</f>
        <v>278.5</v>
      </c>
      <c r="M530" s="1">
        <f>M531+M532+M533+M534</f>
        <v>157.6</v>
      </c>
      <c r="N530" s="1">
        <f>N531+N532+N533+N534</f>
        <v>185.8</v>
      </c>
      <c r="O530" s="1">
        <f>O531+O532+O533+O534</f>
        <v>183</v>
      </c>
    </row>
    <row r="531" spans="1:17" ht="15.75" x14ac:dyDescent="0.2">
      <c r="A531" s="116"/>
      <c r="B531" s="111"/>
      <c r="C531" s="51" t="s">
        <v>10</v>
      </c>
      <c r="D531" s="1">
        <f t="shared" si="223"/>
        <v>0</v>
      </c>
      <c r="E531" s="1">
        <v>0</v>
      </c>
      <c r="F531" s="1">
        <v>0</v>
      </c>
      <c r="G531" s="1">
        <v>0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</v>
      </c>
      <c r="O531" s="1">
        <v>0</v>
      </c>
    </row>
    <row r="532" spans="1:17" ht="15.75" x14ac:dyDescent="0.2">
      <c r="A532" s="116"/>
      <c r="B532" s="111"/>
      <c r="C532" s="51" t="s">
        <v>11</v>
      </c>
      <c r="D532" s="1">
        <f t="shared" si="223"/>
        <v>0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</v>
      </c>
      <c r="L532" s="1">
        <v>0</v>
      </c>
      <c r="M532" s="1">
        <v>0</v>
      </c>
      <c r="N532" s="1">
        <v>0</v>
      </c>
      <c r="O532" s="1">
        <v>0</v>
      </c>
    </row>
    <row r="533" spans="1:17" ht="15.75" x14ac:dyDescent="0.2">
      <c r="A533" s="116"/>
      <c r="B533" s="111"/>
      <c r="C533" s="51" t="s">
        <v>12</v>
      </c>
      <c r="D533" s="1">
        <f t="shared" si="223"/>
        <v>3061.1000000000004</v>
      </c>
      <c r="E533" s="1">
        <v>400</v>
      </c>
      <c r="F533" s="1">
        <v>430</v>
      </c>
      <c r="G533" s="1">
        <v>449.2</v>
      </c>
      <c r="H533" s="1">
        <v>235</v>
      </c>
      <c r="I533" s="1">
        <f>251.9+11.7</f>
        <v>263.60000000000002</v>
      </c>
      <c r="J533" s="3">
        <f>278.5-51.1</f>
        <v>227.4</v>
      </c>
      <c r="K533" s="3">
        <f>278.5-27.5</f>
        <v>251</v>
      </c>
      <c r="L533" s="3">
        <f>157.5+121</f>
        <v>278.5</v>
      </c>
      <c r="M533" s="3">
        <f>167-9.4</f>
        <v>157.6</v>
      </c>
      <c r="N533" s="1">
        <f>167.8+18</f>
        <v>185.8</v>
      </c>
      <c r="O533" s="1">
        <f>170.3+12.7</f>
        <v>183</v>
      </c>
    </row>
    <row r="534" spans="1:17" ht="15.75" x14ac:dyDescent="0.2">
      <c r="A534" s="116"/>
      <c r="B534" s="111"/>
      <c r="C534" s="51" t="s">
        <v>13</v>
      </c>
      <c r="D534" s="1">
        <f t="shared" si="223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7" ht="15.75" x14ac:dyDescent="0.25">
      <c r="A535" s="116" t="s">
        <v>246</v>
      </c>
      <c r="B535" s="111" t="s">
        <v>57</v>
      </c>
      <c r="C535" s="86" t="s">
        <v>7</v>
      </c>
      <c r="D535" s="1">
        <f t="shared" si="223"/>
        <v>26331.599999999999</v>
      </c>
      <c r="E535" s="1">
        <f>E539+E538+E537</f>
        <v>20000</v>
      </c>
      <c r="F535" s="1">
        <f t="shared" ref="F535:O535" si="238">F536+F537+F538+F539</f>
        <v>3000</v>
      </c>
      <c r="G535" s="1">
        <f t="shared" si="238"/>
        <v>1600</v>
      </c>
      <c r="H535" s="1">
        <f t="shared" si="238"/>
        <v>791.6</v>
      </c>
      <c r="I535" s="1">
        <f t="shared" si="238"/>
        <v>940</v>
      </c>
      <c r="J535" s="1">
        <f t="shared" si="238"/>
        <v>0</v>
      </c>
      <c r="K535" s="1">
        <f t="shared" si="238"/>
        <v>0</v>
      </c>
      <c r="L535" s="1">
        <f t="shared" si="238"/>
        <v>0</v>
      </c>
      <c r="M535" s="1">
        <f t="shared" si="238"/>
        <v>0</v>
      </c>
      <c r="N535" s="1">
        <f t="shared" si="238"/>
        <v>0</v>
      </c>
      <c r="O535" s="1">
        <f t="shared" si="238"/>
        <v>0</v>
      </c>
    </row>
    <row r="536" spans="1:17" ht="15.75" x14ac:dyDescent="0.2">
      <c r="A536" s="116"/>
      <c r="B536" s="111"/>
      <c r="C536" s="51" t="s">
        <v>10</v>
      </c>
      <c r="D536" s="1">
        <f t="shared" si="223"/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7" ht="15.75" x14ac:dyDescent="0.2">
      <c r="A537" s="116"/>
      <c r="B537" s="111"/>
      <c r="C537" s="51" t="s">
        <v>11</v>
      </c>
      <c r="D537" s="1">
        <f t="shared" si="223"/>
        <v>0</v>
      </c>
      <c r="E537" s="1">
        <v>0</v>
      </c>
      <c r="F537" s="1">
        <v>0</v>
      </c>
      <c r="G537" s="1">
        <v>0</v>
      </c>
      <c r="H537" s="1">
        <v>0</v>
      </c>
      <c r="I537" s="1">
        <v>0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7" ht="15.75" x14ac:dyDescent="0.2">
      <c r="A538" s="116"/>
      <c r="B538" s="111"/>
      <c r="C538" s="51" t="s">
        <v>12</v>
      </c>
      <c r="D538" s="1">
        <f t="shared" si="223"/>
        <v>0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3">
        <v>0</v>
      </c>
      <c r="K538" s="3">
        <v>0</v>
      </c>
      <c r="L538" s="3">
        <v>0</v>
      </c>
      <c r="M538" s="3">
        <v>0</v>
      </c>
      <c r="N538" s="3">
        <v>0</v>
      </c>
      <c r="O538" s="3">
        <v>0</v>
      </c>
    </row>
    <row r="539" spans="1:17" ht="15.75" x14ac:dyDescent="0.2">
      <c r="A539" s="116"/>
      <c r="B539" s="111"/>
      <c r="C539" s="51" t="s">
        <v>13</v>
      </c>
      <c r="D539" s="1">
        <f t="shared" si="223"/>
        <v>26331.599999999999</v>
      </c>
      <c r="E539" s="1">
        <v>20000</v>
      </c>
      <c r="F539" s="1">
        <v>3000</v>
      </c>
      <c r="G539" s="1">
        <v>1600</v>
      </c>
      <c r="H539" s="1">
        <v>791.6</v>
      </c>
      <c r="I539" s="1">
        <v>940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17" ht="15.75" x14ac:dyDescent="0.2">
      <c r="A540" s="118" t="s">
        <v>39</v>
      </c>
      <c r="B540" s="143" t="s">
        <v>331</v>
      </c>
      <c r="C540" s="75" t="s">
        <v>7</v>
      </c>
      <c r="D540" s="2">
        <f t="shared" si="223"/>
        <v>157987.90000000002</v>
      </c>
      <c r="E540" s="2">
        <f t="shared" ref="E540:O540" si="239">E542+E543+E544+E546</f>
        <v>13860</v>
      </c>
      <c r="F540" s="2">
        <f t="shared" si="239"/>
        <v>15421.9</v>
      </c>
      <c r="G540" s="2">
        <f t="shared" si="239"/>
        <v>19594</v>
      </c>
      <c r="H540" s="2">
        <f t="shared" si="239"/>
        <v>13152.1</v>
      </c>
      <c r="I540" s="2">
        <f t="shared" si="239"/>
        <v>23011</v>
      </c>
      <c r="J540" s="2">
        <f t="shared" si="239"/>
        <v>14576.6</v>
      </c>
      <c r="K540" s="2">
        <f t="shared" si="239"/>
        <v>18850.3</v>
      </c>
      <c r="L540" s="2">
        <f t="shared" si="239"/>
        <v>16460</v>
      </c>
      <c r="M540" s="2">
        <f t="shared" si="239"/>
        <v>6905.9</v>
      </c>
      <c r="N540" s="2">
        <f>N542+N543+N544+N546</f>
        <v>8138.1</v>
      </c>
      <c r="O540" s="2">
        <f t="shared" si="239"/>
        <v>8018</v>
      </c>
      <c r="P540" s="64"/>
      <c r="Q540" s="64"/>
    </row>
    <row r="541" spans="1:17" ht="50.25" customHeight="1" x14ac:dyDescent="0.2">
      <c r="A541" s="118"/>
      <c r="B541" s="144"/>
      <c r="C541" s="76" t="s">
        <v>64</v>
      </c>
      <c r="D541" s="74">
        <f t="shared" ref="D541:D546" si="240">E541+F541+G541+H541+I541+J541+K541+L541+M541+N541+O541</f>
        <v>1971.3999999999999</v>
      </c>
      <c r="E541" s="74">
        <f>E551</f>
        <v>752.3</v>
      </c>
      <c r="F541" s="74">
        <f t="shared" ref="F541:O541" si="241">F551</f>
        <v>0</v>
      </c>
      <c r="G541" s="74">
        <f t="shared" si="241"/>
        <v>1219.0999999999999</v>
      </c>
      <c r="H541" s="74">
        <f t="shared" si="241"/>
        <v>0</v>
      </c>
      <c r="I541" s="74">
        <f t="shared" si="241"/>
        <v>0</v>
      </c>
      <c r="J541" s="74">
        <f t="shared" si="241"/>
        <v>0</v>
      </c>
      <c r="K541" s="74">
        <f t="shared" si="241"/>
        <v>0</v>
      </c>
      <c r="L541" s="74">
        <f t="shared" si="241"/>
        <v>0</v>
      </c>
      <c r="M541" s="74">
        <f t="shared" si="241"/>
        <v>0</v>
      </c>
      <c r="N541" s="74">
        <f t="shared" si="241"/>
        <v>0</v>
      </c>
      <c r="O541" s="74">
        <f t="shared" si="241"/>
        <v>0</v>
      </c>
    </row>
    <row r="542" spans="1:17" ht="18.75" customHeight="1" x14ac:dyDescent="0.2">
      <c r="A542" s="118"/>
      <c r="B542" s="144"/>
      <c r="C542" s="51" t="s">
        <v>10</v>
      </c>
      <c r="D542" s="1">
        <f t="shared" si="240"/>
        <v>0</v>
      </c>
      <c r="E542" s="1">
        <f>E548+E565</f>
        <v>0</v>
      </c>
      <c r="F542" s="1">
        <f t="shared" ref="F542:O542" si="242">F548+F565</f>
        <v>0</v>
      </c>
      <c r="G542" s="1">
        <f t="shared" si="242"/>
        <v>0</v>
      </c>
      <c r="H542" s="1">
        <f t="shared" si="242"/>
        <v>0</v>
      </c>
      <c r="I542" s="1">
        <f t="shared" si="242"/>
        <v>0</v>
      </c>
      <c r="J542" s="1">
        <v>0</v>
      </c>
      <c r="K542" s="1">
        <f t="shared" si="242"/>
        <v>0</v>
      </c>
      <c r="L542" s="1">
        <f t="shared" si="242"/>
        <v>0</v>
      </c>
      <c r="M542" s="1">
        <f t="shared" si="242"/>
        <v>0</v>
      </c>
      <c r="N542" s="1">
        <f t="shared" si="242"/>
        <v>0</v>
      </c>
      <c r="O542" s="1">
        <f t="shared" si="242"/>
        <v>0</v>
      </c>
    </row>
    <row r="543" spans="1:17" ht="16.5" customHeight="1" x14ac:dyDescent="0.2">
      <c r="A543" s="118"/>
      <c r="B543" s="144"/>
      <c r="C543" s="51" t="s">
        <v>11</v>
      </c>
      <c r="D543" s="1">
        <f t="shared" si="240"/>
        <v>708.6</v>
      </c>
      <c r="E543" s="1">
        <f t="shared" ref="E543:O543" si="243">E549+E566</f>
        <v>0</v>
      </c>
      <c r="F543" s="1">
        <f t="shared" si="243"/>
        <v>0</v>
      </c>
      <c r="G543" s="1">
        <f t="shared" si="243"/>
        <v>0</v>
      </c>
      <c r="H543" s="1">
        <f t="shared" si="243"/>
        <v>0</v>
      </c>
      <c r="I543" s="1">
        <f t="shared" si="243"/>
        <v>0</v>
      </c>
      <c r="J543" s="1">
        <v>708.6</v>
      </c>
      <c r="K543" s="1">
        <f t="shared" si="243"/>
        <v>0</v>
      </c>
      <c r="L543" s="1">
        <f t="shared" si="243"/>
        <v>0</v>
      </c>
      <c r="M543" s="1">
        <f t="shared" si="243"/>
        <v>0</v>
      </c>
      <c r="N543" s="1">
        <f t="shared" si="243"/>
        <v>0</v>
      </c>
      <c r="O543" s="1">
        <f t="shared" si="243"/>
        <v>0</v>
      </c>
    </row>
    <row r="544" spans="1:17" ht="32.25" customHeight="1" x14ac:dyDescent="0.2">
      <c r="A544" s="118"/>
      <c r="B544" s="144"/>
      <c r="C544" s="51" t="s">
        <v>65</v>
      </c>
      <c r="D544" s="1">
        <f t="shared" si="240"/>
        <v>157279.29999999999</v>
      </c>
      <c r="E544" s="1">
        <f t="shared" ref="E544:O544" si="244">E550+E567</f>
        <v>13860</v>
      </c>
      <c r="F544" s="1">
        <f t="shared" si="244"/>
        <v>15421.9</v>
      </c>
      <c r="G544" s="1">
        <f t="shared" si="244"/>
        <v>19594</v>
      </c>
      <c r="H544" s="1">
        <f t="shared" si="244"/>
        <v>13152.1</v>
      </c>
      <c r="I544" s="1">
        <f t="shared" si="244"/>
        <v>23011</v>
      </c>
      <c r="J544" s="1">
        <f t="shared" si="244"/>
        <v>13868</v>
      </c>
      <c r="K544" s="1">
        <f t="shared" si="244"/>
        <v>18850.3</v>
      </c>
      <c r="L544" s="1">
        <f t="shared" si="244"/>
        <v>16460</v>
      </c>
      <c r="M544" s="1">
        <f t="shared" si="244"/>
        <v>6905.9</v>
      </c>
      <c r="N544" s="1">
        <f t="shared" si="244"/>
        <v>8138.1</v>
      </c>
      <c r="O544" s="1">
        <f t="shared" si="244"/>
        <v>8018</v>
      </c>
    </row>
    <row r="545" spans="1:24" ht="32.25" customHeight="1" x14ac:dyDescent="0.2">
      <c r="A545" s="118"/>
      <c r="B545" s="144"/>
      <c r="C545" s="76" t="s">
        <v>79</v>
      </c>
      <c r="D545" s="74">
        <f t="shared" si="240"/>
        <v>1971.3999999999999</v>
      </c>
      <c r="E545" s="74">
        <f>E551</f>
        <v>752.3</v>
      </c>
      <c r="F545" s="74">
        <f t="shared" ref="F545:O545" si="245">F551</f>
        <v>0</v>
      </c>
      <c r="G545" s="74">
        <f t="shared" si="245"/>
        <v>1219.0999999999999</v>
      </c>
      <c r="H545" s="74">
        <f t="shared" si="245"/>
        <v>0</v>
      </c>
      <c r="I545" s="74">
        <f t="shared" si="245"/>
        <v>0</v>
      </c>
      <c r="J545" s="74">
        <f t="shared" si="245"/>
        <v>0</v>
      </c>
      <c r="K545" s="74">
        <f t="shared" si="245"/>
        <v>0</v>
      </c>
      <c r="L545" s="74">
        <f t="shared" si="245"/>
        <v>0</v>
      </c>
      <c r="M545" s="74">
        <f t="shared" si="245"/>
        <v>0</v>
      </c>
      <c r="N545" s="74">
        <f t="shared" si="245"/>
        <v>0</v>
      </c>
      <c r="O545" s="74">
        <f t="shared" si="245"/>
        <v>0</v>
      </c>
    </row>
    <row r="546" spans="1:24" ht="15.75" x14ac:dyDescent="0.2">
      <c r="A546" s="118"/>
      <c r="B546" s="145"/>
      <c r="C546" s="51" t="s">
        <v>13</v>
      </c>
      <c r="D546" s="1">
        <f t="shared" si="240"/>
        <v>0</v>
      </c>
      <c r="E546" s="1">
        <f>E552+E564</f>
        <v>0</v>
      </c>
      <c r="F546" s="1">
        <f t="shared" ref="F546:O546" si="246">F552</f>
        <v>0</v>
      </c>
      <c r="G546" s="1">
        <f t="shared" si="246"/>
        <v>0</v>
      </c>
      <c r="H546" s="1">
        <f t="shared" si="246"/>
        <v>0</v>
      </c>
      <c r="I546" s="1">
        <f t="shared" si="246"/>
        <v>0</v>
      </c>
      <c r="J546" s="1">
        <f t="shared" si="246"/>
        <v>0</v>
      </c>
      <c r="K546" s="1">
        <f t="shared" si="246"/>
        <v>0</v>
      </c>
      <c r="L546" s="1">
        <f t="shared" si="246"/>
        <v>0</v>
      </c>
      <c r="M546" s="1">
        <f t="shared" si="246"/>
        <v>0</v>
      </c>
      <c r="N546" s="1">
        <f t="shared" si="246"/>
        <v>0</v>
      </c>
      <c r="O546" s="1">
        <f t="shared" si="246"/>
        <v>0</v>
      </c>
    </row>
    <row r="547" spans="1:24" ht="15.75" x14ac:dyDescent="0.2">
      <c r="A547" s="105" t="s">
        <v>353</v>
      </c>
      <c r="B547" s="116" t="s">
        <v>91</v>
      </c>
      <c r="C547" s="51" t="s">
        <v>7</v>
      </c>
      <c r="D547" s="1">
        <f t="shared" ref="D547:D587" si="247">E547+F547+G547+H547+I547+J547+K547+L547+M547+N547+O547</f>
        <v>157279.29999999999</v>
      </c>
      <c r="E547" s="1">
        <f t="shared" ref="E547:O547" si="248">E550+E548+E549+E552</f>
        <v>13860</v>
      </c>
      <c r="F547" s="1">
        <f t="shared" si="248"/>
        <v>15421.9</v>
      </c>
      <c r="G547" s="1">
        <f t="shared" si="248"/>
        <v>19594</v>
      </c>
      <c r="H547" s="1">
        <f t="shared" si="248"/>
        <v>13152.1</v>
      </c>
      <c r="I547" s="1">
        <f t="shared" si="248"/>
        <v>23011</v>
      </c>
      <c r="J547" s="1">
        <f t="shared" si="248"/>
        <v>13868</v>
      </c>
      <c r="K547" s="1">
        <f t="shared" si="248"/>
        <v>18850.3</v>
      </c>
      <c r="L547" s="1">
        <f t="shared" si="248"/>
        <v>16460</v>
      </c>
      <c r="M547" s="1">
        <f t="shared" si="248"/>
        <v>6905.9</v>
      </c>
      <c r="N547" s="1">
        <f t="shared" si="248"/>
        <v>8138.1</v>
      </c>
      <c r="O547" s="1">
        <f t="shared" si="248"/>
        <v>8018</v>
      </c>
    </row>
    <row r="548" spans="1:24" ht="15.75" x14ac:dyDescent="0.2">
      <c r="A548" s="138"/>
      <c r="B548" s="116"/>
      <c r="C548" s="51" t="s">
        <v>10</v>
      </c>
      <c r="D548" s="1">
        <f t="shared" si="247"/>
        <v>0</v>
      </c>
      <c r="E548" s="1">
        <f>E554+E560</f>
        <v>0</v>
      </c>
      <c r="F548" s="1">
        <f t="shared" ref="F548:O548" si="249">F554+F560</f>
        <v>0</v>
      </c>
      <c r="G548" s="1">
        <f t="shared" si="249"/>
        <v>0</v>
      </c>
      <c r="H548" s="1">
        <f t="shared" si="249"/>
        <v>0</v>
      </c>
      <c r="I548" s="1">
        <f t="shared" si="249"/>
        <v>0</v>
      </c>
      <c r="J548" s="1">
        <f t="shared" si="249"/>
        <v>0</v>
      </c>
      <c r="K548" s="1">
        <f t="shared" si="249"/>
        <v>0</v>
      </c>
      <c r="L548" s="1">
        <f t="shared" si="249"/>
        <v>0</v>
      </c>
      <c r="M548" s="1">
        <f t="shared" si="249"/>
        <v>0</v>
      </c>
      <c r="N548" s="1">
        <f t="shared" si="249"/>
        <v>0</v>
      </c>
      <c r="O548" s="1">
        <f t="shared" si="249"/>
        <v>0</v>
      </c>
    </row>
    <row r="549" spans="1:24" ht="15.75" x14ac:dyDescent="0.2">
      <c r="A549" s="138"/>
      <c r="B549" s="116"/>
      <c r="C549" s="51" t="s">
        <v>11</v>
      </c>
      <c r="D549" s="1">
        <f t="shared" si="247"/>
        <v>0</v>
      </c>
      <c r="E549" s="1">
        <f t="shared" ref="E549:O549" si="250">E555+E561</f>
        <v>0</v>
      </c>
      <c r="F549" s="1">
        <f t="shared" si="250"/>
        <v>0</v>
      </c>
      <c r="G549" s="1">
        <f t="shared" si="250"/>
        <v>0</v>
      </c>
      <c r="H549" s="1">
        <f t="shared" si="250"/>
        <v>0</v>
      </c>
      <c r="I549" s="1">
        <f t="shared" si="250"/>
        <v>0</v>
      </c>
      <c r="J549" s="1">
        <f t="shared" si="250"/>
        <v>0</v>
      </c>
      <c r="K549" s="1">
        <f t="shared" si="250"/>
        <v>0</v>
      </c>
      <c r="L549" s="1">
        <f t="shared" si="250"/>
        <v>0</v>
      </c>
      <c r="M549" s="1">
        <f t="shared" si="250"/>
        <v>0</v>
      </c>
      <c r="N549" s="1">
        <f t="shared" si="250"/>
        <v>0</v>
      </c>
      <c r="O549" s="1">
        <f t="shared" si="250"/>
        <v>0</v>
      </c>
    </row>
    <row r="550" spans="1:24" ht="31.5" customHeight="1" x14ac:dyDescent="0.2">
      <c r="A550" s="138"/>
      <c r="B550" s="116"/>
      <c r="C550" s="51" t="s">
        <v>65</v>
      </c>
      <c r="D550" s="1">
        <f t="shared" si="247"/>
        <v>157279.29999999999</v>
      </c>
      <c r="E550" s="1">
        <f>E556+E562</f>
        <v>13860</v>
      </c>
      <c r="F550" s="1">
        <f t="shared" ref="F550:O550" si="251">F556+F562</f>
        <v>15421.9</v>
      </c>
      <c r="G550" s="1">
        <f t="shared" si="251"/>
        <v>19594</v>
      </c>
      <c r="H550" s="1">
        <f t="shared" si="251"/>
        <v>13152.1</v>
      </c>
      <c r="I550" s="1">
        <f t="shared" si="251"/>
        <v>23011</v>
      </c>
      <c r="J550" s="1">
        <f>J556+J562</f>
        <v>13868</v>
      </c>
      <c r="K550" s="1">
        <f t="shared" si="251"/>
        <v>18850.3</v>
      </c>
      <c r="L550" s="1">
        <f t="shared" si="251"/>
        <v>16460</v>
      </c>
      <c r="M550" s="1">
        <f t="shared" si="251"/>
        <v>6905.9</v>
      </c>
      <c r="N550" s="1">
        <f t="shared" si="251"/>
        <v>8138.1</v>
      </c>
      <c r="O550" s="1">
        <f t="shared" si="251"/>
        <v>8018</v>
      </c>
    </row>
    <row r="551" spans="1:24" ht="33" customHeight="1" x14ac:dyDescent="0.2">
      <c r="A551" s="138"/>
      <c r="B551" s="116"/>
      <c r="C551" s="76" t="s">
        <v>79</v>
      </c>
      <c r="D551" s="1">
        <f t="shared" si="247"/>
        <v>1971.3999999999999</v>
      </c>
      <c r="E551" s="74">
        <f>E557</f>
        <v>752.3</v>
      </c>
      <c r="F551" s="74">
        <f t="shared" ref="F551:O551" si="252">F557</f>
        <v>0</v>
      </c>
      <c r="G551" s="74">
        <f t="shared" si="252"/>
        <v>1219.0999999999999</v>
      </c>
      <c r="H551" s="74">
        <f t="shared" si="252"/>
        <v>0</v>
      </c>
      <c r="I551" s="74">
        <f t="shared" si="252"/>
        <v>0</v>
      </c>
      <c r="J551" s="74">
        <f t="shared" si="252"/>
        <v>0</v>
      </c>
      <c r="K551" s="74">
        <f t="shared" si="252"/>
        <v>0</v>
      </c>
      <c r="L551" s="74">
        <f t="shared" si="252"/>
        <v>0</v>
      </c>
      <c r="M551" s="74">
        <f t="shared" si="252"/>
        <v>0</v>
      </c>
      <c r="N551" s="74">
        <f t="shared" si="252"/>
        <v>0</v>
      </c>
      <c r="O551" s="74">
        <f t="shared" si="252"/>
        <v>0</v>
      </c>
    </row>
    <row r="552" spans="1:24" ht="17.25" customHeight="1" x14ac:dyDescent="0.2">
      <c r="A552" s="139"/>
      <c r="B552" s="116"/>
      <c r="C552" s="51" t="s">
        <v>13</v>
      </c>
      <c r="D552" s="1">
        <f t="shared" si="247"/>
        <v>0</v>
      </c>
      <c r="E552" s="1">
        <f t="shared" ref="E552:O552" si="253">E558+E563</f>
        <v>0</v>
      </c>
      <c r="F552" s="1">
        <f t="shared" si="253"/>
        <v>0</v>
      </c>
      <c r="G552" s="1">
        <f t="shared" si="253"/>
        <v>0</v>
      </c>
      <c r="H552" s="1">
        <f t="shared" si="253"/>
        <v>0</v>
      </c>
      <c r="I552" s="1">
        <f t="shared" si="253"/>
        <v>0</v>
      </c>
      <c r="J552" s="1">
        <f t="shared" si="253"/>
        <v>0</v>
      </c>
      <c r="K552" s="1">
        <f t="shared" si="253"/>
        <v>0</v>
      </c>
      <c r="L552" s="1">
        <f t="shared" si="253"/>
        <v>0</v>
      </c>
      <c r="M552" s="1">
        <f t="shared" si="253"/>
        <v>0</v>
      </c>
      <c r="N552" s="1">
        <f t="shared" si="253"/>
        <v>0</v>
      </c>
      <c r="O552" s="1">
        <f t="shared" si="253"/>
        <v>0</v>
      </c>
    </row>
    <row r="553" spans="1:24" ht="17.25" customHeight="1" x14ac:dyDescent="0.2">
      <c r="A553" s="141" t="s">
        <v>133</v>
      </c>
      <c r="B553" s="111" t="s">
        <v>137</v>
      </c>
      <c r="C553" s="51" t="s">
        <v>7</v>
      </c>
      <c r="D553" s="1">
        <f t="shared" si="247"/>
        <v>33102.699999999997</v>
      </c>
      <c r="E553" s="1">
        <f t="shared" ref="E553:O553" si="254">E554+E555+E556+E558</f>
        <v>6610.3</v>
      </c>
      <c r="F553" s="1">
        <f t="shared" si="254"/>
        <v>5421.9</v>
      </c>
      <c r="G553" s="1">
        <f t="shared" si="254"/>
        <v>1966.9</v>
      </c>
      <c r="H553" s="1">
        <f t="shared" si="254"/>
        <v>945.9</v>
      </c>
      <c r="I553" s="1">
        <f t="shared" si="254"/>
        <v>11181</v>
      </c>
      <c r="J553" s="1">
        <f t="shared" si="254"/>
        <v>2488.6000000000004</v>
      </c>
      <c r="K553" s="1">
        <f t="shared" si="254"/>
        <v>1158.3</v>
      </c>
      <c r="L553" s="1">
        <f t="shared" si="254"/>
        <v>3329.8</v>
      </c>
      <c r="M553" s="1">
        <f t="shared" si="254"/>
        <v>0</v>
      </c>
      <c r="N553" s="1">
        <f t="shared" si="254"/>
        <v>0</v>
      </c>
      <c r="O553" s="1">
        <f t="shared" si="254"/>
        <v>0</v>
      </c>
    </row>
    <row r="554" spans="1:24" ht="15.75" x14ac:dyDescent="0.2">
      <c r="A554" s="141"/>
      <c r="B554" s="111"/>
      <c r="C554" s="51" t="s">
        <v>10</v>
      </c>
      <c r="D554" s="1">
        <f t="shared" si="247"/>
        <v>0</v>
      </c>
      <c r="E554" s="1">
        <v>0</v>
      </c>
      <c r="F554" s="1">
        <v>0</v>
      </c>
      <c r="G554" s="1">
        <v>0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</v>
      </c>
      <c r="O554" s="1">
        <v>0</v>
      </c>
    </row>
    <row r="555" spans="1:24" ht="15.75" x14ac:dyDescent="0.2">
      <c r="A555" s="141"/>
      <c r="B555" s="111"/>
      <c r="C555" s="51" t="s">
        <v>11</v>
      </c>
      <c r="D555" s="1">
        <f t="shared" si="247"/>
        <v>0</v>
      </c>
      <c r="E555" s="1">
        <v>0</v>
      </c>
      <c r="F555" s="1">
        <v>0</v>
      </c>
      <c r="G555" s="1">
        <v>0</v>
      </c>
      <c r="H555" s="1">
        <v>0</v>
      </c>
      <c r="I555" s="1">
        <v>0</v>
      </c>
      <c r="J555" s="1">
        <v>0</v>
      </c>
      <c r="K555" s="1">
        <v>0</v>
      </c>
      <c r="L555" s="1">
        <v>0</v>
      </c>
      <c r="M555" s="1">
        <v>0</v>
      </c>
      <c r="N555" s="1">
        <v>0</v>
      </c>
      <c r="O555" s="1">
        <v>0</v>
      </c>
    </row>
    <row r="556" spans="1:24" ht="31.5" x14ac:dyDescent="0.2">
      <c r="A556" s="141"/>
      <c r="B556" s="111"/>
      <c r="C556" s="51" t="s">
        <v>65</v>
      </c>
      <c r="D556" s="1">
        <f t="shared" si="247"/>
        <v>33102.699999999997</v>
      </c>
      <c r="E556" s="1">
        <v>6610.3</v>
      </c>
      <c r="F556" s="1">
        <v>5421.9</v>
      </c>
      <c r="G556" s="1">
        <v>1966.9</v>
      </c>
      <c r="H556" s="1">
        <v>945.9</v>
      </c>
      <c r="I556" s="1">
        <v>11181</v>
      </c>
      <c r="J556" s="1">
        <f>1513.4+227.7+600+147.5</f>
        <v>2488.6000000000004</v>
      </c>
      <c r="K556" s="1">
        <f>1059.4+633.1+454-1078.2+90</f>
        <v>1158.3</v>
      </c>
      <c r="L556" s="1">
        <f>523.5+4871.8-1722-343.5</f>
        <v>3329.8</v>
      </c>
      <c r="M556" s="1">
        <f>555.1-555.1</f>
        <v>0</v>
      </c>
      <c r="N556" s="1">
        <f>557.8-557.8</f>
        <v>0</v>
      </c>
      <c r="O556" s="1">
        <v>0</v>
      </c>
      <c r="X556" s="64"/>
    </row>
    <row r="557" spans="1:24" ht="31.5" x14ac:dyDescent="0.2">
      <c r="A557" s="141"/>
      <c r="B557" s="111"/>
      <c r="C557" s="76" t="s">
        <v>79</v>
      </c>
      <c r="D557" s="74">
        <f t="shared" si="247"/>
        <v>1971.3999999999999</v>
      </c>
      <c r="E557" s="74">
        <v>752.3</v>
      </c>
      <c r="F557" s="74">
        <v>0</v>
      </c>
      <c r="G557" s="74">
        <v>1219.0999999999999</v>
      </c>
      <c r="H557" s="74">
        <v>0</v>
      </c>
      <c r="I557" s="74">
        <v>0</v>
      </c>
      <c r="J557" s="74">
        <v>0</v>
      </c>
      <c r="K557" s="74">
        <v>0</v>
      </c>
      <c r="L557" s="74">
        <v>0</v>
      </c>
      <c r="M557" s="74">
        <v>0</v>
      </c>
      <c r="N557" s="74">
        <v>0</v>
      </c>
      <c r="O557" s="74">
        <v>0</v>
      </c>
    </row>
    <row r="558" spans="1:24" ht="19.5" customHeight="1" x14ac:dyDescent="0.2">
      <c r="A558" s="141"/>
      <c r="B558" s="111"/>
      <c r="C558" s="51" t="s">
        <v>13</v>
      </c>
      <c r="D558" s="1">
        <f t="shared" si="247"/>
        <v>0</v>
      </c>
      <c r="E558" s="1">
        <v>0</v>
      </c>
      <c r="F558" s="1">
        <v>0</v>
      </c>
      <c r="G558" s="1">
        <v>0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0</v>
      </c>
      <c r="O558" s="1">
        <v>0</v>
      </c>
    </row>
    <row r="559" spans="1:24" ht="15.75" x14ac:dyDescent="0.2">
      <c r="A559" s="141" t="s">
        <v>83</v>
      </c>
      <c r="B559" s="111" t="s">
        <v>59</v>
      </c>
      <c r="C559" s="51" t="s">
        <v>7</v>
      </c>
      <c r="D559" s="1">
        <f t="shared" si="247"/>
        <v>124176.59999999999</v>
      </c>
      <c r="E559" s="1">
        <f t="shared" ref="E559:O559" si="255">E560+E561+E562+E563</f>
        <v>7249.7</v>
      </c>
      <c r="F559" s="1">
        <f t="shared" si="255"/>
        <v>10000</v>
      </c>
      <c r="G559" s="1">
        <f t="shared" si="255"/>
        <v>17627.099999999999</v>
      </c>
      <c r="H559" s="1">
        <f t="shared" si="255"/>
        <v>12206.2</v>
      </c>
      <c r="I559" s="1">
        <f t="shared" si="255"/>
        <v>11830</v>
      </c>
      <c r="J559" s="1">
        <f t="shared" si="255"/>
        <v>11379.4</v>
      </c>
      <c r="K559" s="1">
        <f t="shared" si="255"/>
        <v>17692</v>
      </c>
      <c r="L559" s="1">
        <f t="shared" si="255"/>
        <v>13130.2</v>
      </c>
      <c r="M559" s="1">
        <f t="shared" si="255"/>
        <v>6905.9</v>
      </c>
      <c r="N559" s="1">
        <f t="shared" si="255"/>
        <v>8138.1</v>
      </c>
      <c r="O559" s="1">
        <f t="shared" si="255"/>
        <v>8018</v>
      </c>
    </row>
    <row r="560" spans="1:24" ht="15.75" x14ac:dyDescent="0.2">
      <c r="A560" s="141"/>
      <c r="B560" s="111"/>
      <c r="C560" s="51" t="s">
        <v>10</v>
      </c>
      <c r="D560" s="1">
        <f t="shared" si="247"/>
        <v>0</v>
      </c>
      <c r="E560" s="1">
        <v>0</v>
      </c>
      <c r="F560" s="1">
        <v>0</v>
      </c>
      <c r="G560" s="1">
        <v>0</v>
      </c>
      <c r="H560" s="1">
        <v>0</v>
      </c>
      <c r="I560" s="1">
        <v>0</v>
      </c>
      <c r="J560" s="1">
        <v>0</v>
      </c>
      <c r="K560" s="1">
        <v>0</v>
      </c>
      <c r="L560" s="1">
        <v>0</v>
      </c>
      <c r="M560" s="1">
        <v>0</v>
      </c>
      <c r="N560" s="1">
        <v>0</v>
      </c>
      <c r="O560" s="1">
        <v>0</v>
      </c>
    </row>
    <row r="561" spans="1:17" ht="15.75" x14ac:dyDescent="0.2">
      <c r="A561" s="141"/>
      <c r="B561" s="111"/>
      <c r="C561" s="51" t="s">
        <v>11</v>
      </c>
      <c r="D561" s="1">
        <f t="shared" si="247"/>
        <v>0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</v>
      </c>
      <c r="L561" s="1">
        <v>0</v>
      </c>
      <c r="M561" s="1">
        <v>0</v>
      </c>
      <c r="N561" s="1">
        <v>0</v>
      </c>
      <c r="O561" s="1">
        <v>0</v>
      </c>
    </row>
    <row r="562" spans="1:17" ht="15.75" x14ac:dyDescent="0.2">
      <c r="A562" s="141"/>
      <c r="B562" s="111"/>
      <c r="C562" s="51" t="s">
        <v>12</v>
      </c>
      <c r="D562" s="1">
        <f t="shared" si="247"/>
        <v>124176.59999999999</v>
      </c>
      <c r="E562" s="1">
        <v>7249.7</v>
      </c>
      <c r="F562" s="1">
        <v>10000</v>
      </c>
      <c r="G562" s="1">
        <v>17627.099999999999</v>
      </c>
      <c r="H562" s="1">
        <v>12206.2</v>
      </c>
      <c r="I562" s="1">
        <v>11830</v>
      </c>
      <c r="J562" s="1">
        <f>11444.4-65</f>
        <v>11379.4</v>
      </c>
      <c r="K562" s="1">
        <f>8540+1940+2150+143.2+4918.8</f>
        <v>17692</v>
      </c>
      <c r="L562" s="1">
        <f>6900.2+4030+2200</f>
        <v>13130.2</v>
      </c>
      <c r="M562" s="1">
        <f>7316.7-410.8</f>
        <v>6905.9</v>
      </c>
      <c r="N562" s="1">
        <f>7352.5+785.6</f>
        <v>8138.1</v>
      </c>
      <c r="O562" s="1">
        <f>12200-4182</f>
        <v>8018</v>
      </c>
    </row>
    <row r="563" spans="1:17" ht="26.25" customHeight="1" x14ac:dyDescent="0.2">
      <c r="A563" s="141"/>
      <c r="B563" s="111"/>
      <c r="C563" s="60" t="s">
        <v>13</v>
      </c>
      <c r="D563" s="1">
        <f t="shared" si="247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17" ht="15.75" x14ac:dyDescent="0.2">
      <c r="A564" s="105" t="s">
        <v>355</v>
      </c>
      <c r="B564" s="116" t="s">
        <v>362</v>
      </c>
      <c r="C564" s="51" t="s">
        <v>7</v>
      </c>
      <c r="D564" s="1">
        <f t="shared" si="247"/>
        <v>708.6</v>
      </c>
      <c r="E564" s="1">
        <f t="shared" ref="E564:O564" si="256">E567+E565+E566+E568</f>
        <v>0</v>
      </c>
      <c r="F564" s="1">
        <f t="shared" si="256"/>
        <v>0</v>
      </c>
      <c r="G564" s="1">
        <f t="shared" si="256"/>
        <v>0</v>
      </c>
      <c r="H564" s="1">
        <f t="shared" si="256"/>
        <v>0</v>
      </c>
      <c r="I564" s="1">
        <f t="shared" si="256"/>
        <v>0</v>
      </c>
      <c r="J564" s="1">
        <f t="shared" si="256"/>
        <v>708.6</v>
      </c>
      <c r="K564" s="1">
        <f t="shared" si="256"/>
        <v>0</v>
      </c>
      <c r="L564" s="1">
        <f t="shared" si="256"/>
        <v>0</v>
      </c>
      <c r="M564" s="1">
        <f t="shared" si="256"/>
        <v>0</v>
      </c>
      <c r="N564" s="1">
        <f t="shared" si="256"/>
        <v>0</v>
      </c>
      <c r="O564" s="1">
        <f t="shared" si="256"/>
        <v>0</v>
      </c>
    </row>
    <row r="565" spans="1:17" ht="15.75" x14ac:dyDescent="0.2">
      <c r="A565" s="138"/>
      <c r="B565" s="116"/>
      <c r="C565" s="51" t="s">
        <v>10</v>
      </c>
      <c r="D565" s="1">
        <f t="shared" si="247"/>
        <v>0</v>
      </c>
      <c r="E565" s="1">
        <f>E570</f>
        <v>0</v>
      </c>
      <c r="F565" s="1">
        <f t="shared" ref="F565:O565" si="257">F570</f>
        <v>0</v>
      </c>
      <c r="G565" s="1">
        <f t="shared" si="257"/>
        <v>0</v>
      </c>
      <c r="H565" s="1">
        <f t="shared" si="257"/>
        <v>0</v>
      </c>
      <c r="I565" s="1">
        <f t="shared" si="257"/>
        <v>0</v>
      </c>
      <c r="J565" s="1">
        <f t="shared" si="257"/>
        <v>0</v>
      </c>
      <c r="K565" s="1">
        <f t="shared" si="257"/>
        <v>0</v>
      </c>
      <c r="L565" s="1">
        <f t="shared" si="257"/>
        <v>0</v>
      </c>
      <c r="M565" s="1">
        <f t="shared" si="257"/>
        <v>0</v>
      </c>
      <c r="N565" s="1">
        <f t="shared" si="257"/>
        <v>0</v>
      </c>
      <c r="O565" s="1">
        <f t="shared" si="257"/>
        <v>0</v>
      </c>
    </row>
    <row r="566" spans="1:17" ht="15.75" x14ac:dyDescent="0.2">
      <c r="A566" s="138"/>
      <c r="B566" s="116"/>
      <c r="C566" s="51" t="s">
        <v>11</v>
      </c>
      <c r="D566" s="1">
        <f t="shared" si="247"/>
        <v>708.6</v>
      </c>
      <c r="E566" s="1">
        <f>E571</f>
        <v>0</v>
      </c>
      <c r="F566" s="1">
        <f t="shared" ref="F566:O566" si="258">F571</f>
        <v>0</v>
      </c>
      <c r="G566" s="1">
        <f t="shared" si="258"/>
        <v>0</v>
      </c>
      <c r="H566" s="1">
        <f t="shared" si="258"/>
        <v>0</v>
      </c>
      <c r="I566" s="1">
        <f t="shared" si="258"/>
        <v>0</v>
      </c>
      <c r="J566" s="1">
        <f t="shared" si="258"/>
        <v>708.6</v>
      </c>
      <c r="K566" s="1">
        <f t="shared" si="258"/>
        <v>0</v>
      </c>
      <c r="L566" s="1">
        <f t="shared" si="258"/>
        <v>0</v>
      </c>
      <c r="M566" s="1">
        <f t="shared" si="258"/>
        <v>0</v>
      </c>
      <c r="N566" s="1">
        <f t="shared" si="258"/>
        <v>0</v>
      </c>
      <c r="O566" s="1">
        <f t="shared" si="258"/>
        <v>0</v>
      </c>
    </row>
    <row r="567" spans="1:17" ht="31.5" customHeight="1" x14ac:dyDescent="0.2">
      <c r="A567" s="138"/>
      <c r="B567" s="116"/>
      <c r="C567" s="51" t="s">
        <v>65</v>
      </c>
      <c r="D567" s="1">
        <f t="shared" si="247"/>
        <v>0</v>
      </c>
      <c r="E567" s="1">
        <f>E572</f>
        <v>0</v>
      </c>
      <c r="F567" s="1">
        <f t="shared" ref="F567:O567" si="259">F572</f>
        <v>0</v>
      </c>
      <c r="G567" s="1">
        <f t="shared" si="259"/>
        <v>0</v>
      </c>
      <c r="H567" s="1">
        <f t="shared" si="259"/>
        <v>0</v>
      </c>
      <c r="I567" s="1">
        <f t="shared" si="259"/>
        <v>0</v>
      </c>
      <c r="J567" s="1">
        <f t="shared" si="259"/>
        <v>0</v>
      </c>
      <c r="K567" s="1">
        <f t="shared" si="259"/>
        <v>0</v>
      </c>
      <c r="L567" s="1">
        <f t="shared" si="259"/>
        <v>0</v>
      </c>
      <c r="M567" s="1">
        <f t="shared" si="259"/>
        <v>0</v>
      </c>
      <c r="N567" s="1">
        <f t="shared" si="259"/>
        <v>0</v>
      </c>
      <c r="O567" s="1">
        <f t="shared" si="259"/>
        <v>0</v>
      </c>
    </row>
    <row r="568" spans="1:17" ht="17.25" customHeight="1" x14ac:dyDescent="0.2">
      <c r="A568" s="139"/>
      <c r="B568" s="116"/>
      <c r="C568" s="51" t="s">
        <v>13</v>
      </c>
      <c r="D568" s="1">
        <f t="shared" si="247"/>
        <v>0</v>
      </c>
      <c r="E568" s="1">
        <f>E573</f>
        <v>0</v>
      </c>
      <c r="F568" s="1">
        <f t="shared" ref="F568:O568" si="260">F573</f>
        <v>0</v>
      </c>
      <c r="G568" s="1">
        <f t="shared" si="260"/>
        <v>0</v>
      </c>
      <c r="H568" s="1">
        <f t="shared" si="260"/>
        <v>0</v>
      </c>
      <c r="I568" s="1">
        <f t="shared" si="260"/>
        <v>0</v>
      </c>
      <c r="J568" s="1">
        <f t="shared" si="260"/>
        <v>0</v>
      </c>
      <c r="K568" s="1">
        <f t="shared" si="260"/>
        <v>0</v>
      </c>
      <c r="L568" s="1">
        <f t="shared" si="260"/>
        <v>0</v>
      </c>
      <c r="M568" s="1">
        <f t="shared" si="260"/>
        <v>0</v>
      </c>
      <c r="N568" s="1">
        <f t="shared" si="260"/>
        <v>0</v>
      </c>
      <c r="O568" s="1">
        <f t="shared" si="260"/>
        <v>0</v>
      </c>
    </row>
    <row r="569" spans="1:17" ht="15.75" x14ac:dyDescent="0.2">
      <c r="A569" s="141" t="s">
        <v>356</v>
      </c>
      <c r="B569" s="111" t="s">
        <v>363</v>
      </c>
      <c r="C569" s="51" t="s">
        <v>7</v>
      </c>
      <c r="D569" s="1">
        <f t="shared" si="247"/>
        <v>708.6</v>
      </c>
      <c r="E569" s="1">
        <f t="shared" ref="E569:O569" si="261">E570+E571+E572+E573</f>
        <v>0</v>
      </c>
      <c r="F569" s="1">
        <f t="shared" si="261"/>
        <v>0</v>
      </c>
      <c r="G569" s="1">
        <f t="shared" si="261"/>
        <v>0</v>
      </c>
      <c r="H569" s="1">
        <f t="shared" si="261"/>
        <v>0</v>
      </c>
      <c r="I569" s="1">
        <f t="shared" si="261"/>
        <v>0</v>
      </c>
      <c r="J569" s="1">
        <f t="shared" si="261"/>
        <v>708.6</v>
      </c>
      <c r="K569" s="1">
        <f t="shared" si="261"/>
        <v>0</v>
      </c>
      <c r="L569" s="1">
        <f t="shared" si="261"/>
        <v>0</v>
      </c>
      <c r="M569" s="1">
        <f t="shared" si="261"/>
        <v>0</v>
      </c>
      <c r="N569" s="1">
        <f t="shared" si="261"/>
        <v>0</v>
      </c>
      <c r="O569" s="1">
        <f t="shared" si="261"/>
        <v>0</v>
      </c>
    </row>
    <row r="570" spans="1:17" ht="15.75" x14ac:dyDescent="0.2">
      <c r="A570" s="141"/>
      <c r="B570" s="111"/>
      <c r="C570" s="51" t="s">
        <v>10</v>
      </c>
      <c r="D570" s="1">
        <f t="shared" si="247"/>
        <v>0</v>
      </c>
      <c r="E570" s="1">
        <v>0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0</v>
      </c>
      <c r="O570" s="1">
        <v>0</v>
      </c>
    </row>
    <row r="571" spans="1:17" ht="15.75" x14ac:dyDescent="0.2">
      <c r="A571" s="141"/>
      <c r="B571" s="111"/>
      <c r="C571" s="51" t="s">
        <v>11</v>
      </c>
      <c r="D571" s="1">
        <f t="shared" si="247"/>
        <v>708.6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708.6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17" ht="23.25" customHeight="1" x14ac:dyDescent="0.2">
      <c r="A572" s="141"/>
      <c r="B572" s="111"/>
      <c r="C572" s="51" t="s">
        <v>12</v>
      </c>
      <c r="D572" s="1">
        <f t="shared" si="247"/>
        <v>0</v>
      </c>
      <c r="E572" s="1">
        <v>0</v>
      </c>
      <c r="F572" s="1">
        <v>0</v>
      </c>
      <c r="G572" s="1">
        <v>0</v>
      </c>
      <c r="H572" s="1">
        <v>0</v>
      </c>
      <c r="I572" s="1">
        <v>0</v>
      </c>
      <c r="J572" s="1">
        <v>0</v>
      </c>
      <c r="K572" s="1">
        <v>0</v>
      </c>
      <c r="L572" s="1">
        <v>0</v>
      </c>
      <c r="M572" s="1">
        <v>0</v>
      </c>
      <c r="N572" s="1">
        <v>0</v>
      </c>
      <c r="O572" s="1">
        <v>0</v>
      </c>
    </row>
    <row r="573" spans="1:17" ht="24.75" customHeight="1" x14ac:dyDescent="0.2">
      <c r="A573" s="141"/>
      <c r="B573" s="111"/>
      <c r="C573" s="60" t="s">
        <v>13</v>
      </c>
      <c r="D573" s="1">
        <f t="shared" si="247"/>
        <v>0</v>
      </c>
      <c r="E573" s="1">
        <v>0</v>
      </c>
      <c r="F573" s="1">
        <v>0</v>
      </c>
      <c r="G573" s="1">
        <v>0</v>
      </c>
      <c r="H573" s="1">
        <v>0</v>
      </c>
      <c r="I573" s="1">
        <v>0</v>
      </c>
      <c r="J573" s="1">
        <v>0</v>
      </c>
      <c r="K573" s="1">
        <v>0</v>
      </c>
      <c r="L573" s="1">
        <v>0</v>
      </c>
      <c r="M573" s="1">
        <v>0</v>
      </c>
      <c r="N573" s="1">
        <v>0</v>
      </c>
      <c r="O573" s="1">
        <v>0</v>
      </c>
    </row>
    <row r="574" spans="1:17" ht="15.75" customHeight="1" x14ac:dyDescent="0.2">
      <c r="A574" s="118" t="s">
        <v>31</v>
      </c>
      <c r="B574" s="149" t="s">
        <v>330</v>
      </c>
      <c r="C574" s="61" t="s">
        <v>7</v>
      </c>
      <c r="D574" s="2">
        <f t="shared" si="247"/>
        <v>3882404.162</v>
      </c>
      <c r="E574" s="2">
        <f>E575+E576+E578+E581</f>
        <v>228156.69999999998</v>
      </c>
      <c r="F574" s="2">
        <f>F575+F576+F578+F581</f>
        <v>279787.8</v>
      </c>
      <c r="G574" s="2">
        <f t="shared" ref="G574:O574" si="262">SUM(G575:G581)</f>
        <v>257795.10000000003</v>
      </c>
      <c r="H574" s="2">
        <f t="shared" si="262"/>
        <v>267713.5</v>
      </c>
      <c r="I574" s="2">
        <f t="shared" si="262"/>
        <v>352068.4</v>
      </c>
      <c r="J574" s="2">
        <f t="shared" si="262"/>
        <v>478026.3</v>
      </c>
      <c r="K574" s="2">
        <f t="shared" si="262"/>
        <v>781436.36200000008</v>
      </c>
      <c r="L574" s="2">
        <f t="shared" si="262"/>
        <v>562909.5</v>
      </c>
      <c r="M574" s="2">
        <f t="shared" si="262"/>
        <v>242455.9</v>
      </c>
      <c r="N574" s="2">
        <f t="shared" si="262"/>
        <v>216737.7</v>
      </c>
      <c r="O574" s="2">
        <f t="shared" si="262"/>
        <v>215316.89999999997</v>
      </c>
      <c r="P574" s="62"/>
      <c r="Q574" s="71"/>
    </row>
    <row r="575" spans="1:17" ht="15.75" x14ac:dyDescent="0.2">
      <c r="A575" s="118"/>
      <c r="B575" s="149"/>
      <c r="C575" s="60" t="s">
        <v>10</v>
      </c>
      <c r="D575" s="1">
        <f t="shared" si="247"/>
        <v>0</v>
      </c>
      <c r="E575" s="1">
        <f>E594+E604+E614+E629+E639+E645</f>
        <v>0</v>
      </c>
      <c r="F575" s="1">
        <f t="shared" ref="F575:O575" si="263">F594+F604+F614+F629+F639+F645</f>
        <v>0</v>
      </c>
      <c r="G575" s="1">
        <f t="shared" si="263"/>
        <v>0</v>
      </c>
      <c r="H575" s="1">
        <f t="shared" si="263"/>
        <v>0</v>
      </c>
      <c r="I575" s="1">
        <f>I594+I604+I614+I629+I639+I645</f>
        <v>0</v>
      </c>
      <c r="J575" s="1">
        <f t="shared" si="263"/>
        <v>0</v>
      </c>
      <c r="K575" s="1">
        <f t="shared" si="263"/>
        <v>0</v>
      </c>
      <c r="L575" s="1">
        <f t="shared" si="263"/>
        <v>0</v>
      </c>
      <c r="M575" s="1">
        <f t="shared" si="263"/>
        <v>0</v>
      </c>
      <c r="N575" s="1">
        <f t="shared" si="263"/>
        <v>0</v>
      </c>
      <c r="O575" s="1">
        <f t="shared" si="263"/>
        <v>0</v>
      </c>
      <c r="P575" s="64"/>
      <c r="Q575" s="64"/>
    </row>
    <row r="576" spans="1:17" ht="31.5" x14ac:dyDescent="0.2">
      <c r="A576" s="118"/>
      <c r="B576" s="149"/>
      <c r="C576" s="60" t="s">
        <v>69</v>
      </c>
      <c r="D576" s="1">
        <f t="shared" si="247"/>
        <v>1041771.2</v>
      </c>
      <c r="E576" s="1">
        <f t="shared" ref="E576:H576" si="264">E584+E692</f>
        <v>0</v>
      </c>
      <c r="F576" s="1">
        <f t="shared" si="264"/>
        <v>0</v>
      </c>
      <c r="G576" s="1">
        <f t="shared" si="264"/>
        <v>0</v>
      </c>
      <c r="H576" s="1">
        <f t="shared" si="264"/>
        <v>0</v>
      </c>
      <c r="I576" s="1">
        <f>I584+I692+I706</f>
        <v>159753.70000000001</v>
      </c>
      <c r="J576" s="1">
        <f>J584+J692+J706</f>
        <v>282920.3</v>
      </c>
      <c r="K576" s="1">
        <f>K584+K692</f>
        <v>368985.2</v>
      </c>
      <c r="L576" s="1">
        <f>L584+L692</f>
        <v>195620.5</v>
      </c>
      <c r="M576" s="1">
        <f>M584+M692</f>
        <v>34491.5</v>
      </c>
      <c r="N576" s="1">
        <f>N584+N692</f>
        <v>0</v>
      </c>
      <c r="O576" s="1">
        <f>O584+O692</f>
        <v>0</v>
      </c>
    </row>
    <row r="577" spans="1:17" ht="31.5" x14ac:dyDescent="0.2">
      <c r="A577" s="118"/>
      <c r="B577" s="149"/>
      <c r="C577" s="100" t="s">
        <v>81</v>
      </c>
      <c r="D577" s="74">
        <f t="shared" si="247"/>
        <v>11279.3</v>
      </c>
      <c r="E577" s="74">
        <f t="shared" ref="E577:L577" si="265">E693</f>
        <v>0</v>
      </c>
      <c r="F577" s="74">
        <f t="shared" si="265"/>
        <v>0</v>
      </c>
      <c r="G577" s="74">
        <f t="shared" si="265"/>
        <v>0</v>
      </c>
      <c r="H577" s="74">
        <f t="shared" si="265"/>
        <v>0</v>
      </c>
      <c r="I577" s="74">
        <f t="shared" si="265"/>
        <v>0</v>
      </c>
      <c r="J577" s="74">
        <f t="shared" si="265"/>
        <v>0</v>
      </c>
      <c r="K577" s="74">
        <f t="shared" si="265"/>
        <v>0</v>
      </c>
      <c r="L577" s="74">
        <f t="shared" si="265"/>
        <v>0</v>
      </c>
      <c r="M577" s="99">
        <f>M693</f>
        <v>11279.3</v>
      </c>
      <c r="N577" s="74">
        <f t="shared" ref="N577:O577" si="266">N693</f>
        <v>0</v>
      </c>
      <c r="O577" s="74">
        <f t="shared" si="266"/>
        <v>0</v>
      </c>
    </row>
    <row r="578" spans="1:17" ht="31.5" customHeight="1" x14ac:dyDescent="0.2">
      <c r="A578" s="118"/>
      <c r="B578" s="149"/>
      <c r="C578" s="60" t="s">
        <v>65</v>
      </c>
      <c r="D578" s="1">
        <f t="shared" si="247"/>
        <v>2828633.7620000006</v>
      </c>
      <c r="E578" s="1">
        <f>E585+E694</f>
        <v>228156.69999999998</v>
      </c>
      <c r="F578" s="1">
        <f>F585+F694</f>
        <v>279787.8</v>
      </c>
      <c r="G578" s="1">
        <f>G585+G694</f>
        <v>257795.10000000003</v>
      </c>
      <c r="H578" s="1">
        <f>H585+H694</f>
        <v>267713.5</v>
      </c>
      <c r="I578" s="1">
        <f>I585+I694+I707</f>
        <v>192314.7</v>
      </c>
      <c r="J578" s="1">
        <f>J585+J694+J707</f>
        <v>195106</v>
      </c>
      <c r="K578" s="1">
        <f>K585+K694+K717</f>
        <v>412451.16200000007</v>
      </c>
      <c r="L578" s="1">
        <f>L585+L694+L717</f>
        <v>367289</v>
      </c>
      <c r="M578" s="1">
        <f>M585+M694+M717</f>
        <v>195965.19999999998</v>
      </c>
      <c r="N578" s="1">
        <f>N585+N694+N717</f>
        <v>216737.7</v>
      </c>
      <c r="O578" s="1">
        <f>O585+O694+O717</f>
        <v>215316.89999999997</v>
      </c>
    </row>
    <row r="579" spans="1:17" ht="31.5" x14ac:dyDescent="0.2">
      <c r="A579" s="118"/>
      <c r="B579" s="149"/>
      <c r="C579" s="76" t="s">
        <v>79</v>
      </c>
      <c r="D579" s="74">
        <f>E579+F579+G579+H579+I579+J579+K579+L579+M579+N579+O579</f>
        <v>59050</v>
      </c>
      <c r="E579" s="74">
        <f>E586</f>
        <v>30550</v>
      </c>
      <c r="F579" s="74">
        <f>F648</f>
        <v>28500</v>
      </c>
      <c r="G579" s="74">
        <f>G648</f>
        <v>0</v>
      </c>
      <c r="H579" s="74">
        <f>H648</f>
        <v>0</v>
      </c>
      <c r="I579" s="74">
        <f>I648</f>
        <v>0</v>
      </c>
      <c r="J579" s="1">
        <f t="shared" ref="J579:O579" si="267">J597+J607+J617+J632+J642+J648</f>
        <v>0</v>
      </c>
      <c r="K579" s="1">
        <f t="shared" si="267"/>
        <v>0</v>
      </c>
      <c r="L579" s="1">
        <f t="shared" si="267"/>
        <v>0</v>
      </c>
      <c r="M579" s="1">
        <f t="shared" si="267"/>
        <v>0</v>
      </c>
      <c r="N579" s="1">
        <f t="shared" si="267"/>
        <v>0</v>
      </c>
      <c r="O579" s="1">
        <f t="shared" si="267"/>
        <v>0</v>
      </c>
    </row>
    <row r="580" spans="1:17" ht="31.5" x14ac:dyDescent="0.2">
      <c r="A580" s="118"/>
      <c r="B580" s="149"/>
      <c r="C580" s="100" t="s">
        <v>449</v>
      </c>
      <c r="D580" s="74">
        <f>E580+F580+G580+H580+I580+J580+K580+L580+M580+N580+O580</f>
        <v>719.9</v>
      </c>
      <c r="E580" s="102">
        <f t="shared" ref="E580:L580" si="268">E695</f>
        <v>0</v>
      </c>
      <c r="F580" s="102">
        <f t="shared" si="268"/>
        <v>0</v>
      </c>
      <c r="G580" s="102">
        <f t="shared" si="268"/>
        <v>0</v>
      </c>
      <c r="H580" s="102">
        <f t="shared" si="268"/>
        <v>0</v>
      </c>
      <c r="I580" s="102">
        <f t="shared" si="268"/>
        <v>0</v>
      </c>
      <c r="J580" s="102">
        <f t="shared" si="268"/>
        <v>0</v>
      </c>
      <c r="K580" s="102">
        <f t="shared" si="268"/>
        <v>0</v>
      </c>
      <c r="L580" s="102">
        <f t="shared" si="268"/>
        <v>0</v>
      </c>
      <c r="M580" s="99">
        <f>M695</f>
        <v>719.9</v>
      </c>
      <c r="N580" s="102">
        <f t="shared" ref="N580:O580" si="269">N695</f>
        <v>0</v>
      </c>
      <c r="O580" s="102">
        <f t="shared" si="269"/>
        <v>0</v>
      </c>
    </row>
    <row r="581" spans="1:17" ht="31.5" customHeight="1" x14ac:dyDescent="0.2">
      <c r="A581" s="118"/>
      <c r="B581" s="149"/>
      <c r="C581" s="60" t="s">
        <v>13</v>
      </c>
      <c r="D581" s="1">
        <f t="shared" si="247"/>
        <v>0</v>
      </c>
      <c r="E581" s="1">
        <f>E597+E607+E617+E632+E643+E649</f>
        <v>0</v>
      </c>
      <c r="F581" s="1">
        <f>F597+F607+F617+F632+F643+F649</f>
        <v>0</v>
      </c>
      <c r="G581" s="1">
        <f>G597+G607+G617+G632+G643+G649</f>
        <v>0</v>
      </c>
      <c r="H581" s="1">
        <v>0</v>
      </c>
      <c r="I581" s="1">
        <f t="shared" ref="I581:O581" si="270">I597+I607+I617+I632+I643+I649</f>
        <v>0</v>
      </c>
      <c r="J581" s="1">
        <f t="shared" si="270"/>
        <v>0</v>
      </c>
      <c r="K581" s="1">
        <f t="shared" si="270"/>
        <v>0</v>
      </c>
      <c r="L581" s="1">
        <f t="shared" si="270"/>
        <v>0</v>
      </c>
      <c r="M581" s="1">
        <f t="shared" si="270"/>
        <v>0</v>
      </c>
      <c r="N581" s="1">
        <f t="shared" si="270"/>
        <v>0</v>
      </c>
      <c r="O581" s="1">
        <f t="shared" si="270"/>
        <v>0</v>
      </c>
    </row>
    <row r="582" spans="1:17" ht="15.75" x14ac:dyDescent="0.2">
      <c r="A582" s="116" t="s">
        <v>34</v>
      </c>
      <c r="B582" s="116" t="s">
        <v>122</v>
      </c>
      <c r="C582" s="60" t="s">
        <v>7</v>
      </c>
      <c r="D582" s="1">
        <f t="shared" si="247"/>
        <v>2920481.5620000004</v>
      </c>
      <c r="E582" s="1">
        <f>E583+E584+E585+E587</f>
        <v>228156.69999999998</v>
      </c>
      <c r="F582" s="1">
        <f t="shared" ref="F582:O582" si="271">F583+F584+F585+F587</f>
        <v>279787.8</v>
      </c>
      <c r="G582" s="1">
        <f t="shared" si="271"/>
        <v>257795.10000000003</v>
      </c>
      <c r="H582" s="1">
        <f t="shared" si="271"/>
        <v>267713.5</v>
      </c>
      <c r="I582" s="1">
        <f t="shared" si="271"/>
        <v>299568.40000000002</v>
      </c>
      <c r="J582" s="1">
        <f>J583+J584+J585+J587</f>
        <v>249909.09999999998</v>
      </c>
      <c r="K582" s="1">
        <f>K583+K584+K585+K587</f>
        <v>373970.76200000005</v>
      </c>
      <c r="L582" s="1">
        <f t="shared" si="271"/>
        <v>348526.2</v>
      </c>
      <c r="M582" s="1">
        <f t="shared" si="271"/>
        <v>182999.4</v>
      </c>
      <c r="N582" s="1">
        <f t="shared" si="271"/>
        <v>216737.7</v>
      </c>
      <c r="O582" s="1">
        <f t="shared" si="271"/>
        <v>215316.89999999997</v>
      </c>
      <c r="P582" s="62"/>
      <c r="Q582" s="71"/>
    </row>
    <row r="583" spans="1:17" ht="18" customHeight="1" x14ac:dyDescent="0.2">
      <c r="A583" s="121"/>
      <c r="B583" s="142"/>
      <c r="C583" s="60" t="s">
        <v>10</v>
      </c>
      <c r="D583" s="1">
        <f t="shared" si="247"/>
        <v>0</v>
      </c>
      <c r="E583" s="1">
        <f t="shared" ref="E583:O583" si="272">E594+E604+E614+E629+E639+E645</f>
        <v>0</v>
      </c>
      <c r="F583" s="1">
        <f t="shared" si="272"/>
        <v>0</v>
      </c>
      <c r="G583" s="1">
        <f t="shared" si="272"/>
        <v>0</v>
      </c>
      <c r="H583" s="1">
        <f t="shared" si="272"/>
        <v>0</v>
      </c>
      <c r="I583" s="1">
        <f t="shared" si="272"/>
        <v>0</v>
      </c>
      <c r="J583" s="1">
        <f t="shared" si="272"/>
        <v>0</v>
      </c>
      <c r="K583" s="1">
        <f t="shared" si="272"/>
        <v>0</v>
      </c>
      <c r="L583" s="1">
        <f t="shared" si="272"/>
        <v>0</v>
      </c>
      <c r="M583" s="1">
        <f t="shared" si="272"/>
        <v>0</v>
      </c>
      <c r="N583" s="1">
        <f t="shared" si="272"/>
        <v>0</v>
      </c>
      <c r="O583" s="1">
        <f t="shared" si="272"/>
        <v>0</v>
      </c>
    </row>
    <row r="584" spans="1:17" ht="16.5" customHeight="1" x14ac:dyDescent="0.2">
      <c r="A584" s="121"/>
      <c r="B584" s="142"/>
      <c r="C584" s="60" t="s">
        <v>11</v>
      </c>
      <c r="D584" s="1">
        <f t="shared" si="247"/>
        <v>178807.9</v>
      </c>
      <c r="E584" s="1">
        <f>E595+E605+E615+E630+E640+E646+E600+E610+E620+E625+E635+E652+E692</f>
        <v>0</v>
      </c>
      <c r="F584" s="1">
        <f>F595+F605+F615+F630+F640+F646+F600+F610+F620+F625+F635+F652+F692</f>
        <v>0</v>
      </c>
      <c r="G584" s="1">
        <f>G595+G605+G615+G630+G640+G646+G600+G610+G620+G625+G635+G652+G692</f>
        <v>0</v>
      </c>
      <c r="H584" s="1">
        <f>H595+H605+H615+H630+H640+H646+H600+H610+H620+H625+H635+H652+H692</f>
        <v>0</v>
      </c>
      <c r="I584" s="1">
        <f t="shared" ref="I584:O584" si="273">I595+I605+I615+I630+I640+I646+I600+I610+I620+I625+I635+I652</f>
        <v>109753.7</v>
      </c>
      <c r="J584" s="1">
        <f t="shared" si="273"/>
        <v>69054.2</v>
      </c>
      <c r="K584" s="1">
        <f t="shared" si="273"/>
        <v>0</v>
      </c>
      <c r="L584" s="1">
        <f t="shared" si="273"/>
        <v>0</v>
      </c>
      <c r="M584" s="1">
        <f t="shared" si="273"/>
        <v>0</v>
      </c>
      <c r="N584" s="1">
        <f t="shared" si="273"/>
        <v>0</v>
      </c>
      <c r="O584" s="1">
        <f t="shared" si="273"/>
        <v>0</v>
      </c>
    </row>
    <row r="585" spans="1:17" ht="31.5" x14ac:dyDescent="0.2">
      <c r="A585" s="121"/>
      <c r="B585" s="142"/>
      <c r="C585" s="60" t="s">
        <v>65</v>
      </c>
      <c r="D585" s="1">
        <f t="shared" si="247"/>
        <v>2741673.662</v>
      </c>
      <c r="E585" s="1">
        <f>E591+E596+E606+E611+E616+E626+E631+E641+E647+E653++E636+E694+E658</f>
        <v>228156.69999999998</v>
      </c>
      <c r="F585" s="1">
        <f>F591+F596+F606+F611+F616+F626+F631+F641+F647+F653++F636+F694+F658</f>
        <v>279787.8</v>
      </c>
      <c r="G585" s="1">
        <f>G591+G596+G606+G611+G616+G626+G631+G641+G647+G653++G636+G694+G658</f>
        <v>257795.10000000003</v>
      </c>
      <c r="H585" s="1">
        <f>H591+H596+H606+H611+H616+H626+H631+H641+H647+H653++H636+H694+H658</f>
        <v>267713.5</v>
      </c>
      <c r="I585" s="1">
        <f>I591+I596+I606+I611+I616+I626+I631+I641+I647+I653++I636+I658</f>
        <v>189814.7</v>
      </c>
      <c r="J585" s="1">
        <f>J591+J596+J606+J611+J616+J626+J631+J641+J647+J653++J636+J658</f>
        <v>180854.9</v>
      </c>
      <c r="K585" s="1">
        <f>K591+K596+K606+K611+K616+K626+K631+K641+K647+K653++K636+K658+K663+K668+K673+K678+K683</f>
        <v>373970.76200000005</v>
      </c>
      <c r="L585" s="1">
        <f>L591+L596+L606+L611+L616+L626+L631+L641+L647+L653++L636+L658+L663+L668+L673+L678+L683+L688</f>
        <v>348526.2</v>
      </c>
      <c r="M585" s="1">
        <f>M591+M596+M606+M611+M616+M626+M631+M641+M647+M653++M636+M658+M663+M668+M673+M678+M683+M688</f>
        <v>182999.4</v>
      </c>
      <c r="N585" s="1">
        <f t="shared" ref="N585:O585" si="274">N591+N596+N606+N611+N616+N626+N631+N641+N647+N653++N636+N658+N663+N668+N673+N678+N683+N688</f>
        <v>216737.7</v>
      </c>
      <c r="O585" s="1">
        <f t="shared" si="274"/>
        <v>215316.89999999997</v>
      </c>
    </row>
    <row r="586" spans="1:17" ht="31.5" x14ac:dyDescent="0.2">
      <c r="A586" s="121"/>
      <c r="B586" s="142"/>
      <c r="C586" s="76" t="s">
        <v>79</v>
      </c>
      <c r="D586" s="74">
        <f t="shared" si="247"/>
        <v>59050</v>
      </c>
      <c r="E586" s="74">
        <f>E648+E642</f>
        <v>30550</v>
      </c>
      <c r="F586" s="74">
        <f>F648+F642</f>
        <v>28500</v>
      </c>
      <c r="G586" s="74">
        <f>G648+G642</f>
        <v>0</v>
      </c>
      <c r="H586" s="74">
        <f>H648+H642</f>
        <v>0</v>
      </c>
      <c r="I586" s="74">
        <f>I648+I642</f>
        <v>0</v>
      </c>
      <c r="J586" s="1">
        <f t="shared" ref="J586:O586" si="275">J597+J607+J617+J632+J642+J648</f>
        <v>0</v>
      </c>
      <c r="K586" s="1">
        <f t="shared" si="275"/>
        <v>0</v>
      </c>
      <c r="L586" s="1">
        <f t="shared" si="275"/>
        <v>0</v>
      </c>
      <c r="M586" s="1">
        <f t="shared" si="275"/>
        <v>0</v>
      </c>
      <c r="N586" s="1">
        <f t="shared" si="275"/>
        <v>0</v>
      </c>
      <c r="O586" s="1">
        <f t="shared" si="275"/>
        <v>0</v>
      </c>
    </row>
    <row r="587" spans="1:17" ht="17.25" customHeight="1" x14ac:dyDescent="0.2">
      <c r="A587" s="121"/>
      <c r="B587" s="142"/>
      <c r="C587" s="60" t="s">
        <v>13</v>
      </c>
      <c r="D587" s="1">
        <f t="shared" si="247"/>
        <v>0</v>
      </c>
      <c r="E587" s="1">
        <f>E607+E617+E632+E643+E649</f>
        <v>0</v>
      </c>
      <c r="F587" s="1">
        <f>F607+F617+F632+F643+F649</f>
        <v>0</v>
      </c>
      <c r="G587" s="1">
        <f>G607+G617+G632+G643+G649</f>
        <v>0</v>
      </c>
      <c r="H587" s="1">
        <f>H607+H617+H632+H643+H649</f>
        <v>0</v>
      </c>
      <c r="I587" s="1">
        <f>I607+I617+I632+I643+I649</f>
        <v>0</v>
      </c>
      <c r="J587" s="1">
        <v>0</v>
      </c>
      <c r="K587" s="1">
        <v>0</v>
      </c>
      <c r="L587" s="1">
        <v>0</v>
      </c>
      <c r="M587" s="1">
        <v>0</v>
      </c>
      <c r="N587" s="1">
        <v>0</v>
      </c>
      <c r="O587" s="1">
        <v>0</v>
      </c>
    </row>
    <row r="588" spans="1:17" ht="15.75" x14ac:dyDescent="0.2">
      <c r="A588" s="116" t="s">
        <v>123</v>
      </c>
      <c r="B588" s="111" t="s">
        <v>152</v>
      </c>
      <c r="C588" s="60" t="s">
        <v>7</v>
      </c>
      <c r="D588" s="1">
        <f>SUM(D589:D592)</f>
        <v>42071.3</v>
      </c>
      <c r="E588" s="1">
        <f t="shared" ref="E588:J588" si="276">SUM(E589:E592)</f>
        <v>42071.3</v>
      </c>
      <c r="F588" s="1">
        <f t="shared" si="276"/>
        <v>0</v>
      </c>
      <c r="G588" s="1">
        <f t="shared" si="276"/>
        <v>0</v>
      </c>
      <c r="H588" s="1">
        <f t="shared" si="276"/>
        <v>0</v>
      </c>
      <c r="I588" s="1">
        <f t="shared" si="276"/>
        <v>0</v>
      </c>
      <c r="J588" s="1">
        <f t="shared" si="276"/>
        <v>0</v>
      </c>
      <c r="K588" s="1">
        <v>0</v>
      </c>
      <c r="L588" s="1">
        <f>SUM(L589:L592)</f>
        <v>0</v>
      </c>
      <c r="M588" s="1">
        <f>SUM(M589:M592)</f>
        <v>0</v>
      </c>
      <c r="N588" s="1">
        <f>SUM(N589:N592)</f>
        <v>0</v>
      </c>
      <c r="O588" s="1">
        <v>0</v>
      </c>
    </row>
    <row r="589" spans="1:17" ht="18.75" customHeight="1" x14ac:dyDescent="0.2">
      <c r="A589" s="121"/>
      <c r="B589" s="111"/>
      <c r="C589" s="60" t="s">
        <v>10</v>
      </c>
      <c r="D589" s="1">
        <v>0</v>
      </c>
      <c r="E589" s="1">
        <v>0</v>
      </c>
      <c r="F589" s="1">
        <v>0</v>
      </c>
      <c r="G589" s="1">
        <v>0</v>
      </c>
      <c r="H589" s="1">
        <v>0</v>
      </c>
      <c r="I589" s="1">
        <v>0</v>
      </c>
      <c r="J589" s="1">
        <v>0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</row>
    <row r="590" spans="1:17" ht="17.25" customHeight="1" x14ac:dyDescent="0.2">
      <c r="A590" s="121"/>
      <c r="B590" s="111"/>
      <c r="C590" s="60" t="s">
        <v>11</v>
      </c>
      <c r="D590" s="3">
        <v>0</v>
      </c>
      <c r="E590" s="3">
        <v>0</v>
      </c>
      <c r="F590" s="3">
        <v>0</v>
      </c>
      <c r="G590" s="3">
        <v>0</v>
      </c>
      <c r="H590" s="3">
        <v>0</v>
      </c>
      <c r="I590" s="3">
        <v>0</v>
      </c>
      <c r="J590" s="3">
        <v>0</v>
      </c>
      <c r="K590" s="3">
        <v>0</v>
      </c>
      <c r="L590" s="3">
        <v>0</v>
      </c>
      <c r="M590" s="3">
        <v>0</v>
      </c>
      <c r="N590" s="3">
        <v>0</v>
      </c>
      <c r="O590" s="3">
        <v>0</v>
      </c>
    </row>
    <row r="591" spans="1:17" ht="17.25" customHeight="1" x14ac:dyDescent="0.2">
      <c r="A591" s="121"/>
      <c r="B591" s="111"/>
      <c r="C591" s="60" t="s">
        <v>12</v>
      </c>
      <c r="D591" s="1">
        <f>SUM(E591:J591)</f>
        <v>42071.3</v>
      </c>
      <c r="E591" s="1">
        <v>42071.3</v>
      </c>
      <c r="F591" s="1">
        <v>0</v>
      </c>
      <c r="G591" s="1">
        <v>0</v>
      </c>
      <c r="H591" s="1">
        <v>0</v>
      </c>
      <c r="I591" s="1">
        <v>0</v>
      </c>
      <c r="J591" s="1">
        <v>0</v>
      </c>
      <c r="K591" s="1">
        <v>0</v>
      </c>
      <c r="L591" s="1">
        <v>0</v>
      </c>
      <c r="M591" s="1">
        <v>0</v>
      </c>
      <c r="N591" s="1">
        <v>0</v>
      </c>
      <c r="O591" s="1">
        <v>0</v>
      </c>
    </row>
    <row r="592" spans="1:17" ht="25.5" customHeight="1" x14ac:dyDescent="0.2">
      <c r="A592" s="121"/>
      <c r="B592" s="111"/>
      <c r="C592" s="60" t="s">
        <v>13</v>
      </c>
      <c r="D592" s="1">
        <f>E592+F592+G592+H592+I592+J592</f>
        <v>0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</row>
    <row r="593" spans="1:15" ht="15.75" customHeight="1" x14ac:dyDescent="0.2">
      <c r="A593" s="116" t="s">
        <v>124</v>
      </c>
      <c r="B593" s="111" t="s">
        <v>135</v>
      </c>
      <c r="C593" s="60" t="s">
        <v>7</v>
      </c>
      <c r="D593" s="1">
        <f>E593+F593+G593+H593+I593+J593+K593+L593+M593+N593+O593</f>
        <v>224030.40000000002</v>
      </c>
      <c r="E593" s="1">
        <f t="shared" ref="E593:O593" si="277">SUM(E594:E597)</f>
        <v>0</v>
      </c>
      <c r="F593" s="1">
        <f t="shared" si="277"/>
        <v>52211</v>
      </c>
      <c r="G593" s="1">
        <f t="shared" si="277"/>
        <v>40056.800000000003</v>
      </c>
      <c r="H593" s="1">
        <f t="shared" si="277"/>
        <v>54812.9</v>
      </c>
      <c r="I593" s="1">
        <f t="shared" si="277"/>
        <v>33448.6</v>
      </c>
      <c r="J593" s="1">
        <f t="shared" si="277"/>
        <v>10688.6</v>
      </c>
      <c r="K593" s="1">
        <f t="shared" si="277"/>
        <v>32812.5</v>
      </c>
      <c r="L593" s="1">
        <f t="shared" si="277"/>
        <v>0</v>
      </c>
      <c r="M593" s="1">
        <f t="shared" si="277"/>
        <v>0</v>
      </c>
      <c r="N593" s="1">
        <f t="shared" si="277"/>
        <v>0</v>
      </c>
      <c r="O593" s="1">
        <f t="shared" si="277"/>
        <v>0</v>
      </c>
    </row>
    <row r="594" spans="1:15" ht="15.75" customHeight="1" x14ac:dyDescent="0.2">
      <c r="A594" s="121"/>
      <c r="B594" s="111"/>
      <c r="C594" s="60" t="s">
        <v>10</v>
      </c>
      <c r="D594" s="1">
        <f t="shared" ref="D594:D692" si="278">E594+F594+G594+H594+I594+J594+K594+L594+M594+N594+O594</f>
        <v>0</v>
      </c>
      <c r="E594" s="1">
        <v>0</v>
      </c>
      <c r="F594" s="1">
        <v>0</v>
      </c>
      <c r="G594" s="1">
        <v>0</v>
      </c>
      <c r="H594" s="1">
        <v>0</v>
      </c>
      <c r="I594" s="1">
        <v>0</v>
      </c>
      <c r="J594" s="1">
        <v>0</v>
      </c>
      <c r="K594" s="1">
        <v>0</v>
      </c>
      <c r="L594" s="1">
        <v>0</v>
      </c>
      <c r="M594" s="1">
        <v>0</v>
      </c>
      <c r="N594" s="1">
        <v>0</v>
      </c>
      <c r="O594" s="1">
        <v>0</v>
      </c>
    </row>
    <row r="595" spans="1:15" ht="15.75" customHeight="1" x14ac:dyDescent="0.2">
      <c r="A595" s="121"/>
      <c r="B595" s="111"/>
      <c r="C595" s="60" t="s">
        <v>11</v>
      </c>
      <c r="D595" s="1">
        <f t="shared" si="278"/>
        <v>0</v>
      </c>
      <c r="E595" s="3">
        <v>0</v>
      </c>
      <c r="F595" s="3">
        <v>0</v>
      </c>
      <c r="G595" s="3">
        <v>0</v>
      </c>
      <c r="H595" s="3">
        <v>0</v>
      </c>
      <c r="I595" s="3">
        <v>0</v>
      </c>
      <c r="J595" s="3">
        <v>0</v>
      </c>
      <c r="K595" s="3">
        <v>0</v>
      </c>
      <c r="L595" s="3">
        <v>0</v>
      </c>
      <c r="M595" s="3">
        <v>0</v>
      </c>
      <c r="N595" s="3">
        <v>0</v>
      </c>
      <c r="O595" s="3">
        <v>0</v>
      </c>
    </row>
    <row r="596" spans="1:15" ht="15.75" customHeight="1" x14ac:dyDescent="0.2">
      <c r="A596" s="121"/>
      <c r="B596" s="111"/>
      <c r="C596" s="60" t="s">
        <v>12</v>
      </c>
      <c r="D596" s="1">
        <f t="shared" si="278"/>
        <v>224030.40000000002</v>
      </c>
      <c r="E596" s="1">
        <v>0</v>
      </c>
      <c r="F596" s="1">
        <v>52211</v>
      </c>
      <c r="G596" s="1">
        <v>40056.800000000003</v>
      </c>
      <c r="H596" s="1">
        <v>54812.9</v>
      </c>
      <c r="I596" s="1">
        <f>33108.6+340</f>
        <v>33448.6</v>
      </c>
      <c r="J596" s="1">
        <f>10688.6-0.1+0.1</f>
        <v>10688.6</v>
      </c>
      <c r="K596" s="1">
        <f>33518.8-706.3</f>
        <v>32812.5</v>
      </c>
      <c r="L596" s="1">
        <v>0</v>
      </c>
      <c r="M596" s="1">
        <v>0</v>
      </c>
      <c r="N596" s="1">
        <v>0</v>
      </c>
      <c r="O596" s="1">
        <v>0</v>
      </c>
    </row>
    <row r="597" spans="1:15" ht="25.5" customHeight="1" x14ac:dyDescent="0.2">
      <c r="A597" s="121"/>
      <c r="B597" s="111"/>
      <c r="C597" s="60" t="s">
        <v>13</v>
      </c>
      <c r="D597" s="1">
        <f t="shared" si="278"/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</row>
    <row r="598" spans="1:15" ht="24" customHeight="1" x14ac:dyDescent="0.2">
      <c r="A598" s="116" t="s">
        <v>125</v>
      </c>
      <c r="B598" s="111" t="s">
        <v>265</v>
      </c>
      <c r="C598" s="60" t="s">
        <v>7</v>
      </c>
      <c r="D598" s="1">
        <f t="shared" si="278"/>
        <v>54854.5</v>
      </c>
      <c r="E598" s="1">
        <f t="shared" ref="E598:O598" si="279">SUM(E599:E602)</f>
        <v>0</v>
      </c>
      <c r="F598" s="1">
        <f t="shared" si="279"/>
        <v>0</v>
      </c>
      <c r="G598" s="1">
        <f t="shared" si="279"/>
        <v>0</v>
      </c>
      <c r="H598" s="1">
        <f t="shared" si="279"/>
        <v>0</v>
      </c>
      <c r="I598" s="1">
        <f t="shared" si="279"/>
        <v>26485.599999999999</v>
      </c>
      <c r="J598" s="1">
        <f t="shared" si="279"/>
        <v>28368.9</v>
      </c>
      <c r="K598" s="1">
        <f t="shared" si="279"/>
        <v>0</v>
      </c>
      <c r="L598" s="1">
        <f t="shared" si="279"/>
        <v>0</v>
      </c>
      <c r="M598" s="1">
        <f t="shared" si="279"/>
        <v>0</v>
      </c>
      <c r="N598" s="1">
        <f t="shared" si="279"/>
        <v>0</v>
      </c>
      <c r="O598" s="1">
        <f t="shared" si="279"/>
        <v>0</v>
      </c>
    </row>
    <row r="599" spans="1:15" ht="24" customHeight="1" x14ac:dyDescent="0.2">
      <c r="A599" s="121"/>
      <c r="B599" s="111"/>
      <c r="C599" s="60" t="s">
        <v>10</v>
      </c>
      <c r="D599" s="1">
        <f t="shared" si="278"/>
        <v>0</v>
      </c>
      <c r="E599" s="1">
        <v>0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</row>
    <row r="600" spans="1:15" ht="24" customHeight="1" x14ac:dyDescent="0.2">
      <c r="A600" s="121"/>
      <c r="B600" s="111"/>
      <c r="C600" s="60" t="s">
        <v>11</v>
      </c>
      <c r="D600" s="1">
        <f t="shared" si="278"/>
        <v>54854.5</v>
      </c>
      <c r="E600" s="3">
        <v>0</v>
      </c>
      <c r="F600" s="3">
        <v>0</v>
      </c>
      <c r="G600" s="3">
        <v>0</v>
      </c>
      <c r="H600" s="3">
        <v>0</v>
      </c>
      <c r="I600" s="3">
        <v>26485.599999999999</v>
      </c>
      <c r="J600" s="3">
        <f>39057.5-10688.6</f>
        <v>28368.9</v>
      </c>
      <c r="K600" s="3">
        <v>0</v>
      </c>
      <c r="L600" s="3">
        <v>0</v>
      </c>
      <c r="M600" s="3">
        <v>0</v>
      </c>
      <c r="N600" s="3">
        <v>0</v>
      </c>
      <c r="O600" s="3">
        <v>0</v>
      </c>
    </row>
    <row r="601" spans="1:15" ht="24" customHeight="1" x14ac:dyDescent="0.2">
      <c r="A601" s="121"/>
      <c r="B601" s="111"/>
      <c r="C601" s="60" t="s">
        <v>12</v>
      </c>
      <c r="D601" s="1">
        <f t="shared" si="278"/>
        <v>0</v>
      </c>
      <c r="E601" s="1">
        <v>0</v>
      </c>
      <c r="F601" s="1">
        <v>0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0</v>
      </c>
      <c r="O601" s="1">
        <v>0</v>
      </c>
    </row>
    <row r="602" spans="1:15" ht="24" customHeight="1" x14ac:dyDescent="0.2">
      <c r="A602" s="121"/>
      <c r="B602" s="111"/>
      <c r="C602" s="60" t="s">
        <v>13</v>
      </c>
      <c r="D602" s="1">
        <f t="shared" si="278"/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</row>
    <row r="603" spans="1:15" ht="15.75" customHeight="1" x14ac:dyDescent="0.25">
      <c r="A603" s="116" t="s">
        <v>126</v>
      </c>
      <c r="B603" s="111" t="s">
        <v>44</v>
      </c>
      <c r="C603" s="87" t="s">
        <v>7</v>
      </c>
      <c r="D603" s="1">
        <f t="shared" si="278"/>
        <v>457341.3</v>
      </c>
      <c r="E603" s="3">
        <f t="shared" ref="E603:O603" si="280">E604+E605+E606+E607</f>
        <v>47997.7</v>
      </c>
      <c r="F603" s="3">
        <f t="shared" si="280"/>
        <v>54818</v>
      </c>
      <c r="G603" s="3">
        <f>G604+G605+G606+G607</f>
        <v>75015.600000000006</v>
      </c>
      <c r="H603" s="3">
        <f t="shared" si="280"/>
        <v>70853</v>
      </c>
      <c r="I603" s="3">
        <f t="shared" si="280"/>
        <v>74592.900000000009</v>
      </c>
      <c r="J603" s="3">
        <f t="shared" si="280"/>
        <v>77207.3</v>
      </c>
      <c r="K603" s="3">
        <f t="shared" si="280"/>
        <v>53504.3</v>
      </c>
      <c r="L603" s="3">
        <f t="shared" si="280"/>
        <v>1605.8</v>
      </c>
      <c r="M603" s="3">
        <f t="shared" si="280"/>
        <v>931.69999999999982</v>
      </c>
      <c r="N603" s="3">
        <f t="shared" si="280"/>
        <v>407.5</v>
      </c>
      <c r="O603" s="3">
        <f t="shared" si="280"/>
        <v>407.5</v>
      </c>
    </row>
    <row r="604" spans="1:15" ht="15.75" customHeight="1" x14ac:dyDescent="0.2">
      <c r="A604" s="121"/>
      <c r="B604" s="142"/>
      <c r="C604" s="60" t="s">
        <v>10</v>
      </c>
      <c r="D604" s="1">
        <f t="shared" si="278"/>
        <v>0</v>
      </c>
      <c r="E604" s="3">
        <v>0</v>
      </c>
      <c r="F604" s="3">
        <v>0</v>
      </c>
      <c r="G604" s="3">
        <v>0</v>
      </c>
      <c r="H604" s="3">
        <v>0</v>
      </c>
      <c r="I604" s="3">
        <v>0</v>
      </c>
      <c r="J604" s="3">
        <v>0</v>
      </c>
      <c r="K604" s="3">
        <v>0</v>
      </c>
      <c r="L604" s="3">
        <v>0</v>
      </c>
      <c r="M604" s="3">
        <v>0</v>
      </c>
      <c r="N604" s="3">
        <v>0</v>
      </c>
      <c r="O604" s="3">
        <v>0</v>
      </c>
    </row>
    <row r="605" spans="1:15" ht="15.75" customHeight="1" x14ac:dyDescent="0.2">
      <c r="A605" s="121"/>
      <c r="B605" s="142"/>
      <c r="C605" s="60" t="s">
        <v>11</v>
      </c>
      <c r="D605" s="1">
        <f t="shared" si="278"/>
        <v>0</v>
      </c>
      <c r="E605" s="3">
        <v>0</v>
      </c>
      <c r="F605" s="3">
        <v>0</v>
      </c>
      <c r="G605" s="3">
        <v>0</v>
      </c>
      <c r="H605" s="3">
        <v>0</v>
      </c>
      <c r="I605" s="3">
        <v>0</v>
      </c>
      <c r="J605" s="3">
        <v>0</v>
      </c>
      <c r="K605" s="3">
        <v>0</v>
      </c>
      <c r="L605" s="3">
        <v>0</v>
      </c>
      <c r="M605" s="3">
        <v>0</v>
      </c>
      <c r="N605" s="3">
        <v>0</v>
      </c>
      <c r="O605" s="3">
        <v>0</v>
      </c>
    </row>
    <row r="606" spans="1:15" ht="15.75" customHeight="1" x14ac:dyDescent="0.2">
      <c r="A606" s="121"/>
      <c r="B606" s="142"/>
      <c r="C606" s="60" t="s">
        <v>12</v>
      </c>
      <c r="D606" s="1">
        <f t="shared" si="278"/>
        <v>457341.3</v>
      </c>
      <c r="E606" s="3">
        <v>47997.7</v>
      </c>
      <c r="F606" s="3">
        <v>54818</v>
      </c>
      <c r="G606" s="3">
        <v>75015.600000000006</v>
      </c>
      <c r="H606" s="3">
        <v>70853</v>
      </c>
      <c r="I606" s="3">
        <f>74919.3-326.4</f>
        <v>74592.900000000009</v>
      </c>
      <c r="J606" s="3">
        <f>78197.5-990.2</f>
        <v>77207.3</v>
      </c>
      <c r="K606" s="3">
        <f>83504.3-30000</f>
        <v>53504.3</v>
      </c>
      <c r="L606" s="3">
        <f>1664.8-59</f>
        <v>1605.8</v>
      </c>
      <c r="M606" s="58">
        <f>1835.8-1446.2+471.3+70.8</f>
        <v>931.69999999999982</v>
      </c>
      <c r="N606" s="3">
        <f>1918.6-1511.1</f>
        <v>407.5</v>
      </c>
      <c r="O606" s="3">
        <f>1918.6-1511.1</f>
        <v>407.5</v>
      </c>
    </row>
    <row r="607" spans="1:15" ht="15.75" customHeight="1" x14ac:dyDescent="0.2">
      <c r="A607" s="121"/>
      <c r="B607" s="142"/>
      <c r="C607" s="60" t="s">
        <v>13</v>
      </c>
      <c r="D607" s="1">
        <f t="shared" si="278"/>
        <v>0</v>
      </c>
      <c r="E607" s="3">
        <v>0</v>
      </c>
      <c r="F607" s="3">
        <v>0</v>
      </c>
      <c r="G607" s="3">
        <v>0</v>
      </c>
      <c r="H607" s="3">
        <v>0</v>
      </c>
      <c r="I607" s="3">
        <v>0</v>
      </c>
      <c r="J607" s="3">
        <v>0</v>
      </c>
      <c r="K607" s="3">
        <v>0</v>
      </c>
      <c r="L607" s="3">
        <v>0</v>
      </c>
      <c r="M607" s="3">
        <v>0</v>
      </c>
      <c r="N607" s="3">
        <v>0</v>
      </c>
      <c r="O607" s="3">
        <v>0</v>
      </c>
    </row>
    <row r="608" spans="1:15" ht="17.25" customHeight="1" x14ac:dyDescent="0.25">
      <c r="A608" s="105" t="s">
        <v>127</v>
      </c>
      <c r="B608" s="116" t="s">
        <v>153</v>
      </c>
      <c r="C608" s="87" t="s">
        <v>7</v>
      </c>
      <c r="D608" s="1">
        <f t="shared" si="278"/>
        <v>25746.6</v>
      </c>
      <c r="E608" s="3">
        <f t="shared" ref="E608:K608" si="281">E609+E610+E611+E612</f>
        <v>25746.6</v>
      </c>
      <c r="F608" s="3">
        <f t="shared" si="281"/>
        <v>0</v>
      </c>
      <c r="G608" s="3">
        <f t="shared" si="281"/>
        <v>0</v>
      </c>
      <c r="H608" s="3">
        <f t="shared" si="281"/>
        <v>0</v>
      </c>
      <c r="I608" s="3">
        <f t="shared" si="281"/>
        <v>0</v>
      </c>
      <c r="J608" s="3">
        <f t="shared" si="281"/>
        <v>0</v>
      </c>
      <c r="K608" s="3">
        <f t="shared" si="281"/>
        <v>0</v>
      </c>
      <c r="L608" s="3">
        <f>L609+L610+L611+L612</f>
        <v>0</v>
      </c>
      <c r="M608" s="3">
        <f>M609+M610+M611+M612</f>
        <v>0</v>
      </c>
      <c r="N608" s="3">
        <f>N609+N610+N611+N612</f>
        <v>0</v>
      </c>
      <c r="O608" s="3">
        <f>O609+O610+O611+O612</f>
        <v>0</v>
      </c>
    </row>
    <row r="609" spans="1:17" ht="17.25" customHeight="1" x14ac:dyDescent="0.2">
      <c r="A609" s="138"/>
      <c r="B609" s="142"/>
      <c r="C609" s="60" t="s">
        <v>10</v>
      </c>
      <c r="D609" s="1">
        <f t="shared" si="278"/>
        <v>0</v>
      </c>
      <c r="E609" s="3">
        <v>0</v>
      </c>
      <c r="F609" s="3">
        <v>0</v>
      </c>
      <c r="G609" s="3">
        <v>0</v>
      </c>
      <c r="H609" s="3">
        <v>0</v>
      </c>
      <c r="I609" s="3">
        <v>0</v>
      </c>
      <c r="J609" s="3">
        <v>0</v>
      </c>
      <c r="K609" s="3">
        <v>0</v>
      </c>
      <c r="L609" s="3">
        <v>0</v>
      </c>
      <c r="M609" s="3">
        <v>0</v>
      </c>
      <c r="N609" s="3">
        <v>0</v>
      </c>
      <c r="O609" s="3">
        <v>0</v>
      </c>
    </row>
    <row r="610" spans="1:17" ht="18" customHeight="1" x14ac:dyDescent="0.2">
      <c r="A610" s="138"/>
      <c r="B610" s="142"/>
      <c r="C610" s="60" t="s">
        <v>11</v>
      </c>
      <c r="D610" s="1">
        <f t="shared" si="278"/>
        <v>0</v>
      </c>
      <c r="E610" s="3">
        <v>0</v>
      </c>
      <c r="F610" s="3">
        <v>0</v>
      </c>
      <c r="G610" s="3">
        <v>0</v>
      </c>
      <c r="H610" s="3">
        <v>0</v>
      </c>
      <c r="I610" s="3">
        <v>0</v>
      </c>
      <c r="J610" s="3">
        <v>0</v>
      </c>
      <c r="K610" s="3">
        <v>0</v>
      </c>
      <c r="L610" s="3">
        <v>0</v>
      </c>
      <c r="M610" s="3">
        <v>0</v>
      </c>
      <c r="N610" s="3">
        <v>0</v>
      </c>
      <c r="O610" s="3">
        <v>0</v>
      </c>
    </row>
    <row r="611" spans="1:17" ht="15.75" customHeight="1" x14ac:dyDescent="0.2">
      <c r="A611" s="138"/>
      <c r="B611" s="142"/>
      <c r="C611" s="60" t="s">
        <v>12</v>
      </c>
      <c r="D611" s="1">
        <f t="shared" si="278"/>
        <v>25746.6</v>
      </c>
      <c r="E611" s="3">
        <v>25746.6</v>
      </c>
      <c r="F611" s="3">
        <v>0</v>
      </c>
      <c r="G611" s="3">
        <v>0</v>
      </c>
      <c r="H611" s="3">
        <v>0</v>
      </c>
      <c r="I611" s="3">
        <v>0</v>
      </c>
      <c r="J611" s="3">
        <v>0</v>
      </c>
      <c r="K611" s="3">
        <v>0</v>
      </c>
      <c r="L611" s="3">
        <v>0</v>
      </c>
      <c r="M611" s="3">
        <v>0</v>
      </c>
      <c r="N611" s="3">
        <v>0</v>
      </c>
      <c r="O611" s="3">
        <v>0</v>
      </c>
    </row>
    <row r="612" spans="1:17" ht="33.75" customHeight="1" x14ac:dyDescent="0.2">
      <c r="A612" s="139"/>
      <c r="B612" s="142"/>
      <c r="C612" s="60" t="s">
        <v>13</v>
      </c>
      <c r="D612" s="1">
        <f t="shared" si="278"/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17" ht="15.75" x14ac:dyDescent="0.2">
      <c r="A613" s="116" t="s">
        <v>128</v>
      </c>
      <c r="B613" s="111" t="s">
        <v>136</v>
      </c>
      <c r="C613" s="84" t="s">
        <v>7</v>
      </c>
      <c r="D613" s="1">
        <f>E613+F613+G613+H613+I613+J613+K613+L613+M613+N613+O613</f>
        <v>342354.50000000006</v>
      </c>
      <c r="E613" s="3">
        <f t="shared" ref="E613:J613" si="282">SUM(E614:E617)</f>
        <v>0</v>
      </c>
      <c r="F613" s="3">
        <f t="shared" si="282"/>
        <v>36667.5</v>
      </c>
      <c r="G613" s="3">
        <f t="shared" si="282"/>
        <v>33267.5</v>
      </c>
      <c r="H613" s="3">
        <f t="shared" si="282"/>
        <v>35169.599999999999</v>
      </c>
      <c r="I613" s="3">
        <f t="shared" si="282"/>
        <v>22060.600000000002</v>
      </c>
      <c r="J613" s="3">
        <f t="shared" si="282"/>
        <v>19768.5</v>
      </c>
      <c r="K613" s="3">
        <f>SUM(K614:K617)</f>
        <v>46323.700000000004</v>
      </c>
      <c r="L613" s="3">
        <f>SUM(L614:L617)</f>
        <v>56144.700000000004</v>
      </c>
      <c r="M613" s="3">
        <f>SUM(M614:M617)</f>
        <v>27834.700000000004</v>
      </c>
      <c r="N613" s="3">
        <f>SUM(N614:N617)</f>
        <v>32800.9</v>
      </c>
      <c r="O613" s="3">
        <f>SUM(O614:O617)</f>
        <v>32316.800000000003</v>
      </c>
    </row>
    <row r="614" spans="1:17" ht="15.75" customHeight="1" x14ac:dyDescent="0.2">
      <c r="A614" s="121"/>
      <c r="B614" s="140"/>
      <c r="C614" s="60" t="s">
        <v>10</v>
      </c>
      <c r="D614" s="1">
        <f t="shared" si="278"/>
        <v>0</v>
      </c>
      <c r="E614" s="3">
        <v>0</v>
      </c>
      <c r="F614" s="3">
        <v>0</v>
      </c>
      <c r="G614" s="3">
        <v>0</v>
      </c>
      <c r="H614" s="3">
        <v>0</v>
      </c>
      <c r="I614" s="3">
        <v>0</v>
      </c>
      <c r="J614" s="3">
        <v>0</v>
      </c>
      <c r="K614" s="3">
        <v>0</v>
      </c>
      <c r="L614" s="3">
        <v>0</v>
      </c>
      <c r="M614" s="3">
        <v>0</v>
      </c>
      <c r="N614" s="3">
        <v>0</v>
      </c>
      <c r="O614" s="3">
        <v>0</v>
      </c>
    </row>
    <row r="615" spans="1:17" ht="15.75" customHeight="1" x14ac:dyDescent="0.2">
      <c r="A615" s="121"/>
      <c r="B615" s="140"/>
      <c r="C615" s="60" t="s">
        <v>11</v>
      </c>
      <c r="D615" s="1">
        <f t="shared" si="278"/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7" ht="15.75" customHeight="1" x14ac:dyDescent="0.2">
      <c r="A616" s="121"/>
      <c r="B616" s="140"/>
      <c r="C616" s="60" t="s">
        <v>12</v>
      </c>
      <c r="D616" s="1">
        <f t="shared" si="278"/>
        <v>342354.50000000006</v>
      </c>
      <c r="E616" s="3">
        <v>0</v>
      </c>
      <c r="F616" s="3">
        <v>36667.5</v>
      </c>
      <c r="G616" s="3">
        <v>33267.5</v>
      </c>
      <c r="H616" s="3">
        <v>35169.599999999999</v>
      </c>
      <c r="I616" s="3">
        <f>23852.9-1792.3</f>
        <v>22060.600000000002</v>
      </c>
      <c r="J616" s="3">
        <f>28768.5-9000</f>
        <v>19768.5</v>
      </c>
      <c r="K616" s="3">
        <f>29083+5516.8+7690+4019.9+14</f>
        <v>46323.700000000004</v>
      </c>
      <c r="L616" s="3">
        <f>34599.8+8000+6572.8+59+6913.1</f>
        <v>56144.700000000004</v>
      </c>
      <c r="M616" s="3">
        <f>35983.8-8149.1</f>
        <v>27834.700000000004</v>
      </c>
      <c r="N616" s="3">
        <f>37423.1-4622.2</f>
        <v>32800.9</v>
      </c>
      <c r="O616" s="3">
        <f>87586.3-55269.5</f>
        <v>32316.800000000003</v>
      </c>
    </row>
    <row r="617" spans="1:17" ht="21.75" customHeight="1" x14ac:dyDescent="0.2">
      <c r="A617" s="121"/>
      <c r="B617" s="140"/>
      <c r="C617" s="60" t="s">
        <v>13</v>
      </c>
      <c r="D617" s="1">
        <f t="shared" si="278"/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17" ht="22.5" customHeight="1" x14ac:dyDescent="0.25">
      <c r="A618" s="116" t="s">
        <v>205</v>
      </c>
      <c r="B618" s="111" t="s">
        <v>364</v>
      </c>
      <c r="C618" s="87" t="s">
        <v>7</v>
      </c>
      <c r="D618" s="1">
        <f>E618+F618+G618+H618+I618+J618+K618+L618+M618+N618+O618</f>
        <v>32005.9</v>
      </c>
      <c r="E618" s="3">
        <f t="shared" ref="E618:K618" si="283">SUM(E619:E622)</f>
        <v>0</v>
      </c>
      <c r="F618" s="3">
        <f t="shared" si="283"/>
        <v>0</v>
      </c>
      <c r="G618" s="3">
        <f t="shared" si="283"/>
        <v>0</v>
      </c>
      <c r="H618" s="3">
        <f t="shared" si="283"/>
        <v>0</v>
      </c>
      <c r="I618" s="3">
        <f t="shared" si="283"/>
        <v>22691.4</v>
      </c>
      <c r="J618" s="3">
        <f t="shared" si="283"/>
        <v>9314.5</v>
      </c>
      <c r="K618" s="3">
        <f t="shared" si="283"/>
        <v>0</v>
      </c>
      <c r="L618" s="3">
        <f>SUM(L619:L622)</f>
        <v>0</v>
      </c>
      <c r="M618" s="3">
        <f>SUM(M619:M622)</f>
        <v>0</v>
      </c>
      <c r="N618" s="3">
        <f>SUM(N619:N622)</f>
        <v>0</v>
      </c>
      <c r="O618" s="3">
        <f>SUM(O619:O622)</f>
        <v>0</v>
      </c>
      <c r="P618" s="64">
        <f>I616+I620</f>
        <v>44752</v>
      </c>
      <c r="Q618" s="64"/>
    </row>
    <row r="619" spans="1:17" ht="22.5" customHeight="1" x14ac:dyDescent="0.2">
      <c r="A619" s="121"/>
      <c r="B619" s="140"/>
      <c r="C619" s="60" t="s">
        <v>10</v>
      </c>
      <c r="D619" s="1">
        <f t="shared" si="278"/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17" ht="22.5" customHeight="1" x14ac:dyDescent="0.2">
      <c r="A620" s="121"/>
      <c r="B620" s="140"/>
      <c r="C620" s="60" t="s">
        <v>11</v>
      </c>
      <c r="D620" s="1">
        <f t="shared" si="278"/>
        <v>32005.9</v>
      </c>
      <c r="E620" s="3">
        <v>0</v>
      </c>
      <c r="F620" s="3">
        <v>0</v>
      </c>
      <c r="G620" s="3">
        <v>0</v>
      </c>
      <c r="H620" s="3">
        <v>0</v>
      </c>
      <c r="I620" s="3">
        <v>22691.4</v>
      </c>
      <c r="J620" s="3">
        <f>38083-28768.5</f>
        <v>9314.5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7" ht="22.5" customHeight="1" x14ac:dyDescent="0.2">
      <c r="A621" s="121"/>
      <c r="B621" s="140"/>
      <c r="C621" s="60" t="s">
        <v>12</v>
      </c>
      <c r="D621" s="1">
        <f t="shared" si="278"/>
        <v>0</v>
      </c>
      <c r="E621" s="3">
        <v>0</v>
      </c>
      <c r="F621" s="3">
        <v>0</v>
      </c>
      <c r="G621" s="3">
        <v>0</v>
      </c>
      <c r="H621" s="3">
        <v>0</v>
      </c>
      <c r="I621" s="3">
        <v>0</v>
      </c>
      <c r="J621" s="3">
        <v>0</v>
      </c>
      <c r="K621" s="3">
        <v>0</v>
      </c>
      <c r="L621" s="3">
        <v>0</v>
      </c>
      <c r="M621" s="3">
        <v>0</v>
      </c>
      <c r="N621" s="3">
        <v>0</v>
      </c>
      <c r="O621" s="3">
        <v>0</v>
      </c>
    </row>
    <row r="622" spans="1:17" ht="22.5" customHeight="1" x14ac:dyDescent="0.2">
      <c r="A622" s="121"/>
      <c r="B622" s="140"/>
      <c r="C622" s="60" t="s">
        <v>13</v>
      </c>
      <c r="D622" s="1">
        <f t="shared" si="278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17" ht="23.25" customHeight="1" x14ac:dyDescent="0.2">
      <c r="A623" s="116" t="s">
        <v>206</v>
      </c>
      <c r="B623" s="111" t="s">
        <v>228</v>
      </c>
      <c r="C623" s="60" t="s">
        <v>7</v>
      </c>
      <c r="D623" s="1">
        <f t="shared" si="278"/>
        <v>62441</v>
      </c>
      <c r="E623" s="3">
        <f t="shared" ref="E623:K623" si="284">SUM(E624:E627)</f>
        <v>62441</v>
      </c>
      <c r="F623" s="3">
        <f t="shared" si="284"/>
        <v>0</v>
      </c>
      <c r="G623" s="3">
        <f t="shared" si="284"/>
        <v>0</v>
      </c>
      <c r="H623" s="3">
        <f t="shared" si="284"/>
        <v>0</v>
      </c>
      <c r="I623" s="3">
        <f t="shared" si="284"/>
        <v>0</v>
      </c>
      <c r="J623" s="3">
        <f t="shared" si="284"/>
        <v>0</v>
      </c>
      <c r="K623" s="3">
        <f t="shared" si="284"/>
        <v>0</v>
      </c>
      <c r="L623" s="3">
        <f>SUM(L624:L627)</f>
        <v>0</v>
      </c>
      <c r="M623" s="3">
        <f>SUM(M624:M627)</f>
        <v>0</v>
      </c>
      <c r="N623" s="3">
        <f>SUM(N624:N627)</f>
        <v>0</v>
      </c>
      <c r="O623" s="3">
        <f>SUM(O624:O627)</f>
        <v>0</v>
      </c>
    </row>
    <row r="624" spans="1:17" ht="23.25" customHeight="1" x14ac:dyDescent="0.2">
      <c r="A624" s="121"/>
      <c r="B624" s="111"/>
      <c r="C624" s="60" t="s">
        <v>10</v>
      </c>
      <c r="D624" s="1">
        <f t="shared" si="278"/>
        <v>0</v>
      </c>
      <c r="E624" s="3">
        <v>0</v>
      </c>
      <c r="F624" s="3">
        <v>0</v>
      </c>
      <c r="G624" s="3">
        <v>0</v>
      </c>
      <c r="H624" s="3">
        <v>0</v>
      </c>
      <c r="I624" s="3">
        <v>0</v>
      </c>
      <c r="J624" s="3">
        <v>0</v>
      </c>
      <c r="K624" s="3">
        <v>0</v>
      </c>
      <c r="L624" s="3">
        <v>0</v>
      </c>
      <c r="M624" s="3">
        <v>0</v>
      </c>
      <c r="N624" s="3">
        <v>0</v>
      </c>
      <c r="O624" s="3">
        <v>0</v>
      </c>
    </row>
    <row r="625" spans="1:15" ht="23.25" customHeight="1" x14ac:dyDescent="0.2">
      <c r="A625" s="121"/>
      <c r="B625" s="111"/>
      <c r="C625" s="60" t="s">
        <v>11</v>
      </c>
      <c r="D625" s="1">
        <f t="shared" si="278"/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5" ht="23.25" customHeight="1" x14ac:dyDescent="0.2">
      <c r="A626" s="121"/>
      <c r="B626" s="111"/>
      <c r="C626" s="60" t="s">
        <v>12</v>
      </c>
      <c r="D626" s="1">
        <f t="shared" si="278"/>
        <v>62441</v>
      </c>
      <c r="E626" s="3">
        <v>62441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3">
        <v>0</v>
      </c>
      <c r="M626" s="3">
        <v>0</v>
      </c>
      <c r="N626" s="3">
        <v>0</v>
      </c>
      <c r="O626" s="3">
        <v>0</v>
      </c>
    </row>
    <row r="627" spans="1:15" ht="23.25" customHeight="1" x14ac:dyDescent="0.2">
      <c r="A627" s="121"/>
      <c r="B627" s="111"/>
      <c r="C627" s="60" t="s">
        <v>13</v>
      </c>
      <c r="D627" s="1">
        <f t="shared" si="278"/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5" ht="24.75" customHeight="1" x14ac:dyDescent="0.2">
      <c r="A628" s="116" t="s">
        <v>207</v>
      </c>
      <c r="B628" s="111" t="s">
        <v>443</v>
      </c>
      <c r="C628" s="60" t="s">
        <v>7</v>
      </c>
      <c r="D628" s="1">
        <f>E628+F628+G628+H628+I628+J628+K628+L628+M628+N628+O628</f>
        <v>584514.4</v>
      </c>
      <c r="E628" s="3">
        <f t="shared" ref="E628:O628" si="285">SUM(E629:E632)</f>
        <v>1932.4</v>
      </c>
      <c r="F628" s="3">
        <f t="shared" si="285"/>
        <v>76373.399999999994</v>
      </c>
      <c r="G628" s="3">
        <f t="shared" si="285"/>
        <v>73973.399999999994</v>
      </c>
      <c r="H628" s="3">
        <f t="shared" si="285"/>
        <v>75506</v>
      </c>
      <c r="I628" s="3">
        <f t="shared" si="285"/>
        <v>14907.4</v>
      </c>
      <c r="J628" s="3">
        <f t="shared" si="285"/>
        <v>34818.300000000003</v>
      </c>
      <c r="K628" s="3">
        <f t="shared" si="285"/>
        <v>103745.79999999999</v>
      </c>
      <c r="L628" s="3">
        <f t="shared" si="285"/>
        <v>94719.7</v>
      </c>
      <c r="M628" s="3">
        <f t="shared" si="285"/>
        <v>30536.799999999988</v>
      </c>
      <c r="N628" s="3">
        <f t="shared" si="285"/>
        <v>39434.299999999996</v>
      </c>
      <c r="O628" s="3">
        <f t="shared" si="285"/>
        <v>38566.899999999987</v>
      </c>
    </row>
    <row r="629" spans="1:15" ht="24.75" customHeight="1" x14ac:dyDescent="0.2">
      <c r="A629" s="121"/>
      <c r="B629" s="111"/>
      <c r="C629" s="60" t="s">
        <v>10</v>
      </c>
      <c r="D629" s="1">
        <f t="shared" si="278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5" ht="24.75" customHeight="1" x14ac:dyDescent="0.2">
      <c r="A630" s="121"/>
      <c r="B630" s="111"/>
      <c r="C630" s="60" t="s">
        <v>11</v>
      </c>
      <c r="D630" s="1">
        <f t="shared" si="278"/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</row>
    <row r="631" spans="1:15" ht="24.75" customHeight="1" x14ac:dyDescent="0.2">
      <c r="A631" s="121"/>
      <c r="B631" s="111"/>
      <c r="C631" s="60" t="s">
        <v>12</v>
      </c>
      <c r="D631" s="1">
        <f t="shared" si="278"/>
        <v>584514.4</v>
      </c>
      <c r="E631" s="3">
        <v>1932.4</v>
      </c>
      <c r="F631" s="3">
        <v>76373.399999999994</v>
      </c>
      <c r="G631" s="3">
        <v>73973.399999999994</v>
      </c>
      <c r="H631" s="3">
        <v>75506</v>
      </c>
      <c r="I631" s="3">
        <f>21398.5-6491.1</f>
        <v>14907.4</v>
      </c>
      <c r="J631" s="3">
        <f>42143.1-20000+4043.7+8631.5</f>
        <v>34818.300000000003</v>
      </c>
      <c r="K631" s="3">
        <f>62603+5000+2210.9+4495+16930+12506.9</f>
        <v>103745.79999999999</v>
      </c>
      <c r="L631" s="3">
        <f>72098+61.2+16000-1839.5+8400</f>
        <v>94719.7</v>
      </c>
      <c r="M631" s="3">
        <f>74981.9-6930.1-9269.9-8913-19332.1</f>
        <v>30536.799999999988</v>
      </c>
      <c r="N631" s="3">
        <f>77981.2-7311.3-11903.5-19332.1</f>
        <v>39434.299999999996</v>
      </c>
      <c r="O631" s="3">
        <f>141380.3-83481.3-19332.1</f>
        <v>38566.899999999987</v>
      </c>
    </row>
    <row r="632" spans="1:15" ht="44.25" customHeight="1" x14ac:dyDescent="0.2">
      <c r="A632" s="121"/>
      <c r="B632" s="111"/>
      <c r="C632" s="60" t="s">
        <v>13</v>
      </c>
      <c r="D632" s="1">
        <f t="shared" si="278"/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</row>
    <row r="633" spans="1:15" ht="33" customHeight="1" x14ac:dyDescent="0.2">
      <c r="A633" s="116" t="s">
        <v>231</v>
      </c>
      <c r="B633" s="111" t="s">
        <v>361</v>
      </c>
      <c r="C633" s="60" t="s">
        <v>7</v>
      </c>
      <c r="D633" s="1">
        <f>E633+F633+G633+H633+I633+J633+K633+L633+M633+N633+O633</f>
        <v>91947.5</v>
      </c>
      <c r="E633" s="3">
        <f t="shared" ref="E633:O633" si="286">SUM(E634:E637)</f>
        <v>0</v>
      </c>
      <c r="F633" s="3">
        <f t="shared" si="286"/>
        <v>0</v>
      </c>
      <c r="G633" s="3">
        <f t="shared" si="286"/>
        <v>0</v>
      </c>
      <c r="H633" s="3">
        <f t="shared" si="286"/>
        <v>0</v>
      </c>
      <c r="I633" s="3">
        <f>SUM(I634:I637)</f>
        <v>60576.7</v>
      </c>
      <c r="J633" s="3">
        <f t="shared" si="286"/>
        <v>31370.799999999996</v>
      </c>
      <c r="K633" s="3">
        <f t="shared" si="286"/>
        <v>0</v>
      </c>
      <c r="L633" s="3">
        <f t="shared" si="286"/>
        <v>0</v>
      </c>
      <c r="M633" s="3">
        <f t="shared" si="286"/>
        <v>0</v>
      </c>
      <c r="N633" s="3">
        <f t="shared" si="286"/>
        <v>0</v>
      </c>
      <c r="O633" s="3">
        <f t="shared" si="286"/>
        <v>0</v>
      </c>
    </row>
    <row r="634" spans="1:15" ht="33" customHeight="1" x14ac:dyDescent="0.2">
      <c r="A634" s="121"/>
      <c r="B634" s="111"/>
      <c r="C634" s="60" t="s">
        <v>10</v>
      </c>
      <c r="D634" s="1">
        <f t="shared" si="278"/>
        <v>0</v>
      </c>
      <c r="E634" s="3">
        <v>0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5" ht="33" customHeight="1" x14ac:dyDescent="0.2">
      <c r="A635" s="121"/>
      <c r="B635" s="111"/>
      <c r="C635" s="60" t="s">
        <v>11</v>
      </c>
      <c r="D635" s="1">
        <f t="shared" si="278"/>
        <v>91947.5</v>
      </c>
      <c r="E635" s="3">
        <v>0</v>
      </c>
      <c r="F635" s="3">
        <v>0</v>
      </c>
      <c r="G635" s="3">
        <v>0</v>
      </c>
      <c r="H635" s="3">
        <v>0</v>
      </c>
      <c r="I635" s="3">
        <v>60576.7</v>
      </c>
      <c r="J635" s="3">
        <f>73513.9-42143.1</f>
        <v>31370.799999999996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5" ht="33" customHeight="1" x14ac:dyDescent="0.2">
      <c r="A636" s="121"/>
      <c r="B636" s="111"/>
      <c r="C636" s="60" t="s">
        <v>12</v>
      </c>
      <c r="D636" s="1">
        <f t="shared" si="278"/>
        <v>0</v>
      </c>
      <c r="E636" s="3">
        <v>0</v>
      </c>
      <c r="F636" s="3">
        <v>0</v>
      </c>
      <c r="G636" s="3">
        <v>0</v>
      </c>
      <c r="H636" s="3">
        <v>0</v>
      </c>
      <c r="I636" s="3">
        <v>0</v>
      </c>
      <c r="J636" s="3">
        <v>0</v>
      </c>
      <c r="K636" s="3">
        <v>0</v>
      </c>
      <c r="L636" s="3">
        <v>0</v>
      </c>
      <c r="M636" s="3">
        <v>0</v>
      </c>
      <c r="N636" s="3">
        <v>0</v>
      </c>
      <c r="O636" s="3">
        <v>0</v>
      </c>
    </row>
    <row r="637" spans="1:15" ht="33" customHeight="1" x14ac:dyDescent="0.2">
      <c r="A637" s="121"/>
      <c r="B637" s="111"/>
      <c r="C637" s="60" t="s">
        <v>13</v>
      </c>
      <c r="D637" s="1">
        <f t="shared" si="278"/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</row>
    <row r="638" spans="1:15" ht="17.25" customHeight="1" x14ac:dyDescent="0.2">
      <c r="A638" s="116" t="s">
        <v>266</v>
      </c>
      <c r="B638" s="146" t="s">
        <v>53</v>
      </c>
      <c r="C638" s="60" t="s">
        <v>7</v>
      </c>
      <c r="D638" s="1">
        <f t="shared" si="278"/>
        <v>254875.462</v>
      </c>
      <c r="E638" s="3">
        <f>E641+E640+E639+E643</f>
        <v>19291.8</v>
      </c>
      <c r="F638" s="3">
        <f t="shared" ref="F638:K638" si="287">SUM(F639:F643)</f>
        <v>23807.200000000001</v>
      </c>
      <c r="G638" s="3">
        <f t="shared" si="287"/>
        <v>28234.6</v>
      </c>
      <c r="H638" s="3">
        <f t="shared" si="287"/>
        <v>22369.4</v>
      </c>
      <c r="I638" s="3">
        <f t="shared" si="287"/>
        <v>22792.7</v>
      </c>
      <c r="J638" s="3">
        <f t="shared" si="287"/>
        <v>25918.3</v>
      </c>
      <c r="K638" s="3">
        <f t="shared" si="287"/>
        <v>42433.862000000001</v>
      </c>
      <c r="L638" s="3">
        <f>SUM(L639:L643)</f>
        <v>35783.599999999999</v>
      </c>
      <c r="M638" s="3">
        <f>SUM(M639:M643)</f>
        <v>13320.599999999999</v>
      </c>
      <c r="N638" s="3">
        <f>SUM(N639:N643)</f>
        <v>10539.5</v>
      </c>
      <c r="O638" s="3">
        <f>SUM(O639:O643)</f>
        <v>10383.900000000001</v>
      </c>
    </row>
    <row r="639" spans="1:15" ht="15.75" x14ac:dyDescent="0.2">
      <c r="A639" s="116"/>
      <c r="B639" s="165"/>
      <c r="C639" s="60" t="s">
        <v>10</v>
      </c>
      <c r="D639" s="1">
        <f t="shared" si="278"/>
        <v>0</v>
      </c>
      <c r="E639" s="3">
        <v>0</v>
      </c>
      <c r="F639" s="3">
        <v>0</v>
      </c>
      <c r="G639" s="3">
        <v>0</v>
      </c>
      <c r="H639" s="3">
        <v>0</v>
      </c>
      <c r="I639" s="3">
        <v>0</v>
      </c>
      <c r="J639" s="3">
        <v>0</v>
      </c>
      <c r="K639" s="3">
        <v>0</v>
      </c>
      <c r="L639" s="3">
        <v>0</v>
      </c>
      <c r="M639" s="3">
        <v>0</v>
      </c>
      <c r="N639" s="3">
        <v>0</v>
      </c>
      <c r="O639" s="3">
        <v>0</v>
      </c>
    </row>
    <row r="640" spans="1:15" ht="15.75" x14ac:dyDescent="0.2">
      <c r="A640" s="116"/>
      <c r="B640" s="165"/>
      <c r="C640" s="60" t="s">
        <v>11</v>
      </c>
      <c r="D640" s="1">
        <f t="shared" si="278"/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</row>
    <row r="641" spans="1:26" ht="15.75" x14ac:dyDescent="0.2">
      <c r="A641" s="116"/>
      <c r="B641" s="165"/>
      <c r="C641" s="60" t="s">
        <v>12</v>
      </c>
      <c r="D641" s="1">
        <f t="shared" si="278"/>
        <v>254875.462</v>
      </c>
      <c r="E641" s="3">
        <v>19291.8</v>
      </c>
      <c r="F641" s="3">
        <v>23807.200000000001</v>
      </c>
      <c r="G641" s="3">
        <v>28234.6</v>
      </c>
      <c r="H641" s="3">
        <v>22369.4</v>
      </c>
      <c r="I641" s="3">
        <v>22792.7</v>
      </c>
      <c r="J641" s="3">
        <f>18632.6-10699.7+10699.7+882.9+4000+4000-1000-597.2</f>
        <v>25918.3</v>
      </c>
      <c r="K641" s="3">
        <f>11060+1000+77+720.212+320+757+1740.4+2283.7+17440.1-2283.7-17440.1+5201.8-555.089+0.089+15000+9149.5+77-1950-71.45-90-74+71.4</f>
        <v>42433.862000000001</v>
      </c>
      <c r="L641" s="3">
        <f>12252.7+7988.6-400+40.6+400+1380.6+2120.3+11056+181.4+56.6+7239+266.5+51.2-1300-90.5-6000+540.6</f>
        <v>35783.599999999999</v>
      </c>
      <c r="M641" s="58">
        <f>9475.8-9269.9+9269.9-1299.3-471.3+854+155.6+3000+315.3+1290.5</f>
        <v>13320.599999999999</v>
      </c>
      <c r="N641" s="3">
        <f>9522.1+1017.4</f>
        <v>10539.5</v>
      </c>
      <c r="O641" s="3">
        <f>28657.9-18274</f>
        <v>10383.900000000001</v>
      </c>
      <c r="X641" s="64"/>
      <c r="Y641" s="64"/>
      <c r="Z641" s="64"/>
    </row>
    <row r="642" spans="1:26" ht="31.5" customHeight="1" x14ac:dyDescent="0.2">
      <c r="A642" s="116"/>
      <c r="B642" s="165"/>
      <c r="C642" s="77" t="s">
        <v>79</v>
      </c>
      <c r="D642" s="74">
        <f t="shared" si="278"/>
        <v>1874.1</v>
      </c>
      <c r="E642" s="88">
        <v>1874.1</v>
      </c>
      <c r="F642" s="88">
        <v>0</v>
      </c>
      <c r="G642" s="88">
        <v>0</v>
      </c>
      <c r="H642" s="88">
        <v>0</v>
      </c>
      <c r="I642" s="88">
        <v>0</v>
      </c>
      <c r="J642" s="88">
        <v>0</v>
      </c>
      <c r="K642" s="88">
        <v>0</v>
      </c>
      <c r="L642" s="88">
        <v>0</v>
      </c>
      <c r="M642" s="88">
        <v>0</v>
      </c>
      <c r="N642" s="88">
        <v>0</v>
      </c>
      <c r="O642" s="88">
        <v>0</v>
      </c>
    </row>
    <row r="643" spans="1:26" ht="15.75" x14ac:dyDescent="0.2">
      <c r="A643" s="116"/>
      <c r="B643" s="166"/>
      <c r="C643" s="60" t="s">
        <v>13</v>
      </c>
      <c r="D643" s="1">
        <f t="shared" si="278"/>
        <v>0</v>
      </c>
      <c r="E643" s="3">
        <v>0</v>
      </c>
      <c r="F643" s="3">
        <v>0</v>
      </c>
      <c r="G643" s="3">
        <v>0</v>
      </c>
      <c r="H643" s="3">
        <v>0</v>
      </c>
      <c r="I643" s="3">
        <v>0</v>
      </c>
      <c r="J643" s="3">
        <v>0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26" ht="21" customHeight="1" x14ac:dyDescent="0.2">
      <c r="A644" s="116" t="s">
        <v>267</v>
      </c>
      <c r="B644" s="111" t="s">
        <v>250</v>
      </c>
      <c r="C644" s="60" t="s">
        <v>7</v>
      </c>
      <c r="D644" s="1">
        <f t="shared" si="278"/>
        <v>144488.4</v>
      </c>
      <c r="E644" s="3">
        <f t="shared" ref="E644:O644" si="288">E645+E646+E647+E649</f>
        <v>28675.9</v>
      </c>
      <c r="F644" s="3">
        <f t="shared" si="288"/>
        <v>35910.699999999997</v>
      </c>
      <c r="G644" s="3">
        <f t="shared" si="288"/>
        <v>6899.6</v>
      </c>
      <c r="H644" s="3">
        <f t="shared" si="288"/>
        <v>8413.2000000000007</v>
      </c>
      <c r="I644" s="3">
        <f t="shared" si="288"/>
        <v>18601.100000000002</v>
      </c>
      <c r="J644" s="3">
        <f t="shared" si="288"/>
        <v>9981.3000000000011</v>
      </c>
      <c r="K644" s="3">
        <f t="shared" si="288"/>
        <v>18751</v>
      </c>
      <c r="L644" s="3">
        <f t="shared" si="288"/>
        <v>17255.599999999999</v>
      </c>
      <c r="M644" s="3">
        <f t="shared" si="288"/>
        <v>0</v>
      </c>
      <c r="N644" s="3">
        <f t="shared" si="288"/>
        <v>0</v>
      </c>
      <c r="O644" s="3">
        <f t="shared" si="288"/>
        <v>0</v>
      </c>
    </row>
    <row r="645" spans="1:26" ht="21" customHeight="1" x14ac:dyDescent="0.2">
      <c r="A645" s="116"/>
      <c r="B645" s="140"/>
      <c r="C645" s="60" t="s">
        <v>10</v>
      </c>
      <c r="D645" s="1">
        <f t="shared" si="278"/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  <c r="O645" s="3">
        <v>0</v>
      </c>
    </row>
    <row r="646" spans="1:26" ht="21" customHeight="1" x14ac:dyDescent="0.2">
      <c r="A646" s="116"/>
      <c r="B646" s="140"/>
      <c r="C646" s="60" t="s">
        <v>11</v>
      </c>
      <c r="D646" s="1">
        <f t="shared" si="278"/>
        <v>0</v>
      </c>
      <c r="E646" s="3">
        <v>0</v>
      </c>
      <c r="F646" s="3">
        <v>0</v>
      </c>
      <c r="G646" s="3">
        <v>0</v>
      </c>
      <c r="H646" s="3">
        <v>0</v>
      </c>
      <c r="I646" s="3">
        <v>0</v>
      </c>
      <c r="J646" s="3">
        <v>0</v>
      </c>
      <c r="K646" s="3">
        <v>0</v>
      </c>
      <c r="L646" s="3">
        <v>0</v>
      </c>
      <c r="M646" s="3">
        <v>0</v>
      </c>
      <c r="N646" s="3">
        <v>0</v>
      </c>
      <c r="O646" s="3">
        <v>0</v>
      </c>
    </row>
    <row r="647" spans="1:26" ht="33" customHeight="1" x14ac:dyDescent="0.2">
      <c r="A647" s="116"/>
      <c r="B647" s="140"/>
      <c r="C647" s="60" t="s">
        <v>65</v>
      </c>
      <c r="D647" s="1">
        <f t="shared" si="278"/>
        <v>144488.4</v>
      </c>
      <c r="E647" s="3">
        <f>E648</f>
        <v>28675.9</v>
      </c>
      <c r="F647" s="3">
        <v>35910.699999999997</v>
      </c>
      <c r="G647" s="3">
        <v>6899.6</v>
      </c>
      <c r="H647" s="3">
        <v>8413.2000000000007</v>
      </c>
      <c r="I647" s="3">
        <f>20814-605.6-1607.3</f>
        <v>18601.100000000002</v>
      </c>
      <c r="J647" s="3">
        <f>15000+5950-3250+1905.9-9574.5+50-100.2+0.1</f>
        <v>9981.3000000000011</v>
      </c>
      <c r="K647" s="3">
        <f>20300-1400-149+18659.2-6396.3-12262.8-0.1</f>
        <v>18751</v>
      </c>
      <c r="L647" s="3">
        <f>21000-700*4-700+700-248.4-200-160-270-66</f>
        <v>17255.599999999999</v>
      </c>
      <c r="M647" s="3">
        <f>12594.4-12594.4</f>
        <v>0</v>
      </c>
      <c r="N647" s="3">
        <f>12655.9-12655.9</f>
        <v>0</v>
      </c>
      <c r="O647" s="3">
        <f>15000-15000</f>
        <v>0</v>
      </c>
    </row>
    <row r="648" spans="1:26" ht="30.75" customHeight="1" x14ac:dyDescent="0.2">
      <c r="A648" s="116"/>
      <c r="B648" s="140"/>
      <c r="C648" s="76" t="s">
        <v>79</v>
      </c>
      <c r="D648" s="74">
        <f t="shared" si="278"/>
        <v>57175.9</v>
      </c>
      <c r="E648" s="88">
        <v>28675.9</v>
      </c>
      <c r="F648" s="88">
        <v>28500</v>
      </c>
      <c r="G648" s="88">
        <v>0</v>
      </c>
      <c r="H648" s="88">
        <v>0</v>
      </c>
      <c r="I648" s="88">
        <v>0</v>
      </c>
      <c r="J648" s="88">
        <v>0</v>
      </c>
      <c r="K648" s="88">
        <v>0</v>
      </c>
      <c r="L648" s="88">
        <v>0</v>
      </c>
      <c r="M648" s="88">
        <v>0</v>
      </c>
      <c r="N648" s="88">
        <v>0</v>
      </c>
      <c r="O648" s="88">
        <v>0</v>
      </c>
    </row>
    <row r="649" spans="1:26" ht="21" customHeight="1" x14ac:dyDescent="0.2">
      <c r="A649" s="116"/>
      <c r="B649" s="140"/>
      <c r="C649" s="60" t="s">
        <v>13</v>
      </c>
      <c r="D649" s="1">
        <f t="shared" si="278"/>
        <v>0</v>
      </c>
      <c r="E649" s="3">
        <v>0</v>
      </c>
      <c r="F649" s="3">
        <v>0</v>
      </c>
      <c r="G649" s="3">
        <v>0</v>
      </c>
      <c r="H649" s="3">
        <v>0</v>
      </c>
      <c r="I649" s="3">
        <v>0</v>
      </c>
      <c r="J649" s="3">
        <v>0</v>
      </c>
      <c r="K649" s="3">
        <v>0</v>
      </c>
      <c r="L649" s="3">
        <v>0</v>
      </c>
      <c r="M649" s="3">
        <v>0</v>
      </c>
      <c r="N649" s="3">
        <v>0</v>
      </c>
      <c r="O649" s="3">
        <v>0</v>
      </c>
    </row>
    <row r="650" spans="1:26" ht="15.75" x14ac:dyDescent="0.2">
      <c r="A650" s="116" t="s">
        <v>268</v>
      </c>
      <c r="B650" s="116" t="s">
        <v>242</v>
      </c>
      <c r="C650" s="84" t="s">
        <v>7</v>
      </c>
      <c r="D650" s="1">
        <f t="shared" si="278"/>
        <v>951</v>
      </c>
      <c r="E650" s="3">
        <f>E651+E652+E653+E654</f>
        <v>0</v>
      </c>
      <c r="F650" s="3">
        <f t="shared" ref="F650:K650" si="289">F651+F652+F653+F654</f>
        <v>0</v>
      </c>
      <c r="G650" s="3">
        <f t="shared" si="289"/>
        <v>347.6</v>
      </c>
      <c r="H650" s="3">
        <f t="shared" si="289"/>
        <v>589.4</v>
      </c>
      <c r="I650" s="3">
        <f t="shared" si="289"/>
        <v>14</v>
      </c>
      <c r="J650" s="3">
        <f t="shared" si="289"/>
        <v>0</v>
      </c>
      <c r="K650" s="3">
        <f t="shared" si="289"/>
        <v>0</v>
      </c>
      <c r="L650" s="3">
        <f>L651+L652+L653+L654</f>
        <v>0</v>
      </c>
      <c r="M650" s="3">
        <f>M651+M652+M653+M654</f>
        <v>0</v>
      </c>
      <c r="N650" s="3">
        <f>N651+N652+N653+N654</f>
        <v>0</v>
      </c>
      <c r="O650" s="3">
        <f>O651+O652+O653+O654</f>
        <v>0</v>
      </c>
    </row>
    <row r="651" spans="1:26" ht="15.75" x14ac:dyDescent="0.2">
      <c r="A651" s="116"/>
      <c r="B651" s="116"/>
      <c r="C651" s="60" t="s">
        <v>10</v>
      </c>
      <c r="D651" s="1">
        <f t="shared" si="278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26" ht="15.75" x14ac:dyDescent="0.2">
      <c r="A652" s="116"/>
      <c r="B652" s="116"/>
      <c r="C652" s="60" t="s">
        <v>11</v>
      </c>
      <c r="D652" s="1">
        <f t="shared" si="278"/>
        <v>0</v>
      </c>
      <c r="E652" s="3">
        <v>0</v>
      </c>
      <c r="F652" s="3">
        <v>0</v>
      </c>
      <c r="G652" s="3">
        <v>0</v>
      </c>
      <c r="H652" s="3">
        <v>0</v>
      </c>
      <c r="I652" s="3">
        <v>0</v>
      </c>
      <c r="J652" s="3">
        <v>0</v>
      </c>
      <c r="K652" s="3">
        <v>0</v>
      </c>
      <c r="L652" s="3">
        <v>0</v>
      </c>
      <c r="M652" s="3">
        <v>0</v>
      </c>
      <c r="N652" s="3">
        <v>0</v>
      </c>
      <c r="O652" s="3">
        <v>0</v>
      </c>
    </row>
    <row r="653" spans="1:26" ht="15.75" x14ac:dyDescent="0.2">
      <c r="A653" s="116"/>
      <c r="B653" s="116"/>
      <c r="C653" s="60" t="s">
        <v>12</v>
      </c>
      <c r="D653" s="1">
        <f t="shared" si="278"/>
        <v>951</v>
      </c>
      <c r="E653" s="3">
        <v>0</v>
      </c>
      <c r="F653" s="3">
        <v>0</v>
      </c>
      <c r="G653" s="3">
        <v>347.6</v>
      </c>
      <c r="H653" s="3">
        <v>589.4</v>
      </c>
      <c r="I653" s="3">
        <v>14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26" ht="18" customHeight="1" x14ac:dyDescent="0.2">
      <c r="A654" s="116"/>
      <c r="B654" s="116"/>
      <c r="C654" s="60" t="s">
        <v>13</v>
      </c>
      <c r="D654" s="1">
        <f t="shared" si="278"/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26" ht="15.75" x14ac:dyDescent="0.2">
      <c r="A655" s="116" t="s">
        <v>307</v>
      </c>
      <c r="B655" s="116" t="s">
        <v>308</v>
      </c>
      <c r="C655" s="84" t="s">
        <v>7</v>
      </c>
      <c r="D655" s="1">
        <f t="shared" ref="D655:D685" si="290">E655+F655+G655+H655+I655+J655+K655+L655+M655+N655+O655</f>
        <v>5870</v>
      </c>
      <c r="E655" s="3">
        <f>E656+E657+E658+E659</f>
        <v>0</v>
      </c>
      <c r="F655" s="3">
        <f t="shared" ref="F655:O655" si="291">F656+F657+F658+F659</f>
        <v>0</v>
      </c>
      <c r="G655" s="3">
        <f t="shared" si="291"/>
        <v>0</v>
      </c>
      <c r="H655" s="3">
        <f t="shared" si="291"/>
        <v>0</v>
      </c>
      <c r="I655" s="3">
        <f>I656+I657+I658+I659</f>
        <v>3397.4</v>
      </c>
      <c r="J655" s="3">
        <f t="shared" si="291"/>
        <v>2472.6</v>
      </c>
      <c r="K655" s="3">
        <f t="shared" si="291"/>
        <v>0</v>
      </c>
      <c r="L655" s="3">
        <f t="shared" si="291"/>
        <v>0</v>
      </c>
      <c r="M655" s="3">
        <f t="shared" si="291"/>
        <v>0</v>
      </c>
      <c r="N655" s="3">
        <f t="shared" si="291"/>
        <v>0</v>
      </c>
      <c r="O655" s="3">
        <f t="shared" si="291"/>
        <v>0</v>
      </c>
      <c r="P655" s="62">
        <v>3397.4</v>
      </c>
      <c r="Q655" s="71">
        <f>I655-P655</f>
        <v>0</v>
      </c>
      <c r="S655" s="81"/>
    </row>
    <row r="656" spans="1:26" ht="15.75" x14ac:dyDescent="0.2">
      <c r="A656" s="116"/>
      <c r="B656" s="116"/>
      <c r="C656" s="60" t="s">
        <v>10</v>
      </c>
      <c r="D656" s="1">
        <f t="shared" si="290"/>
        <v>0</v>
      </c>
      <c r="E656" s="3">
        <v>0</v>
      </c>
      <c r="F656" s="3">
        <v>0</v>
      </c>
      <c r="G656" s="3">
        <v>0</v>
      </c>
      <c r="H656" s="3">
        <v>0</v>
      </c>
      <c r="I656" s="3">
        <v>0</v>
      </c>
      <c r="J656" s="3">
        <v>0</v>
      </c>
      <c r="K656" s="3">
        <v>0</v>
      </c>
      <c r="L656" s="3">
        <v>0</v>
      </c>
      <c r="M656" s="3">
        <v>0</v>
      </c>
      <c r="N656" s="3">
        <v>0</v>
      </c>
      <c r="O656" s="3">
        <v>0</v>
      </c>
    </row>
    <row r="657" spans="1:15" ht="15.75" x14ac:dyDescent="0.2">
      <c r="A657" s="116"/>
      <c r="B657" s="116"/>
      <c r="C657" s="60" t="s">
        <v>11</v>
      </c>
      <c r="D657" s="1">
        <f t="shared" si="290"/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</row>
    <row r="658" spans="1:15" ht="15.75" x14ac:dyDescent="0.2">
      <c r="A658" s="116"/>
      <c r="B658" s="116"/>
      <c r="C658" s="60" t="s">
        <v>12</v>
      </c>
      <c r="D658" s="1">
        <f t="shared" si="290"/>
        <v>5870</v>
      </c>
      <c r="E658" s="3">
        <v>0</v>
      </c>
      <c r="F658" s="3">
        <v>0</v>
      </c>
      <c r="G658" s="3">
        <v>0</v>
      </c>
      <c r="H658" s="3">
        <v>0</v>
      </c>
      <c r="I658" s="3">
        <v>3397.4</v>
      </c>
      <c r="J658" s="3">
        <f>3250-648.3-129.1</f>
        <v>2472.6</v>
      </c>
      <c r="K658" s="3">
        <f>5000-5000</f>
        <v>0</v>
      </c>
      <c r="L658" s="3">
        <v>0</v>
      </c>
      <c r="M658" s="3">
        <v>0</v>
      </c>
      <c r="N658" s="3">
        <v>0</v>
      </c>
      <c r="O658" s="3">
        <v>0</v>
      </c>
    </row>
    <row r="659" spans="1:15" ht="15.75" x14ac:dyDescent="0.2">
      <c r="A659" s="116"/>
      <c r="B659" s="116"/>
      <c r="C659" s="60" t="s">
        <v>13</v>
      </c>
      <c r="D659" s="1">
        <f t="shared" si="290"/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5" ht="15.75" x14ac:dyDescent="0.2">
      <c r="A660" s="116" t="s">
        <v>384</v>
      </c>
      <c r="B660" s="116" t="s">
        <v>385</v>
      </c>
      <c r="C660" s="84" t="s">
        <v>7</v>
      </c>
      <c r="D660" s="1">
        <f t="shared" si="290"/>
        <v>1215.9000000000001</v>
      </c>
      <c r="E660" s="3">
        <f>E661+E662+E663+E664</f>
        <v>0</v>
      </c>
      <c r="F660" s="3">
        <f t="shared" ref="F660:O660" si="292">F661+F662+F663+F664</f>
        <v>0</v>
      </c>
      <c r="G660" s="3">
        <f t="shared" si="292"/>
        <v>0</v>
      </c>
      <c r="H660" s="3">
        <f t="shared" si="292"/>
        <v>0</v>
      </c>
      <c r="I660" s="3">
        <f>I661+I662+I663+I664</f>
        <v>0</v>
      </c>
      <c r="J660" s="3">
        <f t="shared" si="292"/>
        <v>0</v>
      </c>
      <c r="K660" s="3">
        <f t="shared" si="292"/>
        <v>1215.9000000000001</v>
      </c>
      <c r="L660" s="3">
        <f t="shared" si="292"/>
        <v>0</v>
      </c>
      <c r="M660" s="3">
        <f t="shared" si="292"/>
        <v>0</v>
      </c>
      <c r="N660" s="3">
        <f t="shared" si="292"/>
        <v>0</v>
      </c>
      <c r="O660" s="3">
        <f t="shared" si="292"/>
        <v>0</v>
      </c>
    </row>
    <row r="661" spans="1:15" ht="15.75" x14ac:dyDescent="0.2">
      <c r="A661" s="116"/>
      <c r="B661" s="116"/>
      <c r="C661" s="60" t="s">
        <v>10</v>
      </c>
      <c r="D661" s="1">
        <f t="shared" si="290"/>
        <v>0</v>
      </c>
      <c r="E661" s="3">
        <v>0</v>
      </c>
      <c r="F661" s="3">
        <v>0</v>
      </c>
      <c r="G661" s="3">
        <v>0</v>
      </c>
      <c r="H661" s="3">
        <v>0</v>
      </c>
      <c r="I661" s="3">
        <v>0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5" ht="15.75" x14ac:dyDescent="0.2">
      <c r="A662" s="116"/>
      <c r="B662" s="116"/>
      <c r="C662" s="60" t="s">
        <v>11</v>
      </c>
      <c r="D662" s="1">
        <f t="shared" si="290"/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</row>
    <row r="663" spans="1:15" ht="15.75" x14ac:dyDescent="0.2">
      <c r="A663" s="116"/>
      <c r="B663" s="116"/>
      <c r="C663" s="60" t="s">
        <v>12</v>
      </c>
      <c r="D663" s="1">
        <f t="shared" si="290"/>
        <v>1215.9000000000001</v>
      </c>
      <c r="E663" s="3">
        <v>0</v>
      </c>
      <c r="F663" s="3">
        <v>0</v>
      </c>
      <c r="G663" s="3">
        <v>0</v>
      </c>
      <c r="H663" s="3">
        <v>0</v>
      </c>
      <c r="I663" s="3">
        <v>0</v>
      </c>
      <c r="J663" s="3">
        <v>0</v>
      </c>
      <c r="K663" s="3">
        <v>1215.9000000000001</v>
      </c>
      <c r="L663" s="3">
        <f>1493.4-1493.4</f>
        <v>0</v>
      </c>
      <c r="M663" s="3">
        <v>0</v>
      </c>
      <c r="N663" s="3">
        <v>0</v>
      </c>
      <c r="O663" s="3">
        <v>0</v>
      </c>
    </row>
    <row r="664" spans="1:15" ht="15.75" x14ac:dyDescent="0.2">
      <c r="A664" s="116"/>
      <c r="B664" s="116"/>
      <c r="C664" s="60" t="s">
        <v>13</v>
      </c>
      <c r="D664" s="1">
        <f t="shared" si="290"/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5" ht="15.75" x14ac:dyDescent="0.2">
      <c r="A665" s="116" t="s">
        <v>387</v>
      </c>
      <c r="B665" s="116" t="s">
        <v>405</v>
      </c>
      <c r="C665" s="84" t="s">
        <v>7</v>
      </c>
      <c r="D665" s="1">
        <f t="shared" si="290"/>
        <v>551666.19999999995</v>
      </c>
      <c r="E665" s="3">
        <f>E666+E667+E668+E669</f>
        <v>0</v>
      </c>
      <c r="F665" s="3">
        <f t="shared" ref="F665:O665" si="293">F666+F667+F668+F669</f>
        <v>0</v>
      </c>
      <c r="G665" s="3">
        <f t="shared" si="293"/>
        <v>0</v>
      </c>
      <c r="H665" s="3">
        <f t="shared" si="293"/>
        <v>0</v>
      </c>
      <c r="I665" s="3">
        <f>I666+I667+I668+I669</f>
        <v>0</v>
      </c>
      <c r="J665" s="3">
        <f t="shared" si="293"/>
        <v>0</v>
      </c>
      <c r="K665" s="3">
        <f t="shared" si="293"/>
        <v>52637.4</v>
      </c>
      <c r="L665" s="3">
        <f t="shared" si="293"/>
        <v>131936.5</v>
      </c>
      <c r="M665" s="3">
        <f t="shared" si="293"/>
        <v>101616.6</v>
      </c>
      <c r="N665" s="3">
        <f t="shared" si="293"/>
        <v>132688.29999999999</v>
      </c>
      <c r="O665" s="3">
        <f t="shared" si="293"/>
        <v>132787.4</v>
      </c>
    </row>
    <row r="666" spans="1:15" ht="15.75" x14ac:dyDescent="0.2">
      <c r="A666" s="116"/>
      <c r="B666" s="116"/>
      <c r="C666" s="60" t="s">
        <v>10</v>
      </c>
      <c r="D666" s="1">
        <f t="shared" si="290"/>
        <v>0</v>
      </c>
      <c r="E666" s="3">
        <v>0</v>
      </c>
      <c r="F666" s="3">
        <v>0</v>
      </c>
      <c r="G666" s="3">
        <v>0</v>
      </c>
      <c r="H666" s="3">
        <v>0</v>
      </c>
      <c r="I666" s="3">
        <v>0</v>
      </c>
      <c r="J666" s="3">
        <v>0</v>
      </c>
      <c r="K666" s="3"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5" ht="15.75" x14ac:dyDescent="0.2">
      <c r="A667" s="116"/>
      <c r="B667" s="116"/>
      <c r="C667" s="60" t="s">
        <v>11</v>
      </c>
      <c r="D667" s="1">
        <f t="shared" si="290"/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</row>
    <row r="668" spans="1:15" ht="15.75" x14ac:dyDescent="0.2">
      <c r="A668" s="116"/>
      <c r="B668" s="116"/>
      <c r="C668" s="60" t="s">
        <v>12</v>
      </c>
      <c r="D668" s="1">
        <f t="shared" si="290"/>
        <v>551666.19999999995</v>
      </c>
      <c r="E668" s="3">
        <v>0</v>
      </c>
      <c r="F668" s="3">
        <v>0</v>
      </c>
      <c r="G668" s="3">
        <v>0</v>
      </c>
      <c r="H668" s="3">
        <v>0</v>
      </c>
      <c r="I668" s="3">
        <v>0</v>
      </c>
      <c r="J668" s="3">
        <v>0</v>
      </c>
      <c r="K668" s="3">
        <f>30000+22637.4+2056-2056</f>
        <v>52637.4</v>
      </c>
      <c r="L668" s="3">
        <f>126936.5-12775.3+12775.3+5000</f>
        <v>131936.5</v>
      </c>
      <c r="M668" s="3">
        <f>179515.2-77898.6</f>
        <v>101616.6</v>
      </c>
      <c r="N668" s="3">
        <f>198915.9-66227.6</f>
        <v>132688.29999999999</v>
      </c>
      <c r="O668" s="3">
        <f>0+132787.4</f>
        <v>132787.4</v>
      </c>
    </row>
    <row r="669" spans="1:15" ht="15.75" x14ac:dyDescent="0.2">
      <c r="A669" s="116"/>
      <c r="B669" s="116"/>
      <c r="C669" s="60" t="s">
        <v>13</v>
      </c>
      <c r="D669" s="1">
        <f t="shared" si="290"/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5" ht="15.75" x14ac:dyDescent="0.2">
      <c r="A670" s="116" t="s">
        <v>390</v>
      </c>
      <c r="B670" s="116" t="s">
        <v>397</v>
      </c>
      <c r="C670" s="84" t="s">
        <v>7</v>
      </c>
      <c r="D670" s="1">
        <f t="shared" ref="D670" si="294">E670+F670+G670+H670+I670+J670+K670+L670+M670+N670+O670</f>
        <v>20707.8</v>
      </c>
      <c r="E670" s="3">
        <f>E671+E672+E673+E674</f>
        <v>0</v>
      </c>
      <c r="F670" s="3">
        <f t="shared" ref="F670:O670" si="295">F671+F672+F673+F674</f>
        <v>0</v>
      </c>
      <c r="G670" s="3">
        <f t="shared" si="295"/>
        <v>0</v>
      </c>
      <c r="H670" s="3">
        <f t="shared" si="295"/>
        <v>0</v>
      </c>
      <c r="I670" s="3">
        <f>I671+I672+I673+I674</f>
        <v>0</v>
      </c>
      <c r="J670" s="3">
        <f t="shared" si="295"/>
        <v>0</v>
      </c>
      <c r="K670" s="3">
        <f t="shared" si="295"/>
        <v>12262.8</v>
      </c>
      <c r="L670" s="3">
        <f t="shared" si="295"/>
        <v>8445</v>
      </c>
      <c r="M670" s="3">
        <f t="shared" si="295"/>
        <v>0</v>
      </c>
      <c r="N670" s="3">
        <f t="shared" si="295"/>
        <v>0</v>
      </c>
      <c r="O670" s="3">
        <f t="shared" si="295"/>
        <v>0</v>
      </c>
    </row>
    <row r="671" spans="1:15" ht="15.75" x14ac:dyDescent="0.2">
      <c r="A671" s="116"/>
      <c r="B671" s="116"/>
      <c r="C671" s="60" t="s">
        <v>10</v>
      </c>
      <c r="D671" s="1">
        <f t="shared" si="290"/>
        <v>0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0</v>
      </c>
      <c r="L671" s="3">
        <v>0</v>
      </c>
      <c r="M671" s="3">
        <v>0</v>
      </c>
      <c r="N671" s="3">
        <v>0</v>
      </c>
      <c r="O671" s="3">
        <v>0</v>
      </c>
    </row>
    <row r="672" spans="1:15" ht="15.75" x14ac:dyDescent="0.2">
      <c r="A672" s="116"/>
      <c r="B672" s="116"/>
      <c r="C672" s="60" t="s">
        <v>11</v>
      </c>
      <c r="D672" s="1">
        <f>E672+F672+G672+H672+I672+J672+K672+L672+M672+N672+O672</f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</row>
    <row r="673" spans="1:15" ht="15.75" x14ac:dyDescent="0.2">
      <c r="A673" s="116"/>
      <c r="B673" s="116"/>
      <c r="C673" s="60" t="s">
        <v>12</v>
      </c>
      <c r="D673" s="1">
        <f t="shared" si="290"/>
        <v>20707.8</v>
      </c>
      <c r="E673" s="3">
        <v>0</v>
      </c>
      <c r="F673" s="3">
        <v>0</v>
      </c>
      <c r="G673" s="3">
        <v>0</v>
      </c>
      <c r="H673" s="3">
        <v>0</v>
      </c>
      <c r="I673" s="3">
        <v>0</v>
      </c>
      <c r="J673" s="3">
        <v>0</v>
      </c>
      <c r="K673" s="3">
        <v>12262.8</v>
      </c>
      <c r="L673" s="3">
        <f>3955.5-0.1-1380.6+5870.2</f>
        <v>8445</v>
      </c>
      <c r="M673" s="3">
        <v>0</v>
      </c>
      <c r="N673" s="3">
        <v>0</v>
      </c>
      <c r="O673" s="3">
        <v>0</v>
      </c>
    </row>
    <row r="674" spans="1:15" ht="15.75" x14ac:dyDescent="0.2">
      <c r="A674" s="116"/>
      <c r="B674" s="116"/>
      <c r="C674" s="60" t="s">
        <v>13</v>
      </c>
      <c r="D674" s="1">
        <f t="shared" si="290"/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</row>
    <row r="675" spans="1:15" ht="15.75" customHeight="1" x14ac:dyDescent="0.2">
      <c r="A675" s="116" t="s">
        <v>391</v>
      </c>
      <c r="B675" s="116" t="s">
        <v>442</v>
      </c>
      <c r="C675" s="84" t="s">
        <v>7</v>
      </c>
      <c r="D675" s="1">
        <f t="shared" si="290"/>
        <v>11510.400000000001</v>
      </c>
      <c r="E675" s="3">
        <f>E676+E677+E678+E679</f>
        <v>0</v>
      </c>
      <c r="F675" s="3">
        <f t="shared" ref="F675:O675" si="296">F676+F677+F678+F679</f>
        <v>0</v>
      </c>
      <c r="G675" s="3">
        <f t="shared" si="296"/>
        <v>0</v>
      </c>
      <c r="H675" s="3">
        <f t="shared" si="296"/>
        <v>0</v>
      </c>
      <c r="I675" s="3">
        <f>I676+I677+I678+I679</f>
        <v>0</v>
      </c>
      <c r="J675" s="3">
        <f t="shared" si="296"/>
        <v>0</v>
      </c>
      <c r="K675" s="3">
        <f t="shared" si="296"/>
        <v>2738.4</v>
      </c>
      <c r="L675" s="3">
        <f t="shared" si="296"/>
        <v>2635.3</v>
      </c>
      <c r="M675" s="3">
        <f t="shared" si="296"/>
        <v>4415.1000000000004</v>
      </c>
      <c r="N675" s="3">
        <f t="shared" si="296"/>
        <v>867.2</v>
      </c>
      <c r="O675" s="3">
        <f t="shared" si="296"/>
        <v>854.4</v>
      </c>
    </row>
    <row r="676" spans="1:15" ht="15.75" x14ac:dyDescent="0.2">
      <c r="A676" s="116"/>
      <c r="B676" s="116"/>
      <c r="C676" s="60" t="s">
        <v>10</v>
      </c>
      <c r="D676" s="1">
        <f t="shared" si="290"/>
        <v>0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v>0</v>
      </c>
      <c r="L676" s="3">
        <v>0</v>
      </c>
      <c r="M676" s="3">
        <v>0</v>
      </c>
      <c r="N676" s="3">
        <v>0</v>
      </c>
      <c r="O676" s="3">
        <v>0</v>
      </c>
    </row>
    <row r="677" spans="1:15" ht="15.75" x14ac:dyDescent="0.2">
      <c r="A677" s="116"/>
      <c r="B677" s="116"/>
      <c r="C677" s="60" t="s">
        <v>11</v>
      </c>
      <c r="D677" s="1">
        <f>E677+F677+G677+H677+I677+J677+K677+L677+M677+N677+O677</f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5" ht="15.75" x14ac:dyDescent="0.2">
      <c r="A678" s="116"/>
      <c r="B678" s="116"/>
      <c r="C678" s="60" t="s">
        <v>12</v>
      </c>
      <c r="D678" s="1">
        <f t="shared" si="290"/>
        <v>11510.400000000001</v>
      </c>
      <c r="E678" s="3">
        <v>0</v>
      </c>
      <c r="F678" s="3">
        <v>0</v>
      </c>
      <c r="G678" s="3">
        <v>0</v>
      </c>
      <c r="H678" s="3">
        <v>0</v>
      </c>
      <c r="I678" s="3">
        <v>0</v>
      </c>
      <c r="J678" s="3">
        <v>0</v>
      </c>
      <c r="K678" s="3">
        <f>5000-2261.6-2056+2056</f>
        <v>2738.4</v>
      </c>
      <c r="L678" s="3">
        <f>735.3+600+1300</f>
        <v>2635.3</v>
      </c>
      <c r="M678" s="3">
        <f>779.7+352.4+3283</f>
        <v>4415.1000000000004</v>
      </c>
      <c r="N678" s="3">
        <f>783.5+83.7</f>
        <v>867.2</v>
      </c>
      <c r="O678" s="3">
        <f>0+854.4</f>
        <v>854.4</v>
      </c>
    </row>
    <row r="679" spans="1:15" ht="15.75" x14ac:dyDescent="0.2">
      <c r="A679" s="116"/>
      <c r="B679" s="116"/>
      <c r="C679" s="60" t="s">
        <v>13</v>
      </c>
      <c r="D679" s="1">
        <f t="shared" si="290"/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</row>
    <row r="680" spans="1:15" ht="15.75" customHeight="1" x14ac:dyDescent="0.2">
      <c r="A680" s="116" t="s">
        <v>398</v>
      </c>
      <c r="B680" s="116" t="s">
        <v>402</v>
      </c>
      <c r="C680" s="84" t="s">
        <v>7</v>
      </c>
      <c r="D680" s="1">
        <f t="shared" ref="D680" si="297">E680+F680+G680+H680+I680+J680+K680+L680+M680+N680+O680</f>
        <v>7545.1</v>
      </c>
      <c r="E680" s="3">
        <f>E681+E682+E683+E684</f>
        <v>0</v>
      </c>
      <c r="F680" s="3">
        <f t="shared" ref="F680:O680" si="298">F681+F682+F683+F684</f>
        <v>0</v>
      </c>
      <c r="G680" s="3">
        <f t="shared" si="298"/>
        <v>0</v>
      </c>
      <c r="H680" s="3">
        <f t="shared" si="298"/>
        <v>0</v>
      </c>
      <c r="I680" s="3">
        <f>I681+I682+I683+I684</f>
        <v>0</v>
      </c>
      <c r="J680" s="3">
        <f t="shared" si="298"/>
        <v>0</v>
      </c>
      <c r="K680" s="3">
        <f t="shared" si="298"/>
        <v>7545.1</v>
      </c>
      <c r="L680" s="3">
        <f t="shared" si="298"/>
        <v>0</v>
      </c>
      <c r="M680" s="3">
        <f t="shared" si="298"/>
        <v>0</v>
      </c>
      <c r="N680" s="3">
        <f t="shared" si="298"/>
        <v>0</v>
      </c>
      <c r="O680" s="3">
        <f t="shared" si="298"/>
        <v>0</v>
      </c>
    </row>
    <row r="681" spans="1:15" ht="15.75" x14ac:dyDescent="0.2">
      <c r="A681" s="116"/>
      <c r="B681" s="116"/>
      <c r="C681" s="60" t="s">
        <v>10</v>
      </c>
      <c r="D681" s="1">
        <f t="shared" si="290"/>
        <v>0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0</v>
      </c>
      <c r="L681" s="3">
        <v>0</v>
      </c>
      <c r="M681" s="3">
        <v>0</v>
      </c>
      <c r="N681" s="3">
        <v>0</v>
      </c>
      <c r="O681" s="3">
        <v>0</v>
      </c>
    </row>
    <row r="682" spans="1:15" ht="15.75" x14ac:dyDescent="0.2">
      <c r="A682" s="116"/>
      <c r="B682" s="116"/>
      <c r="C682" s="60" t="s">
        <v>11</v>
      </c>
      <c r="D682" s="1">
        <f>E682+F682+G682+H682+I682+J682+K682+L682+M682+N682+O682</f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</row>
    <row r="683" spans="1:15" ht="15.75" x14ac:dyDescent="0.2">
      <c r="A683" s="116"/>
      <c r="B683" s="116"/>
      <c r="C683" s="60" t="s">
        <v>12</v>
      </c>
      <c r="D683" s="1">
        <f t="shared" si="290"/>
        <v>7545.1</v>
      </c>
      <c r="E683" s="3">
        <v>0</v>
      </c>
      <c r="F683" s="3">
        <v>0</v>
      </c>
      <c r="G683" s="3">
        <v>0</v>
      </c>
      <c r="H683" s="3">
        <v>0</v>
      </c>
      <c r="I683" s="3">
        <v>0</v>
      </c>
      <c r="J683" s="3">
        <v>0</v>
      </c>
      <c r="K683" s="3">
        <v>7545.1</v>
      </c>
      <c r="L683" s="3">
        <v>0</v>
      </c>
      <c r="M683" s="3">
        <v>0</v>
      </c>
      <c r="N683" s="3">
        <v>0</v>
      </c>
      <c r="O683" s="3">
        <v>0</v>
      </c>
    </row>
    <row r="684" spans="1:15" ht="15.75" x14ac:dyDescent="0.2">
      <c r="A684" s="116"/>
      <c r="B684" s="116"/>
      <c r="C684" s="60" t="s">
        <v>13</v>
      </c>
      <c r="D684" s="1">
        <f t="shared" si="290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</row>
    <row r="685" spans="1:15" ht="15.75" x14ac:dyDescent="0.2">
      <c r="A685" s="116" t="s">
        <v>432</v>
      </c>
      <c r="B685" s="116" t="s">
        <v>433</v>
      </c>
      <c r="C685" s="84" t="s">
        <v>7</v>
      </c>
      <c r="D685" s="1">
        <f t="shared" si="290"/>
        <v>4343.8999999999996</v>
      </c>
      <c r="E685" s="3">
        <f>E686+E687+E688+E689</f>
        <v>0</v>
      </c>
      <c r="F685" s="3">
        <f t="shared" ref="F685:H685" si="299">F686+F687+F688+F689</f>
        <v>0</v>
      </c>
      <c r="G685" s="3">
        <f t="shared" si="299"/>
        <v>0</v>
      </c>
      <c r="H685" s="3">
        <f t="shared" si="299"/>
        <v>0</v>
      </c>
      <c r="I685" s="3">
        <f>I686+I687+I688+I689</f>
        <v>0</v>
      </c>
      <c r="J685" s="3">
        <f t="shared" ref="J685:O685" si="300">J686+J687+J688+J689</f>
        <v>0</v>
      </c>
      <c r="K685" s="3">
        <f t="shared" si="300"/>
        <v>0</v>
      </c>
      <c r="L685" s="3">
        <f t="shared" si="300"/>
        <v>0</v>
      </c>
      <c r="M685" s="3">
        <f t="shared" si="300"/>
        <v>4343.8999999999996</v>
      </c>
      <c r="N685" s="3">
        <f t="shared" si="300"/>
        <v>0</v>
      </c>
      <c r="O685" s="3">
        <f t="shared" si="300"/>
        <v>0</v>
      </c>
    </row>
    <row r="686" spans="1:15" ht="15.75" x14ac:dyDescent="0.2">
      <c r="A686" s="116"/>
      <c r="B686" s="116"/>
      <c r="C686" s="60" t="s">
        <v>10</v>
      </c>
      <c r="D686" s="1">
        <f t="shared" ref="D686" si="301">E686+F686+G686+H686+I686+J686+K686+L686+M686+N686+O686</f>
        <v>0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v>0</v>
      </c>
      <c r="L686" s="3">
        <v>0</v>
      </c>
      <c r="M686" s="3">
        <v>0</v>
      </c>
      <c r="N686" s="3">
        <v>0</v>
      </c>
      <c r="O686" s="3">
        <v>0</v>
      </c>
    </row>
    <row r="687" spans="1:15" ht="15.75" x14ac:dyDescent="0.2">
      <c r="A687" s="116"/>
      <c r="B687" s="116"/>
      <c r="C687" s="60" t="s">
        <v>11</v>
      </c>
      <c r="D687" s="1">
        <f>E687+F687+G687+H687+I687+J687+K687+L687+M687+N687+O687</f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</row>
    <row r="688" spans="1:15" ht="15.75" x14ac:dyDescent="0.2">
      <c r="A688" s="116"/>
      <c r="B688" s="116"/>
      <c r="C688" s="60" t="s">
        <v>12</v>
      </c>
      <c r="D688" s="1">
        <f t="shared" ref="D688:D689" si="302">E688+F688+G688+H688+I688+J688+K688+L688+M688+N688+O688</f>
        <v>4343.8999999999996</v>
      </c>
      <c r="E688" s="3">
        <v>0</v>
      </c>
      <c r="F688" s="3">
        <v>0</v>
      </c>
      <c r="G688" s="3">
        <v>0</v>
      </c>
      <c r="H688" s="3">
        <v>0</v>
      </c>
      <c r="I688" s="3">
        <v>0</v>
      </c>
      <c r="J688" s="3">
        <v>0</v>
      </c>
      <c r="K688" s="3">
        <v>0</v>
      </c>
      <c r="L688" s="3">
        <f>4928.6-2120.3-2808.3</f>
        <v>0</v>
      </c>
      <c r="M688" s="3">
        <v>4343.8999999999996</v>
      </c>
      <c r="N688" s="3">
        <v>0</v>
      </c>
      <c r="O688" s="3">
        <v>0</v>
      </c>
    </row>
    <row r="689" spans="1:15" ht="15.75" x14ac:dyDescent="0.2">
      <c r="A689" s="116"/>
      <c r="B689" s="116"/>
      <c r="C689" s="60" t="s">
        <v>13</v>
      </c>
      <c r="D689" s="1">
        <f t="shared" si="302"/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0</v>
      </c>
    </row>
    <row r="690" spans="1:15" ht="15.75" x14ac:dyDescent="0.2">
      <c r="A690" s="116" t="s">
        <v>282</v>
      </c>
      <c r="B690" s="116" t="s">
        <v>283</v>
      </c>
      <c r="C690" s="60" t="s">
        <v>7</v>
      </c>
      <c r="D690" s="1">
        <f t="shared" si="278"/>
        <v>923323.90000000014</v>
      </c>
      <c r="E690" s="1">
        <f t="shared" ref="E690:O690" si="303">E691+E692+E694+E696</f>
        <v>0</v>
      </c>
      <c r="F690" s="1">
        <f t="shared" si="303"/>
        <v>0</v>
      </c>
      <c r="G690" s="1">
        <f t="shared" si="303"/>
        <v>0</v>
      </c>
      <c r="H690" s="1">
        <f t="shared" si="303"/>
        <v>0</v>
      </c>
      <c r="I690" s="1">
        <f t="shared" si="303"/>
        <v>52500</v>
      </c>
      <c r="J690" s="1">
        <f>J691+J692+J694+J696</f>
        <v>227517.2</v>
      </c>
      <c r="K690" s="1">
        <f t="shared" si="303"/>
        <v>393667.4</v>
      </c>
      <c r="L690" s="1">
        <f t="shared" si="303"/>
        <v>208770.3</v>
      </c>
      <c r="M690" s="1">
        <f t="shared" si="303"/>
        <v>40869</v>
      </c>
      <c r="N690" s="1">
        <f t="shared" si="303"/>
        <v>0</v>
      </c>
      <c r="O690" s="1">
        <f t="shared" si="303"/>
        <v>0</v>
      </c>
    </row>
    <row r="691" spans="1:15" ht="15.75" x14ac:dyDescent="0.2">
      <c r="A691" s="121"/>
      <c r="B691" s="142"/>
      <c r="C691" s="60" t="s">
        <v>10</v>
      </c>
      <c r="D691" s="1">
        <f t="shared" si="278"/>
        <v>0</v>
      </c>
      <c r="E691" s="1">
        <f>E698</f>
        <v>0</v>
      </c>
      <c r="F691" s="1">
        <f t="shared" ref="F691:K691" si="304">F698</f>
        <v>0</v>
      </c>
      <c r="G691" s="1">
        <f t="shared" si="304"/>
        <v>0</v>
      </c>
      <c r="H691" s="1">
        <f t="shared" si="304"/>
        <v>0</v>
      </c>
      <c r="I691" s="1">
        <f t="shared" si="304"/>
        <v>0</v>
      </c>
      <c r="J691" s="1">
        <f>J698</f>
        <v>0</v>
      </c>
      <c r="K691" s="1">
        <f t="shared" si="304"/>
        <v>0</v>
      </c>
      <c r="L691" s="1">
        <f>L731+L741+L753+L769+L780+L787</f>
        <v>0</v>
      </c>
      <c r="M691" s="1">
        <f>M731+M741+M753+M769+M780+M787</f>
        <v>0</v>
      </c>
      <c r="N691" s="1">
        <f>N731+N741+N753+N769+N780+N787</f>
        <v>0</v>
      </c>
      <c r="O691" s="1">
        <f>O731+O741+O753+O769+O780+O787</f>
        <v>0</v>
      </c>
    </row>
    <row r="692" spans="1:15" ht="31.5" x14ac:dyDescent="0.2">
      <c r="A692" s="121"/>
      <c r="B692" s="142"/>
      <c r="C692" s="98" t="s">
        <v>69</v>
      </c>
      <c r="D692" s="1">
        <f t="shared" si="278"/>
        <v>862963.3</v>
      </c>
      <c r="E692" s="1">
        <f t="shared" ref="E692:O692" si="305">E699</f>
        <v>0</v>
      </c>
      <c r="F692" s="1">
        <f t="shared" si="305"/>
        <v>0</v>
      </c>
      <c r="G692" s="1">
        <f t="shared" si="305"/>
        <v>0</v>
      </c>
      <c r="H692" s="1">
        <f t="shared" si="305"/>
        <v>0</v>
      </c>
      <c r="I692" s="1">
        <f t="shared" si="305"/>
        <v>50000</v>
      </c>
      <c r="J692" s="1">
        <f>J699</f>
        <v>213866.1</v>
      </c>
      <c r="K692" s="1">
        <f t="shared" si="305"/>
        <v>368985.2</v>
      </c>
      <c r="L692" s="1">
        <f t="shared" si="305"/>
        <v>195620.5</v>
      </c>
      <c r="M692" s="1">
        <f t="shared" si="305"/>
        <v>34491.5</v>
      </c>
      <c r="N692" s="1">
        <f t="shared" si="305"/>
        <v>0</v>
      </c>
      <c r="O692" s="1">
        <f t="shared" si="305"/>
        <v>0</v>
      </c>
    </row>
    <row r="693" spans="1:15" ht="31.5" x14ac:dyDescent="0.2">
      <c r="A693" s="121"/>
      <c r="B693" s="142"/>
      <c r="C693" s="100" t="s">
        <v>81</v>
      </c>
      <c r="D693" s="74">
        <f t="shared" ref="D693" si="306">E693+F693+G693+H693+I693+J693+K693+L693+M693+N693+O693</f>
        <v>11279.3</v>
      </c>
      <c r="E693" s="74">
        <v>0</v>
      </c>
      <c r="F693" s="74">
        <v>0</v>
      </c>
      <c r="G693" s="74">
        <v>0</v>
      </c>
      <c r="H693" s="74">
        <v>0</v>
      </c>
      <c r="I693" s="74">
        <v>0</v>
      </c>
      <c r="J693" s="74">
        <v>0</v>
      </c>
      <c r="K693" s="74">
        <v>0</v>
      </c>
      <c r="L693" s="74">
        <v>0</v>
      </c>
      <c r="M693" s="99">
        <v>11279.3</v>
      </c>
      <c r="N693" s="1">
        <v>0</v>
      </c>
      <c r="O693" s="1">
        <v>0</v>
      </c>
    </row>
    <row r="694" spans="1:15" ht="31.5" x14ac:dyDescent="0.2">
      <c r="A694" s="121"/>
      <c r="B694" s="142"/>
      <c r="C694" s="98" t="s">
        <v>65</v>
      </c>
      <c r="D694" s="1">
        <f t="shared" ref="D694:D743" si="307">E694+F694+G694+H694+I694+J694+K694+L694+M694+N694+O694</f>
        <v>60360.600000000006</v>
      </c>
      <c r="E694" s="1">
        <f t="shared" ref="E694:O694" si="308">E701</f>
        <v>0</v>
      </c>
      <c r="F694" s="1">
        <f t="shared" si="308"/>
        <v>0</v>
      </c>
      <c r="G694" s="1">
        <f t="shared" si="308"/>
        <v>0</v>
      </c>
      <c r="H694" s="1">
        <f t="shared" si="308"/>
        <v>0</v>
      </c>
      <c r="I694" s="1">
        <f t="shared" si="308"/>
        <v>2500</v>
      </c>
      <c r="J694" s="1">
        <f>J701</f>
        <v>13651.1</v>
      </c>
      <c r="K694" s="1">
        <f t="shared" si="308"/>
        <v>24682.2</v>
      </c>
      <c r="L694" s="1">
        <f t="shared" si="308"/>
        <v>13149.8</v>
      </c>
      <c r="M694" s="1">
        <f t="shared" si="308"/>
        <v>6377.4999999999991</v>
      </c>
      <c r="N694" s="1">
        <f t="shared" si="308"/>
        <v>0</v>
      </c>
      <c r="O694" s="1">
        <f t="shared" si="308"/>
        <v>0</v>
      </c>
    </row>
    <row r="695" spans="1:15" ht="31.5" x14ac:dyDescent="0.2">
      <c r="A695" s="121"/>
      <c r="B695" s="142"/>
      <c r="C695" s="100" t="s">
        <v>449</v>
      </c>
      <c r="D695" s="74">
        <f t="shared" ref="D695" si="309">E695+F695+G695+H695+I695+J695+K695+L695+M695+N695+O695</f>
        <v>719.9</v>
      </c>
      <c r="E695" s="74">
        <v>0</v>
      </c>
      <c r="F695" s="74">
        <v>0</v>
      </c>
      <c r="G695" s="74">
        <v>0</v>
      </c>
      <c r="H695" s="74">
        <v>0</v>
      </c>
      <c r="I695" s="74">
        <v>0</v>
      </c>
      <c r="J695" s="74">
        <v>0</v>
      </c>
      <c r="K695" s="74">
        <v>0</v>
      </c>
      <c r="L695" s="74">
        <v>0</v>
      </c>
      <c r="M695" s="99">
        <v>719.9</v>
      </c>
      <c r="N695" s="74">
        <v>0</v>
      </c>
      <c r="O695" s="74">
        <v>0</v>
      </c>
    </row>
    <row r="696" spans="1:15" ht="33" customHeight="1" x14ac:dyDescent="0.2">
      <c r="A696" s="121"/>
      <c r="B696" s="142"/>
      <c r="C696" s="60" t="s">
        <v>13</v>
      </c>
      <c r="D696" s="1">
        <f t="shared" si="307"/>
        <v>0</v>
      </c>
      <c r="E696" s="1">
        <f t="shared" ref="E696:K696" si="310">E703</f>
        <v>0</v>
      </c>
      <c r="F696" s="1">
        <f t="shared" si="310"/>
        <v>0</v>
      </c>
      <c r="G696" s="1">
        <f t="shared" si="310"/>
        <v>0</v>
      </c>
      <c r="H696" s="1">
        <f t="shared" si="310"/>
        <v>0</v>
      </c>
      <c r="I696" s="1">
        <f t="shared" si="310"/>
        <v>0</v>
      </c>
      <c r="J696" s="1">
        <f>J703</f>
        <v>0</v>
      </c>
      <c r="K696" s="1">
        <f t="shared" si="310"/>
        <v>0</v>
      </c>
      <c r="L696" s="1">
        <v>0</v>
      </c>
      <c r="M696" s="1">
        <v>0</v>
      </c>
      <c r="N696" s="1">
        <v>0</v>
      </c>
      <c r="O696" s="1">
        <v>0</v>
      </c>
    </row>
    <row r="697" spans="1:15" ht="15.75" x14ac:dyDescent="0.2">
      <c r="A697" s="116" t="s">
        <v>284</v>
      </c>
      <c r="B697" s="116" t="s">
        <v>285</v>
      </c>
      <c r="C697" s="60" t="s">
        <v>7</v>
      </c>
      <c r="D697" s="1">
        <f t="shared" si="307"/>
        <v>923323.90000000014</v>
      </c>
      <c r="E697" s="1">
        <f t="shared" ref="E697:J697" si="311">E698+E699+E701+E703</f>
        <v>0</v>
      </c>
      <c r="F697" s="1">
        <f t="shared" si="311"/>
        <v>0</v>
      </c>
      <c r="G697" s="1">
        <f t="shared" si="311"/>
        <v>0</v>
      </c>
      <c r="H697" s="1">
        <f t="shared" si="311"/>
        <v>0</v>
      </c>
      <c r="I697" s="1">
        <f t="shared" si="311"/>
        <v>52500</v>
      </c>
      <c r="J697" s="1">
        <f t="shared" si="311"/>
        <v>227517.2</v>
      </c>
      <c r="K697" s="1">
        <f>K698+K699+K701+K703</f>
        <v>393667.4</v>
      </c>
      <c r="L697" s="1">
        <f t="shared" ref="L697:O697" si="312">L698+L699+L701+L703</f>
        <v>208770.3</v>
      </c>
      <c r="M697" s="1">
        <f t="shared" si="312"/>
        <v>40869</v>
      </c>
      <c r="N697" s="1">
        <f t="shared" si="312"/>
        <v>0</v>
      </c>
      <c r="O697" s="1">
        <f t="shared" si="312"/>
        <v>0</v>
      </c>
    </row>
    <row r="698" spans="1:15" ht="15.75" x14ac:dyDescent="0.2">
      <c r="A698" s="116"/>
      <c r="B698" s="116"/>
      <c r="C698" s="60" t="s">
        <v>10</v>
      </c>
      <c r="D698" s="1">
        <f t="shared" si="307"/>
        <v>0</v>
      </c>
      <c r="E698" s="1">
        <f t="shared" ref="E698:K698" si="313">E736+E747+E758+E774+E785+E792</f>
        <v>0</v>
      </c>
      <c r="F698" s="1">
        <f t="shared" si="313"/>
        <v>0</v>
      </c>
      <c r="G698" s="1">
        <f t="shared" si="313"/>
        <v>0</v>
      </c>
      <c r="H698" s="1">
        <f t="shared" si="313"/>
        <v>0</v>
      </c>
      <c r="I698" s="1">
        <f t="shared" si="313"/>
        <v>0</v>
      </c>
      <c r="J698" s="1">
        <f t="shared" si="313"/>
        <v>0</v>
      </c>
      <c r="K698" s="1">
        <f t="shared" si="313"/>
        <v>0</v>
      </c>
      <c r="L698" s="1">
        <f>L736+L747+L758+L774+L785+L792</f>
        <v>0</v>
      </c>
      <c r="M698" s="1">
        <f>M736+M747+M758+M774+M785+M792</f>
        <v>0</v>
      </c>
      <c r="N698" s="1">
        <f>N736+N747+N758+N774+N785+N792</f>
        <v>0</v>
      </c>
      <c r="O698" s="1">
        <f>O736+O747+O758+O774+O785+O792</f>
        <v>0</v>
      </c>
    </row>
    <row r="699" spans="1:15" ht="31.5" x14ac:dyDescent="0.2">
      <c r="A699" s="116"/>
      <c r="B699" s="116"/>
      <c r="C699" s="60" t="s">
        <v>69</v>
      </c>
      <c r="D699" s="1">
        <f t="shared" si="307"/>
        <v>862963.3</v>
      </c>
      <c r="E699" s="1">
        <v>0</v>
      </c>
      <c r="F699" s="1">
        <v>0</v>
      </c>
      <c r="G699" s="1">
        <v>0</v>
      </c>
      <c r="H699" s="1">
        <v>0</v>
      </c>
      <c r="I699" s="1">
        <v>50000</v>
      </c>
      <c r="J699" s="1">
        <v>213866.1</v>
      </c>
      <c r="K699" s="1">
        <v>368985.2</v>
      </c>
      <c r="L699" s="1">
        <v>195620.5</v>
      </c>
      <c r="M699" s="1">
        <f>34491.5</f>
        <v>34491.5</v>
      </c>
      <c r="N699" s="1">
        <v>0</v>
      </c>
      <c r="O699" s="1">
        <v>0</v>
      </c>
    </row>
    <row r="700" spans="1:15" ht="30" customHeight="1" x14ac:dyDescent="0.2">
      <c r="A700" s="116"/>
      <c r="B700" s="116"/>
      <c r="C700" s="100" t="s">
        <v>81</v>
      </c>
      <c r="D700" s="74">
        <f t="shared" si="307"/>
        <v>11279.3</v>
      </c>
      <c r="E700" s="74">
        <v>0</v>
      </c>
      <c r="F700" s="74">
        <v>0</v>
      </c>
      <c r="G700" s="74">
        <v>0</v>
      </c>
      <c r="H700" s="74">
        <v>0</v>
      </c>
      <c r="I700" s="74">
        <v>0</v>
      </c>
      <c r="J700" s="74">
        <v>0</v>
      </c>
      <c r="K700" s="74">
        <v>0</v>
      </c>
      <c r="L700" s="74">
        <v>0</v>
      </c>
      <c r="M700" s="99">
        <v>11279.3</v>
      </c>
      <c r="N700" s="1">
        <v>0</v>
      </c>
      <c r="O700" s="1">
        <v>0</v>
      </c>
    </row>
    <row r="701" spans="1:15" ht="31.5" x14ac:dyDescent="0.2">
      <c r="A701" s="116"/>
      <c r="B701" s="116"/>
      <c r="C701" s="60" t="s">
        <v>65</v>
      </c>
      <c r="D701" s="1">
        <f t="shared" si="307"/>
        <v>60360.600000000006</v>
      </c>
      <c r="E701" s="1">
        <v>0</v>
      </c>
      <c r="F701" s="1">
        <v>0</v>
      </c>
      <c r="G701" s="1">
        <v>0</v>
      </c>
      <c r="H701" s="1">
        <v>0</v>
      </c>
      <c r="I701" s="1">
        <v>2500</v>
      </c>
      <c r="J701" s="1">
        <v>13651.1</v>
      </c>
      <c r="K701" s="1">
        <v>24682.2</v>
      </c>
      <c r="L701" s="1">
        <f>12486.4+663.4</f>
        <v>13149.8</v>
      </c>
      <c r="M701" s="57">
        <f>1481.6+4723.2+172.7</f>
        <v>6377.4999999999991</v>
      </c>
      <c r="N701" s="1">
        <v>0</v>
      </c>
      <c r="O701" s="1">
        <v>0</v>
      </c>
    </row>
    <row r="702" spans="1:15" ht="30" customHeight="1" x14ac:dyDescent="0.2">
      <c r="A702" s="116"/>
      <c r="B702" s="116"/>
      <c r="C702" s="100" t="s">
        <v>449</v>
      </c>
      <c r="D702" s="74">
        <f t="shared" si="307"/>
        <v>719.9</v>
      </c>
      <c r="E702" s="74">
        <v>0</v>
      </c>
      <c r="F702" s="74">
        <v>0</v>
      </c>
      <c r="G702" s="74">
        <v>0</v>
      </c>
      <c r="H702" s="74">
        <v>0</v>
      </c>
      <c r="I702" s="74">
        <v>0</v>
      </c>
      <c r="J702" s="74">
        <v>0</v>
      </c>
      <c r="K702" s="74">
        <v>0</v>
      </c>
      <c r="L702" s="74">
        <v>0</v>
      </c>
      <c r="M702" s="99">
        <v>719.9</v>
      </c>
      <c r="N702" s="74">
        <v>0</v>
      </c>
      <c r="O702" s="74">
        <v>0</v>
      </c>
    </row>
    <row r="703" spans="1:15" ht="30.75" customHeight="1" x14ac:dyDescent="0.2">
      <c r="A703" s="116"/>
      <c r="B703" s="116"/>
      <c r="C703" s="60" t="s">
        <v>13</v>
      </c>
      <c r="D703" s="1">
        <f t="shared" si="307"/>
        <v>0</v>
      </c>
      <c r="E703" s="1">
        <f>E750+E761+E777+E789+E796</f>
        <v>0</v>
      </c>
      <c r="F703" s="1">
        <f>F750+F761+F777+F789+F796</f>
        <v>0</v>
      </c>
      <c r="G703" s="1">
        <f>G750+G761+G777+G789+G796</f>
        <v>0</v>
      </c>
      <c r="H703" s="1">
        <f>H750+H761+H777+H789+H796</f>
        <v>0</v>
      </c>
      <c r="I703" s="1">
        <f>I750+I761+I777+I789+I796</f>
        <v>0</v>
      </c>
      <c r="J703" s="1">
        <v>0</v>
      </c>
      <c r="K703" s="1">
        <v>0</v>
      </c>
      <c r="L703" s="1">
        <v>0</v>
      </c>
      <c r="M703" s="1">
        <v>0</v>
      </c>
      <c r="N703" s="1">
        <v>0</v>
      </c>
      <c r="O703" s="1">
        <v>0</v>
      </c>
    </row>
    <row r="704" spans="1:15" ht="21" customHeight="1" x14ac:dyDescent="0.2">
      <c r="A704" s="116" t="s">
        <v>357</v>
      </c>
      <c r="B704" s="116" t="s">
        <v>358</v>
      </c>
      <c r="C704" s="60" t="s">
        <v>7</v>
      </c>
      <c r="D704" s="1">
        <f>E704+F704+G704+H704+I704+J704+K704+L704+M704+N704+O704</f>
        <v>600</v>
      </c>
      <c r="E704" s="1">
        <f t="shared" ref="E704:O704" si="314">E705+E706+E707+E708</f>
        <v>0</v>
      </c>
      <c r="F704" s="1">
        <f t="shared" si="314"/>
        <v>0</v>
      </c>
      <c r="G704" s="1">
        <f t="shared" si="314"/>
        <v>0</v>
      </c>
      <c r="H704" s="1">
        <f t="shared" si="314"/>
        <v>0</v>
      </c>
      <c r="I704" s="1">
        <f t="shared" si="314"/>
        <v>0</v>
      </c>
      <c r="J704" s="1">
        <f t="shared" si="314"/>
        <v>600</v>
      </c>
      <c r="K704" s="1">
        <f t="shared" si="314"/>
        <v>0</v>
      </c>
      <c r="L704" s="1">
        <f t="shared" si="314"/>
        <v>0</v>
      </c>
      <c r="M704" s="1">
        <f t="shared" si="314"/>
        <v>0</v>
      </c>
      <c r="N704" s="1">
        <f t="shared" si="314"/>
        <v>0</v>
      </c>
      <c r="O704" s="1">
        <f t="shared" si="314"/>
        <v>0</v>
      </c>
    </row>
    <row r="705" spans="1:19" ht="21" customHeight="1" x14ac:dyDescent="0.2">
      <c r="A705" s="121"/>
      <c r="B705" s="142"/>
      <c r="C705" s="60" t="s">
        <v>10</v>
      </c>
      <c r="D705" s="1">
        <f>E705+F705+G705+H705+I705+J705+K705+L705+M705+N705+O705</f>
        <v>0</v>
      </c>
      <c r="E705" s="1">
        <f>E710</f>
        <v>0</v>
      </c>
      <c r="F705" s="1">
        <f t="shared" ref="F705:K705" si="315">F710</f>
        <v>0</v>
      </c>
      <c r="G705" s="1">
        <f t="shared" si="315"/>
        <v>0</v>
      </c>
      <c r="H705" s="1">
        <f t="shared" si="315"/>
        <v>0</v>
      </c>
      <c r="I705" s="1">
        <f t="shared" si="315"/>
        <v>0</v>
      </c>
      <c r="J705" s="1">
        <f t="shared" si="315"/>
        <v>0</v>
      </c>
      <c r="K705" s="1">
        <f t="shared" si="315"/>
        <v>0</v>
      </c>
      <c r="L705" s="1">
        <f>L741+L752+L763+L779+L790+L797</f>
        <v>0</v>
      </c>
      <c r="M705" s="1">
        <f>M741+M752+M763+M779+M790+M797</f>
        <v>0</v>
      </c>
      <c r="N705" s="1">
        <f>N741+N752+N763+N779+N790+N797</f>
        <v>0</v>
      </c>
      <c r="O705" s="1">
        <f>O741+O752+O763+O779+O790+O797</f>
        <v>0</v>
      </c>
    </row>
    <row r="706" spans="1:19" ht="21" customHeight="1" x14ac:dyDescent="0.2">
      <c r="A706" s="121"/>
      <c r="B706" s="142"/>
      <c r="C706" s="60" t="s">
        <v>11</v>
      </c>
      <c r="D706" s="1">
        <f t="shared" si="307"/>
        <v>0</v>
      </c>
      <c r="E706" s="1">
        <f t="shared" ref="E706:K706" si="316">E711</f>
        <v>0</v>
      </c>
      <c r="F706" s="1">
        <f t="shared" si="316"/>
        <v>0</v>
      </c>
      <c r="G706" s="1">
        <f t="shared" si="316"/>
        <v>0</v>
      </c>
      <c r="H706" s="1">
        <f t="shared" si="316"/>
        <v>0</v>
      </c>
      <c r="I706" s="1">
        <f t="shared" si="316"/>
        <v>0</v>
      </c>
      <c r="J706" s="1">
        <f t="shared" si="316"/>
        <v>0</v>
      </c>
      <c r="K706" s="1">
        <f t="shared" si="316"/>
        <v>0</v>
      </c>
      <c r="L706" s="1">
        <v>0</v>
      </c>
      <c r="M706" s="1">
        <v>0</v>
      </c>
      <c r="N706" s="1">
        <v>0</v>
      </c>
      <c r="O706" s="1">
        <v>0</v>
      </c>
    </row>
    <row r="707" spans="1:19" ht="21" customHeight="1" x14ac:dyDescent="0.2">
      <c r="A707" s="121"/>
      <c r="B707" s="142"/>
      <c r="C707" s="60" t="s">
        <v>12</v>
      </c>
      <c r="D707" s="1">
        <f t="shared" ref="D707:D713" si="317">E707+F707+G707+H707+I707+J707+K707+L707+M707+N707+O707</f>
        <v>600</v>
      </c>
      <c r="E707" s="1">
        <f t="shared" ref="E707:K707" si="318">E712</f>
        <v>0</v>
      </c>
      <c r="F707" s="1">
        <f t="shared" si="318"/>
        <v>0</v>
      </c>
      <c r="G707" s="1">
        <f t="shared" si="318"/>
        <v>0</v>
      </c>
      <c r="H707" s="1">
        <f t="shared" si="318"/>
        <v>0</v>
      </c>
      <c r="I707" s="1">
        <f t="shared" si="318"/>
        <v>0</v>
      </c>
      <c r="J707" s="1">
        <f t="shared" si="318"/>
        <v>600</v>
      </c>
      <c r="K707" s="1">
        <f t="shared" si="318"/>
        <v>0</v>
      </c>
      <c r="L707" s="1">
        <v>0</v>
      </c>
      <c r="M707" s="1">
        <v>0</v>
      </c>
      <c r="N707" s="1">
        <v>0</v>
      </c>
      <c r="O707" s="1">
        <v>0</v>
      </c>
    </row>
    <row r="708" spans="1:19" ht="41.25" customHeight="1" x14ac:dyDescent="0.2">
      <c r="A708" s="121"/>
      <c r="B708" s="142"/>
      <c r="C708" s="60" t="s">
        <v>13</v>
      </c>
      <c r="D708" s="1">
        <f t="shared" si="317"/>
        <v>0</v>
      </c>
      <c r="E708" s="1">
        <f t="shared" ref="E708:K708" si="319">E713</f>
        <v>0</v>
      </c>
      <c r="F708" s="1">
        <f t="shared" si="319"/>
        <v>0</v>
      </c>
      <c r="G708" s="1">
        <f t="shared" si="319"/>
        <v>0</v>
      </c>
      <c r="H708" s="1">
        <f t="shared" si="319"/>
        <v>0</v>
      </c>
      <c r="I708" s="1">
        <f t="shared" si="319"/>
        <v>0</v>
      </c>
      <c r="J708" s="1">
        <f t="shared" si="319"/>
        <v>0</v>
      </c>
      <c r="K708" s="1">
        <f t="shared" si="319"/>
        <v>0</v>
      </c>
      <c r="L708" s="1">
        <v>0</v>
      </c>
      <c r="M708" s="1">
        <v>0</v>
      </c>
      <c r="N708" s="1">
        <v>0</v>
      </c>
      <c r="O708" s="1">
        <v>0</v>
      </c>
    </row>
    <row r="709" spans="1:19" ht="15.75" x14ac:dyDescent="0.2">
      <c r="A709" s="116" t="s">
        <v>359</v>
      </c>
      <c r="B709" s="116" t="s">
        <v>360</v>
      </c>
      <c r="C709" s="60" t="s">
        <v>7</v>
      </c>
      <c r="D709" s="1">
        <f t="shared" si="317"/>
        <v>600</v>
      </c>
      <c r="E709" s="1">
        <f t="shared" ref="E709:O709" si="320">E710+E711+E712+E713</f>
        <v>0</v>
      </c>
      <c r="F709" s="1">
        <f t="shared" si="320"/>
        <v>0</v>
      </c>
      <c r="G709" s="1">
        <f t="shared" si="320"/>
        <v>0</v>
      </c>
      <c r="H709" s="1">
        <f t="shared" si="320"/>
        <v>0</v>
      </c>
      <c r="I709" s="1">
        <f t="shared" si="320"/>
        <v>0</v>
      </c>
      <c r="J709" s="1">
        <f t="shared" si="320"/>
        <v>600</v>
      </c>
      <c r="K709" s="1">
        <f t="shared" si="320"/>
        <v>0</v>
      </c>
      <c r="L709" s="1">
        <f t="shared" si="320"/>
        <v>0</v>
      </c>
      <c r="M709" s="1">
        <f t="shared" si="320"/>
        <v>0</v>
      </c>
      <c r="N709" s="1">
        <f t="shared" si="320"/>
        <v>0</v>
      </c>
      <c r="O709" s="1">
        <f t="shared" si="320"/>
        <v>0</v>
      </c>
    </row>
    <row r="710" spans="1:19" ht="15.75" x14ac:dyDescent="0.2">
      <c r="A710" s="116"/>
      <c r="B710" s="116"/>
      <c r="C710" s="60" t="s">
        <v>10</v>
      </c>
      <c r="D710" s="1">
        <f t="shared" si="317"/>
        <v>0</v>
      </c>
      <c r="E710" s="1">
        <f t="shared" ref="E710:O710" si="321">E747+E757+E768+E784+E795+E802</f>
        <v>0</v>
      </c>
      <c r="F710" s="1">
        <f t="shared" si="321"/>
        <v>0</v>
      </c>
      <c r="G710" s="1">
        <f t="shared" si="321"/>
        <v>0</v>
      </c>
      <c r="H710" s="1">
        <f t="shared" si="321"/>
        <v>0</v>
      </c>
      <c r="I710" s="1">
        <f t="shared" si="321"/>
        <v>0</v>
      </c>
      <c r="J710" s="1">
        <f t="shared" si="321"/>
        <v>0</v>
      </c>
      <c r="K710" s="1">
        <f t="shared" si="321"/>
        <v>0</v>
      </c>
      <c r="L710" s="1">
        <f t="shared" si="321"/>
        <v>0</v>
      </c>
      <c r="M710" s="1">
        <f t="shared" si="321"/>
        <v>0</v>
      </c>
      <c r="N710" s="1">
        <f t="shared" si="321"/>
        <v>0</v>
      </c>
      <c r="O710" s="1">
        <f t="shared" si="321"/>
        <v>0</v>
      </c>
    </row>
    <row r="711" spans="1:19" ht="15.75" x14ac:dyDescent="0.2">
      <c r="A711" s="116"/>
      <c r="B711" s="116"/>
      <c r="C711" s="60" t="s">
        <v>11</v>
      </c>
      <c r="D711" s="1">
        <f t="shared" si="317"/>
        <v>0</v>
      </c>
      <c r="E711" s="1">
        <v>0</v>
      </c>
      <c r="F711" s="1">
        <v>0</v>
      </c>
      <c r="G711" s="1">
        <v>0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0</v>
      </c>
      <c r="O711" s="1">
        <v>0</v>
      </c>
    </row>
    <row r="712" spans="1:19" ht="15.75" x14ac:dyDescent="0.2">
      <c r="A712" s="116"/>
      <c r="B712" s="116"/>
      <c r="C712" s="60" t="s">
        <v>12</v>
      </c>
      <c r="D712" s="1">
        <f t="shared" si="317"/>
        <v>600</v>
      </c>
      <c r="E712" s="1">
        <v>0</v>
      </c>
      <c r="F712" s="1">
        <v>0</v>
      </c>
      <c r="G712" s="1">
        <v>0</v>
      </c>
      <c r="H712" s="1">
        <v>0</v>
      </c>
      <c r="I712" s="1">
        <v>0</v>
      </c>
      <c r="J712" s="1">
        <v>600</v>
      </c>
      <c r="K712" s="1">
        <v>0</v>
      </c>
      <c r="L712" s="1">
        <v>0</v>
      </c>
      <c r="M712" s="1">
        <v>0</v>
      </c>
      <c r="N712" s="1">
        <v>0</v>
      </c>
      <c r="O712" s="1">
        <v>0</v>
      </c>
    </row>
    <row r="713" spans="1:19" ht="24" customHeight="1" x14ac:dyDescent="0.2">
      <c r="A713" s="116"/>
      <c r="B713" s="116"/>
      <c r="C713" s="60" t="s">
        <v>13</v>
      </c>
      <c r="D713" s="1">
        <f t="shared" si="317"/>
        <v>0</v>
      </c>
      <c r="E713" s="1">
        <f>E760+E771+E787+E799+E806</f>
        <v>0</v>
      </c>
      <c r="F713" s="1">
        <f>F760+F771+F787+F799+F806</f>
        <v>0</v>
      </c>
      <c r="G713" s="1">
        <f>G760+G771+G787+G799+G806</f>
        <v>0</v>
      </c>
      <c r="H713" s="1">
        <f>H760+H771+H787+H799+H806</f>
        <v>0</v>
      </c>
      <c r="I713" s="1">
        <f>I760+I771+I787+I799+I806</f>
        <v>0</v>
      </c>
      <c r="J713" s="1">
        <v>0</v>
      </c>
      <c r="K713" s="1">
        <v>0</v>
      </c>
      <c r="L713" s="1">
        <v>0</v>
      </c>
      <c r="M713" s="1">
        <v>0</v>
      </c>
      <c r="N713" s="1">
        <v>0</v>
      </c>
      <c r="O713" s="1">
        <v>0</v>
      </c>
    </row>
    <row r="714" spans="1:19" ht="24" customHeight="1" x14ac:dyDescent="0.2">
      <c r="A714" s="116" t="s">
        <v>392</v>
      </c>
      <c r="B714" s="116" t="s">
        <v>394</v>
      </c>
      <c r="C714" s="60" t="s">
        <v>7</v>
      </c>
      <c r="D714" s="1">
        <f>E714+F714+G714+H714+I714+J714+K714+L714+M714+N714+O714</f>
        <v>25999.5</v>
      </c>
      <c r="E714" s="1">
        <f>E715+E716+E717+E718</f>
        <v>0</v>
      </c>
      <c r="F714" s="1">
        <f t="shared" ref="F714:O714" si="322">F715+F716+F717+F718</f>
        <v>0</v>
      </c>
      <c r="G714" s="1">
        <f t="shared" si="322"/>
        <v>0</v>
      </c>
      <c r="H714" s="1">
        <f t="shared" si="322"/>
        <v>0</v>
      </c>
      <c r="I714" s="1">
        <f t="shared" si="322"/>
        <v>0</v>
      </c>
      <c r="J714" s="1">
        <f t="shared" si="322"/>
        <v>0</v>
      </c>
      <c r="K714" s="1">
        <f t="shared" si="322"/>
        <v>13798.2</v>
      </c>
      <c r="L714" s="1">
        <f t="shared" si="322"/>
        <v>5613</v>
      </c>
      <c r="M714" s="1">
        <f t="shared" si="322"/>
        <v>6588.2999999999993</v>
      </c>
      <c r="N714" s="1">
        <f t="shared" si="322"/>
        <v>0</v>
      </c>
      <c r="O714" s="1">
        <f t="shared" si="322"/>
        <v>0</v>
      </c>
    </row>
    <row r="715" spans="1:19" ht="24" customHeight="1" x14ac:dyDescent="0.2">
      <c r="A715" s="121"/>
      <c r="B715" s="142"/>
      <c r="C715" s="60" t="s">
        <v>10</v>
      </c>
      <c r="D715" s="1">
        <f t="shared" ref="D715:D723" si="323">E715+F715+G715+H715+I715+J715+K715+L715+M715+N715+O715</f>
        <v>0</v>
      </c>
      <c r="E715" s="1">
        <f t="shared" ref="E715:I715" si="324">E752+E762+E773+E789+E800+E807</f>
        <v>0</v>
      </c>
      <c r="F715" s="1">
        <f t="shared" si="324"/>
        <v>0</v>
      </c>
      <c r="G715" s="1">
        <f t="shared" si="324"/>
        <v>0</v>
      </c>
      <c r="H715" s="1">
        <f t="shared" si="324"/>
        <v>0</v>
      </c>
      <c r="I715" s="1">
        <f t="shared" si="324"/>
        <v>0</v>
      </c>
      <c r="J715" s="1">
        <v>0</v>
      </c>
      <c r="K715" s="1">
        <f t="shared" ref="K715:O715" si="325">K752+K762+K773+K789+K800+K807</f>
        <v>0</v>
      </c>
      <c r="L715" s="1">
        <f t="shared" si="325"/>
        <v>0</v>
      </c>
      <c r="M715" s="1">
        <f t="shared" si="325"/>
        <v>0</v>
      </c>
      <c r="N715" s="1">
        <f t="shared" si="325"/>
        <v>0</v>
      </c>
      <c r="O715" s="1">
        <f t="shared" si="325"/>
        <v>0</v>
      </c>
    </row>
    <row r="716" spans="1:19" ht="24" customHeight="1" x14ac:dyDescent="0.2">
      <c r="A716" s="121"/>
      <c r="B716" s="142"/>
      <c r="C716" s="60" t="s">
        <v>11</v>
      </c>
      <c r="D716" s="1">
        <f t="shared" si="323"/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9" ht="24" customHeight="1" x14ac:dyDescent="0.2">
      <c r="A717" s="121"/>
      <c r="B717" s="142"/>
      <c r="C717" s="60" t="s">
        <v>12</v>
      </c>
      <c r="D717" s="1">
        <f t="shared" si="323"/>
        <v>25999.5</v>
      </c>
      <c r="E717" s="1">
        <v>0</v>
      </c>
      <c r="F717" s="1">
        <v>0</v>
      </c>
      <c r="G717" s="1">
        <v>0</v>
      </c>
      <c r="H717" s="1">
        <v>0</v>
      </c>
      <c r="I717" s="1">
        <v>0</v>
      </c>
      <c r="J717" s="1">
        <f>J722</f>
        <v>0</v>
      </c>
      <c r="K717" s="1">
        <f>K722</f>
        <v>13798.2</v>
      </c>
      <c r="L717" s="1">
        <f>L722+L727</f>
        <v>5613</v>
      </c>
      <c r="M717" s="1">
        <f t="shared" ref="M717:S717" si="326">M722+M727</f>
        <v>6588.2999999999993</v>
      </c>
      <c r="N717" s="1">
        <f t="shared" si="326"/>
        <v>0</v>
      </c>
      <c r="O717" s="1">
        <f t="shared" si="326"/>
        <v>0</v>
      </c>
      <c r="P717" s="1">
        <f t="shared" si="326"/>
        <v>0</v>
      </c>
      <c r="Q717" s="1">
        <f t="shared" si="326"/>
        <v>0</v>
      </c>
      <c r="R717" s="1">
        <f t="shared" si="326"/>
        <v>0</v>
      </c>
      <c r="S717" s="1">
        <f t="shared" si="326"/>
        <v>0</v>
      </c>
    </row>
    <row r="718" spans="1:19" ht="24" customHeight="1" x14ac:dyDescent="0.2">
      <c r="A718" s="121"/>
      <c r="B718" s="142"/>
      <c r="C718" s="60" t="s">
        <v>13</v>
      </c>
      <c r="D718" s="1">
        <f t="shared" si="323"/>
        <v>0</v>
      </c>
      <c r="E718" s="1">
        <f>E765+E776+E792+E804+E811</f>
        <v>0</v>
      </c>
      <c r="F718" s="1">
        <f>F765+F776+F792+F804+F811</f>
        <v>0</v>
      </c>
      <c r="G718" s="1">
        <f>G765+G776+G792+G804+G811</f>
        <v>0</v>
      </c>
      <c r="H718" s="1">
        <f>H765+H776+H792+H804+H811</f>
        <v>0</v>
      </c>
      <c r="I718" s="1">
        <f>I765+I776+I792+I804+I811</f>
        <v>0</v>
      </c>
      <c r="J718" s="1">
        <v>0</v>
      </c>
      <c r="K718" s="1">
        <v>0</v>
      </c>
      <c r="L718" s="1">
        <v>0</v>
      </c>
      <c r="M718" s="1">
        <v>0</v>
      </c>
      <c r="N718" s="1">
        <v>0</v>
      </c>
      <c r="O718" s="1">
        <v>0</v>
      </c>
    </row>
    <row r="719" spans="1:19" ht="24" customHeight="1" x14ac:dyDescent="0.2">
      <c r="A719" s="116" t="s">
        <v>393</v>
      </c>
      <c r="B719" s="116" t="s">
        <v>395</v>
      </c>
      <c r="C719" s="60" t="s">
        <v>7</v>
      </c>
      <c r="D719" s="1">
        <f t="shared" ref="D719:N719" si="327">D720+D721+D722+D723</f>
        <v>18358.600000000002</v>
      </c>
      <c r="E719" s="1">
        <f t="shared" si="327"/>
        <v>0</v>
      </c>
      <c r="F719" s="1">
        <f t="shared" si="327"/>
        <v>0</v>
      </c>
      <c r="G719" s="1">
        <f t="shared" si="327"/>
        <v>0</v>
      </c>
      <c r="H719" s="1">
        <f t="shared" si="327"/>
        <v>0</v>
      </c>
      <c r="I719" s="1">
        <f t="shared" si="327"/>
        <v>0</v>
      </c>
      <c r="J719" s="1">
        <f t="shared" si="327"/>
        <v>0</v>
      </c>
      <c r="K719" s="1">
        <f t="shared" si="327"/>
        <v>13798.2</v>
      </c>
      <c r="L719" s="1">
        <f t="shared" si="327"/>
        <v>598</v>
      </c>
      <c r="M719" s="1">
        <f t="shared" si="327"/>
        <v>3962.4</v>
      </c>
      <c r="N719" s="1">
        <f t="shared" si="327"/>
        <v>0</v>
      </c>
      <c r="O719" s="1"/>
    </row>
    <row r="720" spans="1:19" ht="24" customHeight="1" x14ac:dyDescent="0.2">
      <c r="A720" s="116"/>
      <c r="B720" s="116"/>
      <c r="C720" s="60" t="s">
        <v>10</v>
      </c>
      <c r="D720" s="1">
        <f>E720+F720+G720+H720+I720+J720+K720+L720+M720+N720+O720</f>
        <v>0</v>
      </c>
      <c r="E720" s="1">
        <f t="shared" ref="E720:I720" si="328">E757+E767+E778+E794+E805+E812</f>
        <v>0</v>
      </c>
      <c r="F720" s="1">
        <f t="shared" si="328"/>
        <v>0</v>
      </c>
      <c r="G720" s="1">
        <f t="shared" si="328"/>
        <v>0</v>
      </c>
      <c r="H720" s="1">
        <f t="shared" si="328"/>
        <v>0</v>
      </c>
      <c r="I720" s="1">
        <f t="shared" si="328"/>
        <v>0</v>
      </c>
      <c r="J720" s="1">
        <v>0</v>
      </c>
      <c r="K720" s="1">
        <f t="shared" ref="K720:O720" si="329">K757+K767+K778+K794+K805+K812</f>
        <v>0</v>
      </c>
      <c r="L720" s="1">
        <f t="shared" si="329"/>
        <v>0</v>
      </c>
      <c r="M720" s="1">
        <f t="shared" si="329"/>
        <v>0</v>
      </c>
      <c r="N720" s="1">
        <f t="shared" si="329"/>
        <v>0</v>
      </c>
      <c r="O720" s="1">
        <f t="shared" si="329"/>
        <v>0</v>
      </c>
    </row>
    <row r="721" spans="1:17" ht="24" customHeight="1" x14ac:dyDescent="0.2">
      <c r="A721" s="116"/>
      <c r="B721" s="116"/>
      <c r="C721" s="60" t="s">
        <v>11</v>
      </c>
      <c r="D721" s="1">
        <f t="shared" si="323"/>
        <v>0</v>
      </c>
      <c r="E721" s="1">
        <v>0</v>
      </c>
      <c r="F721" s="1">
        <v>0</v>
      </c>
      <c r="G721" s="1">
        <v>0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7" ht="24" customHeight="1" x14ac:dyDescent="0.2">
      <c r="A722" s="116"/>
      <c r="B722" s="116"/>
      <c r="C722" s="60" t="s">
        <v>12</v>
      </c>
      <c r="D722" s="1">
        <f t="shared" si="323"/>
        <v>18358.600000000002</v>
      </c>
      <c r="E722" s="1">
        <v>0</v>
      </c>
      <c r="F722" s="1">
        <v>0</v>
      </c>
      <c r="G722" s="1">
        <v>0</v>
      </c>
      <c r="H722" s="1">
        <v>0</v>
      </c>
      <c r="I722" s="1">
        <v>0</v>
      </c>
      <c r="J722" s="1">
        <v>0</v>
      </c>
      <c r="K722" s="1">
        <f>19000-5201.8+71.4-71.4</f>
        <v>13798.2</v>
      </c>
      <c r="L722" s="1">
        <f>700+8000-8000-102</f>
        <v>598</v>
      </c>
      <c r="M722" s="1">
        <f>0+3962.4</f>
        <v>3962.4</v>
      </c>
      <c r="N722" s="1">
        <v>0</v>
      </c>
      <c r="O722" s="1">
        <v>0</v>
      </c>
    </row>
    <row r="723" spans="1:17" ht="24" customHeight="1" x14ac:dyDescent="0.2">
      <c r="A723" s="116"/>
      <c r="B723" s="116"/>
      <c r="C723" s="60" t="s">
        <v>13</v>
      </c>
      <c r="D723" s="1">
        <f t="shared" si="323"/>
        <v>0</v>
      </c>
      <c r="E723" s="1">
        <f>E770+E781+E797+E809+E816</f>
        <v>0</v>
      </c>
      <c r="F723" s="1">
        <f>F770+F781+F797+F809+F816</f>
        <v>0</v>
      </c>
      <c r="G723" s="1">
        <f>G770+G781+G797+G809+G816</f>
        <v>0</v>
      </c>
      <c r="H723" s="1">
        <f>H770+H781+H797+H809+H816</f>
        <v>0</v>
      </c>
      <c r="I723" s="1">
        <f>I770+I781+I797+I809+I816</f>
        <v>0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1">
        <v>0</v>
      </c>
    </row>
    <row r="724" spans="1:17" ht="24" customHeight="1" x14ac:dyDescent="0.2">
      <c r="A724" s="116" t="s">
        <v>416</v>
      </c>
      <c r="B724" s="111" t="s">
        <v>417</v>
      </c>
      <c r="C724" s="60" t="s">
        <v>7</v>
      </c>
      <c r="D724" s="1">
        <f t="shared" ref="D724:N724" si="330">D725+D726+D727+D728</f>
        <v>7640.9</v>
      </c>
      <c r="E724" s="1">
        <f t="shared" si="330"/>
        <v>0</v>
      </c>
      <c r="F724" s="1">
        <f t="shared" si="330"/>
        <v>0</v>
      </c>
      <c r="G724" s="1">
        <f t="shared" si="330"/>
        <v>0</v>
      </c>
      <c r="H724" s="1">
        <f t="shared" si="330"/>
        <v>0</v>
      </c>
      <c r="I724" s="1">
        <f t="shared" si="330"/>
        <v>0</v>
      </c>
      <c r="J724" s="1">
        <f t="shared" si="330"/>
        <v>0</v>
      </c>
      <c r="K724" s="1">
        <f t="shared" si="330"/>
        <v>0</v>
      </c>
      <c r="L724" s="1">
        <f t="shared" si="330"/>
        <v>5015</v>
      </c>
      <c r="M724" s="1">
        <f t="shared" si="330"/>
        <v>2625.8999999999996</v>
      </c>
      <c r="N724" s="1">
        <f t="shared" si="330"/>
        <v>0</v>
      </c>
      <c r="O724" s="1"/>
    </row>
    <row r="725" spans="1:17" ht="24" customHeight="1" x14ac:dyDescent="0.2">
      <c r="A725" s="116"/>
      <c r="B725" s="111"/>
      <c r="C725" s="60" t="s">
        <v>10</v>
      </c>
      <c r="D725" s="1">
        <f>E725+F725+G725+H725+I725+J725+K725+L725+M725+N725+O725</f>
        <v>0</v>
      </c>
      <c r="E725" s="1">
        <f t="shared" ref="E725:I725" si="331">E762+E772+E783+E799+E810+E817</f>
        <v>0</v>
      </c>
      <c r="F725" s="1">
        <f t="shared" si="331"/>
        <v>0</v>
      </c>
      <c r="G725" s="1">
        <f t="shared" si="331"/>
        <v>0</v>
      </c>
      <c r="H725" s="1">
        <f t="shared" si="331"/>
        <v>0</v>
      </c>
      <c r="I725" s="1">
        <f t="shared" si="331"/>
        <v>0</v>
      </c>
      <c r="J725" s="1">
        <v>0</v>
      </c>
      <c r="K725" s="1">
        <f t="shared" ref="K725:O725" si="332">K762+K772+K783+K799+K810+K817</f>
        <v>0</v>
      </c>
      <c r="L725" s="1">
        <f t="shared" si="332"/>
        <v>0</v>
      </c>
      <c r="M725" s="1">
        <f t="shared" si="332"/>
        <v>0</v>
      </c>
      <c r="N725" s="1">
        <f t="shared" si="332"/>
        <v>0</v>
      </c>
      <c r="O725" s="1">
        <f t="shared" si="332"/>
        <v>0</v>
      </c>
    </row>
    <row r="726" spans="1:17" ht="24" customHeight="1" x14ac:dyDescent="0.2">
      <c r="A726" s="116"/>
      <c r="B726" s="111"/>
      <c r="C726" s="60" t="s">
        <v>11</v>
      </c>
      <c r="D726" s="1">
        <f t="shared" ref="D726:D728" si="333">E726+F726+G726+H726+I726+J726+K726+L726+M726+N726+O726</f>
        <v>0</v>
      </c>
      <c r="E726" s="1">
        <v>0</v>
      </c>
      <c r="F726" s="1">
        <v>0</v>
      </c>
      <c r="G726" s="1">
        <v>0</v>
      </c>
      <c r="H726" s="1">
        <v>0</v>
      </c>
      <c r="I726" s="1"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</row>
    <row r="727" spans="1:17" ht="24" customHeight="1" x14ac:dyDescent="0.2">
      <c r="A727" s="116"/>
      <c r="B727" s="111"/>
      <c r="C727" s="60" t="s">
        <v>12</v>
      </c>
      <c r="D727" s="1">
        <f t="shared" si="333"/>
        <v>7640.9</v>
      </c>
      <c r="E727" s="1">
        <v>0</v>
      </c>
      <c r="F727" s="1">
        <v>0</v>
      </c>
      <c r="G727" s="1">
        <v>0</v>
      </c>
      <c r="H727" s="1">
        <v>0</v>
      </c>
      <c r="I727" s="1">
        <v>0</v>
      </c>
      <c r="J727" s="1">
        <v>0</v>
      </c>
      <c r="K727" s="1">
        <v>0</v>
      </c>
      <c r="L727" s="1">
        <f>2484.5+2515.5+15</f>
        <v>5015</v>
      </c>
      <c r="M727" s="1">
        <f>1435.1+1190.8</f>
        <v>2625.8999999999996</v>
      </c>
      <c r="N727" s="1">
        <v>0</v>
      </c>
      <c r="O727" s="1">
        <v>0</v>
      </c>
    </row>
    <row r="728" spans="1:17" ht="24" customHeight="1" x14ac:dyDescent="0.2">
      <c r="A728" s="116"/>
      <c r="B728" s="111"/>
      <c r="C728" s="60" t="s">
        <v>13</v>
      </c>
      <c r="D728" s="1">
        <f t="shared" si="333"/>
        <v>0</v>
      </c>
      <c r="E728" s="1">
        <f>E775+E786+E802+E814+E821</f>
        <v>0</v>
      </c>
      <c r="F728" s="1">
        <f>F775+F786+F802+F814+F821</f>
        <v>0</v>
      </c>
      <c r="G728" s="1">
        <f>G775+G786+G802+G814+G821</f>
        <v>0</v>
      </c>
      <c r="H728" s="1">
        <f>H775+H786+H802+H814+H821</f>
        <v>0</v>
      </c>
      <c r="I728" s="1">
        <f>I775+I786+I802+I814+I821</f>
        <v>0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">
        <v>0</v>
      </c>
    </row>
    <row r="729" spans="1:17" ht="15.75" x14ac:dyDescent="0.2">
      <c r="A729" s="118" t="s">
        <v>42</v>
      </c>
      <c r="B729" s="149" t="s">
        <v>327</v>
      </c>
      <c r="C729" s="75" t="s">
        <v>7</v>
      </c>
      <c r="D729" s="2">
        <f t="shared" si="307"/>
        <v>584661.17500000005</v>
      </c>
      <c r="E729" s="2">
        <f t="shared" ref="E729:O729" si="334">E732+E730+E731+E733</f>
        <v>31873.5</v>
      </c>
      <c r="F729" s="2">
        <f t="shared" si="334"/>
        <v>32215.200000000001</v>
      </c>
      <c r="G729" s="2">
        <f t="shared" si="334"/>
        <v>32536.1</v>
      </c>
      <c r="H729" s="2">
        <f t="shared" si="334"/>
        <v>34467.4</v>
      </c>
      <c r="I729" s="2">
        <f t="shared" si="334"/>
        <v>42249.1</v>
      </c>
      <c r="J729" s="2">
        <f t="shared" si="334"/>
        <v>51925.4</v>
      </c>
      <c r="K729" s="2">
        <f t="shared" si="334"/>
        <v>66037.599999999991</v>
      </c>
      <c r="L729" s="2">
        <f t="shared" si="334"/>
        <v>68745.7</v>
      </c>
      <c r="M729" s="2">
        <f t="shared" si="334"/>
        <v>71951.375</v>
      </c>
      <c r="N729" s="2">
        <f t="shared" si="334"/>
        <v>74615.900000000009</v>
      </c>
      <c r="O729" s="2">
        <f t="shared" si="334"/>
        <v>78043.900000000009</v>
      </c>
      <c r="P729" s="64">
        <f>D730+D731+D732+D733</f>
        <v>584661.17500000005</v>
      </c>
      <c r="Q729" s="64"/>
    </row>
    <row r="730" spans="1:17" ht="19.5" customHeight="1" x14ac:dyDescent="0.2">
      <c r="A730" s="118"/>
      <c r="B730" s="149"/>
      <c r="C730" s="51" t="s">
        <v>10</v>
      </c>
      <c r="D730" s="1">
        <f t="shared" si="307"/>
        <v>0</v>
      </c>
      <c r="E730" s="1">
        <f t="shared" ref="E730:K733" si="335">E735</f>
        <v>0</v>
      </c>
      <c r="F730" s="1">
        <f t="shared" si="335"/>
        <v>0</v>
      </c>
      <c r="G730" s="1">
        <f t="shared" si="335"/>
        <v>0</v>
      </c>
      <c r="H730" s="1">
        <f t="shared" si="335"/>
        <v>0</v>
      </c>
      <c r="I730" s="1">
        <f t="shared" si="335"/>
        <v>0</v>
      </c>
      <c r="J730" s="1">
        <f t="shared" si="335"/>
        <v>0</v>
      </c>
      <c r="K730" s="1">
        <f t="shared" si="335"/>
        <v>0</v>
      </c>
      <c r="L730" s="1">
        <f t="shared" ref="L730:O731" si="336">L735</f>
        <v>0</v>
      </c>
      <c r="M730" s="1">
        <f t="shared" si="336"/>
        <v>0</v>
      </c>
      <c r="N730" s="1">
        <f t="shared" si="336"/>
        <v>0</v>
      </c>
      <c r="O730" s="1">
        <f t="shared" si="336"/>
        <v>0</v>
      </c>
    </row>
    <row r="731" spans="1:17" ht="16.5" customHeight="1" x14ac:dyDescent="0.2">
      <c r="A731" s="118"/>
      <c r="B731" s="149"/>
      <c r="C731" s="51" t="s">
        <v>11</v>
      </c>
      <c r="D731" s="1">
        <f t="shared" si="307"/>
        <v>0</v>
      </c>
      <c r="E731" s="1">
        <f t="shared" si="335"/>
        <v>0</v>
      </c>
      <c r="F731" s="1">
        <f t="shared" si="335"/>
        <v>0</v>
      </c>
      <c r="G731" s="1">
        <f t="shared" si="335"/>
        <v>0</v>
      </c>
      <c r="H731" s="1">
        <f t="shared" si="335"/>
        <v>0</v>
      </c>
      <c r="I731" s="1">
        <f t="shared" si="335"/>
        <v>0</v>
      </c>
      <c r="J731" s="1">
        <f>J736</f>
        <v>0</v>
      </c>
      <c r="K731" s="1">
        <f>K736</f>
        <v>0</v>
      </c>
      <c r="L731" s="1">
        <f t="shared" si="336"/>
        <v>0</v>
      </c>
      <c r="M731" s="1">
        <f t="shared" si="336"/>
        <v>0</v>
      </c>
      <c r="N731" s="1">
        <f t="shared" si="336"/>
        <v>0</v>
      </c>
      <c r="O731" s="1">
        <f t="shared" si="336"/>
        <v>0</v>
      </c>
    </row>
    <row r="732" spans="1:17" ht="15" customHeight="1" x14ac:dyDescent="0.2">
      <c r="A732" s="118"/>
      <c r="B732" s="149"/>
      <c r="C732" s="51" t="s">
        <v>12</v>
      </c>
      <c r="D732" s="1">
        <f t="shared" si="307"/>
        <v>584661.17500000005</v>
      </c>
      <c r="E732" s="1">
        <f>E737</f>
        <v>31873.5</v>
      </c>
      <c r="F732" s="1">
        <f t="shared" si="335"/>
        <v>32215.200000000001</v>
      </c>
      <c r="G732" s="1">
        <f>G734</f>
        <v>32536.1</v>
      </c>
      <c r="H732" s="1">
        <f>H734</f>
        <v>34467.4</v>
      </c>
      <c r="I732" s="1">
        <f>I734</f>
        <v>42249.1</v>
      </c>
      <c r="J732" s="1">
        <f t="shared" ref="J732:M732" si="337">J737</f>
        <v>51925.4</v>
      </c>
      <c r="K732" s="1">
        <f t="shared" si="337"/>
        <v>66037.599999999991</v>
      </c>
      <c r="L732" s="1">
        <f t="shared" si="337"/>
        <v>68745.7</v>
      </c>
      <c r="M732" s="1">
        <f t="shared" si="337"/>
        <v>71951.375</v>
      </c>
      <c r="N732" s="1">
        <f>N737</f>
        <v>74615.900000000009</v>
      </c>
      <c r="O732" s="1">
        <f>O737</f>
        <v>78043.900000000009</v>
      </c>
    </row>
    <row r="733" spans="1:17" s="5" customFormat="1" ht="45" customHeight="1" x14ac:dyDescent="0.25">
      <c r="A733" s="118"/>
      <c r="B733" s="149"/>
      <c r="C733" s="51" t="s">
        <v>13</v>
      </c>
      <c r="D733" s="1">
        <f t="shared" si="307"/>
        <v>0</v>
      </c>
      <c r="E733" s="1">
        <f t="shared" si="335"/>
        <v>0</v>
      </c>
      <c r="F733" s="1">
        <f t="shared" si="335"/>
        <v>0</v>
      </c>
      <c r="G733" s="1">
        <f t="shared" si="335"/>
        <v>0</v>
      </c>
      <c r="H733" s="1">
        <f t="shared" si="335"/>
        <v>0</v>
      </c>
      <c r="I733" s="1">
        <f t="shared" si="335"/>
        <v>0</v>
      </c>
      <c r="J733" s="1">
        <f t="shared" ref="J733:O733" si="338">J738</f>
        <v>0</v>
      </c>
      <c r="K733" s="1">
        <f t="shared" si="338"/>
        <v>0</v>
      </c>
      <c r="L733" s="1">
        <f t="shared" si="338"/>
        <v>0</v>
      </c>
      <c r="M733" s="1">
        <f t="shared" si="338"/>
        <v>0</v>
      </c>
      <c r="N733" s="1">
        <f t="shared" si="338"/>
        <v>0</v>
      </c>
      <c r="O733" s="1">
        <f t="shared" si="338"/>
        <v>0</v>
      </c>
    </row>
    <row r="734" spans="1:17" ht="15.75" customHeight="1" x14ac:dyDescent="0.2">
      <c r="A734" s="116" t="s">
        <v>334</v>
      </c>
      <c r="B734" s="111" t="s">
        <v>144</v>
      </c>
      <c r="C734" s="51" t="s">
        <v>7</v>
      </c>
      <c r="D734" s="1">
        <f t="shared" si="307"/>
        <v>584661.17500000005</v>
      </c>
      <c r="E734" s="1">
        <f t="shared" ref="E734:O734" si="339">SUM(E735:E738)</f>
        <v>31873.5</v>
      </c>
      <c r="F734" s="1">
        <f t="shared" si="339"/>
        <v>32215.200000000001</v>
      </c>
      <c r="G734" s="1">
        <f t="shared" si="339"/>
        <v>32536.1</v>
      </c>
      <c r="H734" s="1">
        <f t="shared" si="339"/>
        <v>34467.4</v>
      </c>
      <c r="I734" s="1">
        <f t="shared" si="339"/>
        <v>42249.1</v>
      </c>
      <c r="J734" s="1">
        <f t="shared" si="339"/>
        <v>51925.4</v>
      </c>
      <c r="K734" s="1">
        <f t="shared" si="339"/>
        <v>66037.599999999991</v>
      </c>
      <c r="L734" s="1">
        <f t="shared" si="339"/>
        <v>68745.7</v>
      </c>
      <c r="M734" s="1">
        <f t="shared" si="339"/>
        <v>71951.375</v>
      </c>
      <c r="N734" s="1">
        <f t="shared" si="339"/>
        <v>74615.900000000009</v>
      </c>
      <c r="O734" s="1">
        <f t="shared" si="339"/>
        <v>78043.900000000009</v>
      </c>
    </row>
    <row r="735" spans="1:17" ht="17.25" customHeight="1" x14ac:dyDescent="0.2">
      <c r="A735" s="116"/>
      <c r="B735" s="111"/>
      <c r="C735" s="51" t="s">
        <v>10</v>
      </c>
      <c r="D735" s="1">
        <f t="shared" si="307"/>
        <v>0</v>
      </c>
      <c r="E735" s="1">
        <v>0</v>
      </c>
      <c r="F735" s="1">
        <v>0</v>
      </c>
      <c r="G735" s="1">
        <v>0</v>
      </c>
      <c r="H735" s="1">
        <v>0</v>
      </c>
      <c r="I735" s="1">
        <v>0</v>
      </c>
      <c r="J735" s="1">
        <v>0</v>
      </c>
      <c r="K735" s="1">
        <v>0</v>
      </c>
      <c r="L735" s="1">
        <v>0</v>
      </c>
      <c r="M735" s="1">
        <v>0</v>
      </c>
      <c r="N735" s="1">
        <v>0</v>
      </c>
      <c r="O735" s="1">
        <v>0</v>
      </c>
    </row>
    <row r="736" spans="1:17" ht="18" customHeight="1" x14ac:dyDescent="0.2">
      <c r="A736" s="116"/>
      <c r="B736" s="111"/>
      <c r="C736" s="51" t="s">
        <v>11</v>
      </c>
      <c r="D736" s="1">
        <f t="shared" si="307"/>
        <v>0</v>
      </c>
      <c r="E736" s="1">
        <v>0</v>
      </c>
      <c r="F736" s="1">
        <v>0</v>
      </c>
      <c r="G736" s="1">
        <v>0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1">
        <v>0</v>
      </c>
    </row>
    <row r="737" spans="1:15" ht="18" customHeight="1" x14ac:dyDescent="0.2">
      <c r="A737" s="116"/>
      <c r="B737" s="111"/>
      <c r="C737" s="51" t="s">
        <v>12</v>
      </c>
      <c r="D737" s="1">
        <f t="shared" si="307"/>
        <v>584661.17500000005</v>
      </c>
      <c r="E737" s="1">
        <f>E742</f>
        <v>31873.5</v>
      </c>
      <c r="F737" s="1">
        <f>F742</f>
        <v>32215.200000000001</v>
      </c>
      <c r="G737" s="1">
        <f>G742</f>
        <v>32536.1</v>
      </c>
      <c r="H737" s="1">
        <f t="shared" ref="H737:O737" si="340">H742</f>
        <v>34467.4</v>
      </c>
      <c r="I737" s="1">
        <f t="shared" si="340"/>
        <v>42249.1</v>
      </c>
      <c r="J737" s="1">
        <f t="shared" si="340"/>
        <v>51925.4</v>
      </c>
      <c r="K737" s="1">
        <f t="shared" si="340"/>
        <v>66037.599999999991</v>
      </c>
      <c r="L737" s="1">
        <f t="shared" si="340"/>
        <v>68745.7</v>
      </c>
      <c r="M737" s="1">
        <f t="shared" si="340"/>
        <v>71951.375</v>
      </c>
      <c r="N737" s="1">
        <f t="shared" si="340"/>
        <v>74615.900000000009</v>
      </c>
      <c r="O737" s="1">
        <f t="shared" si="340"/>
        <v>78043.900000000009</v>
      </c>
    </row>
    <row r="738" spans="1:15" ht="15.75" customHeight="1" x14ac:dyDescent="0.2">
      <c r="A738" s="116"/>
      <c r="B738" s="111"/>
      <c r="C738" s="51" t="s">
        <v>13</v>
      </c>
      <c r="D738" s="1">
        <f t="shared" si="307"/>
        <v>0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</row>
    <row r="739" spans="1:15" ht="15.75" x14ac:dyDescent="0.2">
      <c r="A739" s="116" t="s">
        <v>143</v>
      </c>
      <c r="B739" s="111" t="s">
        <v>56</v>
      </c>
      <c r="C739" s="51" t="s">
        <v>7</v>
      </c>
      <c r="D739" s="1">
        <f t="shared" si="307"/>
        <v>584661.17500000005</v>
      </c>
      <c r="E739" s="1">
        <f t="shared" ref="E739:O739" si="341">SUM(E740:E743)</f>
        <v>31873.5</v>
      </c>
      <c r="F739" s="1">
        <f t="shared" si="341"/>
        <v>32215.200000000001</v>
      </c>
      <c r="G739" s="1">
        <f t="shared" si="341"/>
        <v>32536.1</v>
      </c>
      <c r="H739" s="1">
        <f t="shared" si="341"/>
        <v>34467.4</v>
      </c>
      <c r="I739" s="1">
        <f t="shared" si="341"/>
        <v>42249.1</v>
      </c>
      <c r="J739" s="1">
        <f t="shared" si="341"/>
        <v>51925.4</v>
      </c>
      <c r="K739" s="1">
        <f t="shared" si="341"/>
        <v>66037.599999999991</v>
      </c>
      <c r="L739" s="1">
        <f t="shared" si="341"/>
        <v>68745.7</v>
      </c>
      <c r="M739" s="1">
        <f t="shared" si="341"/>
        <v>71951.375</v>
      </c>
      <c r="N739" s="1">
        <f t="shared" si="341"/>
        <v>74615.900000000009</v>
      </c>
      <c r="O739" s="1">
        <f t="shared" si="341"/>
        <v>78043.900000000009</v>
      </c>
    </row>
    <row r="740" spans="1:15" ht="15.75" x14ac:dyDescent="0.2">
      <c r="A740" s="116"/>
      <c r="B740" s="111"/>
      <c r="C740" s="51" t="s">
        <v>10</v>
      </c>
      <c r="D740" s="1">
        <f t="shared" si="307"/>
        <v>0</v>
      </c>
      <c r="E740" s="1">
        <v>0</v>
      </c>
      <c r="F740" s="1">
        <v>0</v>
      </c>
      <c r="G740" s="1">
        <v>0</v>
      </c>
      <c r="H740" s="1">
        <v>0</v>
      </c>
      <c r="I740" s="1">
        <v>0</v>
      </c>
      <c r="J740" s="1">
        <v>0</v>
      </c>
      <c r="K740" s="1">
        <v>0</v>
      </c>
      <c r="L740" s="1">
        <v>0</v>
      </c>
      <c r="M740" s="1">
        <v>0</v>
      </c>
      <c r="N740" s="1">
        <v>0</v>
      </c>
      <c r="O740" s="1">
        <v>0</v>
      </c>
    </row>
    <row r="741" spans="1:15" ht="15.75" x14ac:dyDescent="0.2">
      <c r="A741" s="116"/>
      <c r="B741" s="111"/>
      <c r="C741" s="51" t="s">
        <v>11</v>
      </c>
      <c r="D741" s="1">
        <f t="shared" si="307"/>
        <v>0</v>
      </c>
      <c r="E741" s="1">
        <v>0</v>
      </c>
      <c r="F741" s="1">
        <v>0</v>
      </c>
      <c r="G741" s="1">
        <v>0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</row>
    <row r="742" spans="1:15" ht="15.75" x14ac:dyDescent="0.2">
      <c r="A742" s="116"/>
      <c r="B742" s="111"/>
      <c r="C742" s="51" t="s">
        <v>12</v>
      </c>
      <c r="D742" s="1">
        <f t="shared" si="307"/>
        <v>584661.17500000005</v>
      </c>
      <c r="E742" s="1">
        <v>31873.5</v>
      </c>
      <c r="F742" s="1">
        <v>32215.200000000001</v>
      </c>
      <c r="G742" s="1">
        <v>32536.1</v>
      </c>
      <c r="H742" s="1">
        <v>34467.4</v>
      </c>
      <c r="I742" s="1">
        <f>41599.1+650</f>
        <v>42249.1</v>
      </c>
      <c r="J742" s="1">
        <f>42649.1+750.8+7821.5+406.1+218.1+79.8</f>
        <v>51925.4</v>
      </c>
      <c r="K742" s="1">
        <f>57248.6+400.1+8388.9</f>
        <v>66037.599999999991</v>
      </c>
      <c r="L742" s="1">
        <f>67673.6+671.4-0.1+56.6+181.4+400-400-56.6-181.4-600+600+163+135.8+102</f>
        <v>68745.7</v>
      </c>
      <c r="M742" s="1">
        <f>70380+663.1+70.8+258.275+579.2</f>
        <v>71951.375</v>
      </c>
      <c r="N742" s="1">
        <f>73150.6+1465.3</f>
        <v>74615.900000000009</v>
      </c>
      <c r="O742" s="1">
        <f>73150.6+4893.3</f>
        <v>78043.900000000009</v>
      </c>
    </row>
    <row r="743" spans="1:15" ht="21.75" customHeight="1" x14ac:dyDescent="0.2">
      <c r="A743" s="116"/>
      <c r="B743" s="111"/>
      <c r="C743" s="51" t="s">
        <v>13</v>
      </c>
      <c r="D743" s="1">
        <f t="shared" si="307"/>
        <v>0</v>
      </c>
      <c r="E743" s="1">
        <v>0</v>
      </c>
      <c r="F743" s="1">
        <v>0</v>
      </c>
      <c r="G743" s="1">
        <v>0</v>
      </c>
      <c r="H743" s="1">
        <v>0</v>
      </c>
      <c r="I743" s="1">
        <v>0</v>
      </c>
      <c r="J743" s="1">
        <v>0</v>
      </c>
      <c r="K743" s="1">
        <v>0</v>
      </c>
      <c r="L743" s="1">
        <v>0</v>
      </c>
      <c r="M743" s="1">
        <v>0</v>
      </c>
      <c r="N743" s="1">
        <v>0</v>
      </c>
      <c r="O743" s="1">
        <v>0</v>
      </c>
    </row>
    <row r="744" spans="1:15" ht="21.75" customHeight="1" x14ac:dyDescent="0.2">
      <c r="A744" s="89"/>
      <c r="B744" s="90"/>
      <c r="C744" s="91"/>
      <c r="D744" s="78"/>
      <c r="E744" s="78"/>
      <c r="F744" s="78"/>
      <c r="G744" s="78"/>
      <c r="H744" s="78"/>
      <c r="I744" s="78"/>
      <c r="J744" s="78"/>
      <c r="K744" s="78"/>
      <c r="L744" s="78"/>
      <c r="M744" s="78"/>
      <c r="N744" s="78"/>
      <c r="O744" s="78"/>
    </row>
    <row r="745" spans="1:15" ht="15.75" x14ac:dyDescent="0.2">
      <c r="A745" s="92"/>
      <c r="B745" s="92"/>
      <c r="C745" s="92"/>
      <c r="D745" s="93"/>
      <c r="E745" s="92"/>
      <c r="F745" s="92"/>
      <c r="G745" s="92"/>
      <c r="H745" s="94"/>
      <c r="I745" s="92"/>
      <c r="J745" s="92"/>
      <c r="K745" s="95"/>
    </row>
  </sheetData>
  <autoFilter ref="A7:Y743"/>
  <mergeCells count="274">
    <mergeCell ref="A388:A392"/>
    <mergeCell ref="B388:B392"/>
    <mergeCell ref="A383:A387"/>
    <mergeCell ref="B383:B387"/>
    <mergeCell ref="A49:A54"/>
    <mergeCell ref="B49:B54"/>
    <mergeCell ref="A714:A718"/>
    <mergeCell ref="B714:B718"/>
    <mergeCell ref="B481:B485"/>
    <mergeCell ref="A456:A460"/>
    <mergeCell ref="B553:B558"/>
    <mergeCell ref="A559:A563"/>
    <mergeCell ref="B559:B563"/>
    <mergeCell ref="A535:A539"/>
    <mergeCell ref="B535:B539"/>
    <mergeCell ref="B564:B568"/>
    <mergeCell ref="B515:B519"/>
    <mergeCell ref="A613:A617"/>
    <mergeCell ref="B608:B612"/>
    <mergeCell ref="B690:B696"/>
    <mergeCell ref="A665:A669"/>
    <mergeCell ref="B665:B669"/>
    <mergeCell ref="B650:B654"/>
    <mergeCell ref="A650:A654"/>
    <mergeCell ref="B60:B66"/>
    <mergeCell ref="B143:B150"/>
    <mergeCell ref="B127:B135"/>
    <mergeCell ref="B119:B126"/>
    <mergeCell ref="A378:A382"/>
    <mergeCell ref="B378:B382"/>
    <mergeCell ref="B198:B202"/>
    <mergeCell ref="B177:B182"/>
    <mergeCell ref="A660:A664"/>
    <mergeCell ref="B660:B664"/>
    <mergeCell ref="B574:B581"/>
    <mergeCell ref="A547:A552"/>
    <mergeCell ref="A574:A581"/>
    <mergeCell ref="A618:A622"/>
    <mergeCell ref="A569:A573"/>
    <mergeCell ref="A598:A602"/>
    <mergeCell ref="A564:A568"/>
    <mergeCell ref="B603:B607"/>
    <mergeCell ref="A608:A612"/>
    <mergeCell ref="A603:A607"/>
    <mergeCell ref="A582:A587"/>
    <mergeCell ref="A593:A597"/>
    <mergeCell ref="A638:A643"/>
    <mergeCell ref="B638:B643"/>
    <mergeCell ref="A633:A637"/>
    <mergeCell ref="B633:B637"/>
    <mergeCell ref="A413:A417"/>
    <mergeCell ref="B413:B417"/>
    <mergeCell ref="A408:A412"/>
    <mergeCell ref="B503:B507"/>
    <mergeCell ref="B438:B443"/>
    <mergeCell ref="A423:A427"/>
    <mergeCell ref="A508:A514"/>
    <mergeCell ref="B520:B524"/>
    <mergeCell ref="B418:B422"/>
    <mergeCell ref="A418:A422"/>
    <mergeCell ref="A428:A432"/>
    <mergeCell ref="B428:B432"/>
    <mergeCell ref="A491:A495"/>
    <mergeCell ref="B491:B495"/>
    <mergeCell ref="A466:A470"/>
    <mergeCell ref="B466:B470"/>
    <mergeCell ref="B451:B455"/>
    <mergeCell ref="B461:B465"/>
    <mergeCell ref="A433:A437"/>
    <mergeCell ref="B433:B437"/>
    <mergeCell ref="L1:O1"/>
    <mergeCell ref="D5:O5"/>
    <mergeCell ref="A228:A232"/>
    <mergeCell ref="A218:A222"/>
    <mergeCell ref="A223:A227"/>
    <mergeCell ref="B223:B227"/>
    <mergeCell ref="B105:B111"/>
    <mergeCell ref="A105:A111"/>
    <mergeCell ref="A112:A118"/>
    <mergeCell ref="B157:B162"/>
    <mergeCell ref="C5:C6"/>
    <mergeCell ref="A5:A6"/>
    <mergeCell ref="B5:B6"/>
    <mergeCell ref="B8:B17"/>
    <mergeCell ref="A8:A17"/>
    <mergeCell ref="A119:A126"/>
    <mergeCell ref="A4:J4"/>
    <mergeCell ref="A28:A36"/>
    <mergeCell ref="B28:B36"/>
    <mergeCell ref="B188:B192"/>
    <mergeCell ref="A73:A79"/>
    <mergeCell ref="B170:B176"/>
    <mergeCell ref="A136:A142"/>
    <mergeCell ref="A143:A150"/>
    <mergeCell ref="A37:A42"/>
    <mergeCell ref="B37:B42"/>
    <mergeCell ref="B43:B48"/>
    <mergeCell ref="A43:A48"/>
    <mergeCell ref="A203:A207"/>
    <mergeCell ref="A18:A27"/>
    <mergeCell ref="A438:A443"/>
    <mergeCell ref="B18:B27"/>
    <mergeCell ref="B55:B59"/>
    <mergeCell ref="B73:B79"/>
    <mergeCell ref="A348:A352"/>
    <mergeCell ref="A398:A402"/>
    <mergeCell ref="A393:A397"/>
    <mergeCell ref="A283:A287"/>
    <mergeCell ref="B278:B282"/>
    <mergeCell ref="B348:B352"/>
    <mergeCell ref="A338:A342"/>
    <mergeCell ref="B338:B342"/>
    <mergeCell ref="A308:A312"/>
    <mergeCell ref="B308:B312"/>
    <mergeCell ref="B293:B297"/>
    <mergeCell ref="A333:A337"/>
    <mergeCell ref="B333:B337"/>
    <mergeCell ref="A288:A292"/>
    <mergeCell ref="L2:O2"/>
    <mergeCell ref="B163:B169"/>
    <mergeCell ref="B3:N3"/>
    <mergeCell ref="B93:B98"/>
    <mergeCell ref="A193:A197"/>
    <mergeCell ref="B193:B197"/>
    <mergeCell ref="B136:B142"/>
    <mergeCell ref="A188:A192"/>
    <mergeCell ref="A343:A347"/>
    <mergeCell ref="B343:B347"/>
    <mergeCell ref="A313:A317"/>
    <mergeCell ref="A318:A322"/>
    <mergeCell ref="B318:B322"/>
    <mergeCell ref="A323:A327"/>
    <mergeCell ref="B323:B327"/>
    <mergeCell ref="A328:A332"/>
    <mergeCell ref="B328:B332"/>
    <mergeCell ref="B283:B287"/>
    <mergeCell ref="B208:B212"/>
    <mergeCell ref="A213:A217"/>
    <mergeCell ref="A198:A202"/>
    <mergeCell ref="A238:A242"/>
    <mergeCell ref="B313:B317"/>
    <mergeCell ref="A278:A282"/>
    <mergeCell ref="A739:A743"/>
    <mergeCell ref="B734:B738"/>
    <mergeCell ref="A734:A738"/>
    <mergeCell ref="B739:B743"/>
    <mergeCell ref="B628:B632"/>
    <mergeCell ref="A628:A632"/>
    <mergeCell ref="A704:A708"/>
    <mergeCell ref="B704:B708"/>
    <mergeCell ref="A729:A733"/>
    <mergeCell ref="B729:B733"/>
    <mergeCell ref="B697:B703"/>
    <mergeCell ref="A697:A703"/>
    <mergeCell ref="A709:A713"/>
    <mergeCell ref="B709:B713"/>
    <mergeCell ref="A644:A649"/>
    <mergeCell ref="B644:B649"/>
    <mergeCell ref="A690:A696"/>
    <mergeCell ref="A724:A728"/>
    <mergeCell ref="B724:B728"/>
    <mergeCell ref="A719:A723"/>
    <mergeCell ref="B719:B723"/>
    <mergeCell ref="A680:A684"/>
    <mergeCell ref="B680:B684"/>
    <mergeCell ref="A670:A674"/>
    <mergeCell ref="B288:B292"/>
    <mergeCell ref="A303:A307"/>
    <mergeCell ref="B303:B307"/>
    <mergeCell ref="B213:B217"/>
    <mergeCell ref="B203:B207"/>
    <mergeCell ref="B248:B252"/>
    <mergeCell ref="A233:A237"/>
    <mergeCell ref="B253:B257"/>
    <mergeCell ref="B233:B237"/>
    <mergeCell ref="B228:B232"/>
    <mergeCell ref="A253:A257"/>
    <mergeCell ref="B243:B247"/>
    <mergeCell ref="A55:A59"/>
    <mergeCell ref="B99:B104"/>
    <mergeCell ref="B86:B92"/>
    <mergeCell ref="B112:B118"/>
    <mergeCell ref="A93:A98"/>
    <mergeCell ref="A127:A135"/>
    <mergeCell ref="B238:B242"/>
    <mergeCell ref="B218:B222"/>
    <mergeCell ref="B67:B72"/>
    <mergeCell ref="A99:A104"/>
    <mergeCell ref="A163:A169"/>
    <mergeCell ref="A157:A162"/>
    <mergeCell ref="A86:A92"/>
    <mergeCell ref="A151:A156"/>
    <mergeCell ref="B151:B156"/>
    <mergeCell ref="A177:A182"/>
    <mergeCell ref="A208:A212"/>
    <mergeCell ref="B183:B187"/>
    <mergeCell ref="A67:A72"/>
    <mergeCell ref="A80:A85"/>
    <mergeCell ref="A170:A176"/>
    <mergeCell ref="A183:A187"/>
    <mergeCell ref="B80:B85"/>
    <mergeCell ref="A60:A66"/>
    <mergeCell ref="A358:A362"/>
    <mergeCell ref="B358:B362"/>
    <mergeCell ref="B398:B402"/>
    <mergeCell ref="B393:B397"/>
    <mergeCell ref="A403:A407"/>
    <mergeCell ref="B403:B407"/>
    <mergeCell ref="B670:B674"/>
    <mergeCell ref="A675:A679"/>
    <mergeCell ref="B675:B679"/>
    <mergeCell ref="B456:B460"/>
    <mergeCell ref="A503:A507"/>
    <mergeCell ref="B444:B450"/>
    <mergeCell ref="B476:B480"/>
    <mergeCell ref="B582:B587"/>
    <mergeCell ref="B598:B602"/>
    <mergeCell ref="B593:B597"/>
    <mergeCell ref="A530:A534"/>
    <mergeCell ref="A525:A529"/>
    <mergeCell ref="A496:A502"/>
    <mergeCell ref="A540:A546"/>
    <mergeCell ref="B530:B534"/>
    <mergeCell ref="B540:B546"/>
    <mergeCell ref="B525:B529"/>
    <mergeCell ref="B496:B502"/>
    <mergeCell ref="A685:A689"/>
    <mergeCell ref="B685:B689"/>
    <mergeCell ref="B363:B367"/>
    <mergeCell ref="A363:A367"/>
    <mergeCell ref="B368:B372"/>
    <mergeCell ref="B373:B377"/>
    <mergeCell ref="A368:A372"/>
    <mergeCell ref="A373:A377"/>
    <mergeCell ref="A451:A455"/>
    <mergeCell ref="A471:A475"/>
    <mergeCell ref="B471:B475"/>
    <mergeCell ref="A520:A524"/>
    <mergeCell ref="B508:B514"/>
    <mergeCell ref="A461:A465"/>
    <mergeCell ref="A444:A450"/>
    <mergeCell ref="A481:A485"/>
    <mergeCell ref="B547:B552"/>
    <mergeCell ref="B623:B627"/>
    <mergeCell ref="B618:B622"/>
    <mergeCell ref="A623:A627"/>
    <mergeCell ref="A553:A558"/>
    <mergeCell ref="B408:B412"/>
    <mergeCell ref="A486:A490"/>
    <mergeCell ref="B486:B490"/>
    <mergeCell ref="A353:A357"/>
    <mergeCell ref="B353:B357"/>
    <mergeCell ref="B423:B427"/>
    <mergeCell ref="A655:A659"/>
    <mergeCell ref="B655:B659"/>
    <mergeCell ref="A588:A592"/>
    <mergeCell ref="B273:B277"/>
    <mergeCell ref="A273:A277"/>
    <mergeCell ref="A243:A247"/>
    <mergeCell ref="B268:B272"/>
    <mergeCell ref="A268:A272"/>
    <mergeCell ref="A248:A252"/>
    <mergeCell ref="A263:A267"/>
    <mergeCell ref="B263:B267"/>
    <mergeCell ref="A258:A262"/>
    <mergeCell ref="B258:B262"/>
    <mergeCell ref="A298:A302"/>
    <mergeCell ref="B298:B302"/>
    <mergeCell ref="A293:A297"/>
    <mergeCell ref="B613:B617"/>
    <mergeCell ref="B588:B592"/>
    <mergeCell ref="B569:B573"/>
    <mergeCell ref="A515:A519"/>
    <mergeCell ref="A476:A480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2022-05-19T07:26:01Z</cp:lastPrinted>
  <dcterms:created xsi:type="dcterms:W3CDTF">1996-10-08T23:32:33Z</dcterms:created>
  <dcterms:modified xsi:type="dcterms:W3CDTF">2023-04-20T02:15:47Z</dcterms:modified>
</cp:coreProperties>
</file>