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800" windowHeight="12360"/>
  </bookViews>
  <sheets>
    <sheet name="расчет к постан (3)" sheetId="19" r:id="rId1"/>
    <sheet name="долж.окл. (2)" sheetId="15" r:id="rId2"/>
  </sheets>
  <calcPr calcId="152511"/>
</workbook>
</file>

<file path=xl/calcChain.xml><?xml version="1.0" encoding="utf-8"?>
<calcChain xmlns="http://schemas.openxmlformats.org/spreadsheetml/2006/main">
  <c r="M48" i="19" l="1"/>
  <c r="M47" i="19"/>
  <c r="M46" i="19"/>
  <c r="M45" i="19"/>
  <c r="E37" i="19"/>
  <c r="D37" i="19"/>
  <c r="J36" i="19"/>
  <c r="I36" i="19"/>
  <c r="H36" i="19"/>
  <c r="G36" i="19"/>
  <c r="F36" i="19"/>
  <c r="J35" i="19"/>
  <c r="I35" i="19"/>
  <c r="H35" i="19"/>
  <c r="G35" i="19"/>
  <c r="F35" i="19"/>
  <c r="J34" i="19"/>
  <c r="I34" i="19"/>
  <c r="H34" i="19"/>
  <c r="G34" i="19"/>
  <c r="L34" i="19" s="1"/>
  <c r="F34" i="19"/>
  <c r="J33" i="19"/>
  <c r="I33" i="19"/>
  <c r="H33" i="19"/>
  <c r="G33" i="19"/>
  <c r="K33" i="19" s="1"/>
  <c r="F33" i="19"/>
  <c r="J32" i="19"/>
  <c r="I32" i="19"/>
  <c r="H32" i="19"/>
  <c r="G32" i="19"/>
  <c r="F32" i="19"/>
  <c r="J31" i="19"/>
  <c r="I31" i="19"/>
  <c r="H31" i="19"/>
  <c r="G31" i="19"/>
  <c r="F31" i="19"/>
  <c r="J30" i="19"/>
  <c r="I30" i="19"/>
  <c r="H30" i="19"/>
  <c r="G30" i="19"/>
  <c r="F30" i="19"/>
  <c r="J29" i="19"/>
  <c r="I29" i="19"/>
  <c r="H29" i="19"/>
  <c r="G29" i="19"/>
  <c r="L29" i="19" s="1"/>
  <c r="F29" i="19"/>
  <c r="J28" i="19"/>
  <c r="I28" i="19"/>
  <c r="H28" i="19"/>
  <c r="L28" i="19" s="1"/>
  <c r="G28" i="19"/>
  <c r="K28" i="19" s="1"/>
  <c r="F28" i="19"/>
  <c r="J27" i="19"/>
  <c r="I27" i="19"/>
  <c r="H27" i="19"/>
  <c r="G27" i="19"/>
  <c r="F27" i="19"/>
  <c r="J26" i="19"/>
  <c r="J37" i="19" s="1"/>
  <c r="I26" i="19"/>
  <c r="I37" i="19" s="1"/>
  <c r="H26" i="19"/>
  <c r="H37" i="19" s="1"/>
  <c r="G26" i="19"/>
  <c r="F26" i="19"/>
  <c r="F37" i="19" s="1"/>
  <c r="M39" i="19" s="1"/>
  <c r="E17" i="19"/>
  <c r="D17" i="19"/>
  <c r="J16" i="19"/>
  <c r="I16" i="19"/>
  <c r="H16" i="19"/>
  <c r="G16" i="19"/>
  <c r="F16" i="19"/>
  <c r="J15" i="19"/>
  <c r="I15" i="19"/>
  <c r="H15" i="19"/>
  <c r="G15" i="19"/>
  <c r="F15" i="19"/>
  <c r="J14" i="19"/>
  <c r="I14" i="19"/>
  <c r="H14" i="19"/>
  <c r="G14" i="19"/>
  <c r="L14" i="19" s="1"/>
  <c r="F14" i="19"/>
  <c r="J13" i="19"/>
  <c r="I13" i="19"/>
  <c r="H13" i="19"/>
  <c r="L13" i="19" s="1"/>
  <c r="G13" i="19"/>
  <c r="K13" i="19" s="1"/>
  <c r="F13" i="19"/>
  <c r="J12" i="19"/>
  <c r="I12" i="19"/>
  <c r="H12" i="19"/>
  <c r="G12" i="19"/>
  <c r="K12" i="19" s="1"/>
  <c r="F12" i="19"/>
  <c r="J11" i="19"/>
  <c r="I11" i="19"/>
  <c r="H11" i="19"/>
  <c r="L11" i="19" s="1"/>
  <c r="G11" i="19"/>
  <c r="F11" i="19"/>
  <c r="J10" i="19"/>
  <c r="I10" i="19"/>
  <c r="H10" i="19"/>
  <c r="L10" i="19" s="1"/>
  <c r="G10" i="19"/>
  <c r="F10" i="19"/>
  <c r="J9" i="19"/>
  <c r="I9" i="19"/>
  <c r="H9" i="19"/>
  <c r="G9" i="19"/>
  <c r="L9" i="19" s="1"/>
  <c r="F9" i="19"/>
  <c r="J8" i="19"/>
  <c r="I8" i="19"/>
  <c r="H8" i="19"/>
  <c r="L8" i="19" s="1"/>
  <c r="G8" i="19"/>
  <c r="K8" i="19" s="1"/>
  <c r="F8" i="19"/>
  <c r="J7" i="19"/>
  <c r="I7" i="19"/>
  <c r="H7" i="19"/>
  <c r="G7" i="19"/>
  <c r="F7" i="19"/>
  <c r="J6" i="19"/>
  <c r="J17" i="19" s="1"/>
  <c r="I6" i="19"/>
  <c r="I17" i="19" s="1"/>
  <c r="H6" i="19"/>
  <c r="L6" i="19" s="1"/>
  <c r="G6" i="19"/>
  <c r="F6" i="19"/>
  <c r="F17" i="19" s="1"/>
  <c r="M19" i="19" s="1"/>
  <c r="M36" i="19" l="1"/>
  <c r="M7" i="19"/>
  <c r="K32" i="19"/>
  <c r="M32" i="19" s="1"/>
  <c r="L33" i="19"/>
  <c r="M33" i="19" s="1"/>
  <c r="K36" i="19"/>
  <c r="K6" i="19"/>
  <c r="L7" i="19"/>
  <c r="L17" i="19" s="1"/>
  <c r="M8" i="19"/>
  <c r="K10" i="19"/>
  <c r="M10" i="19" s="1"/>
  <c r="K11" i="19"/>
  <c r="M11" i="19" s="1"/>
  <c r="L12" i="19"/>
  <c r="M12" i="19" s="1"/>
  <c r="M13" i="19"/>
  <c r="K15" i="19"/>
  <c r="L16" i="19"/>
  <c r="G17" i="19"/>
  <c r="K26" i="19"/>
  <c r="L27" i="19"/>
  <c r="M28" i="19"/>
  <c r="K30" i="19"/>
  <c r="M30" i="19" s="1"/>
  <c r="K31" i="19"/>
  <c r="M31" i="19" s="1"/>
  <c r="L32" i="19"/>
  <c r="K35" i="19"/>
  <c r="M35" i="19" s="1"/>
  <c r="L36" i="19"/>
  <c r="G37" i="19"/>
  <c r="K7" i="19"/>
  <c r="K16" i="19"/>
  <c r="M16" i="19" s="1"/>
  <c r="K27" i="19"/>
  <c r="M27" i="19" s="1"/>
  <c r="K9" i="19"/>
  <c r="M9" i="19" s="1"/>
  <c r="K14" i="19"/>
  <c r="M14" i="19" s="1"/>
  <c r="L15" i="19"/>
  <c r="M15" i="19" s="1"/>
  <c r="H17" i="19"/>
  <c r="L26" i="19"/>
  <c r="K29" i="19"/>
  <c r="M29" i="19" s="1"/>
  <c r="L30" i="19"/>
  <c r="L31" i="19"/>
  <c r="K34" i="19"/>
  <c r="M34" i="19" s="1"/>
  <c r="L35" i="19"/>
  <c r="P34" i="19" l="1"/>
  <c r="O34" i="19"/>
  <c r="N34" i="19"/>
  <c r="O33" i="19"/>
  <c r="P33" i="19"/>
  <c r="N33" i="19"/>
  <c r="N12" i="19"/>
  <c r="P12" i="19"/>
  <c r="O12" i="19"/>
  <c r="N32" i="19"/>
  <c r="O32" i="19"/>
  <c r="P32" i="19"/>
  <c r="P9" i="19"/>
  <c r="Q10" i="19" s="1"/>
  <c r="O9" i="19"/>
  <c r="N9" i="19"/>
  <c r="P30" i="19"/>
  <c r="O30" i="19"/>
  <c r="N30" i="19"/>
  <c r="N16" i="19"/>
  <c r="P16" i="19"/>
  <c r="O16" i="19"/>
  <c r="N11" i="19"/>
  <c r="P11" i="19"/>
  <c r="O11" i="19"/>
  <c r="P31" i="19"/>
  <c r="O31" i="19"/>
  <c r="N31" i="19"/>
  <c r="N27" i="19"/>
  <c r="O27" i="19"/>
  <c r="P27" i="19"/>
  <c r="P15" i="19"/>
  <c r="O15" i="19"/>
  <c r="N15" i="19"/>
  <c r="N35" i="19"/>
  <c r="P35" i="19"/>
  <c r="O35" i="19"/>
  <c r="P14" i="19"/>
  <c r="O14" i="19"/>
  <c r="N14" i="19"/>
  <c r="P10" i="19"/>
  <c r="O10" i="19"/>
  <c r="N10" i="19"/>
  <c r="K37" i="19"/>
  <c r="M26" i="19"/>
  <c r="O13" i="19"/>
  <c r="N13" i="19"/>
  <c r="P13" i="19"/>
  <c r="N36" i="19"/>
  <c r="O36" i="19"/>
  <c r="P36" i="19"/>
  <c r="O28" i="19"/>
  <c r="N28" i="19"/>
  <c r="P28" i="19"/>
  <c r="K17" i="19"/>
  <c r="M6" i="19"/>
  <c r="O8" i="19"/>
  <c r="N8" i="19"/>
  <c r="P8" i="19"/>
  <c r="N7" i="19"/>
  <c r="O7" i="19"/>
  <c r="P7" i="19"/>
  <c r="P29" i="19"/>
  <c r="Q30" i="19" s="1"/>
  <c r="O29" i="19"/>
  <c r="N29" i="19"/>
  <c r="L37" i="19"/>
  <c r="M37" i="19" l="1"/>
  <c r="M38" i="19" s="1"/>
  <c r="M41" i="19" s="1"/>
  <c r="P26" i="19"/>
  <c r="N26" i="19"/>
  <c r="N37" i="19" s="1"/>
  <c r="O26" i="19"/>
  <c r="M17" i="19"/>
  <c r="M18" i="19" s="1"/>
  <c r="M21" i="19" s="1"/>
  <c r="N6" i="19"/>
  <c r="N17" i="19" s="1"/>
  <c r="P6" i="19"/>
  <c r="O6" i="19"/>
  <c r="M44" i="19" l="1"/>
  <c r="C3" i="15" l="1"/>
  <c r="C4" i="15"/>
  <c r="C5" i="15"/>
  <c r="C6" i="15"/>
  <c r="C7" i="15"/>
  <c r="C8" i="15"/>
  <c r="C9" i="15"/>
  <c r="C10" i="15"/>
  <c r="C11" i="15"/>
  <c r="C2" i="15"/>
</calcChain>
</file>

<file path=xl/sharedStrings.xml><?xml version="1.0" encoding="utf-8"?>
<sst xmlns="http://schemas.openxmlformats.org/spreadsheetml/2006/main" count="89" uniqueCount="53">
  <si>
    <t>Должность</t>
  </si>
  <si>
    <t>Заместитель главного бухгалтера</t>
  </si>
  <si>
    <t>Начальник отдела</t>
  </si>
  <si>
    <t>Руководитель сектора</t>
  </si>
  <si>
    <t>Начальник</t>
  </si>
  <si>
    <t>Заместитель начальника</t>
  </si>
  <si>
    <t>Главный бухгалтер</t>
  </si>
  <si>
    <t>действующий оклад</t>
  </si>
  <si>
    <t>Делопроизводитель, секретарь</t>
  </si>
  <si>
    <t>Водитель</t>
  </si>
  <si>
    <t>Итого:</t>
  </si>
  <si>
    <t>Ведущий специалист по кадрам</t>
  </si>
  <si>
    <t>Ведущий специалист ИТО</t>
  </si>
  <si>
    <t>Водитель автомобиля</t>
  </si>
  <si>
    <t>Секретарь</t>
  </si>
  <si>
    <t>Ведущий бухгалтер, экономист, юрисконсульт, ведущий специалист по кадрам</t>
  </si>
  <si>
    <t>Экономист 1 категории, бухгалтер 1 категории</t>
  </si>
  <si>
    <t xml:space="preserve">№пп </t>
  </si>
  <si>
    <t>Надбавка за сложность и напряженность</t>
  </si>
  <si>
    <t>Надбавка за выслугу лет</t>
  </si>
  <si>
    <t>Ежемесячная премия (25%)</t>
  </si>
  <si>
    <t>Надбавки, руб.</t>
  </si>
  <si>
    <t>Сумма на руки, руб.</t>
  </si>
  <si>
    <t>за стаж работы</t>
  </si>
  <si>
    <t>район. коэф.</t>
  </si>
  <si>
    <t>Ведущий бухгалтер, ведущий экономист</t>
  </si>
  <si>
    <t>Бухгалтер 1 категории, экономист 1 категории</t>
  </si>
  <si>
    <t>Делопроизводитель</t>
  </si>
  <si>
    <t>Тарифная ставка (оклад), руб.</t>
  </si>
  <si>
    <t>Всего в месяц , руб.</t>
  </si>
  <si>
    <t>Всего в месяц на руки, руб.</t>
  </si>
  <si>
    <t>Юрисконсульт</t>
  </si>
  <si>
    <t>мат.помощь (2 оклада)</t>
  </si>
  <si>
    <t>Итого ВР 111:</t>
  </si>
  <si>
    <t>Дополнительная потребность (ВР 111)</t>
  </si>
  <si>
    <t>Дополнительная потребность (ВР 119)</t>
  </si>
  <si>
    <t>Занятая численность</t>
  </si>
  <si>
    <t>Персональный повышающий коэффициент</t>
  </si>
  <si>
    <t>Всего в месяц на руки на 1 ставку, руб.</t>
  </si>
  <si>
    <t>Утверждено на 2024 год</t>
  </si>
  <si>
    <t>Итого потребность на 2024 год</t>
  </si>
  <si>
    <t>Итого доп.потребность на 2024 год</t>
  </si>
  <si>
    <t>Всего в месяц начислено на 1 ставку, руб.</t>
  </si>
  <si>
    <t>новый оклад + 13%</t>
  </si>
  <si>
    <t>Окладная часть, руб.</t>
  </si>
  <si>
    <t>1,5 ставки с 11.03</t>
  </si>
  <si>
    <t>Расчет дополнительной потребности</t>
  </si>
  <si>
    <t>с мат/пом</t>
  </si>
  <si>
    <t>На действующие должностные оклады с 01.04.2024</t>
  </si>
  <si>
    <t>Потребность на 9 мес.</t>
  </si>
  <si>
    <t>Кассовый расход на 31.03.2024</t>
  </si>
  <si>
    <t>При увеличении должностных окладов с 01.04.2024</t>
  </si>
  <si>
    <t>Экономия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</si>
</sst>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7" fillId="0" borderId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</cellStyleXfs>
  <cellXfs count="59">
    <xf numFmtId="0" fontId="0" fillId="0" borderId="0" xfId="0"/>
    <xf numFmtId="0" fontId="15" fillId="0" borderId="5" xfId="1" applyFont="1" applyFill="1" applyBorder="1" applyAlignment="1">
      <alignment wrapText="1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wrapText="1"/>
    </xf>
    <xf numFmtId="0" fontId="15" fillId="0" borderId="5" xfId="1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Fill="1"/>
    <xf numFmtId="0" fontId="9" fillId="0" borderId="0" xfId="0" applyFont="1"/>
    <xf numFmtId="0" fontId="0" fillId="0" borderId="0" xfId="0" applyFont="1"/>
    <xf numFmtId="0" fontId="15" fillId="0" borderId="0" xfId="1" applyFont="1" applyFill="1"/>
    <xf numFmtId="0" fontId="13" fillId="0" borderId="0" xfId="1" applyFont="1" applyFill="1"/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1" applyFont="1" applyFill="1"/>
    <xf numFmtId="0" fontId="15" fillId="0" borderId="1" xfId="1" applyFont="1" applyFill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center"/>
    </xf>
    <xf numFmtId="0" fontId="18" fillId="0" borderId="0" xfId="1" applyFont="1" applyFill="1" applyAlignment="1">
      <alignment vertical="center" wrapText="1"/>
    </xf>
    <xf numFmtId="0" fontId="15" fillId="0" borderId="1" xfId="1" applyFont="1" applyFill="1" applyBorder="1" applyAlignment="1">
      <alignment horizontal="center" wrapText="1"/>
    </xf>
    <xf numFmtId="0" fontId="16" fillId="0" borderId="1" xfId="1" applyFont="1" applyFill="1" applyBorder="1" applyAlignment="1">
      <alignment horizontal="center"/>
    </xf>
    <xf numFmtId="0" fontId="16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/>
    <xf numFmtId="4" fontId="18" fillId="0" borderId="1" xfId="1" applyNumberFormat="1" applyFont="1" applyFill="1" applyBorder="1" applyAlignment="1">
      <alignment horizontal="center"/>
    </xf>
    <xf numFmtId="4" fontId="18" fillId="0" borderId="0" xfId="1" applyNumberFormat="1" applyFont="1" applyFill="1" applyBorder="1" applyAlignment="1">
      <alignment horizontal="center"/>
    </xf>
    <xf numFmtId="4" fontId="14" fillId="0" borderId="0" xfId="1" applyNumberFormat="1" applyFont="1" applyFill="1" applyAlignment="1">
      <alignment horizontal="center"/>
    </xf>
    <xf numFmtId="4" fontId="12" fillId="0" borderId="0" xfId="1" applyNumberFormat="1" applyFont="1" applyFill="1" applyAlignment="1">
      <alignment horizontal="center"/>
    </xf>
    <xf numFmtId="0" fontId="12" fillId="0" borderId="0" xfId="1" applyFont="1" applyFill="1"/>
    <xf numFmtId="4" fontId="13" fillId="0" borderId="0" xfId="1" applyNumberFormat="1" applyFont="1" applyFill="1"/>
    <xf numFmtId="4" fontId="14" fillId="0" borderId="0" xfId="1" applyNumberFormat="1" applyFont="1" applyFill="1"/>
    <xf numFmtId="0" fontId="8" fillId="0" borderId="1" xfId="12" applyFont="1" applyBorder="1" applyAlignment="1">
      <alignment horizontal="center" vertical="center" wrapText="1"/>
    </xf>
    <xf numFmtId="0" fontId="8" fillId="0" borderId="0" xfId="12" applyFont="1" applyAlignment="1">
      <alignment wrapText="1"/>
    </xf>
    <xf numFmtId="0" fontId="8" fillId="0" borderId="0" xfId="12" applyFont="1"/>
    <xf numFmtId="0" fontId="1" fillId="0" borderId="0" xfId="12"/>
    <xf numFmtId="0" fontId="8" fillId="0" borderId="1" xfId="12" applyFont="1" applyBorder="1" applyAlignment="1">
      <alignment wrapText="1"/>
    </xf>
    <xf numFmtId="4" fontId="8" fillId="0" borderId="1" xfId="12" applyNumberFormat="1" applyFont="1" applyBorder="1" applyAlignment="1">
      <alignment horizontal="center" vertical="center"/>
    </xf>
    <xf numFmtId="0" fontId="11" fillId="0" borderId="0" xfId="12" applyFont="1" applyFill="1"/>
    <xf numFmtId="0" fontId="10" fillId="0" borderId="0" xfId="12" applyFont="1" applyFill="1"/>
    <xf numFmtId="0" fontId="9" fillId="0" borderId="1" xfId="12" applyFont="1" applyFill="1" applyBorder="1" applyAlignment="1">
      <alignment horizontal="center" vertical="center" wrapText="1"/>
    </xf>
    <xf numFmtId="4" fontId="8" fillId="0" borderId="1" xfId="12" applyNumberFormat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vertical="center"/>
    </xf>
    <xf numFmtId="0" fontId="19" fillId="0" borderId="7" xfId="1" applyFont="1" applyFill="1" applyBorder="1" applyAlignment="1">
      <alignment vertical="center"/>
    </xf>
    <xf numFmtId="43" fontId="13" fillId="0" borderId="0" xfId="13" applyFont="1" applyFill="1"/>
    <xf numFmtId="0" fontId="15" fillId="0" borderId="1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center"/>
    </xf>
    <xf numFmtId="43" fontId="13" fillId="0" borderId="0" xfId="1" applyNumberFormat="1" applyFont="1" applyFill="1"/>
    <xf numFmtId="0" fontId="14" fillId="0" borderId="0" xfId="1" applyFont="1" applyFill="1" applyAlignment="1">
      <alignment horizontal="center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20" fillId="0" borderId="0" xfId="1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8" fillId="0" borderId="7" xfId="1" applyFont="1" applyFill="1" applyBorder="1" applyAlignment="1">
      <alignment horizontal="left" vertical="center" wrapText="1"/>
    </xf>
  </cellXfs>
  <cellStyles count="14">
    <cellStyle name="Обычный" xfId="0" builtinId="0"/>
    <cellStyle name="Обычный 2" xfId="1"/>
    <cellStyle name="Обычный 3" xfId="3"/>
    <cellStyle name="Обычный 3 2" xfId="12"/>
    <cellStyle name="Обычный 4" xfId="4"/>
    <cellStyle name="Обычный 5" xfId="6"/>
    <cellStyle name="Обычный 6" xfId="8"/>
    <cellStyle name="Обычный 7" xfId="10"/>
    <cellStyle name="Финансовый" xfId="13" builtinId="3"/>
    <cellStyle name="Финансовый 2" xfId="2"/>
    <cellStyle name="Финансовый 3" xfId="5"/>
    <cellStyle name="Финансовый 4" xfId="7"/>
    <cellStyle name="Финансовый 5" xfId="9"/>
    <cellStyle name="Финансовый 6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Q51"/>
  <sheetViews>
    <sheetView tabSelected="1" topLeftCell="A13" zoomScaleNormal="100" workbookViewId="0">
      <selection activeCell="M46" sqref="M46"/>
    </sheetView>
  </sheetViews>
  <sheetFormatPr defaultRowHeight="12.75" x14ac:dyDescent="0.2"/>
  <cols>
    <col min="1" max="1" width="1.28515625" style="11" customWidth="1"/>
    <col min="2" max="2" width="5.140625" style="11" customWidth="1"/>
    <col min="3" max="3" width="28.42578125" style="11" customWidth="1"/>
    <col min="4" max="4" width="9.28515625" style="11" customWidth="1"/>
    <col min="5" max="5" width="12.7109375" style="11" customWidth="1"/>
    <col min="6" max="6" width="13.140625" style="11" customWidth="1"/>
    <col min="7" max="7" width="13.85546875" style="11" customWidth="1"/>
    <col min="8" max="8" width="13.7109375" style="11" customWidth="1"/>
    <col min="9" max="9" width="13.28515625" style="11" customWidth="1"/>
    <col min="10" max="10" width="13.42578125" style="11" customWidth="1"/>
    <col min="11" max="11" width="15.140625" style="11" customWidth="1"/>
    <col min="12" max="12" width="13.85546875" style="11" customWidth="1"/>
    <col min="13" max="13" width="16.140625" style="11" customWidth="1"/>
    <col min="14" max="14" width="14.7109375" style="11" hidden="1" customWidth="1"/>
    <col min="15" max="16" width="16.140625" style="11" customWidth="1"/>
    <col min="17" max="17" width="13.42578125" style="11" customWidth="1"/>
    <col min="18" max="16384" width="9.140625" style="11"/>
  </cols>
  <sheetData>
    <row r="1" spans="2:17" ht="23.25" customHeight="1" x14ac:dyDescent="0.25">
      <c r="B1" s="10"/>
      <c r="D1" s="56" t="s">
        <v>46</v>
      </c>
      <c r="E1" s="57"/>
      <c r="F1" s="57"/>
      <c r="G1" s="57"/>
      <c r="H1" s="57"/>
      <c r="I1" s="57"/>
      <c r="J1" s="57"/>
      <c r="K1" s="57"/>
      <c r="L1" s="57"/>
      <c r="M1" s="57"/>
    </row>
    <row r="2" spans="2:17" ht="23.25" customHeight="1" x14ac:dyDescent="0.2">
      <c r="B2" s="58" t="s">
        <v>48</v>
      </c>
      <c r="C2" s="58"/>
      <c r="D2" s="58"/>
      <c r="E2" s="58"/>
      <c r="F2" s="58"/>
      <c r="G2" s="58"/>
      <c r="H2" s="58"/>
      <c r="I2" s="58"/>
      <c r="J2" s="58"/>
      <c r="K2" s="58"/>
      <c r="L2" s="19"/>
      <c r="M2" s="19"/>
      <c r="N2" s="19"/>
      <c r="O2" s="19"/>
      <c r="P2" s="19"/>
    </row>
    <row r="3" spans="2:17" ht="21.75" customHeight="1" x14ac:dyDescent="0.2">
      <c r="B3" s="54" t="s">
        <v>17</v>
      </c>
      <c r="C3" s="51" t="s">
        <v>0</v>
      </c>
      <c r="D3" s="51" t="s">
        <v>36</v>
      </c>
      <c r="E3" s="51" t="s">
        <v>28</v>
      </c>
      <c r="F3" s="51" t="s">
        <v>28</v>
      </c>
      <c r="G3" s="51" t="s">
        <v>37</v>
      </c>
      <c r="H3" s="51" t="s">
        <v>18</v>
      </c>
      <c r="I3" s="51" t="s">
        <v>19</v>
      </c>
      <c r="J3" s="51" t="s">
        <v>20</v>
      </c>
      <c r="K3" s="53" t="s">
        <v>21</v>
      </c>
      <c r="L3" s="53"/>
      <c r="M3" s="51" t="s">
        <v>29</v>
      </c>
      <c r="N3" s="51" t="s">
        <v>22</v>
      </c>
      <c r="O3" s="48" t="s">
        <v>38</v>
      </c>
      <c r="P3" s="48" t="s">
        <v>42</v>
      </c>
    </row>
    <row r="4" spans="2:17" ht="60" customHeight="1" x14ac:dyDescent="0.2">
      <c r="B4" s="55"/>
      <c r="C4" s="52"/>
      <c r="D4" s="52"/>
      <c r="E4" s="52"/>
      <c r="F4" s="52"/>
      <c r="G4" s="52"/>
      <c r="H4" s="52"/>
      <c r="I4" s="52"/>
      <c r="J4" s="52"/>
      <c r="K4" s="44" t="s">
        <v>23</v>
      </c>
      <c r="L4" s="44" t="s">
        <v>24</v>
      </c>
      <c r="M4" s="52"/>
      <c r="N4" s="52"/>
      <c r="O4" s="49"/>
      <c r="P4" s="49"/>
    </row>
    <row r="5" spans="2:17" s="16" customFormat="1" ht="11.25" customHeight="1" x14ac:dyDescent="0.2">
      <c r="B5" s="12">
        <v>1</v>
      </c>
      <c r="C5" s="13">
        <v>2</v>
      </c>
      <c r="D5" s="14">
        <v>3</v>
      </c>
      <c r="E5" s="14">
        <v>4</v>
      </c>
      <c r="F5" s="14">
        <v>4</v>
      </c>
      <c r="G5" s="14">
        <v>5</v>
      </c>
      <c r="H5" s="14">
        <v>6</v>
      </c>
      <c r="I5" s="14">
        <v>7</v>
      </c>
      <c r="J5" s="14">
        <v>8</v>
      </c>
      <c r="K5" s="15">
        <v>9</v>
      </c>
      <c r="L5" s="15">
        <v>10</v>
      </c>
      <c r="M5" s="14">
        <v>11</v>
      </c>
      <c r="N5" s="14">
        <v>12</v>
      </c>
      <c r="O5" s="14">
        <v>12</v>
      </c>
      <c r="P5" s="14">
        <v>12</v>
      </c>
    </row>
    <row r="6" spans="2:17" ht="30" customHeight="1" x14ac:dyDescent="0.25">
      <c r="B6" s="17">
        <v>1</v>
      </c>
      <c r="C6" s="1" t="s">
        <v>1</v>
      </c>
      <c r="D6" s="20">
        <v>2</v>
      </c>
      <c r="E6" s="18">
        <v>9569</v>
      </c>
      <c r="F6" s="18">
        <f>E6*D6</f>
        <v>19138</v>
      </c>
      <c r="G6" s="18">
        <f>E6*1.7</f>
        <v>16267.3</v>
      </c>
      <c r="H6" s="18">
        <f>E6*190%</f>
        <v>18181.099999999999</v>
      </c>
      <c r="I6" s="18">
        <f>E6*0.3</f>
        <v>2870.7</v>
      </c>
      <c r="J6" s="18">
        <f>E6*0.25</f>
        <v>2392.25</v>
      </c>
      <c r="K6" s="18">
        <f t="shared" ref="K6:K16" si="0">(E6+G6+H6+I6+J6)*0.3</f>
        <v>14784.104999999996</v>
      </c>
      <c r="L6" s="18">
        <f t="shared" ref="L6:L16" si="1">(E6+G6+H6+I6+J6)*0.3</f>
        <v>14784.104999999996</v>
      </c>
      <c r="M6" s="18">
        <f t="shared" ref="M6:M16" si="2">(E6+G6+H6+I6+J6+K6+L6)*D6</f>
        <v>157697.11999999997</v>
      </c>
      <c r="N6" s="18">
        <f>M6-(M6*0.13)</f>
        <v>137196.49439999997</v>
      </c>
      <c r="O6" s="18">
        <f t="shared" ref="O6:O16" si="3">(M6-M6*13%)/D6</f>
        <v>68598.247199999983</v>
      </c>
      <c r="P6" s="18">
        <f t="shared" ref="P6:P16" si="4">M6/D6</f>
        <v>78848.559999999983</v>
      </c>
    </row>
    <row r="7" spans="2:17" ht="15.75" x14ac:dyDescent="0.25">
      <c r="B7" s="17">
        <v>2</v>
      </c>
      <c r="C7" s="2" t="s">
        <v>2</v>
      </c>
      <c r="D7" s="21">
        <v>7</v>
      </c>
      <c r="E7" s="18">
        <v>8488</v>
      </c>
      <c r="F7" s="18">
        <f t="shared" ref="F7:F16" si="5">E7*D7</f>
        <v>59416</v>
      </c>
      <c r="G7" s="18">
        <f>E7*1.7</f>
        <v>14429.6</v>
      </c>
      <c r="H7" s="18">
        <f>E7*165%</f>
        <v>14005.199999999999</v>
      </c>
      <c r="I7" s="18">
        <f>E7*0.2</f>
        <v>1697.6000000000001</v>
      </c>
      <c r="J7" s="18">
        <f t="shared" ref="J7:J16" si="6">E7*0.25</f>
        <v>2122</v>
      </c>
      <c r="K7" s="18">
        <f>(E7+G7+H7+I7+J7)*0.3</f>
        <v>12222.719999999998</v>
      </c>
      <c r="L7" s="18">
        <f t="shared" si="1"/>
        <v>12222.719999999998</v>
      </c>
      <c r="M7" s="18">
        <f>(E7+G7+H7+I7+J7+K7+L7)*D7</f>
        <v>456314.88</v>
      </c>
      <c r="N7" s="18">
        <f t="shared" ref="N7:N16" si="7">M7-(M7*0.13)</f>
        <v>396993.94559999998</v>
      </c>
      <c r="O7" s="18">
        <f t="shared" si="3"/>
        <v>56713.4208</v>
      </c>
      <c r="P7" s="18">
        <f t="shared" si="4"/>
        <v>65187.840000000004</v>
      </c>
    </row>
    <row r="8" spans="2:17" ht="15.75" x14ac:dyDescent="0.25">
      <c r="B8" s="17">
        <v>3</v>
      </c>
      <c r="C8" s="2" t="s">
        <v>3</v>
      </c>
      <c r="D8" s="21">
        <v>6</v>
      </c>
      <c r="E8" s="18">
        <v>7801</v>
      </c>
      <c r="F8" s="18">
        <f t="shared" si="5"/>
        <v>46806</v>
      </c>
      <c r="G8" s="18">
        <f>E8*1.65</f>
        <v>12871.65</v>
      </c>
      <c r="H8" s="18">
        <f>E8*145%</f>
        <v>11311.449999999999</v>
      </c>
      <c r="I8" s="18">
        <f>E8*0.2</f>
        <v>1560.2</v>
      </c>
      <c r="J8" s="18">
        <f t="shared" si="6"/>
        <v>1950.25</v>
      </c>
      <c r="K8" s="18">
        <f t="shared" si="0"/>
        <v>10648.364999999998</v>
      </c>
      <c r="L8" s="18">
        <f t="shared" si="1"/>
        <v>10648.364999999998</v>
      </c>
      <c r="M8" s="18">
        <f t="shared" si="2"/>
        <v>340747.67999999993</v>
      </c>
      <c r="N8" s="18">
        <f t="shared" si="7"/>
        <v>296450.48159999994</v>
      </c>
      <c r="O8" s="18">
        <f t="shared" si="3"/>
        <v>49408.413599999993</v>
      </c>
      <c r="P8" s="18">
        <f t="shared" si="4"/>
        <v>56791.279999999992</v>
      </c>
    </row>
    <row r="9" spans="2:17" ht="31.5" x14ac:dyDescent="0.25">
      <c r="B9" s="17">
        <v>4</v>
      </c>
      <c r="C9" s="3" t="s">
        <v>25</v>
      </c>
      <c r="D9" s="21">
        <v>66</v>
      </c>
      <c r="E9" s="18">
        <v>7657</v>
      </c>
      <c r="F9" s="18">
        <f t="shared" si="5"/>
        <v>505362</v>
      </c>
      <c r="G9" s="18">
        <f>E9*1.6</f>
        <v>12251.2</v>
      </c>
      <c r="H9" s="18">
        <f>E9*125%</f>
        <v>9571.25</v>
      </c>
      <c r="I9" s="18">
        <f>E9*0.15</f>
        <v>1148.55</v>
      </c>
      <c r="J9" s="18">
        <f t="shared" si="6"/>
        <v>1914.25</v>
      </c>
      <c r="K9" s="18">
        <f t="shared" si="0"/>
        <v>9762.6749999999993</v>
      </c>
      <c r="L9" s="18">
        <f t="shared" si="1"/>
        <v>9762.6749999999993</v>
      </c>
      <c r="M9" s="18">
        <f t="shared" si="2"/>
        <v>3436461.6000000006</v>
      </c>
      <c r="N9" s="18">
        <f t="shared" si="7"/>
        <v>2989721.5920000006</v>
      </c>
      <c r="O9" s="18">
        <f t="shared" si="3"/>
        <v>45298.812000000013</v>
      </c>
      <c r="P9" s="18">
        <f t="shared" si="4"/>
        <v>52067.600000000006</v>
      </c>
      <c r="Q9" s="11" t="s">
        <v>45</v>
      </c>
    </row>
    <row r="10" spans="2:17" ht="31.5" x14ac:dyDescent="0.25">
      <c r="B10" s="17">
        <v>5</v>
      </c>
      <c r="C10" s="3" t="s">
        <v>26</v>
      </c>
      <c r="D10" s="21">
        <v>14</v>
      </c>
      <c r="E10" s="18">
        <v>6746</v>
      </c>
      <c r="F10" s="18">
        <f t="shared" si="5"/>
        <v>94444</v>
      </c>
      <c r="G10" s="18">
        <f t="shared" ref="G10:G16" si="8">E10*1.6</f>
        <v>10793.6</v>
      </c>
      <c r="H10" s="18">
        <f t="shared" ref="H10:H13" si="9">E10*125%</f>
        <v>8432.5</v>
      </c>
      <c r="I10" s="18">
        <f>E10*0.1</f>
        <v>674.6</v>
      </c>
      <c r="J10" s="18">
        <f t="shared" si="6"/>
        <v>1686.5</v>
      </c>
      <c r="K10" s="18">
        <f t="shared" si="0"/>
        <v>8499.9599999999991</v>
      </c>
      <c r="L10" s="18">
        <f t="shared" si="1"/>
        <v>8499.9599999999991</v>
      </c>
      <c r="M10" s="18">
        <f t="shared" si="2"/>
        <v>634663.67999999993</v>
      </c>
      <c r="N10" s="18">
        <f t="shared" si="7"/>
        <v>552157.40159999998</v>
      </c>
      <c r="O10" s="18">
        <f t="shared" si="3"/>
        <v>39439.814399999996</v>
      </c>
      <c r="P10" s="18">
        <f t="shared" si="4"/>
        <v>45333.119999999995</v>
      </c>
      <c r="Q10" s="43">
        <f>P9*1.5*9</f>
        <v>702912.60000000009</v>
      </c>
    </row>
    <row r="11" spans="2:17" ht="15.75" x14ac:dyDescent="0.25">
      <c r="B11" s="17">
        <v>6</v>
      </c>
      <c r="C11" s="3" t="s">
        <v>12</v>
      </c>
      <c r="D11" s="21">
        <v>3</v>
      </c>
      <c r="E11" s="18">
        <v>7657</v>
      </c>
      <c r="F11" s="18">
        <f t="shared" si="5"/>
        <v>22971</v>
      </c>
      <c r="G11" s="18">
        <f t="shared" si="8"/>
        <v>12251.2</v>
      </c>
      <c r="H11" s="18">
        <f t="shared" si="9"/>
        <v>9571.25</v>
      </c>
      <c r="I11" s="18">
        <f>E11*0.15</f>
        <v>1148.55</v>
      </c>
      <c r="J11" s="18">
        <f t="shared" si="6"/>
        <v>1914.25</v>
      </c>
      <c r="K11" s="18">
        <f t="shared" si="0"/>
        <v>9762.6749999999993</v>
      </c>
      <c r="L11" s="18">
        <f t="shared" si="1"/>
        <v>9762.6749999999993</v>
      </c>
      <c r="M11" s="18">
        <f t="shared" si="2"/>
        <v>156202.80000000002</v>
      </c>
      <c r="N11" s="18">
        <f t="shared" si="7"/>
        <v>135896.43600000002</v>
      </c>
      <c r="O11" s="18">
        <f t="shared" si="3"/>
        <v>45298.812000000005</v>
      </c>
      <c r="P11" s="18">
        <f t="shared" si="4"/>
        <v>52067.600000000006</v>
      </c>
      <c r="Q11" s="45" t="s">
        <v>47</v>
      </c>
    </row>
    <row r="12" spans="2:17" ht="31.5" x14ac:dyDescent="0.25">
      <c r="B12" s="17">
        <v>7</v>
      </c>
      <c r="C12" s="3" t="s">
        <v>11</v>
      </c>
      <c r="D12" s="21">
        <v>1</v>
      </c>
      <c r="E12" s="18">
        <v>7657</v>
      </c>
      <c r="F12" s="18">
        <f t="shared" si="5"/>
        <v>7657</v>
      </c>
      <c r="G12" s="18">
        <f t="shared" si="8"/>
        <v>12251.2</v>
      </c>
      <c r="H12" s="18">
        <f t="shared" si="9"/>
        <v>9571.25</v>
      </c>
      <c r="I12" s="18">
        <f>E12*0.3</f>
        <v>2297.1</v>
      </c>
      <c r="J12" s="18">
        <f t="shared" si="6"/>
        <v>1914.25</v>
      </c>
      <c r="K12" s="18">
        <f t="shared" si="0"/>
        <v>10107.24</v>
      </c>
      <c r="L12" s="18">
        <f t="shared" si="1"/>
        <v>10107.24</v>
      </c>
      <c r="M12" s="18">
        <f t="shared" si="2"/>
        <v>53905.279999999999</v>
      </c>
      <c r="N12" s="18">
        <f t="shared" si="7"/>
        <v>46897.5936</v>
      </c>
      <c r="O12" s="18">
        <f t="shared" si="3"/>
        <v>46897.5936</v>
      </c>
      <c r="P12" s="18">
        <f t="shared" si="4"/>
        <v>53905.279999999999</v>
      </c>
    </row>
    <row r="13" spans="2:17" ht="15.75" x14ac:dyDescent="0.25">
      <c r="B13" s="17">
        <v>8</v>
      </c>
      <c r="C13" s="3" t="s">
        <v>31</v>
      </c>
      <c r="D13" s="21">
        <v>1</v>
      </c>
      <c r="E13" s="18">
        <v>7657</v>
      </c>
      <c r="F13" s="18">
        <f t="shared" si="5"/>
        <v>7657</v>
      </c>
      <c r="G13" s="18">
        <f t="shared" si="8"/>
        <v>12251.2</v>
      </c>
      <c r="H13" s="18">
        <f t="shared" si="9"/>
        <v>9571.25</v>
      </c>
      <c r="I13" s="18">
        <f>E13*0.15</f>
        <v>1148.55</v>
      </c>
      <c r="J13" s="18">
        <f t="shared" si="6"/>
        <v>1914.25</v>
      </c>
      <c r="K13" s="18">
        <f t="shared" si="0"/>
        <v>9762.6749999999993</v>
      </c>
      <c r="L13" s="18">
        <f t="shared" si="1"/>
        <v>9762.6749999999993</v>
      </c>
      <c r="M13" s="18">
        <f t="shared" si="2"/>
        <v>52067.600000000006</v>
      </c>
      <c r="N13" s="18">
        <f t="shared" si="7"/>
        <v>45298.812000000005</v>
      </c>
      <c r="O13" s="18">
        <f t="shared" si="3"/>
        <v>45298.812000000005</v>
      </c>
      <c r="P13" s="18">
        <f t="shared" si="4"/>
        <v>52067.600000000006</v>
      </c>
    </row>
    <row r="14" spans="2:17" ht="15.75" x14ac:dyDescent="0.25">
      <c r="B14" s="17">
        <v>9</v>
      </c>
      <c r="C14" s="4" t="s">
        <v>27</v>
      </c>
      <c r="D14" s="22">
        <v>1</v>
      </c>
      <c r="E14" s="18">
        <v>5476</v>
      </c>
      <c r="F14" s="18">
        <f t="shared" si="5"/>
        <v>5476</v>
      </c>
      <c r="G14" s="18">
        <f t="shared" si="8"/>
        <v>8761.6</v>
      </c>
      <c r="H14" s="18">
        <f>E14*150%</f>
        <v>8214</v>
      </c>
      <c r="I14" s="18">
        <f>E14*0.15</f>
        <v>821.4</v>
      </c>
      <c r="J14" s="18">
        <f t="shared" si="6"/>
        <v>1369</v>
      </c>
      <c r="K14" s="18">
        <f t="shared" si="0"/>
        <v>7392.5999999999995</v>
      </c>
      <c r="L14" s="18">
        <f t="shared" si="1"/>
        <v>7392.5999999999995</v>
      </c>
      <c r="M14" s="18">
        <f t="shared" si="2"/>
        <v>39427.199999999997</v>
      </c>
      <c r="N14" s="18">
        <f t="shared" si="7"/>
        <v>34301.663999999997</v>
      </c>
      <c r="O14" s="18">
        <f t="shared" si="3"/>
        <v>34301.663999999997</v>
      </c>
      <c r="P14" s="18">
        <f t="shared" si="4"/>
        <v>39427.199999999997</v>
      </c>
    </row>
    <row r="15" spans="2:17" ht="15.75" x14ac:dyDescent="0.25">
      <c r="B15" s="17">
        <v>10</v>
      </c>
      <c r="C15" s="4" t="s">
        <v>14</v>
      </c>
      <c r="D15" s="22">
        <v>1</v>
      </c>
      <c r="E15" s="18">
        <v>5476</v>
      </c>
      <c r="F15" s="18">
        <f t="shared" si="5"/>
        <v>5476</v>
      </c>
      <c r="G15" s="18">
        <f t="shared" si="8"/>
        <v>8761.6</v>
      </c>
      <c r="H15" s="18">
        <f>E15*120%</f>
        <v>6571.2</v>
      </c>
      <c r="I15" s="18">
        <f>E15*0.15</f>
        <v>821.4</v>
      </c>
      <c r="J15" s="18">
        <f t="shared" si="6"/>
        <v>1369</v>
      </c>
      <c r="K15" s="18">
        <f t="shared" si="0"/>
        <v>6899.76</v>
      </c>
      <c r="L15" s="18">
        <f t="shared" si="1"/>
        <v>6899.76</v>
      </c>
      <c r="M15" s="18">
        <f t="shared" si="2"/>
        <v>36798.720000000001</v>
      </c>
      <c r="N15" s="18">
        <f t="shared" si="7"/>
        <v>32014.886400000003</v>
      </c>
      <c r="O15" s="18">
        <f t="shared" si="3"/>
        <v>32014.886400000003</v>
      </c>
      <c r="P15" s="18">
        <f t="shared" si="4"/>
        <v>36798.720000000001</v>
      </c>
    </row>
    <row r="16" spans="2:17" ht="15.75" x14ac:dyDescent="0.25">
      <c r="B16" s="17">
        <v>11</v>
      </c>
      <c r="C16" s="2" t="s">
        <v>13</v>
      </c>
      <c r="D16" s="21">
        <v>1</v>
      </c>
      <c r="E16" s="18">
        <v>5476</v>
      </c>
      <c r="F16" s="18">
        <f t="shared" si="5"/>
        <v>5476</v>
      </c>
      <c r="G16" s="18">
        <f t="shared" si="8"/>
        <v>8761.6</v>
      </c>
      <c r="H16" s="18">
        <f>E16*150%</f>
        <v>8214</v>
      </c>
      <c r="I16" s="18">
        <f>E16*0.3</f>
        <v>1642.8</v>
      </c>
      <c r="J16" s="18">
        <f t="shared" si="6"/>
        <v>1369</v>
      </c>
      <c r="K16" s="18">
        <f t="shared" si="0"/>
        <v>7639.0199999999986</v>
      </c>
      <c r="L16" s="18">
        <f t="shared" si="1"/>
        <v>7639.0199999999986</v>
      </c>
      <c r="M16" s="18">
        <f t="shared" si="2"/>
        <v>40741.439999999995</v>
      </c>
      <c r="N16" s="18">
        <f t="shared" si="7"/>
        <v>35445.052799999998</v>
      </c>
      <c r="O16" s="18">
        <f t="shared" si="3"/>
        <v>35445.052799999998</v>
      </c>
      <c r="P16" s="18">
        <f t="shared" si="4"/>
        <v>40741.439999999995</v>
      </c>
    </row>
    <row r="17" spans="2:17" ht="18.600000000000001" customHeight="1" x14ac:dyDescent="0.25">
      <c r="B17" s="17"/>
      <c r="C17" s="23" t="s">
        <v>10</v>
      </c>
      <c r="D17" s="24">
        <f t="shared" ref="D17:M17" si="10">SUM(D6:D16)</f>
        <v>103</v>
      </c>
      <c r="E17" s="24">
        <f t="shared" si="10"/>
        <v>79660</v>
      </c>
      <c r="F17" s="24">
        <f t="shared" si="10"/>
        <v>779879</v>
      </c>
      <c r="G17" s="24">
        <f t="shared" si="10"/>
        <v>129651.75000000001</v>
      </c>
      <c r="H17" s="24">
        <f t="shared" si="10"/>
        <v>113214.45</v>
      </c>
      <c r="I17" s="24">
        <f t="shared" si="10"/>
        <v>15831.449999999999</v>
      </c>
      <c r="J17" s="24">
        <f t="shared" si="10"/>
        <v>19915</v>
      </c>
      <c r="K17" s="24">
        <f t="shared" si="10"/>
        <v>107481.795</v>
      </c>
      <c r="L17" s="24">
        <f t="shared" si="10"/>
        <v>107481.795</v>
      </c>
      <c r="M17" s="24">
        <f t="shared" si="10"/>
        <v>5405028</v>
      </c>
      <c r="N17" s="24">
        <f t="shared" ref="N17" si="11">SUM(N6:N16)</f>
        <v>4702374.3600000003</v>
      </c>
      <c r="O17" s="24"/>
      <c r="P17" s="24"/>
    </row>
    <row r="18" spans="2:17" ht="15" customHeight="1" x14ac:dyDescent="0.25">
      <c r="K18" s="50" t="s">
        <v>49</v>
      </c>
      <c r="L18" s="50"/>
      <c r="M18" s="26">
        <f>M17*9</f>
        <v>48645252</v>
      </c>
    </row>
    <row r="19" spans="2:17" ht="15" customHeight="1" x14ac:dyDescent="0.25">
      <c r="K19" s="50" t="s">
        <v>32</v>
      </c>
      <c r="L19" s="50"/>
      <c r="M19" s="27">
        <f>F17*2/12*9</f>
        <v>1169818.5</v>
      </c>
    </row>
    <row r="20" spans="2:17" ht="15" hidden="1" x14ac:dyDescent="0.25">
      <c r="K20" s="28"/>
      <c r="L20" s="28"/>
      <c r="M20" s="27"/>
    </row>
    <row r="21" spans="2:17" ht="15" x14ac:dyDescent="0.25">
      <c r="K21" s="50" t="s">
        <v>33</v>
      </c>
      <c r="L21" s="50"/>
      <c r="M21" s="26">
        <f>M18+M19</f>
        <v>49815070.5</v>
      </c>
    </row>
    <row r="22" spans="2:17" ht="18.600000000000001" customHeight="1" x14ac:dyDescent="0.25">
      <c r="B22" s="42" t="s">
        <v>51</v>
      </c>
      <c r="C22" s="41"/>
      <c r="D22" s="41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3" spans="2:17" ht="21.75" customHeight="1" x14ac:dyDescent="0.2">
      <c r="B23" s="54" t="s">
        <v>17</v>
      </c>
      <c r="C23" s="51" t="s">
        <v>0</v>
      </c>
      <c r="D23" s="51" t="s">
        <v>36</v>
      </c>
      <c r="E23" s="51" t="s">
        <v>28</v>
      </c>
      <c r="F23" s="51" t="s">
        <v>44</v>
      </c>
      <c r="G23" s="51" t="s">
        <v>37</v>
      </c>
      <c r="H23" s="51" t="s">
        <v>18</v>
      </c>
      <c r="I23" s="51" t="s">
        <v>19</v>
      </c>
      <c r="J23" s="51" t="s">
        <v>20</v>
      </c>
      <c r="K23" s="53" t="s">
        <v>21</v>
      </c>
      <c r="L23" s="53"/>
      <c r="M23" s="51" t="s">
        <v>29</v>
      </c>
      <c r="N23" s="51" t="s">
        <v>22</v>
      </c>
      <c r="O23" s="48" t="s">
        <v>30</v>
      </c>
      <c r="P23" s="48" t="s">
        <v>42</v>
      </c>
    </row>
    <row r="24" spans="2:17" ht="60" customHeight="1" x14ac:dyDescent="0.2">
      <c r="B24" s="55"/>
      <c r="C24" s="52"/>
      <c r="D24" s="52"/>
      <c r="E24" s="52"/>
      <c r="F24" s="52"/>
      <c r="G24" s="52"/>
      <c r="H24" s="52"/>
      <c r="I24" s="52"/>
      <c r="J24" s="52"/>
      <c r="K24" s="44" t="s">
        <v>23</v>
      </c>
      <c r="L24" s="44" t="s">
        <v>24</v>
      </c>
      <c r="M24" s="52"/>
      <c r="N24" s="52"/>
      <c r="O24" s="49"/>
      <c r="P24" s="49"/>
    </row>
    <row r="25" spans="2:17" s="16" customFormat="1" ht="11.25" customHeight="1" x14ac:dyDescent="0.2">
      <c r="B25" s="12">
        <v>1</v>
      </c>
      <c r="C25" s="13">
        <v>2</v>
      </c>
      <c r="D25" s="14">
        <v>3</v>
      </c>
      <c r="E25" s="14">
        <v>4</v>
      </c>
      <c r="F25" s="14">
        <v>4</v>
      </c>
      <c r="G25" s="14">
        <v>5</v>
      </c>
      <c r="H25" s="14">
        <v>6</v>
      </c>
      <c r="I25" s="14">
        <v>7</v>
      </c>
      <c r="J25" s="14">
        <v>8</v>
      </c>
      <c r="K25" s="15">
        <v>9</v>
      </c>
      <c r="L25" s="15">
        <v>10</v>
      </c>
      <c r="M25" s="14">
        <v>11</v>
      </c>
      <c r="N25" s="14">
        <v>12</v>
      </c>
      <c r="O25" s="14">
        <v>12</v>
      </c>
      <c r="P25" s="14">
        <v>12</v>
      </c>
    </row>
    <row r="26" spans="2:17" ht="30" customHeight="1" x14ac:dyDescent="0.25">
      <c r="B26" s="17">
        <v>1</v>
      </c>
      <c r="C26" s="1" t="s">
        <v>1</v>
      </c>
      <c r="D26" s="20">
        <v>2</v>
      </c>
      <c r="E26" s="18">
        <v>10813</v>
      </c>
      <c r="F26" s="18">
        <f>E26*D26</f>
        <v>21626</v>
      </c>
      <c r="G26" s="18">
        <f>E26*1.7</f>
        <v>18382.099999999999</v>
      </c>
      <c r="H26" s="18">
        <f>E26*190%</f>
        <v>20544.7</v>
      </c>
      <c r="I26" s="18">
        <f>E26*0.3</f>
        <v>3243.9</v>
      </c>
      <c r="J26" s="18">
        <f>E26*0.25</f>
        <v>2703.25</v>
      </c>
      <c r="K26" s="18">
        <f t="shared" ref="K26" si="12">(E26+G26+H26+I26+J26)*0.3</f>
        <v>16706.084999999999</v>
      </c>
      <c r="L26" s="18">
        <f t="shared" ref="L26:L36" si="13">(E26+G26+H26+I26+J26)*0.3</f>
        <v>16706.084999999999</v>
      </c>
      <c r="M26" s="18">
        <f t="shared" ref="M26" si="14">(E26+G26+H26+I26+J26+K26+L26)*D26</f>
        <v>178198.24</v>
      </c>
      <c r="N26" s="18">
        <f>M26-(M26*0.13)</f>
        <v>155032.4688</v>
      </c>
      <c r="O26" s="18">
        <f t="shared" ref="O26:O36" si="15">(M26-M26*13%)/D26</f>
        <v>77516.234400000001</v>
      </c>
      <c r="P26" s="18">
        <f t="shared" ref="P26:P36" si="16">M26/D26</f>
        <v>89099.12</v>
      </c>
    </row>
    <row r="27" spans="2:17" ht="15.75" customHeight="1" x14ac:dyDescent="0.25">
      <c r="B27" s="17">
        <v>2</v>
      </c>
      <c r="C27" s="2" t="s">
        <v>2</v>
      </c>
      <c r="D27" s="21">
        <v>7</v>
      </c>
      <c r="E27" s="18">
        <v>9591</v>
      </c>
      <c r="F27" s="18">
        <f>E27*D27</f>
        <v>67137</v>
      </c>
      <c r="G27" s="18">
        <f>E27*1.7</f>
        <v>16304.699999999999</v>
      </c>
      <c r="H27" s="18">
        <f>E27*165%</f>
        <v>15825.15</v>
      </c>
      <c r="I27" s="18">
        <f>E27*0.2</f>
        <v>1918.2</v>
      </c>
      <c r="J27" s="18">
        <f t="shared" ref="J27:J36" si="17">E27*0.25</f>
        <v>2397.75</v>
      </c>
      <c r="K27" s="18">
        <f>(E27+G27+H27+I27+J27)*0.3</f>
        <v>13811.039999999999</v>
      </c>
      <c r="L27" s="18">
        <f t="shared" si="13"/>
        <v>13811.039999999999</v>
      </c>
      <c r="M27" s="18">
        <f>(E27+G27+H27+I27+J27+K27+L27)*D27</f>
        <v>515612.15999999992</v>
      </c>
      <c r="N27" s="18">
        <f t="shared" ref="N27:N36" si="18">M27-(M27*0.13)</f>
        <v>448582.57919999992</v>
      </c>
      <c r="O27" s="18">
        <f t="shared" si="15"/>
        <v>64083.225599999991</v>
      </c>
      <c r="P27" s="18">
        <f t="shared" si="16"/>
        <v>73658.87999999999</v>
      </c>
    </row>
    <row r="28" spans="2:17" ht="15.75" x14ac:dyDescent="0.25">
      <c r="B28" s="17">
        <v>3</v>
      </c>
      <c r="C28" s="2" t="s">
        <v>3</v>
      </c>
      <c r="D28" s="21">
        <v>6</v>
      </c>
      <c r="E28" s="18">
        <v>8815</v>
      </c>
      <c r="F28" s="18">
        <f t="shared" ref="F28:F36" si="19">E28*D28</f>
        <v>52890</v>
      </c>
      <c r="G28" s="18">
        <f>E28*1.65</f>
        <v>14544.75</v>
      </c>
      <c r="H28" s="18">
        <f>E28*145%</f>
        <v>12781.75</v>
      </c>
      <c r="I28" s="18">
        <f>E28*0.2</f>
        <v>1763</v>
      </c>
      <c r="J28" s="18">
        <f t="shared" si="17"/>
        <v>2203.75</v>
      </c>
      <c r="K28" s="18">
        <f t="shared" ref="K28:K36" si="20">(E28+G28+H28+I28+J28)*0.3</f>
        <v>12032.475</v>
      </c>
      <c r="L28" s="18">
        <f t="shared" si="13"/>
        <v>12032.475</v>
      </c>
      <c r="M28" s="18">
        <f t="shared" ref="M28:M36" si="21">(E28+G28+H28+I28+J28+K28+L28)*D28</f>
        <v>385039.19999999995</v>
      </c>
      <c r="N28" s="18">
        <f t="shared" si="18"/>
        <v>334984.10399999993</v>
      </c>
      <c r="O28" s="18">
        <f t="shared" si="15"/>
        <v>55830.683999999987</v>
      </c>
      <c r="P28" s="18">
        <f t="shared" si="16"/>
        <v>64173.19999999999</v>
      </c>
    </row>
    <row r="29" spans="2:17" ht="31.5" x14ac:dyDescent="0.25">
      <c r="B29" s="17">
        <v>4</v>
      </c>
      <c r="C29" s="3" t="s">
        <v>25</v>
      </c>
      <c r="D29" s="21">
        <v>66</v>
      </c>
      <c r="E29" s="18">
        <v>8652</v>
      </c>
      <c r="F29" s="18">
        <f t="shared" si="19"/>
        <v>571032</v>
      </c>
      <c r="G29" s="18">
        <f>E29*1.6</f>
        <v>13843.2</v>
      </c>
      <c r="H29" s="18">
        <f>E29*125%</f>
        <v>10815</v>
      </c>
      <c r="I29" s="18">
        <f>E29*0.15</f>
        <v>1297.8</v>
      </c>
      <c r="J29" s="18">
        <f t="shared" si="17"/>
        <v>2163</v>
      </c>
      <c r="K29" s="18">
        <f t="shared" si="20"/>
        <v>11031.3</v>
      </c>
      <c r="L29" s="18">
        <f>(E29+G29+H29+I29+J29)*0.3</f>
        <v>11031.3</v>
      </c>
      <c r="M29" s="18">
        <f>(E29+G29+H29+I29+J29+K29+L29)*D29</f>
        <v>3883017.6000000006</v>
      </c>
      <c r="N29" s="18">
        <f t="shared" si="18"/>
        <v>3378225.3120000004</v>
      </c>
      <c r="O29" s="18">
        <f t="shared" si="15"/>
        <v>51185.232000000004</v>
      </c>
      <c r="P29" s="18">
        <f t="shared" si="16"/>
        <v>58833.600000000006</v>
      </c>
      <c r="Q29" s="11" t="s">
        <v>45</v>
      </c>
    </row>
    <row r="30" spans="2:17" ht="31.5" x14ac:dyDescent="0.25">
      <c r="B30" s="17">
        <v>5</v>
      </c>
      <c r="C30" s="3" t="s">
        <v>26</v>
      </c>
      <c r="D30" s="21">
        <v>14</v>
      </c>
      <c r="E30" s="18">
        <v>7623</v>
      </c>
      <c r="F30" s="18">
        <f t="shared" si="19"/>
        <v>106722</v>
      </c>
      <c r="G30" s="18">
        <f t="shared" ref="G30:G36" si="22">E30*1.6</f>
        <v>12196.800000000001</v>
      </c>
      <c r="H30" s="18">
        <f t="shared" ref="H30:H33" si="23">E30*125%</f>
        <v>9528.75</v>
      </c>
      <c r="I30" s="18">
        <f>E30*0.1</f>
        <v>762.30000000000007</v>
      </c>
      <c r="J30" s="18">
        <f t="shared" si="17"/>
        <v>1905.75</v>
      </c>
      <c r="K30" s="18">
        <f t="shared" si="20"/>
        <v>9604.98</v>
      </c>
      <c r="L30" s="18">
        <f t="shared" si="13"/>
        <v>9604.98</v>
      </c>
      <c r="M30" s="18">
        <f t="shared" si="21"/>
        <v>717171.84</v>
      </c>
      <c r="N30" s="18">
        <f t="shared" si="18"/>
        <v>623939.50079999992</v>
      </c>
      <c r="O30" s="18">
        <f t="shared" si="15"/>
        <v>44567.107199999991</v>
      </c>
      <c r="P30" s="18">
        <f t="shared" si="16"/>
        <v>51226.559999999998</v>
      </c>
      <c r="Q30" s="43">
        <f>P29*1.5*9</f>
        <v>794253.60000000009</v>
      </c>
    </row>
    <row r="31" spans="2:17" ht="15.75" x14ac:dyDescent="0.25">
      <c r="B31" s="17">
        <v>6</v>
      </c>
      <c r="C31" s="3" t="s">
        <v>12</v>
      </c>
      <c r="D31" s="21">
        <v>3</v>
      </c>
      <c r="E31" s="18">
        <v>8652</v>
      </c>
      <c r="F31" s="18">
        <f t="shared" si="19"/>
        <v>25956</v>
      </c>
      <c r="G31" s="18">
        <f t="shared" si="22"/>
        <v>13843.2</v>
      </c>
      <c r="H31" s="18">
        <f t="shared" si="23"/>
        <v>10815</v>
      </c>
      <c r="I31" s="18">
        <f>E31*0.15</f>
        <v>1297.8</v>
      </c>
      <c r="J31" s="18">
        <f t="shared" si="17"/>
        <v>2163</v>
      </c>
      <c r="K31" s="18">
        <f t="shared" si="20"/>
        <v>11031.3</v>
      </c>
      <c r="L31" s="18">
        <f t="shared" si="13"/>
        <v>11031.3</v>
      </c>
      <c r="M31" s="18">
        <f t="shared" si="21"/>
        <v>176500.80000000002</v>
      </c>
      <c r="N31" s="18">
        <f t="shared" si="18"/>
        <v>153555.69600000003</v>
      </c>
      <c r="O31" s="18">
        <f t="shared" si="15"/>
        <v>51185.232000000011</v>
      </c>
      <c r="P31" s="18">
        <f t="shared" si="16"/>
        <v>58833.600000000006</v>
      </c>
      <c r="Q31" s="45" t="s">
        <v>47</v>
      </c>
    </row>
    <row r="32" spans="2:17" ht="31.5" x14ac:dyDescent="0.25">
      <c r="B32" s="17">
        <v>7</v>
      </c>
      <c r="C32" s="3" t="s">
        <v>11</v>
      </c>
      <c r="D32" s="21">
        <v>1</v>
      </c>
      <c r="E32" s="18">
        <v>8652</v>
      </c>
      <c r="F32" s="18">
        <f t="shared" si="19"/>
        <v>8652</v>
      </c>
      <c r="G32" s="18">
        <f t="shared" si="22"/>
        <v>13843.2</v>
      </c>
      <c r="H32" s="18">
        <f t="shared" si="23"/>
        <v>10815</v>
      </c>
      <c r="I32" s="18">
        <f>E32*0.3</f>
        <v>2595.6</v>
      </c>
      <c r="J32" s="18">
        <f t="shared" si="17"/>
        <v>2163</v>
      </c>
      <c r="K32" s="18">
        <f t="shared" si="20"/>
        <v>11420.639999999998</v>
      </c>
      <c r="L32" s="18">
        <f t="shared" si="13"/>
        <v>11420.639999999998</v>
      </c>
      <c r="M32" s="18">
        <f t="shared" si="21"/>
        <v>60910.079999999994</v>
      </c>
      <c r="N32" s="18">
        <f t="shared" si="18"/>
        <v>52991.769599999992</v>
      </c>
      <c r="O32" s="18">
        <f t="shared" si="15"/>
        <v>52991.769599999992</v>
      </c>
      <c r="P32" s="18">
        <f t="shared" si="16"/>
        <v>60910.079999999994</v>
      </c>
    </row>
    <row r="33" spans="2:16" ht="15.75" x14ac:dyDescent="0.25">
      <c r="B33" s="17">
        <v>8</v>
      </c>
      <c r="C33" s="3" t="s">
        <v>31</v>
      </c>
      <c r="D33" s="21">
        <v>1</v>
      </c>
      <c r="E33" s="18">
        <v>8652</v>
      </c>
      <c r="F33" s="18">
        <f t="shared" si="19"/>
        <v>8652</v>
      </c>
      <c r="G33" s="18">
        <f t="shared" si="22"/>
        <v>13843.2</v>
      </c>
      <c r="H33" s="18">
        <f t="shared" si="23"/>
        <v>10815</v>
      </c>
      <c r="I33" s="18">
        <f>E33*0.15</f>
        <v>1297.8</v>
      </c>
      <c r="J33" s="18">
        <f t="shared" si="17"/>
        <v>2163</v>
      </c>
      <c r="K33" s="18">
        <f t="shared" si="20"/>
        <v>11031.3</v>
      </c>
      <c r="L33" s="18">
        <f t="shared" si="13"/>
        <v>11031.3</v>
      </c>
      <c r="M33" s="18">
        <f t="shared" si="21"/>
        <v>58833.600000000006</v>
      </c>
      <c r="N33" s="18">
        <f t="shared" si="18"/>
        <v>51185.232000000004</v>
      </c>
      <c r="O33" s="18">
        <f t="shared" si="15"/>
        <v>51185.232000000004</v>
      </c>
      <c r="P33" s="18">
        <f t="shared" si="16"/>
        <v>58833.600000000006</v>
      </c>
    </row>
    <row r="34" spans="2:16" ht="15.75" x14ac:dyDescent="0.25">
      <c r="B34" s="17">
        <v>9</v>
      </c>
      <c r="C34" s="4" t="s">
        <v>27</v>
      </c>
      <c r="D34" s="22">
        <v>1</v>
      </c>
      <c r="E34" s="18">
        <v>6188</v>
      </c>
      <c r="F34" s="18">
        <f t="shared" si="19"/>
        <v>6188</v>
      </c>
      <c r="G34" s="18">
        <f t="shared" si="22"/>
        <v>9900.8000000000011</v>
      </c>
      <c r="H34" s="18">
        <f>E34*150%</f>
        <v>9282</v>
      </c>
      <c r="I34" s="18">
        <f>E34*0.15</f>
        <v>928.19999999999993</v>
      </c>
      <c r="J34" s="18">
        <f t="shared" si="17"/>
        <v>1547</v>
      </c>
      <c r="K34" s="18">
        <f t="shared" si="20"/>
        <v>8353.8000000000011</v>
      </c>
      <c r="L34" s="18">
        <f t="shared" si="13"/>
        <v>8353.8000000000011</v>
      </c>
      <c r="M34" s="18">
        <f t="shared" si="21"/>
        <v>44553.600000000006</v>
      </c>
      <c r="N34" s="18">
        <f t="shared" si="18"/>
        <v>38761.632000000005</v>
      </c>
      <c r="O34" s="18">
        <f t="shared" si="15"/>
        <v>38761.632000000005</v>
      </c>
      <c r="P34" s="18">
        <f t="shared" si="16"/>
        <v>44553.600000000006</v>
      </c>
    </row>
    <row r="35" spans="2:16" ht="15.75" x14ac:dyDescent="0.25">
      <c r="B35" s="17">
        <v>10</v>
      </c>
      <c r="C35" s="4" t="s">
        <v>14</v>
      </c>
      <c r="D35" s="22">
        <v>1</v>
      </c>
      <c r="E35" s="18">
        <v>6188</v>
      </c>
      <c r="F35" s="18">
        <f t="shared" si="19"/>
        <v>6188</v>
      </c>
      <c r="G35" s="18">
        <f t="shared" si="22"/>
        <v>9900.8000000000011</v>
      </c>
      <c r="H35" s="18">
        <f>E35*120%</f>
        <v>7425.5999999999995</v>
      </c>
      <c r="I35" s="18">
        <f>E35*0.15</f>
        <v>928.19999999999993</v>
      </c>
      <c r="J35" s="18">
        <f t="shared" si="17"/>
        <v>1547</v>
      </c>
      <c r="K35" s="18">
        <f t="shared" si="20"/>
        <v>7796.88</v>
      </c>
      <c r="L35" s="18">
        <f t="shared" si="13"/>
        <v>7796.88</v>
      </c>
      <c r="M35" s="18">
        <f t="shared" si="21"/>
        <v>41583.360000000001</v>
      </c>
      <c r="N35" s="18">
        <f t="shared" si="18"/>
        <v>36177.523200000003</v>
      </c>
      <c r="O35" s="18">
        <f t="shared" si="15"/>
        <v>36177.523200000003</v>
      </c>
      <c r="P35" s="18">
        <f t="shared" si="16"/>
        <v>41583.360000000001</v>
      </c>
    </row>
    <row r="36" spans="2:16" ht="15.75" x14ac:dyDescent="0.25">
      <c r="B36" s="17">
        <v>11</v>
      </c>
      <c r="C36" s="2" t="s">
        <v>13</v>
      </c>
      <c r="D36" s="21">
        <v>1</v>
      </c>
      <c r="E36" s="18">
        <v>6188</v>
      </c>
      <c r="F36" s="18">
        <f t="shared" si="19"/>
        <v>6188</v>
      </c>
      <c r="G36" s="18">
        <f t="shared" si="22"/>
        <v>9900.8000000000011</v>
      </c>
      <c r="H36" s="18">
        <f>E36*150%</f>
        <v>9282</v>
      </c>
      <c r="I36" s="18">
        <f>E36*0.3</f>
        <v>1856.3999999999999</v>
      </c>
      <c r="J36" s="18">
        <f t="shared" si="17"/>
        <v>1547</v>
      </c>
      <c r="K36" s="18">
        <f t="shared" si="20"/>
        <v>8632.26</v>
      </c>
      <c r="L36" s="18">
        <f t="shared" si="13"/>
        <v>8632.26</v>
      </c>
      <c r="M36" s="18">
        <f t="shared" si="21"/>
        <v>46038.720000000008</v>
      </c>
      <c r="N36" s="18">
        <f t="shared" si="18"/>
        <v>40053.686400000006</v>
      </c>
      <c r="O36" s="18">
        <f t="shared" si="15"/>
        <v>40053.686400000006</v>
      </c>
      <c r="P36" s="18">
        <f t="shared" si="16"/>
        <v>46038.720000000008</v>
      </c>
    </row>
    <row r="37" spans="2:16" ht="18.600000000000001" customHeight="1" x14ac:dyDescent="0.25">
      <c r="B37" s="17"/>
      <c r="C37" s="23" t="s">
        <v>10</v>
      </c>
      <c r="D37" s="24">
        <f t="shared" ref="D37:M37" si="24">SUM(D26:D36)</f>
        <v>103</v>
      </c>
      <c r="E37" s="24">
        <f t="shared" si="24"/>
        <v>90014</v>
      </c>
      <c r="F37" s="24">
        <f t="shared" si="24"/>
        <v>881231</v>
      </c>
      <c r="G37" s="24">
        <f t="shared" si="24"/>
        <v>146503.54999999999</v>
      </c>
      <c r="H37" s="24">
        <f t="shared" si="24"/>
        <v>127929.95000000001</v>
      </c>
      <c r="I37" s="24">
        <f t="shared" si="24"/>
        <v>17889.2</v>
      </c>
      <c r="J37" s="24">
        <f t="shared" si="24"/>
        <v>22503.5</v>
      </c>
      <c r="K37" s="24">
        <f t="shared" si="24"/>
        <v>121452.06</v>
      </c>
      <c r="L37" s="24">
        <f t="shared" si="24"/>
        <v>121452.06</v>
      </c>
      <c r="M37" s="24">
        <f t="shared" si="24"/>
        <v>6107459.1999999993</v>
      </c>
      <c r="N37" s="24">
        <f t="shared" ref="N37" si="25">SUM(N26:N36)</f>
        <v>5313489.5040000007</v>
      </c>
      <c r="O37" s="24"/>
      <c r="P37" s="24"/>
    </row>
    <row r="38" spans="2:16" ht="15" customHeight="1" x14ac:dyDescent="0.25">
      <c r="K38" s="50" t="s">
        <v>49</v>
      </c>
      <c r="L38" s="50"/>
      <c r="M38" s="26">
        <f>M37*9</f>
        <v>54967132.799999997</v>
      </c>
      <c r="O38" s="26"/>
    </row>
    <row r="39" spans="2:16" ht="15" customHeight="1" x14ac:dyDescent="0.25">
      <c r="F39" s="29"/>
      <c r="K39" s="50" t="s">
        <v>32</v>
      </c>
      <c r="L39" s="50"/>
      <c r="M39" s="27">
        <f>F37*2/12*9</f>
        <v>1321846.5</v>
      </c>
    </row>
    <row r="40" spans="2:16" ht="15.75" hidden="1" customHeight="1" x14ac:dyDescent="0.25">
      <c r="K40" s="28"/>
      <c r="L40" s="28"/>
      <c r="M40" s="27"/>
    </row>
    <row r="41" spans="2:16" ht="15" x14ac:dyDescent="0.25">
      <c r="K41" s="50" t="s">
        <v>33</v>
      </c>
      <c r="L41" s="50"/>
      <c r="M41" s="26">
        <f>M38+M39</f>
        <v>56288979.299999997</v>
      </c>
    </row>
    <row r="42" spans="2:16" ht="15" customHeight="1" x14ac:dyDescent="0.2">
      <c r="J42" s="47" t="s">
        <v>39</v>
      </c>
      <c r="K42" s="47"/>
      <c r="L42" s="47"/>
      <c r="M42" s="30">
        <v>65161734.799999997</v>
      </c>
    </row>
    <row r="43" spans="2:16" ht="14.25" customHeight="1" x14ac:dyDescent="0.2">
      <c r="J43" s="47" t="s">
        <v>50</v>
      </c>
      <c r="K43" s="47"/>
      <c r="L43" s="47"/>
      <c r="M43" s="30">
        <v>14632685.82</v>
      </c>
      <c r="P43" s="43"/>
    </row>
    <row r="44" spans="2:16" ht="16.5" customHeight="1" x14ac:dyDescent="0.2">
      <c r="J44" s="47" t="s">
        <v>40</v>
      </c>
      <c r="K44" s="47"/>
      <c r="L44" s="47"/>
      <c r="M44" s="30">
        <f>M43+M41</f>
        <v>70921665.120000005</v>
      </c>
      <c r="P44" s="46"/>
    </row>
    <row r="45" spans="2:16" ht="14.25" customHeight="1" x14ac:dyDescent="0.2">
      <c r="J45" s="47" t="s">
        <v>52</v>
      </c>
      <c r="K45" s="47"/>
      <c r="L45" s="47"/>
      <c r="M45" s="30">
        <f>M42/12*3-M43</f>
        <v>1657747.879999999</v>
      </c>
      <c r="P45" s="46"/>
    </row>
    <row r="46" spans="2:16" ht="18" customHeight="1" x14ac:dyDescent="0.2">
      <c r="J46" s="47" t="s">
        <v>34</v>
      </c>
      <c r="K46" s="47"/>
      <c r="L46" s="47"/>
      <c r="M46" s="30">
        <f>M41-M21-M45</f>
        <v>4816160.9199999981</v>
      </c>
      <c r="P46" s="46"/>
    </row>
    <row r="47" spans="2:16" ht="16.5" customHeight="1" x14ac:dyDescent="0.2">
      <c r="J47" s="47" t="s">
        <v>35</v>
      </c>
      <c r="K47" s="47"/>
      <c r="L47" s="47"/>
      <c r="M47" s="30">
        <f>M46*0.302</f>
        <v>1454480.5978399995</v>
      </c>
      <c r="P47" s="46"/>
    </row>
    <row r="48" spans="2:16" ht="18" customHeight="1" x14ac:dyDescent="0.2">
      <c r="J48" s="47" t="s">
        <v>41</v>
      </c>
      <c r="K48" s="47"/>
      <c r="L48" s="47"/>
      <c r="M48" s="30">
        <f>M46+M47</f>
        <v>6270641.517839998</v>
      </c>
      <c r="P48" s="46"/>
    </row>
    <row r="49" spans="10:16" ht="22.5" customHeight="1" x14ac:dyDescent="0.2">
      <c r="J49" s="47"/>
      <c r="K49" s="47"/>
      <c r="L49" s="47"/>
      <c r="M49" s="30"/>
      <c r="P49" s="46"/>
    </row>
    <row r="50" spans="10:16" ht="22.5" customHeight="1" x14ac:dyDescent="0.2">
      <c r="J50" s="47"/>
      <c r="K50" s="47"/>
      <c r="L50" s="47"/>
      <c r="M50" s="30"/>
      <c r="P50" s="46"/>
    </row>
    <row r="51" spans="10:16" ht="22.5" customHeight="1" x14ac:dyDescent="0.2">
      <c r="J51" s="47"/>
      <c r="K51" s="47"/>
      <c r="L51" s="47"/>
      <c r="M51" s="30"/>
      <c r="P51" s="46"/>
    </row>
  </sheetData>
  <mergeCells count="46">
    <mergeCell ref="P3:P4"/>
    <mergeCell ref="D1:M1"/>
    <mergeCell ref="B2:K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L3"/>
    <mergeCell ref="M3:M4"/>
    <mergeCell ref="N3:N4"/>
    <mergeCell ref="O3:O4"/>
    <mergeCell ref="K18:L18"/>
    <mergeCell ref="K19:L19"/>
    <mergeCell ref="K21:L21"/>
    <mergeCell ref="B23:B24"/>
    <mergeCell ref="C23:C24"/>
    <mergeCell ref="D23:D24"/>
    <mergeCell ref="E23:E24"/>
    <mergeCell ref="F23:F24"/>
    <mergeCell ref="G23:G24"/>
    <mergeCell ref="H23:H24"/>
    <mergeCell ref="J43:L43"/>
    <mergeCell ref="I23:I24"/>
    <mergeCell ref="J23:J24"/>
    <mergeCell ref="K23:L23"/>
    <mergeCell ref="M23:M24"/>
    <mergeCell ref="P23:P24"/>
    <mergeCell ref="K38:L38"/>
    <mergeCell ref="K39:L39"/>
    <mergeCell ref="K41:L41"/>
    <mergeCell ref="J42:L42"/>
    <mergeCell ref="N23:N24"/>
    <mergeCell ref="O23:O24"/>
    <mergeCell ref="J44:L44"/>
    <mergeCell ref="J49:L49"/>
    <mergeCell ref="J50:L50"/>
    <mergeCell ref="J51:L51"/>
    <mergeCell ref="J45:L45"/>
    <mergeCell ref="J46:L46"/>
    <mergeCell ref="J47:L47"/>
    <mergeCell ref="J48:L48"/>
  </mergeCells>
  <pageMargins left="0.82677165354330717" right="0.19685039370078741" top="0.15748031496062992" bottom="0" header="0.15748031496062992" footer="0.19685039370078741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5"/>
  <sheetViews>
    <sheetView workbookViewId="0">
      <selection activeCell="C26" sqref="C26"/>
    </sheetView>
  </sheetViews>
  <sheetFormatPr defaultRowHeight="15" x14ac:dyDescent="0.25"/>
  <cols>
    <col min="1" max="1" width="21.5703125" style="34" customWidth="1"/>
    <col min="2" max="2" width="16" style="34" customWidth="1"/>
    <col min="3" max="3" width="16.28515625" style="34" customWidth="1"/>
    <col min="4" max="4" width="9.140625" style="9"/>
    <col min="5" max="16384" width="9.140625" style="34"/>
  </cols>
  <sheetData>
    <row r="1" spans="1:7" ht="30" x14ac:dyDescent="0.25">
      <c r="A1" s="31" t="s">
        <v>0</v>
      </c>
      <c r="B1" s="31" t="s">
        <v>7</v>
      </c>
      <c r="C1" s="39" t="s">
        <v>43</v>
      </c>
      <c r="D1" s="5"/>
      <c r="E1" s="32"/>
      <c r="F1" s="33"/>
    </row>
    <row r="2" spans="1:7" x14ac:dyDescent="0.25">
      <c r="A2" s="35" t="s">
        <v>4</v>
      </c>
      <c r="B2" s="36">
        <v>58700</v>
      </c>
      <c r="C2" s="40">
        <f>ROUND(B2*113%,0)</f>
        <v>66331</v>
      </c>
      <c r="D2" s="6"/>
      <c r="E2" s="33"/>
      <c r="F2" s="33"/>
    </row>
    <row r="3" spans="1:7" ht="30" x14ac:dyDescent="0.25">
      <c r="A3" s="35" t="s">
        <v>5</v>
      </c>
      <c r="B3" s="36">
        <v>52830</v>
      </c>
      <c r="C3" s="40">
        <f t="shared" ref="C3:C11" si="0">ROUND(B3*113%,0)</f>
        <v>59698</v>
      </c>
      <c r="D3" s="6"/>
      <c r="E3" s="33"/>
      <c r="F3" s="33"/>
    </row>
    <row r="4" spans="1:7" x14ac:dyDescent="0.25">
      <c r="A4" s="35" t="s">
        <v>6</v>
      </c>
      <c r="B4" s="36">
        <v>52830</v>
      </c>
      <c r="C4" s="40">
        <f t="shared" si="0"/>
        <v>59698</v>
      </c>
      <c r="D4" s="6"/>
      <c r="E4" s="33"/>
      <c r="F4" s="33"/>
    </row>
    <row r="5" spans="1:7" ht="30" x14ac:dyDescent="0.25">
      <c r="A5" s="35" t="s">
        <v>1</v>
      </c>
      <c r="B5" s="36">
        <v>9569</v>
      </c>
      <c r="C5" s="40">
        <f t="shared" si="0"/>
        <v>10813</v>
      </c>
      <c r="D5" s="6"/>
      <c r="E5" s="33"/>
      <c r="F5" s="33"/>
    </row>
    <row r="6" spans="1:7" x14ac:dyDescent="0.25">
      <c r="A6" s="35" t="s">
        <v>2</v>
      </c>
      <c r="B6" s="36">
        <v>8488</v>
      </c>
      <c r="C6" s="40">
        <f t="shared" si="0"/>
        <v>9591</v>
      </c>
      <c r="D6" s="6"/>
      <c r="E6" s="33"/>
      <c r="F6" s="33"/>
    </row>
    <row r="7" spans="1:7" x14ac:dyDescent="0.25">
      <c r="A7" s="35" t="s">
        <v>3</v>
      </c>
      <c r="B7" s="36">
        <v>7801</v>
      </c>
      <c r="C7" s="40">
        <f t="shared" si="0"/>
        <v>8815</v>
      </c>
      <c r="D7" s="6"/>
      <c r="E7" s="33"/>
      <c r="F7" s="33"/>
    </row>
    <row r="8" spans="1:7" ht="75" x14ac:dyDescent="0.25">
      <c r="A8" s="35" t="s">
        <v>15</v>
      </c>
      <c r="B8" s="36">
        <v>7657</v>
      </c>
      <c r="C8" s="40">
        <f t="shared" si="0"/>
        <v>8652</v>
      </c>
      <c r="D8" s="6"/>
      <c r="E8" s="33"/>
      <c r="F8" s="33"/>
    </row>
    <row r="9" spans="1:7" ht="45" x14ac:dyDescent="0.25">
      <c r="A9" s="35" t="s">
        <v>16</v>
      </c>
      <c r="B9" s="36">
        <v>6746</v>
      </c>
      <c r="C9" s="40">
        <f t="shared" si="0"/>
        <v>7623</v>
      </c>
      <c r="D9" s="7"/>
      <c r="E9" s="37"/>
      <c r="F9" s="37"/>
      <c r="G9" s="38"/>
    </row>
    <row r="10" spans="1:7" ht="30" x14ac:dyDescent="0.25">
      <c r="A10" s="35" t="s">
        <v>8</v>
      </c>
      <c r="B10" s="36">
        <v>5476</v>
      </c>
      <c r="C10" s="40">
        <f t="shared" si="0"/>
        <v>6188</v>
      </c>
      <c r="D10" s="6"/>
      <c r="E10" s="33"/>
      <c r="F10" s="33"/>
    </row>
    <row r="11" spans="1:7" x14ac:dyDescent="0.25">
      <c r="A11" s="35" t="s">
        <v>9</v>
      </c>
      <c r="B11" s="36">
        <v>5476</v>
      </c>
      <c r="C11" s="40">
        <f t="shared" si="0"/>
        <v>6188</v>
      </c>
      <c r="D11" s="6"/>
      <c r="E11" s="33"/>
      <c r="F11" s="33"/>
    </row>
    <row r="12" spans="1:7" x14ac:dyDescent="0.25">
      <c r="A12" s="33"/>
      <c r="B12" s="33"/>
      <c r="C12" s="33"/>
      <c r="D12" s="8"/>
      <c r="E12" s="33"/>
      <c r="F12" s="33"/>
    </row>
    <row r="13" spans="1:7" x14ac:dyDescent="0.25">
      <c r="A13" s="33"/>
      <c r="B13" s="33"/>
      <c r="C13" s="33"/>
      <c r="D13" s="6"/>
      <c r="E13" s="33"/>
      <c r="F13" s="33"/>
    </row>
    <row r="14" spans="1:7" x14ac:dyDescent="0.25">
      <c r="A14" s="33"/>
      <c r="B14" s="33"/>
      <c r="C14" s="33"/>
      <c r="D14" s="6"/>
      <c r="E14" s="33"/>
      <c r="F14" s="33"/>
    </row>
    <row r="15" spans="1:7" x14ac:dyDescent="0.25">
      <c r="A15" s="33"/>
      <c r="B15" s="33"/>
      <c r="C15" s="33"/>
      <c r="E15" s="33"/>
      <c r="F15" s="33"/>
    </row>
    <row r="16" spans="1:7" x14ac:dyDescent="0.25">
      <c r="A16" s="33"/>
      <c r="B16" s="33"/>
      <c r="C16" s="33"/>
      <c r="E16" s="33"/>
      <c r="F16" s="33"/>
    </row>
    <row r="17" spans="1:6" x14ac:dyDescent="0.25">
      <c r="A17" s="33"/>
      <c r="B17" s="33"/>
      <c r="C17" s="33"/>
      <c r="E17" s="33"/>
      <c r="F17" s="33"/>
    </row>
    <row r="18" spans="1:6" x14ac:dyDescent="0.25">
      <c r="A18" s="33"/>
      <c r="B18" s="33"/>
      <c r="C18" s="33"/>
      <c r="E18" s="33"/>
      <c r="F18" s="33"/>
    </row>
    <row r="19" spans="1:6" x14ac:dyDescent="0.25">
      <c r="A19" s="33"/>
      <c r="B19" s="33"/>
      <c r="C19" s="33"/>
      <c r="E19" s="33"/>
      <c r="F19" s="33"/>
    </row>
    <row r="20" spans="1:6" x14ac:dyDescent="0.25">
      <c r="A20" s="33"/>
      <c r="B20" s="33"/>
      <c r="C20" s="33"/>
      <c r="E20" s="33"/>
      <c r="F20" s="33"/>
    </row>
    <row r="21" spans="1:6" x14ac:dyDescent="0.25">
      <c r="A21" s="33"/>
      <c r="B21" s="33"/>
      <c r="C21" s="33"/>
      <c r="E21" s="33"/>
      <c r="F21" s="33"/>
    </row>
    <row r="22" spans="1:6" x14ac:dyDescent="0.25">
      <c r="A22" s="33"/>
      <c r="B22" s="33"/>
      <c r="C22" s="33"/>
      <c r="E22" s="33"/>
      <c r="F22" s="33"/>
    </row>
    <row r="23" spans="1:6" x14ac:dyDescent="0.25">
      <c r="A23" s="33"/>
      <c r="B23" s="33"/>
      <c r="C23" s="33"/>
      <c r="E23" s="33"/>
      <c r="F23" s="33"/>
    </row>
    <row r="24" spans="1:6" x14ac:dyDescent="0.25">
      <c r="A24" s="33"/>
      <c r="B24" s="33"/>
      <c r="C24" s="33"/>
      <c r="E24" s="33"/>
      <c r="F24" s="33"/>
    </row>
    <row r="25" spans="1:6" x14ac:dyDescent="0.25">
      <c r="A25" s="33"/>
      <c r="B25" s="33"/>
      <c r="C25" s="33"/>
      <c r="E25" s="33"/>
      <c r="F25" s="33"/>
    </row>
  </sheetData>
  <pageMargins left="1.299212598425197" right="0.70866141732283472" top="0.74803149606299213" bottom="0.15748031496062992" header="0.31496062992125984" footer="0.31496062992125984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к постан (3)</vt:lpstr>
      <vt:lpstr>долж.окл.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2024-04-02T08:00:45Z</dcterms:modified>
</cp:coreProperties>
</file>